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0" sheetId="1" r:id="rId1"/>
    <sheet name="EQU2000 (2)" sheetId="2" r:id="rId2"/>
  </sheets>
  <definedNames>
    <definedName name="_xlnm.Print_Titles" localSheetId="0">'EQU2000'!$1:$3</definedName>
    <definedName name="_xlnm.Print_Titles" localSheetId="1">'EQU2000 (2)'!$1:$3</definedName>
  </definedNames>
  <calcPr fullCalcOnLoad="1"/>
</workbook>
</file>

<file path=xl/sharedStrings.xml><?xml version="1.0" encoding="utf-8"?>
<sst xmlns="http://schemas.openxmlformats.org/spreadsheetml/2006/main" count="166" uniqueCount="119">
  <si>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</si>
  <si>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</si>
  <si>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</si>
  <si>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</si>
  <si>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</si>
  <si>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</si>
  <si>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</si>
  <si>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</si>
  <si>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</si>
  <si>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</si>
  <si>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</si>
  <si>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</si>
  <si>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</si>
  <si>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</si>
  <si>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</si>
  <si>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</si>
  <si>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</si>
  <si>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</si>
  <si>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W.21</t>
  </si>
  <si>
    <t>Y.1C</t>
  </si>
  <si>
    <t>Y.24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</si>
  <si>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</si>
  <si>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</si>
  <si>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</si>
  <si>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</si>
  <si>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</si>
  <si>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</si>
  <si>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</si>
  <si>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</si>
  <si>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N.13A</t>
  </si>
  <si>
    <t>N.42</t>
  </si>
  <si>
    <t>N.49</t>
  </si>
  <si>
    <t>N.63</t>
  </si>
  <si>
    <t>N.65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</si>
  <si>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</si>
  <si>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</si>
  <si>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</si>
  <si>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</si>
  <si>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</si>
  <si>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</si>
  <si>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</si>
  <si>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</si>
  <si>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</si>
  <si>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</si>
  <si>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</si>
  <si>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</si>
  <si>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</si>
  <si>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1993 - 2001</t>
  </si>
  <si>
    <r>
      <t>Y=0.4851X</t>
    </r>
    <r>
      <rPr>
        <vertAlign val="superscript"/>
        <sz val="16"/>
        <color indexed="10"/>
        <rFont val="DilleniaUPC"/>
        <family val="1"/>
      </rPr>
      <t>1.8093</t>
    </r>
  </si>
  <si>
    <r>
      <t>Y=1.4189X</t>
    </r>
    <r>
      <rPr>
        <vertAlign val="superscript"/>
        <sz val="16"/>
        <rFont val="DilleniaUPC"/>
        <family val="1"/>
      </rPr>
      <t>1.5390</t>
    </r>
  </si>
  <si>
    <t>1992 - 2001</t>
  </si>
  <si>
    <r>
      <t>Y=3.4059X</t>
    </r>
    <r>
      <rPr>
        <vertAlign val="superscript"/>
        <sz val="16"/>
        <color indexed="10"/>
        <rFont val="DilleniaUPC"/>
        <family val="1"/>
      </rPr>
      <t>1.5560</t>
    </r>
  </si>
  <si>
    <r>
      <t>Y=3.6824X</t>
    </r>
    <r>
      <rPr>
        <vertAlign val="superscript"/>
        <sz val="16"/>
        <rFont val="DilleniaUPC"/>
        <family val="1"/>
      </rPr>
      <t>1.5558</t>
    </r>
  </si>
  <si>
    <t>1970 - 2001</t>
  </si>
  <si>
    <r>
      <t>Y=0.4141X</t>
    </r>
    <r>
      <rPr>
        <vertAlign val="superscript"/>
        <sz val="16"/>
        <color indexed="10"/>
        <rFont val="DilleniaUPC"/>
        <family val="1"/>
      </rPr>
      <t>2.1459</t>
    </r>
  </si>
  <si>
    <r>
      <t>Y=0.3676X</t>
    </r>
    <r>
      <rPr>
        <vertAlign val="superscript"/>
        <sz val="16"/>
        <rFont val="DilleniaUPC"/>
        <family val="1"/>
      </rPr>
      <t>2.2169</t>
    </r>
  </si>
  <si>
    <t>2000 - 2001</t>
  </si>
  <si>
    <r>
      <t>Y=3.1705X</t>
    </r>
    <r>
      <rPr>
        <vertAlign val="superscript"/>
        <sz val="16"/>
        <color indexed="10"/>
        <rFont val="DilleniaUPC"/>
        <family val="1"/>
      </rPr>
      <t>1.4910</t>
    </r>
  </si>
  <si>
    <t>1997 - 2001</t>
  </si>
  <si>
    <r>
      <t>Y=3.4453X</t>
    </r>
    <r>
      <rPr>
        <vertAlign val="superscript"/>
        <sz val="16"/>
        <color indexed="10"/>
        <rFont val="DilleniaUPC"/>
        <family val="1"/>
      </rPr>
      <t>1.4361</t>
    </r>
  </si>
  <si>
    <r>
      <t>Y=4.8754X</t>
    </r>
    <r>
      <rPr>
        <vertAlign val="superscript"/>
        <sz val="16"/>
        <color indexed="10"/>
        <rFont val="DilleniaUPC"/>
        <family val="1"/>
      </rPr>
      <t>1.3047</t>
    </r>
  </si>
  <si>
    <r>
      <t>Y=4.9404X</t>
    </r>
    <r>
      <rPr>
        <vertAlign val="superscript"/>
        <sz val="16"/>
        <rFont val="DilleniaUPC"/>
        <family val="1"/>
      </rPr>
      <t>1.3445</t>
    </r>
  </si>
  <si>
    <r>
      <t>Y=4.6590X</t>
    </r>
    <r>
      <rPr>
        <vertAlign val="superscript"/>
        <sz val="16"/>
        <color indexed="10"/>
        <rFont val="DilleniaUPC"/>
        <family val="1"/>
      </rPr>
      <t>1.4953</t>
    </r>
  </si>
  <si>
    <r>
      <t>Y=4.3628X</t>
    </r>
    <r>
      <rPr>
        <vertAlign val="superscript"/>
        <sz val="16"/>
        <rFont val="DilleniaUPC"/>
        <family val="1"/>
      </rPr>
      <t>1.5636</t>
    </r>
  </si>
  <si>
    <r>
      <t>Y=4.3210X</t>
    </r>
    <r>
      <rPr>
        <vertAlign val="superscript"/>
        <sz val="16"/>
        <color indexed="10"/>
        <rFont val="DilleniaUPC"/>
        <family val="1"/>
      </rPr>
      <t>1.5535</t>
    </r>
  </si>
  <si>
    <r>
      <t>Y=4.7962X</t>
    </r>
    <r>
      <rPr>
        <vertAlign val="superscript"/>
        <sz val="16"/>
        <rFont val="DilleniaUPC"/>
        <family val="1"/>
      </rPr>
      <t>1.4312</t>
    </r>
  </si>
  <si>
    <r>
      <t>Y=2.7163X</t>
    </r>
    <r>
      <rPr>
        <vertAlign val="superscript"/>
        <sz val="16"/>
        <color indexed="10"/>
        <rFont val="DilleniaUPC"/>
        <family val="1"/>
      </rPr>
      <t>1.5242</t>
    </r>
  </si>
  <si>
    <r>
      <t>Y=2.7163X</t>
    </r>
    <r>
      <rPr>
        <vertAlign val="superscript"/>
        <sz val="16"/>
        <rFont val="DilleniaUPC"/>
        <family val="1"/>
      </rPr>
      <t>1.5242</t>
    </r>
  </si>
  <si>
    <r>
      <t>Y=1.6024X</t>
    </r>
    <r>
      <rPr>
        <vertAlign val="superscript"/>
        <sz val="16"/>
        <color indexed="10"/>
        <rFont val="DilleniaUPC"/>
        <family val="1"/>
      </rPr>
      <t>1.3481</t>
    </r>
  </si>
  <si>
    <r>
      <t>Y=1.6024X</t>
    </r>
    <r>
      <rPr>
        <vertAlign val="superscript"/>
        <sz val="16"/>
        <rFont val="DilleniaUPC"/>
        <family val="1"/>
      </rPr>
      <t>1.3481</t>
    </r>
  </si>
  <si>
    <r>
      <t>Y=0.1314X</t>
    </r>
    <r>
      <rPr>
        <vertAlign val="superscript"/>
        <sz val="16"/>
        <color indexed="10"/>
        <rFont val="DilleniaUPC"/>
        <family val="1"/>
      </rPr>
      <t>2.2170</t>
    </r>
  </si>
  <si>
    <r>
      <t>Y=0.1314X</t>
    </r>
    <r>
      <rPr>
        <vertAlign val="superscript"/>
        <sz val="16"/>
        <rFont val="DilleniaUPC"/>
        <family val="1"/>
      </rPr>
      <t>2.2170</t>
    </r>
  </si>
  <si>
    <r>
      <t>Y=4.3139X</t>
    </r>
    <r>
      <rPr>
        <vertAlign val="superscript"/>
        <sz val="16"/>
        <color indexed="10"/>
        <rFont val="DilleniaUPC"/>
        <family val="1"/>
      </rPr>
      <t>1.3151</t>
    </r>
  </si>
  <si>
    <r>
      <t>Y=4.3139X</t>
    </r>
    <r>
      <rPr>
        <vertAlign val="superscript"/>
        <sz val="16"/>
        <rFont val="DilleniaUPC"/>
        <family val="1"/>
      </rPr>
      <t>1.3151</t>
    </r>
  </si>
  <si>
    <r>
      <t>Y=4.0519X</t>
    </r>
    <r>
      <rPr>
        <vertAlign val="superscript"/>
        <sz val="16"/>
        <color indexed="10"/>
        <rFont val="DilleniaUPC"/>
        <family val="1"/>
      </rPr>
      <t>1.2839</t>
    </r>
  </si>
  <si>
    <r>
      <t>Y=4.2031X</t>
    </r>
    <r>
      <rPr>
        <vertAlign val="superscript"/>
        <sz val="16"/>
        <color indexed="8"/>
        <rFont val="DilleniaUPC"/>
        <family val="1"/>
      </rPr>
      <t>1.2964</t>
    </r>
  </si>
  <si>
    <r>
      <t>Y=0.9353X</t>
    </r>
    <r>
      <rPr>
        <vertAlign val="superscript"/>
        <sz val="16"/>
        <color indexed="10"/>
        <rFont val="DilleniaUPC"/>
        <family val="1"/>
      </rPr>
      <t>1.5245</t>
    </r>
  </si>
  <si>
    <r>
      <t>Y=1.3390X</t>
    </r>
    <r>
      <rPr>
        <vertAlign val="superscript"/>
        <sz val="16"/>
        <rFont val="DilleniaUPC"/>
        <family val="1"/>
      </rPr>
      <t>1.4688</t>
    </r>
  </si>
  <si>
    <r>
      <t>Y=3.3527X</t>
    </r>
    <r>
      <rPr>
        <vertAlign val="superscript"/>
        <sz val="16"/>
        <color indexed="10"/>
        <rFont val="DilleniaUPC"/>
        <family val="1"/>
      </rPr>
      <t>1.4690</t>
    </r>
  </si>
  <si>
    <r>
      <t>Y=3.2011X</t>
    </r>
    <r>
      <rPr>
        <vertAlign val="superscript"/>
        <sz val="16"/>
        <rFont val="DilleniaUPC"/>
        <family val="1"/>
      </rPr>
      <t>1.4507</t>
    </r>
  </si>
  <si>
    <t>1996 - 2001</t>
  </si>
  <si>
    <r>
      <t>Y=3.1038X</t>
    </r>
    <r>
      <rPr>
        <vertAlign val="superscript"/>
        <sz val="16"/>
        <color indexed="10"/>
        <rFont val="DilleniaUPC"/>
        <family val="1"/>
      </rPr>
      <t>1.5457</t>
    </r>
  </si>
  <si>
    <r>
      <t>Y=3.3103X</t>
    </r>
    <r>
      <rPr>
        <vertAlign val="superscript"/>
        <sz val="16"/>
        <rFont val="DilleniaUPC"/>
        <family val="1"/>
      </rPr>
      <t>1.4082</t>
    </r>
  </si>
  <si>
    <r>
      <t>Y=3.4923X</t>
    </r>
    <r>
      <rPr>
        <vertAlign val="superscript"/>
        <sz val="16"/>
        <color indexed="10"/>
        <rFont val="DilleniaUPC"/>
        <family val="1"/>
      </rPr>
      <t>1.3272</t>
    </r>
  </si>
  <si>
    <r>
      <t>Y=3.8978X</t>
    </r>
    <r>
      <rPr>
        <vertAlign val="superscript"/>
        <sz val="16"/>
        <rFont val="DilleniaUPC"/>
        <family val="1"/>
      </rPr>
      <t>1.3382</t>
    </r>
  </si>
  <si>
    <t>1999 - 2001</t>
  </si>
  <si>
    <r>
      <t>Y=3.7169X</t>
    </r>
    <r>
      <rPr>
        <vertAlign val="superscript"/>
        <sz val="16"/>
        <color indexed="10"/>
        <rFont val="DilleniaUPC"/>
        <family val="1"/>
      </rPr>
      <t>1.3349</t>
    </r>
  </si>
  <si>
    <r>
      <t>Y=3.9366X</t>
    </r>
    <r>
      <rPr>
        <vertAlign val="superscript"/>
        <sz val="16"/>
        <rFont val="DilleniaUPC"/>
        <family val="1"/>
      </rPr>
      <t>1.3286</t>
    </r>
  </si>
  <si>
    <r>
      <t>Y=1.8967X</t>
    </r>
    <r>
      <rPr>
        <vertAlign val="superscript"/>
        <sz val="16"/>
        <color indexed="10"/>
        <rFont val="DilleniaUPC"/>
        <family val="1"/>
      </rPr>
      <t>1.4792</t>
    </r>
  </si>
  <si>
    <r>
      <t>Y=2.5085X</t>
    </r>
    <r>
      <rPr>
        <vertAlign val="superscript"/>
        <sz val="16"/>
        <rFont val="DilleniaUPC"/>
        <family val="1"/>
      </rPr>
      <t>1.4138</t>
    </r>
  </si>
  <si>
    <r>
      <t>Y=3.6995X</t>
    </r>
    <r>
      <rPr>
        <vertAlign val="superscript"/>
        <sz val="16"/>
        <color indexed="10"/>
        <rFont val="DilleniaUPC"/>
        <family val="1"/>
      </rPr>
      <t>1.5102</t>
    </r>
  </si>
  <si>
    <r>
      <t>Y=4.7627X</t>
    </r>
    <r>
      <rPr>
        <vertAlign val="superscript"/>
        <sz val="16"/>
        <rFont val="DilleniaUPC"/>
        <family val="1"/>
      </rPr>
      <t>1.3993</t>
    </r>
  </si>
  <si>
    <t>Y.30</t>
  </si>
  <si>
    <r>
      <t>Y=5.0403X</t>
    </r>
    <r>
      <rPr>
        <vertAlign val="superscript"/>
        <sz val="16"/>
        <color indexed="10"/>
        <rFont val="DilleniaUPC"/>
        <family val="1"/>
      </rPr>
      <t>1.0126</t>
    </r>
  </si>
  <si>
    <r>
      <t>Y=5.0403X</t>
    </r>
    <r>
      <rPr>
        <vertAlign val="superscript"/>
        <sz val="16"/>
        <rFont val="DilleniaUPC"/>
        <family val="1"/>
      </rPr>
      <t>1.0126</t>
    </r>
  </si>
  <si>
    <r>
      <t>Y=4.1170X</t>
    </r>
    <r>
      <rPr>
        <vertAlign val="superscript"/>
        <sz val="16"/>
        <color indexed="10"/>
        <rFont val="DilleniaUPC"/>
        <family val="1"/>
      </rPr>
      <t>1.2358</t>
    </r>
  </si>
  <si>
    <r>
      <t>Y=4.0716X</t>
    </r>
    <r>
      <rPr>
        <vertAlign val="superscript"/>
        <sz val="16"/>
        <rFont val="DilleniaUPC"/>
        <family val="1"/>
      </rPr>
      <t>1.2815</t>
    </r>
  </si>
  <si>
    <r>
      <t>Y=1.3760X</t>
    </r>
    <r>
      <rPr>
        <vertAlign val="superscript"/>
        <sz val="16"/>
        <color indexed="10"/>
        <rFont val="DilleniaUPC"/>
        <family val="1"/>
      </rPr>
      <t>1.6510</t>
    </r>
  </si>
  <si>
    <r>
      <t>Y=1.5368X</t>
    </r>
    <r>
      <rPr>
        <vertAlign val="superscript"/>
        <sz val="16"/>
        <rFont val="DilleniaUPC"/>
        <family val="1"/>
      </rPr>
      <t>1.6010</t>
    </r>
  </si>
  <si>
    <r>
      <t>Y=7.5695X</t>
    </r>
    <r>
      <rPr>
        <vertAlign val="superscript"/>
        <sz val="16"/>
        <color indexed="10"/>
        <rFont val="DilleniaUPC"/>
        <family val="1"/>
      </rPr>
      <t>1.3167</t>
    </r>
  </si>
  <si>
    <r>
      <t>Y=4.9161X</t>
    </r>
    <r>
      <rPr>
        <vertAlign val="superscript"/>
        <sz val="16"/>
        <rFont val="DilleniaUPC"/>
        <family val="1"/>
      </rPr>
      <t>1.4235</t>
    </r>
  </si>
  <si>
    <r>
      <t>Y=5.2824X</t>
    </r>
    <r>
      <rPr>
        <vertAlign val="superscript"/>
        <sz val="16"/>
        <color indexed="10"/>
        <rFont val="DilleniaUPC"/>
        <family val="1"/>
      </rPr>
      <t>1.3980</t>
    </r>
  </si>
  <si>
    <r>
      <t>Y=5.4061X</t>
    </r>
    <r>
      <rPr>
        <vertAlign val="superscript"/>
        <sz val="16"/>
        <rFont val="DilleniaUPC"/>
        <family val="1"/>
      </rPr>
      <t>1.5006</t>
    </r>
  </si>
  <si>
    <r>
      <t>Y=5.9372X</t>
    </r>
    <r>
      <rPr>
        <vertAlign val="superscript"/>
        <sz val="16"/>
        <color indexed="10"/>
        <rFont val="DilleniaUPC"/>
        <family val="1"/>
      </rPr>
      <t>1.4977</t>
    </r>
  </si>
  <si>
    <r>
      <t>Y=6.9584X</t>
    </r>
    <r>
      <rPr>
        <vertAlign val="superscript"/>
        <sz val="16"/>
        <rFont val="DilleniaUPC"/>
        <family val="1"/>
      </rPr>
      <t>1.5637</t>
    </r>
  </si>
  <si>
    <t>1994 - 2001</t>
  </si>
  <si>
    <r>
      <t>Y=5.9300X</t>
    </r>
    <r>
      <rPr>
        <vertAlign val="superscript"/>
        <sz val="16"/>
        <color indexed="10"/>
        <rFont val="DilleniaUPC"/>
        <family val="1"/>
      </rPr>
      <t>1.0823</t>
    </r>
  </si>
  <si>
    <r>
      <t>Y=5.2051X</t>
    </r>
    <r>
      <rPr>
        <vertAlign val="superscript"/>
        <sz val="16"/>
        <rFont val="DilleniaUPC"/>
        <family val="1"/>
      </rPr>
      <t>1.1365</t>
    </r>
  </si>
  <si>
    <r>
      <t>Y=5.6805X</t>
    </r>
    <r>
      <rPr>
        <vertAlign val="superscript"/>
        <sz val="16"/>
        <color indexed="10"/>
        <rFont val="DilleniaUPC"/>
        <family val="1"/>
      </rPr>
      <t>1.3255</t>
    </r>
  </si>
  <si>
    <r>
      <t>Y=0.2458X</t>
    </r>
    <r>
      <rPr>
        <vertAlign val="superscript"/>
        <sz val="16"/>
        <color indexed="10"/>
        <rFont val="DilleniaUPC"/>
        <family val="1"/>
      </rPr>
      <t>1.6675</t>
    </r>
  </si>
  <si>
    <r>
      <t>Y=0.3908X</t>
    </r>
    <r>
      <rPr>
        <vertAlign val="superscript"/>
        <sz val="16"/>
        <rFont val="DilleniaUPC"/>
        <family val="1"/>
      </rPr>
      <t>1.6016</t>
    </r>
  </si>
  <si>
    <r>
      <t>Y=0.7133X</t>
    </r>
    <r>
      <rPr>
        <vertAlign val="superscript"/>
        <sz val="16"/>
        <color indexed="10"/>
        <rFont val="DilleniaUPC"/>
        <family val="1"/>
      </rPr>
      <t>1.5975</t>
    </r>
  </si>
  <si>
    <r>
      <t>Y=0.3414X</t>
    </r>
    <r>
      <rPr>
        <vertAlign val="superscript"/>
        <sz val="16"/>
        <rFont val="DilleniaUPC"/>
        <family val="1"/>
      </rPr>
      <t>1.8185</t>
    </r>
  </si>
  <si>
    <r>
      <t>Y=1.7507X</t>
    </r>
    <r>
      <rPr>
        <vertAlign val="superscript"/>
        <sz val="16"/>
        <color indexed="10"/>
        <rFont val="DilleniaUPC"/>
        <family val="1"/>
      </rPr>
      <t>1.1922</t>
    </r>
  </si>
  <si>
    <r>
      <t>Y=2.4095X</t>
    </r>
    <r>
      <rPr>
        <vertAlign val="superscript"/>
        <sz val="16"/>
        <color indexed="8"/>
        <rFont val="DilleniaUPC"/>
        <family val="1"/>
      </rPr>
      <t>1.1121</t>
    </r>
  </si>
  <si>
    <r>
      <t>Y=4.5027X</t>
    </r>
    <r>
      <rPr>
        <vertAlign val="superscript"/>
        <sz val="16"/>
        <color indexed="10"/>
        <rFont val="DilleniaUPC"/>
        <family val="1"/>
      </rPr>
      <t>1.6030</t>
    </r>
  </si>
  <si>
    <r>
      <t>Y=5.2898X</t>
    </r>
    <r>
      <rPr>
        <vertAlign val="superscript"/>
        <sz val="16"/>
        <rFont val="DilleniaUPC"/>
        <family val="1"/>
      </rPr>
      <t>1.5548</t>
    </r>
  </si>
  <si>
    <r>
      <t>Y=2.1651X</t>
    </r>
    <r>
      <rPr>
        <vertAlign val="superscript"/>
        <sz val="16"/>
        <color indexed="10"/>
        <rFont val="DilleniaUPC"/>
        <family val="1"/>
      </rPr>
      <t>1.3182</t>
    </r>
  </si>
  <si>
    <r>
      <t>Y=1.2793X</t>
    </r>
    <r>
      <rPr>
        <vertAlign val="superscript"/>
        <sz val="16"/>
        <rFont val="DilleniaUPC"/>
        <family val="1"/>
      </rPr>
      <t>1.5622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</si>
</sst>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00"/>
    <numFmt numFmtId="187" formatCode="0.000000"/>
    <numFmt numFmtId="188" formatCode="0.0000"/>
    <numFmt numFmtId="189" formatCode="0.000"/>
    <numFmt numFmtId="190" formatCode="_-* #,##0.0_-;\-* #,##0.0_-;_-* &quot;-&quot;??_-;_-@_-"/>
    <numFmt numFmtId="191" formatCode="_-* #,##0_-;\-* #,##0_-;_-* &quot;-&quot;??_-;_-@_-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"/>
  </numFmts>
  <fonts count="12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vertAlign val="superscript"/>
      <sz val="16"/>
      <color indexed="10"/>
      <name val="DilleniaUPC"/>
      <family val="1"/>
    </font>
    <font>
      <vertAlign val="superscript"/>
      <sz val="16"/>
      <name val="DilleniaUPC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188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8" fontId="6" fillId="0" borderId="5" xfId="0" applyNumberFormat="1" applyFont="1" applyBorder="1" applyAlignment="1">
      <alignment horizontal="center"/>
    </xf>
    <xf numFmtId="188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88" fontId="7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justify"/>
    </xf>
    <xf numFmtId="17" fontId="6" fillId="0" borderId="5" xfId="0" applyNumberFormat="1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8" fontId="6" fillId="0" borderId="9" xfId="0" applyNumberFormat="1" applyFont="1" applyBorder="1" applyAlignment="1">
      <alignment horizontal="center"/>
    </xf>
    <xf numFmtId="188" fontId="6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191" fontId="6" fillId="0" borderId="14" xfId="15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91" fontId="6" fillId="0" borderId="16" xfId="15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88" fontId="6" fillId="0" borderId="13" xfId="0" applyNumberFormat="1" applyFont="1" applyBorder="1" applyAlignment="1">
      <alignment horizontal="center"/>
    </xf>
    <xf numFmtId="41" fontId="6" fillId="0" borderId="13" xfId="15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188" fontId="10" fillId="0" borderId="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95" fontId="6" fillId="0" borderId="1" xfId="0" applyNumberFormat="1" applyFont="1" applyBorder="1" applyAlignment="1">
      <alignment/>
    </xf>
    <xf numFmtId="195" fontId="6" fillId="0" borderId="5" xfId="0" applyNumberFormat="1" applyFont="1" applyBorder="1" applyAlignment="1">
      <alignment/>
    </xf>
    <xf numFmtId="195" fontId="6" fillId="0" borderId="9" xfId="0" applyNumberFormat="1" applyFont="1" applyBorder="1" applyAlignment="1">
      <alignment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3" fontId="6" fillId="0" borderId="1" xfId="15" applyNumberFormat="1" applyFont="1" applyBorder="1" applyAlignment="1">
      <alignment horizontal="right"/>
    </xf>
    <xf numFmtId="3" fontId="6" fillId="0" borderId="5" xfId="15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95" fontId="6" fillId="0" borderId="13" xfId="0" applyNumberFormat="1" applyFont="1" applyBorder="1" applyAlignment="1">
      <alignment/>
    </xf>
    <xf numFmtId="195" fontId="4" fillId="0" borderId="0" xfId="0" applyNumberFormat="1" applyFont="1" applyAlignment="1">
      <alignment/>
    </xf>
    <xf numFmtId="195" fontId="6" fillId="0" borderId="23" xfId="0" applyNumberFormat="1" applyFont="1" applyBorder="1" applyAlignment="1">
      <alignment horizontal="center"/>
    </xf>
    <xf numFmtId="195" fontId="6" fillId="0" borderId="24" xfId="0" applyNumberFormat="1" applyFont="1" applyBorder="1" applyAlignment="1">
      <alignment/>
    </xf>
    <xf numFmtId="195" fontId="1" fillId="2" borderId="25" xfId="0" applyNumberFormat="1" applyFont="1" applyFill="1" applyBorder="1" applyAlignment="1">
      <alignment horizontal="center" vertical="center"/>
    </xf>
    <xf numFmtId="195" fontId="1" fillId="2" borderId="26" xfId="0" applyNumberFormat="1" applyFont="1" applyFill="1" applyBorder="1" applyAlignment="1">
      <alignment horizontal="center" vertical="center"/>
    </xf>
    <xf numFmtId="198" fontId="6" fillId="0" borderId="1" xfId="0" applyNumberFormat="1" applyFont="1" applyBorder="1" applyAlignment="1">
      <alignment/>
    </xf>
    <xf numFmtId="198" fontId="6" fillId="0" borderId="5" xfId="0" applyNumberFormat="1" applyFont="1" applyBorder="1" applyAlignment="1">
      <alignment/>
    </xf>
    <xf numFmtId="198" fontId="6" fillId="0" borderId="9" xfId="0" applyNumberFormat="1" applyFont="1" applyBorder="1" applyAlignment="1">
      <alignment/>
    </xf>
    <xf numFmtId="198" fontId="6" fillId="0" borderId="17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88" fontId="7" fillId="0" borderId="17" xfId="0" applyNumberFormat="1" applyFont="1" applyBorder="1" applyAlignment="1">
      <alignment horizontal="center"/>
    </xf>
    <xf numFmtId="188" fontId="6" fillId="0" borderId="17" xfId="0" applyNumberFormat="1" applyFont="1" applyBorder="1" applyAlignment="1">
      <alignment/>
    </xf>
    <xf numFmtId="195" fontId="6" fillId="0" borderId="17" xfId="0" applyNumberFormat="1" applyFont="1" applyBorder="1" applyAlignment="1">
      <alignment/>
    </xf>
    <xf numFmtId="3" fontId="6" fillId="0" borderId="17" xfId="15" applyNumberFormat="1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3" fontId="6" fillId="0" borderId="9" xfId="15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88" fontId="6" fillId="0" borderId="27" xfId="0" applyNumberFormat="1" applyFont="1" applyBorder="1" applyAlignment="1">
      <alignment horizontal="center"/>
    </xf>
    <xf numFmtId="188" fontId="6" fillId="0" borderId="27" xfId="0" applyNumberFormat="1" applyFont="1" applyBorder="1" applyAlignment="1">
      <alignment/>
    </xf>
    <xf numFmtId="195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195" fontId="1" fillId="2" borderId="25" xfId="0" applyNumberFormat="1" applyFont="1" applyFill="1" applyBorder="1" applyAlignment="1">
      <alignment horizontal="center" vertical="center"/>
    </xf>
    <xf numFmtId="195" fontId="1" fillId="2" borderId="26" xfId="0" applyNumberFormat="1" applyFont="1" applyFill="1" applyBorder="1" applyAlignment="1">
      <alignment horizontal="center" vertical="center"/>
    </xf>
    <xf numFmtId="195" fontId="1" fillId="2" borderId="3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vertical="center"/>
    </xf>
    <xf numFmtId="195" fontId="5" fillId="2" borderId="35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95" fontId="6" fillId="0" borderId="23" xfId="0" applyNumberFormat="1" applyFont="1" applyBorder="1" applyAlignment="1">
      <alignment horizontal="center"/>
    </xf>
    <xf numFmtId="195" fontId="6" fillId="0" borderId="24" xfId="0" applyNumberFormat="1" applyFont="1" applyBorder="1" applyAlignment="1">
      <alignment/>
    </xf>
    <xf numFmtId="195" fontId="6" fillId="0" borderId="36" xfId="0" applyNumberFormat="1" applyFont="1" applyBorder="1" applyAlignment="1">
      <alignment/>
    </xf>
    <xf numFmtId="188" fontId="5" fillId="2" borderId="3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46">
      <selection activeCell="J53" sqref="J53"/>
    </sheetView>
  </sheetViews>
  <sheetFormatPr defaultColWidth="9.140625" defaultRowHeight="21.75"/>
  <cols>
    <col min="1" max="1" width="3.7109375" style="3" customWidth="1"/>
    <col min="2" max="2" width="6.140625" style="3" customWidth="1"/>
    <col min="3" max="3" width="11.7109375" style="3" customWidth="1"/>
    <col min="4" max="4" width="6.7109375" style="3" customWidth="1"/>
    <col min="5" max="5" width="4.7109375" style="3" customWidth="1"/>
    <col min="6" max="6" width="6.7109375" style="3" customWidth="1"/>
    <col min="7" max="7" width="14.7109375" style="1" customWidth="1"/>
    <col min="8" max="8" width="8.7109375" style="4" customWidth="1"/>
    <col min="9" max="9" width="6.7109375" style="1" customWidth="1"/>
    <col min="10" max="10" width="13.7109375" style="57" customWidth="1"/>
    <col min="11" max="11" width="6.7109375" style="1" customWidth="1"/>
    <col min="12" max="12" width="19.57421875" style="2" customWidth="1"/>
    <col min="13" max="16384" width="9.140625" style="1" customWidth="1"/>
  </cols>
  <sheetData>
    <row r="1" spans="1:12" ht="30">
      <c r="A1" s="84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5" customFormat="1" ht="23.25">
      <c r="A2" s="89" t="s">
        <v>7</v>
      </c>
      <c r="B2" s="89" t="s">
        <v>0</v>
      </c>
      <c r="C2" s="89" t="s">
        <v>6</v>
      </c>
      <c r="D2" s="87" t="s">
        <v>5</v>
      </c>
      <c r="E2" s="88"/>
      <c r="F2" s="88"/>
      <c r="G2" s="91" t="s">
        <v>1</v>
      </c>
      <c r="H2" s="97" t="s">
        <v>4</v>
      </c>
      <c r="I2" s="89" t="s">
        <v>2</v>
      </c>
      <c r="J2" s="90" t="s">
        <v>3</v>
      </c>
      <c r="K2" s="48" t="s">
        <v>38</v>
      </c>
      <c r="L2" s="92" t="s">
        <v>41</v>
      </c>
    </row>
    <row r="3" spans="1:12" s="5" customFormat="1" ht="23.25">
      <c r="A3" s="89"/>
      <c r="B3" s="89"/>
      <c r="C3" s="89"/>
      <c r="D3" s="49" t="s">
        <v>8</v>
      </c>
      <c r="E3" s="50" t="s">
        <v>10</v>
      </c>
      <c r="F3" s="51" t="s">
        <v>9</v>
      </c>
      <c r="G3" s="91"/>
      <c r="H3" s="97"/>
      <c r="I3" s="89"/>
      <c r="J3" s="90"/>
      <c r="K3" s="52" t="s">
        <v>39</v>
      </c>
      <c r="L3" s="93"/>
    </row>
    <row r="4" spans="1:12" s="5" customFormat="1" ht="25.5">
      <c r="A4" s="6">
        <v>1</v>
      </c>
      <c r="B4" s="7" t="s">
        <v>11</v>
      </c>
      <c r="C4" s="6">
        <v>2001</v>
      </c>
      <c r="D4" s="8">
        <v>40</v>
      </c>
      <c r="E4" s="9">
        <v>0</v>
      </c>
      <c r="F4" s="10">
        <f>E4+D4</f>
        <v>40</v>
      </c>
      <c r="G4" s="7" t="s">
        <v>48</v>
      </c>
      <c r="H4" s="11">
        <v>0.8947</v>
      </c>
      <c r="I4" s="12">
        <v>1.8093</v>
      </c>
      <c r="J4" s="45">
        <f>LOG(0.4851)</f>
        <v>-0.3141687253739364</v>
      </c>
      <c r="K4" s="53">
        <v>6355</v>
      </c>
      <c r="L4" s="13"/>
    </row>
    <row r="5" spans="1:12" s="5" customFormat="1" ht="25.5">
      <c r="A5" s="14"/>
      <c r="B5" s="14"/>
      <c r="C5" s="14" t="s">
        <v>47</v>
      </c>
      <c r="D5" s="15">
        <v>258</v>
      </c>
      <c r="E5" s="16">
        <v>0</v>
      </c>
      <c r="F5" s="17">
        <f aca="true" t="shared" si="0" ref="F5:F53">E5+D5</f>
        <v>258</v>
      </c>
      <c r="G5" s="14" t="s">
        <v>49</v>
      </c>
      <c r="H5" s="18">
        <v>0.9022</v>
      </c>
      <c r="I5" s="19">
        <v>1.539</v>
      </c>
      <c r="J5" s="46">
        <f>LOG(1.4189)</f>
        <v>0.15195178870726556</v>
      </c>
      <c r="K5" s="54"/>
      <c r="L5" s="20"/>
    </row>
    <row r="6" spans="1:12" s="5" customFormat="1" ht="25.5">
      <c r="A6" s="14">
        <f>+A4+1</f>
        <v>2</v>
      </c>
      <c r="B6" s="21" t="s">
        <v>12</v>
      </c>
      <c r="C6" s="14">
        <v>2001</v>
      </c>
      <c r="D6" s="22">
        <v>39</v>
      </c>
      <c r="E6" s="16">
        <v>0</v>
      </c>
      <c r="F6" s="17">
        <f t="shared" si="0"/>
        <v>39</v>
      </c>
      <c r="G6" s="21" t="s">
        <v>51</v>
      </c>
      <c r="H6" s="23">
        <v>0.9395</v>
      </c>
      <c r="I6" s="19">
        <v>1.556</v>
      </c>
      <c r="J6" s="46">
        <f>LOG(3.4059)</f>
        <v>0.5322318925738089</v>
      </c>
      <c r="K6" s="54">
        <v>1902</v>
      </c>
      <c r="L6" s="20"/>
    </row>
    <row r="7" spans="1:12" s="5" customFormat="1" ht="25.5">
      <c r="A7" s="14"/>
      <c r="B7" s="14"/>
      <c r="C7" s="14" t="s">
        <v>50</v>
      </c>
      <c r="D7" s="15">
        <v>266</v>
      </c>
      <c r="E7" s="16">
        <v>0</v>
      </c>
      <c r="F7" s="17">
        <f t="shared" si="0"/>
        <v>266</v>
      </c>
      <c r="G7" s="14" t="s">
        <v>52</v>
      </c>
      <c r="H7" s="18">
        <v>0.9202</v>
      </c>
      <c r="I7" s="19">
        <v>1.5558</v>
      </c>
      <c r="J7" s="46">
        <f>LOG(3.6824)</f>
        <v>0.5661309618859178</v>
      </c>
      <c r="K7" s="54"/>
      <c r="L7" s="20"/>
    </row>
    <row r="8" spans="1:12" s="5" customFormat="1" ht="25.5">
      <c r="A8" s="14">
        <f>+A6+1</f>
        <v>3</v>
      </c>
      <c r="B8" s="21" t="s">
        <v>23</v>
      </c>
      <c r="C8" s="14">
        <v>2001</v>
      </c>
      <c r="D8" s="22">
        <v>42</v>
      </c>
      <c r="E8" s="16">
        <v>0</v>
      </c>
      <c r="F8" s="17">
        <f t="shared" si="0"/>
        <v>42</v>
      </c>
      <c r="G8" s="21" t="s">
        <v>54</v>
      </c>
      <c r="H8" s="23">
        <v>0.8938</v>
      </c>
      <c r="I8" s="19">
        <v>2.1459</v>
      </c>
      <c r="J8" s="46">
        <f>LOG(0.4141)</f>
        <v>-0.3828947694976219</v>
      </c>
      <c r="K8" s="54">
        <v>3853</v>
      </c>
      <c r="L8" s="20"/>
    </row>
    <row r="9" spans="1:12" s="5" customFormat="1" ht="25.5">
      <c r="A9" s="14"/>
      <c r="B9" s="14"/>
      <c r="C9" s="14" t="s">
        <v>53</v>
      </c>
      <c r="D9" s="15">
        <v>314</v>
      </c>
      <c r="E9" s="16">
        <v>0</v>
      </c>
      <c r="F9" s="17">
        <f t="shared" si="0"/>
        <v>314</v>
      </c>
      <c r="G9" s="14" t="s">
        <v>55</v>
      </c>
      <c r="H9" s="18">
        <v>0.7543</v>
      </c>
      <c r="I9" s="19">
        <v>2.2169</v>
      </c>
      <c r="J9" s="46">
        <f>LOG(0.3676)</f>
        <v>-0.4346244972859264</v>
      </c>
      <c r="K9" s="54"/>
      <c r="L9" s="20"/>
    </row>
    <row r="10" spans="1:12" s="5" customFormat="1" ht="25.5">
      <c r="A10" s="14">
        <f>+A8+1</f>
        <v>4</v>
      </c>
      <c r="B10" s="21" t="s">
        <v>42</v>
      </c>
      <c r="C10" s="14">
        <v>2001</v>
      </c>
      <c r="D10" s="22">
        <v>36</v>
      </c>
      <c r="E10" s="16">
        <v>0</v>
      </c>
      <c r="F10" s="17">
        <f>E10+D10</f>
        <v>36</v>
      </c>
      <c r="G10" s="21" t="s">
        <v>108</v>
      </c>
      <c r="H10" s="23">
        <v>0.9457</v>
      </c>
      <c r="I10" s="19">
        <v>1.3255</v>
      </c>
      <c r="J10" s="46">
        <f>LOG(5.6805)</f>
        <v>0.7543865641765075</v>
      </c>
      <c r="K10" s="54">
        <v>515</v>
      </c>
      <c r="L10" s="20"/>
    </row>
    <row r="11" spans="1:12" s="5" customFormat="1" ht="25.5">
      <c r="A11" s="14"/>
      <c r="B11" s="14"/>
      <c r="C11" s="14">
        <v>2001</v>
      </c>
      <c r="D11" s="15">
        <v>36</v>
      </c>
      <c r="E11" s="16">
        <v>0</v>
      </c>
      <c r="F11" s="17">
        <f>E11+D11</f>
        <v>36</v>
      </c>
      <c r="G11" s="21" t="s">
        <v>108</v>
      </c>
      <c r="H11" s="23">
        <v>0.9457</v>
      </c>
      <c r="I11" s="19">
        <v>1.3255</v>
      </c>
      <c r="J11" s="46">
        <f>LOG(5.6805)</f>
        <v>0.7543865641765075</v>
      </c>
      <c r="K11" s="54"/>
      <c r="L11" s="20"/>
    </row>
    <row r="12" spans="1:12" s="5" customFormat="1" ht="25.5">
      <c r="A12" s="14">
        <f>+A10+1</f>
        <v>5</v>
      </c>
      <c r="B12" s="21" t="s">
        <v>13</v>
      </c>
      <c r="C12" s="14">
        <v>2001</v>
      </c>
      <c r="D12" s="22">
        <v>36</v>
      </c>
      <c r="E12" s="16">
        <v>0</v>
      </c>
      <c r="F12" s="17">
        <f t="shared" si="0"/>
        <v>36</v>
      </c>
      <c r="G12" s="21" t="s">
        <v>57</v>
      </c>
      <c r="H12" s="23">
        <v>0.8902</v>
      </c>
      <c r="I12" s="19">
        <v>1.491</v>
      </c>
      <c r="J12" s="46">
        <f>LOG(3.1705)</f>
        <v>0.5011277575229803</v>
      </c>
      <c r="K12" s="54">
        <v>460</v>
      </c>
      <c r="L12" s="20"/>
    </row>
    <row r="13" spans="1:12" s="5" customFormat="1" ht="25.5">
      <c r="A13" s="14"/>
      <c r="B13" s="14"/>
      <c r="C13" s="14" t="s">
        <v>58</v>
      </c>
      <c r="D13" s="15">
        <v>129</v>
      </c>
      <c r="E13" s="16">
        <v>0</v>
      </c>
      <c r="F13" s="17">
        <f t="shared" si="0"/>
        <v>129</v>
      </c>
      <c r="G13" s="21" t="s">
        <v>59</v>
      </c>
      <c r="H13" s="23">
        <v>0.9318</v>
      </c>
      <c r="I13" s="19">
        <v>1.4361</v>
      </c>
      <c r="J13" s="46">
        <f>LOG(3.4453)</f>
        <v>0.5372270441455221</v>
      </c>
      <c r="K13" s="54"/>
      <c r="L13" s="20"/>
    </row>
    <row r="14" spans="1:12" s="5" customFormat="1" ht="25.5">
      <c r="A14" s="14">
        <f>+A12+1</f>
        <v>6</v>
      </c>
      <c r="B14" s="21" t="s">
        <v>24</v>
      </c>
      <c r="C14" s="14">
        <v>2001</v>
      </c>
      <c r="D14" s="22">
        <v>36</v>
      </c>
      <c r="E14" s="16">
        <v>0</v>
      </c>
      <c r="F14" s="17">
        <f t="shared" si="0"/>
        <v>36</v>
      </c>
      <c r="G14" s="21" t="s">
        <v>60</v>
      </c>
      <c r="H14" s="23">
        <v>0.955</v>
      </c>
      <c r="I14" s="19">
        <v>1.3047</v>
      </c>
      <c r="J14" s="46">
        <f>LOG(4.8754)</f>
        <v>0.6880102529917387</v>
      </c>
      <c r="K14" s="54">
        <v>539</v>
      </c>
      <c r="L14" s="20"/>
    </row>
    <row r="15" spans="1:12" s="5" customFormat="1" ht="25.5">
      <c r="A15" s="14"/>
      <c r="B15" s="14"/>
      <c r="C15" s="14" t="s">
        <v>58</v>
      </c>
      <c r="D15" s="15">
        <v>58</v>
      </c>
      <c r="E15" s="16">
        <v>0</v>
      </c>
      <c r="F15" s="17">
        <f t="shared" si="0"/>
        <v>58</v>
      </c>
      <c r="G15" s="14" t="s">
        <v>61</v>
      </c>
      <c r="H15" s="18">
        <v>0.9559</v>
      </c>
      <c r="I15" s="19">
        <v>1.3445</v>
      </c>
      <c r="J15" s="46">
        <f>LOG(4.9404)</f>
        <v>0.6937621130451109</v>
      </c>
      <c r="K15" s="54"/>
      <c r="L15" s="20"/>
    </row>
    <row r="16" spans="1:12" s="5" customFormat="1" ht="25.5">
      <c r="A16" s="14">
        <f>+A14+1</f>
        <v>7</v>
      </c>
      <c r="B16" s="21" t="s">
        <v>14</v>
      </c>
      <c r="C16" s="14">
        <v>2001</v>
      </c>
      <c r="D16" s="22">
        <v>30</v>
      </c>
      <c r="E16" s="16">
        <v>0</v>
      </c>
      <c r="F16" s="17">
        <f t="shared" si="0"/>
        <v>30</v>
      </c>
      <c r="G16" s="21" t="s">
        <v>62</v>
      </c>
      <c r="H16" s="23">
        <v>0.8419</v>
      </c>
      <c r="I16" s="19">
        <v>1.4953</v>
      </c>
      <c r="J16" s="46">
        <f>LOG(4.659)</f>
        <v>0.6682927104482209</v>
      </c>
      <c r="K16" s="54">
        <v>503</v>
      </c>
      <c r="L16" s="20"/>
    </row>
    <row r="17" spans="1:12" s="5" customFormat="1" ht="25.5">
      <c r="A17" s="14"/>
      <c r="B17" s="14"/>
      <c r="C17" s="14" t="s">
        <v>58</v>
      </c>
      <c r="D17" s="15">
        <v>140</v>
      </c>
      <c r="E17" s="16">
        <v>0</v>
      </c>
      <c r="F17" s="17">
        <f t="shared" si="0"/>
        <v>140</v>
      </c>
      <c r="G17" s="14" t="s">
        <v>63</v>
      </c>
      <c r="H17" s="18">
        <v>0.8251</v>
      </c>
      <c r="I17" s="19">
        <v>1.5636</v>
      </c>
      <c r="J17" s="46">
        <f>LOG(4.3628)</f>
        <v>0.6397653044634994</v>
      </c>
      <c r="K17" s="54"/>
      <c r="L17" s="20"/>
    </row>
    <row r="18" spans="1:12" s="5" customFormat="1" ht="25.5">
      <c r="A18" s="14">
        <f>+A16+1</f>
        <v>8</v>
      </c>
      <c r="B18" s="21" t="s">
        <v>15</v>
      </c>
      <c r="C18" s="14">
        <v>2001</v>
      </c>
      <c r="D18" s="22">
        <v>36</v>
      </c>
      <c r="E18" s="16">
        <v>0</v>
      </c>
      <c r="F18" s="17">
        <f t="shared" si="0"/>
        <v>36</v>
      </c>
      <c r="G18" s="21" t="s">
        <v>64</v>
      </c>
      <c r="H18" s="23">
        <v>0.9046</v>
      </c>
      <c r="I18" s="19">
        <v>1.5535</v>
      </c>
      <c r="J18" s="46">
        <f>LOG(4.321)</f>
        <v>0.6355842663112301</v>
      </c>
      <c r="K18" s="54">
        <v>240</v>
      </c>
      <c r="L18" s="20"/>
    </row>
    <row r="19" spans="1:12" s="5" customFormat="1" ht="25.5">
      <c r="A19" s="14"/>
      <c r="B19" s="14"/>
      <c r="C19" s="14" t="s">
        <v>58</v>
      </c>
      <c r="D19" s="15">
        <v>269</v>
      </c>
      <c r="E19" s="16">
        <v>0</v>
      </c>
      <c r="F19" s="17">
        <f t="shared" si="0"/>
        <v>269</v>
      </c>
      <c r="G19" s="14" t="s">
        <v>65</v>
      </c>
      <c r="H19" s="18">
        <v>0.759</v>
      </c>
      <c r="I19" s="19">
        <v>1.4312</v>
      </c>
      <c r="J19" s="46">
        <f>LOG(4.7962)</f>
        <v>0.6808972847448597</v>
      </c>
      <c r="K19" s="54"/>
      <c r="L19" s="20"/>
    </row>
    <row r="20" spans="1:12" s="5" customFormat="1" ht="25.5">
      <c r="A20" s="14">
        <f>+A18+1</f>
        <v>9</v>
      </c>
      <c r="B20" s="21" t="s">
        <v>43</v>
      </c>
      <c r="C20" s="14">
        <v>2001</v>
      </c>
      <c r="D20" s="22">
        <v>36</v>
      </c>
      <c r="E20" s="16">
        <v>0</v>
      </c>
      <c r="F20" s="17">
        <f t="shared" si="0"/>
        <v>36</v>
      </c>
      <c r="G20" s="21" t="s">
        <v>66</v>
      </c>
      <c r="H20" s="23">
        <v>0.9338</v>
      </c>
      <c r="I20" s="19">
        <v>1.5242</v>
      </c>
      <c r="J20" s="46">
        <f>LOG(2.7163)</f>
        <v>0.43397773363110764</v>
      </c>
      <c r="K20" s="54">
        <v>1771</v>
      </c>
      <c r="L20" s="24"/>
    </row>
    <row r="21" spans="1:12" s="5" customFormat="1" ht="25.5">
      <c r="A21" s="14"/>
      <c r="B21" s="14"/>
      <c r="C21" s="14">
        <v>2001</v>
      </c>
      <c r="D21" s="15">
        <v>36</v>
      </c>
      <c r="E21" s="16">
        <v>0</v>
      </c>
      <c r="F21" s="17">
        <f t="shared" si="0"/>
        <v>36</v>
      </c>
      <c r="G21" s="14" t="s">
        <v>67</v>
      </c>
      <c r="H21" s="18">
        <v>0.9338</v>
      </c>
      <c r="I21" s="19">
        <v>1.5242</v>
      </c>
      <c r="J21" s="46">
        <f>LOG(2.7163)</f>
        <v>0.43397773363110764</v>
      </c>
      <c r="K21" s="54"/>
      <c r="L21" s="24"/>
    </row>
    <row r="22" spans="1:12" s="5" customFormat="1" ht="25.5">
      <c r="A22" s="14">
        <f>+A20+1</f>
        <v>10</v>
      </c>
      <c r="B22" s="21" t="s">
        <v>44</v>
      </c>
      <c r="C22" s="14">
        <v>2001</v>
      </c>
      <c r="D22" s="22">
        <v>38</v>
      </c>
      <c r="E22" s="16">
        <v>0</v>
      </c>
      <c r="F22" s="17">
        <f aca="true" t="shared" si="1" ref="F22:F27">E22+D22</f>
        <v>38</v>
      </c>
      <c r="G22" s="21" t="s">
        <v>68</v>
      </c>
      <c r="H22" s="23">
        <v>0.9086</v>
      </c>
      <c r="I22" s="19">
        <v>1.3481</v>
      </c>
      <c r="J22" s="46">
        <f>LOG(1.6024)</f>
        <v>0.20477093628551982</v>
      </c>
      <c r="K22" s="54">
        <v>16815</v>
      </c>
      <c r="L22" s="24"/>
    </row>
    <row r="23" spans="1:12" s="5" customFormat="1" ht="25.5">
      <c r="A23" s="14"/>
      <c r="B23" s="14"/>
      <c r="C23" s="14">
        <v>2001</v>
      </c>
      <c r="D23" s="15">
        <v>38</v>
      </c>
      <c r="E23" s="16">
        <v>0</v>
      </c>
      <c r="F23" s="17">
        <f t="shared" si="1"/>
        <v>38</v>
      </c>
      <c r="G23" s="14" t="s">
        <v>69</v>
      </c>
      <c r="H23" s="18">
        <v>0.9086</v>
      </c>
      <c r="I23" s="19">
        <v>1.3481</v>
      </c>
      <c r="J23" s="46">
        <f>LOG(1.6024)</f>
        <v>0.20477093628551982</v>
      </c>
      <c r="K23" s="54"/>
      <c r="L23" s="24"/>
    </row>
    <row r="24" spans="1:12" s="5" customFormat="1" ht="25.5">
      <c r="A24" s="14">
        <f>+A22+1</f>
        <v>11</v>
      </c>
      <c r="B24" s="21" t="s">
        <v>45</v>
      </c>
      <c r="C24" s="14">
        <v>2001</v>
      </c>
      <c r="D24" s="22">
        <v>38</v>
      </c>
      <c r="E24" s="16">
        <v>0</v>
      </c>
      <c r="F24" s="17">
        <f t="shared" si="1"/>
        <v>38</v>
      </c>
      <c r="G24" s="21" t="s">
        <v>70</v>
      </c>
      <c r="H24" s="23">
        <v>0.938</v>
      </c>
      <c r="I24" s="19">
        <v>2.217</v>
      </c>
      <c r="J24" s="46">
        <f>LOG(0.1314)</f>
        <v>-0.8814046347762381</v>
      </c>
      <c r="K24" s="54">
        <v>3090</v>
      </c>
      <c r="L24" s="24"/>
    </row>
    <row r="25" spans="1:12" s="5" customFormat="1" ht="25.5">
      <c r="A25" s="14"/>
      <c r="B25" s="14"/>
      <c r="C25" s="14">
        <v>2001</v>
      </c>
      <c r="D25" s="15">
        <v>38</v>
      </c>
      <c r="E25" s="16">
        <v>0</v>
      </c>
      <c r="F25" s="17">
        <f t="shared" si="1"/>
        <v>38</v>
      </c>
      <c r="G25" s="14" t="s">
        <v>71</v>
      </c>
      <c r="H25" s="18">
        <v>0.938</v>
      </c>
      <c r="I25" s="19">
        <v>2.217</v>
      </c>
      <c r="J25" s="46">
        <f>LOG(0.1314)</f>
        <v>-0.8814046347762381</v>
      </c>
      <c r="K25" s="54"/>
      <c r="L25" s="24"/>
    </row>
    <row r="26" spans="1:12" s="5" customFormat="1" ht="25.5">
      <c r="A26" s="14">
        <f>+A24+1</f>
        <v>12</v>
      </c>
      <c r="B26" s="21" t="s">
        <v>46</v>
      </c>
      <c r="C26" s="14">
        <v>2001</v>
      </c>
      <c r="D26" s="22">
        <v>37</v>
      </c>
      <c r="E26" s="16">
        <v>0</v>
      </c>
      <c r="F26" s="17">
        <f t="shared" si="1"/>
        <v>37</v>
      </c>
      <c r="G26" s="21" t="s">
        <v>72</v>
      </c>
      <c r="H26" s="23">
        <v>0.8694</v>
      </c>
      <c r="I26" s="19">
        <v>1.3151</v>
      </c>
      <c r="J26" s="46">
        <f>LOG(4.3139)</f>
        <v>0.6348700735547615</v>
      </c>
      <c r="K26" s="54">
        <v>1541</v>
      </c>
      <c r="L26" s="24"/>
    </row>
    <row r="27" spans="1:12" s="5" customFormat="1" ht="25.5">
      <c r="A27" s="14"/>
      <c r="B27" s="14"/>
      <c r="C27" s="14">
        <v>2001</v>
      </c>
      <c r="D27" s="15">
        <v>37</v>
      </c>
      <c r="E27" s="16">
        <v>0</v>
      </c>
      <c r="F27" s="17">
        <f t="shared" si="1"/>
        <v>37</v>
      </c>
      <c r="G27" s="14" t="s">
        <v>73</v>
      </c>
      <c r="H27" s="18">
        <v>0.8694</v>
      </c>
      <c r="I27" s="19">
        <v>1.3151</v>
      </c>
      <c r="J27" s="46">
        <f>LOG(4.3139)</f>
        <v>0.6348700735547615</v>
      </c>
      <c r="K27" s="54"/>
      <c r="L27" s="24"/>
    </row>
    <row r="28" spans="1:12" s="5" customFormat="1" ht="25.5">
      <c r="A28" s="14">
        <f>+A26+1</f>
        <v>13</v>
      </c>
      <c r="B28" s="21" t="s">
        <v>25</v>
      </c>
      <c r="C28" s="14">
        <v>2001</v>
      </c>
      <c r="D28" s="22">
        <v>36</v>
      </c>
      <c r="E28" s="16">
        <v>0</v>
      </c>
      <c r="F28" s="17">
        <f t="shared" si="0"/>
        <v>36</v>
      </c>
      <c r="G28" s="21" t="s">
        <v>74</v>
      </c>
      <c r="H28" s="23">
        <v>0.9359</v>
      </c>
      <c r="I28" s="19">
        <v>1.2839</v>
      </c>
      <c r="J28" s="46">
        <f>LOG(4.0519)</f>
        <v>0.607658718528297</v>
      </c>
      <c r="K28" s="54">
        <v>547</v>
      </c>
      <c r="L28" s="24"/>
    </row>
    <row r="29" spans="1:12" s="5" customFormat="1" ht="25.5">
      <c r="A29" s="14"/>
      <c r="B29" s="14"/>
      <c r="C29" s="14" t="s">
        <v>56</v>
      </c>
      <c r="D29" s="15">
        <v>60</v>
      </c>
      <c r="E29" s="16">
        <v>0</v>
      </c>
      <c r="F29" s="17">
        <f t="shared" si="0"/>
        <v>60</v>
      </c>
      <c r="G29" s="41" t="s">
        <v>75</v>
      </c>
      <c r="H29" s="42">
        <v>0.9322</v>
      </c>
      <c r="I29" s="19">
        <v>1.2964</v>
      </c>
      <c r="J29" s="46">
        <f>LOG(4.2031)</f>
        <v>0.6235697228466339</v>
      </c>
      <c r="K29" s="54"/>
      <c r="L29" s="24"/>
    </row>
    <row r="30" spans="1:12" s="5" customFormat="1" ht="25.5">
      <c r="A30" s="14">
        <f>+A28+1</f>
        <v>14</v>
      </c>
      <c r="B30" s="21" t="s">
        <v>16</v>
      </c>
      <c r="C30" s="14">
        <v>2001</v>
      </c>
      <c r="D30" s="22">
        <v>36</v>
      </c>
      <c r="E30" s="16">
        <v>0</v>
      </c>
      <c r="F30" s="17">
        <f t="shared" si="0"/>
        <v>36</v>
      </c>
      <c r="G30" s="21" t="s">
        <v>76</v>
      </c>
      <c r="H30" s="23">
        <v>0.8928</v>
      </c>
      <c r="I30" s="19">
        <v>1.5245</v>
      </c>
      <c r="J30" s="46">
        <f>LOG(0.9353)</f>
        <v>-0.029049065654575875</v>
      </c>
      <c r="K30" s="54">
        <v>8985</v>
      </c>
      <c r="L30" s="20"/>
    </row>
    <row r="31" spans="1:12" s="5" customFormat="1" ht="25.5">
      <c r="A31" s="14"/>
      <c r="B31" s="14"/>
      <c r="C31" s="14" t="s">
        <v>58</v>
      </c>
      <c r="D31" s="15">
        <v>138</v>
      </c>
      <c r="E31" s="16">
        <v>0</v>
      </c>
      <c r="F31" s="17">
        <f t="shared" si="0"/>
        <v>138</v>
      </c>
      <c r="G31" s="14" t="s">
        <v>77</v>
      </c>
      <c r="H31" s="18">
        <v>0.9386</v>
      </c>
      <c r="I31" s="19">
        <v>1.4688</v>
      </c>
      <c r="J31" s="46">
        <f>LOG(1.339)</f>
        <v>0.12678057701200895</v>
      </c>
      <c r="K31" s="54"/>
      <c r="L31" s="20"/>
    </row>
    <row r="32" spans="1:12" s="5" customFormat="1" ht="25.5">
      <c r="A32" s="14">
        <f>+A30+1</f>
        <v>15</v>
      </c>
      <c r="B32" s="21" t="s">
        <v>26</v>
      </c>
      <c r="C32" s="14">
        <v>2001</v>
      </c>
      <c r="D32" s="22">
        <v>36</v>
      </c>
      <c r="E32" s="16">
        <v>0</v>
      </c>
      <c r="F32" s="17">
        <f t="shared" si="0"/>
        <v>36</v>
      </c>
      <c r="G32" s="21" t="s">
        <v>78</v>
      </c>
      <c r="H32" s="23">
        <v>0.9524</v>
      </c>
      <c r="I32" s="19">
        <v>1.469</v>
      </c>
      <c r="J32" s="46">
        <f>LOG(3.3527)</f>
        <v>0.5253946944447743</v>
      </c>
      <c r="K32" s="54">
        <v>1388</v>
      </c>
      <c r="L32" s="20"/>
    </row>
    <row r="33" spans="1:12" s="5" customFormat="1" ht="25.5">
      <c r="A33" s="26"/>
      <c r="B33" s="26"/>
      <c r="C33" s="26" t="s">
        <v>56</v>
      </c>
      <c r="D33" s="27">
        <v>63</v>
      </c>
      <c r="E33" s="28">
        <v>0</v>
      </c>
      <c r="F33" s="29">
        <f t="shared" si="0"/>
        <v>63</v>
      </c>
      <c r="G33" s="26" t="s">
        <v>79</v>
      </c>
      <c r="H33" s="30">
        <v>0.9495</v>
      </c>
      <c r="I33" s="31">
        <v>1.4507</v>
      </c>
      <c r="J33" s="47">
        <f>LOG(3.2011)</f>
        <v>0.5052992413949388</v>
      </c>
      <c r="K33" s="76"/>
      <c r="L33" s="32"/>
    </row>
    <row r="34" spans="1:12" s="5" customFormat="1" ht="25.5">
      <c r="A34" s="43">
        <f>+A32+1</f>
        <v>16</v>
      </c>
      <c r="B34" s="44" t="s">
        <v>17</v>
      </c>
      <c r="C34" s="43">
        <v>2001</v>
      </c>
      <c r="D34" s="68">
        <v>36</v>
      </c>
      <c r="E34" s="69">
        <v>0</v>
      </c>
      <c r="F34" s="70">
        <f t="shared" si="0"/>
        <v>36</v>
      </c>
      <c r="G34" s="44" t="s">
        <v>81</v>
      </c>
      <c r="H34" s="71">
        <v>0.898</v>
      </c>
      <c r="I34" s="72">
        <v>1.5457</v>
      </c>
      <c r="J34" s="73">
        <f>LOG(3.1038)</f>
        <v>0.4918937287927262</v>
      </c>
      <c r="K34" s="74">
        <v>619</v>
      </c>
      <c r="L34" s="75"/>
    </row>
    <row r="35" spans="1:12" s="5" customFormat="1" ht="25.5">
      <c r="A35" s="14"/>
      <c r="B35" s="14"/>
      <c r="C35" s="14" t="s">
        <v>80</v>
      </c>
      <c r="D35" s="15">
        <v>176</v>
      </c>
      <c r="E35" s="16">
        <v>0</v>
      </c>
      <c r="F35" s="17">
        <f t="shared" si="0"/>
        <v>176</v>
      </c>
      <c r="G35" s="14" t="s">
        <v>82</v>
      </c>
      <c r="H35" s="18">
        <v>0.8715</v>
      </c>
      <c r="I35" s="19">
        <v>1.4082</v>
      </c>
      <c r="J35" s="46">
        <f>LOG(3.3103)</f>
        <v>0.5198673540296831</v>
      </c>
      <c r="K35" s="54"/>
      <c r="L35" s="20"/>
    </row>
    <row r="36" spans="1:12" s="5" customFormat="1" ht="25.5">
      <c r="A36" s="14">
        <f>+A34+1</f>
        <v>17</v>
      </c>
      <c r="B36" s="21" t="s">
        <v>27</v>
      </c>
      <c r="C36" s="14">
        <v>2001</v>
      </c>
      <c r="D36" s="22">
        <v>36</v>
      </c>
      <c r="E36" s="16">
        <v>0</v>
      </c>
      <c r="F36" s="17">
        <f t="shared" si="0"/>
        <v>36</v>
      </c>
      <c r="G36" s="21" t="s">
        <v>83</v>
      </c>
      <c r="H36" s="23">
        <v>0.9614</v>
      </c>
      <c r="I36" s="19">
        <v>1.3272</v>
      </c>
      <c r="J36" s="46">
        <f>LOG(3.4923)</f>
        <v>0.5431115439534385</v>
      </c>
      <c r="K36" s="54">
        <v>1065</v>
      </c>
      <c r="L36" s="20"/>
    </row>
    <row r="37" spans="1:12" s="5" customFormat="1" ht="25.5">
      <c r="A37" s="14"/>
      <c r="B37" s="14"/>
      <c r="C37" s="14" t="s">
        <v>80</v>
      </c>
      <c r="D37" s="15">
        <v>175</v>
      </c>
      <c r="E37" s="16">
        <v>0</v>
      </c>
      <c r="F37" s="17">
        <f t="shared" si="0"/>
        <v>175</v>
      </c>
      <c r="G37" s="14" t="s">
        <v>84</v>
      </c>
      <c r="H37" s="18">
        <v>0.9373</v>
      </c>
      <c r="I37" s="19">
        <v>1.3382</v>
      </c>
      <c r="J37" s="46">
        <f>LOG(3.8978)</f>
        <v>0.5908195512708918</v>
      </c>
      <c r="K37" s="54"/>
      <c r="L37" s="20"/>
    </row>
    <row r="38" spans="1:12" s="5" customFormat="1" ht="25.5">
      <c r="A38" s="14">
        <f>+A36+1</f>
        <v>18</v>
      </c>
      <c r="B38" s="21" t="s">
        <v>18</v>
      </c>
      <c r="C38" s="14">
        <v>2001</v>
      </c>
      <c r="D38" s="22">
        <v>36</v>
      </c>
      <c r="E38" s="16">
        <v>0</v>
      </c>
      <c r="F38" s="17">
        <f t="shared" si="0"/>
        <v>36</v>
      </c>
      <c r="G38" s="21" t="s">
        <v>86</v>
      </c>
      <c r="H38" s="23">
        <v>0.9189</v>
      </c>
      <c r="I38" s="19">
        <v>1.3349</v>
      </c>
      <c r="J38" s="46">
        <f>LOG(3.7169)</f>
        <v>0.5701808769331214</v>
      </c>
      <c r="K38" s="54">
        <v>3415</v>
      </c>
      <c r="L38" s="25"/>
    </row>
    <row r="39" spans="1:12" s="5" customFormat="1" ht="25.5">
      <c r="A39" s="14"/>
      <c r="B39" s="14"/>
      <c r="C39" s="14" t="s">
        <v>85</v>
      </c>
      <c r="D39" s="15">
        <v>96</v>
      </c>
      <c r="E39" s="16">
        <v>0</v>
      </c>
      <c r="F39" s="17">
        <f t="shared" si="0"/>
        <v>96</v>
      </c>
      <c r="G39" s="14" t="s">
        <v>87</v>
      </c>
      <c r="H39" s="18">
        <v>0.9161</v>
      </c>
      <c r="I39" s="19">
        <v>1.3286</v>
      </c>
      <c r="J39" s="46">
        <f>LOG(3.9366)</f>
        <v>0.5951212881409431</v>
      </c>
      <c r="K39" s="54"/>
      <c r="L39" s="20"/>
    </row>
    <row r="40" spans="1:12" s="5" customFormat="1" ht="25.5">
      <c r="A40" s="14">
        <f>+A38+1</f>
        <v>19</v>
      </c>
      <c r="B40" s="21" t="s">
        <v>19</v>
      </c>
      <c r="C40" s="14">
        <v>2001</v>
      </c>
      <c r="D40" s="22">
        <v>42</v>
      </c>
      <c r="E40" s="16">
        <v>0</v>
      </c>
      <c r="F40" s="17">
        <f t="shared" si="0"/>
        <v>42</v>
      </c>
      <c r="G40" s="21" t="s">
        <v>88</v>
      </c>
      <c r="H40" s="23">
        <v>0.9356</v>
      </c>
      <c r="I40" s="19">
        <v>1.4792</v>
      </c>
      <c r="J40" s="46">
        <f>LOG(1.8967)</f>
        <v>0.2779986442002884</v>
      </c>
      <c r="K40" s="54">
        <v>7624</v>
      </c>
      <c r="L40" s="20"/>
    </row>
    <row r="41" spans="1:12" s="5" customFormat="1" ht="25.5">
      <c r="A41" s="14"/>
      <c r="B41" s="14"/>
      <c r="C41" s="14" t="s">
        <v>58</v>
      </c>
      <c r="D41" s="15">
        <v>123</v>
      </c>
      <c r="E41" s="16">
        <v>0</v>
      </c>
      <c r="F41" s="17">
        <f t="shared" si="0"/>
        <v>123</v>
      </c>
      <c r="G41" s="14" t="s">
        <v>89</v>
      </c>
      <c r="H41" s="18">
        <v>0.929</v>
      </c>
      <c r="I41" s="19">
        <v>1.4138</v>
      </c>
      <c r="J41" s="46">
        <f>LOG(2.5085)</f>
        <v>0.3994141053637703</v>
      </c>
      <c r="K41" s="54"/>
      <c r="L41" s="20"/>
    </row>
    <row r="42" spans="1:12" s="5" customFormat="1" ht="25.5">
      <c r="A42" s="14">
        <f>+A40+1</f>
        <v>20</v>
      </c>
      <c r="B42" s="21" t="s">
        <v>20</v>
      </c>
      <c r="C42" s="14">
        <v>2001</v>
      </c>
      <c r="D42" s="22">
        <v>43</v>
      </c>
      <c r="E42" s="16">
        <v>0</v>
      </c>
      <c r="F42" s="17">
        <f t="shared" si="0"/>
        <v>43</v>
      </c>
      <c r="G42" s="21" t="s">
        <v>90</v>
      </c>
      <c r="H42" s="23">
        <v>0.9535</v>
      </c>
      <c r="I42" s="19">
        <v>1.5102</v>
      </c>
      <c r="J42" s="46">
        <f>LOG(3.6995)</f>
        <v>0.5681430316577019</v>
      </c>
      <c r="K42" s="54">
        <v>597</v>
      </c>
      <c r="L42" s="20"/>
    </row>
    <row r="43" spans="1:12" s="5" customFormat="1" ht="25.5">
      <c r="A43" s="14"/>
      <c r="B43" s="14"/>
      <c r="C43" s="14" t="s">
        <v>58</v>
      </c>
      <c r="D43" s="15">
        <v>139</v>
      </c>
      <c r="E43" s="16">
        <v>0</v>
      </c>
      <c r="F43" s="17">
        <f t="shared" si="0"/>
        <v>139</v>
      </c>
      <c r="G43" s="14" t="s">
        <v>91</v>
      </c>
      <c r="H43" s="18">
        <v>0.9374</v>
      </c>
      <c r="I43" s="19">
        <v>1.3993</v>
      </c>
      <c r="J43" s="46">
        <f>LOG(4.7627)</f>
        <v>0.6778532263892133</v>
      </c>
      <c r="K43" s="54"/>
      <c r="L43" s="20"/>
    </row>
    <row r="44" spans="1:12" s="5" customFormat="1" ht="25.5">
      <c r="A44" s="14">
        <f>+A42+1</f>
        <v>21</v>
      </c>
      <c r="B44" s="21" t="s">
        <v>92</v>
      </c>
      <c r="C44" s="14">
        <v>2001</v>
      </c>
      <c r="D44" s="22">
        <v>36</v>
      </c>
      <c r="E44" s="16">
        <v>0</v>
      </c>
      <c r="F44" s="17">
        <f>E44+D44</f>
        <v>36</v>
      </c>
      <c r="G44" s="21" t="s">
        <v>93</v>
      </c>
      <c r="H44" s="23">
        <v>0.873</v>
      </c>
      <c r="I44" s="19">
        <v>1.0126</v>
      </c>
      <c r="J44" s="46">
        <f>LOG(5.0403)</f>
        <v>0.702456386538203</v>
      </c>
      <c r="K44" s="54">
        <v>96</v>
      </c>
      <c r="L44" s="20"/>
    </row>
    <row r="45" spans="1:12" s="5" customFormat="1" ht="25.5">
      <c r="A45" s="14"/>
      <c r="B45" s="14"/>
      <c r="C45" s="14">
        <v>2001</v>
      </c>
      <c r="D45" s="15">
        <v>36</v>
      </c>
      <c r="E45" s="16">
        <v>0</v>
      </c>
      <c r="F45" s="17">
        <f>E45+D45</f>
        <v>36</v>
      </c>
      <c r="G45" s="14" t="s">
        <v>94</v>
      </c>
      <c r="H45" s="18">
        <v>0.873</v>
      </c>
      <c r="I45" s="19">
        <v>1.0126</v>
      </c>
      <c r="J45" s="46">
        <f>LOG(5.0403)</f>
        <v>0.702456386538203</v>
      </c>
      <c r="K45" s="54"/>
      <c r="L45" s="20"/>
    </row>
    <row r="46" spans="1:12" s="5" customFormat="1" ht="25.5">
      <c r="A46" s="14">
        <f>+A44+1</f>
        <v>22</v>
      </c>
      <c r="B46" s="21" t="s">
        <v>21</v>
      </c>
      <c r="C46" s="14">
        <v>2001</v>
      </c>
      <c r="D46" s="22">
        <v>36</v>
      </c>
      <c r="E46" s="16">
        <v>0</v>
      </c>
      <c r="F46" s="17">
        <f t="shared" si="0"/>
        <v>36</v>
      </c>
      <c r="G46" s="21" t="s">
        <v>95</v>
      </c>
      <c r="H46" s="23">
        <v>0.8624</v>
      </c>
      <c r="I46" s="19">
        <v>1.2358</v>
      </c>
      <c r="J46" s="46">
        <f>LOG(4.117)</f>
        <v>0.614580866997486</v>
      </c>
      <c r="K46" s="54">
        <v>331</v>
      </c>
      <c r="L46" s="24"/>
    </row>
    <row r="47" spans="1:12" s="5" customFormat="1" ht="25.5">
      <c r="A47" s="14"/>
      <c r="B47" s="14"/>
      <c r="C47" s="14" t="s">
        <v>58</v>
      </c>
      <c r="D47" s="15">
        <v>99</v>
      </c>
      <c r="E47" s="16">
        <v>0</v>
      </c>
      <c r="F47" s="17">
        <f t="shared" si="0"/>
        <v>99</v>
      </c>
      <c r="G47" s="14" t="s">
        <v>96</v>
      </c>
      <c r="H47" s="18">
        <v>0.8816</v>
      </c>
      <c r="I47" s="19">
        <v>1.2815</v>
      </c>
      <c r="J47" s="46">
        <f>LOG(4.0716)</f>
        <v>0.6097651056927426</v>
      </c>
      <c r="K47" s="54"/>
      <c r="L47" s="24"/>
    </row>
    <row r="48" spans="1:12" s="5" customFormat="1" ht="25.5">
      <c r="A48" s="14">
        <f>+A46+1</f>
        <v>23</v>
      </c>
      <c r="B48" s="21" t="s">
        <v>28</v>
      </c>
      <c r="C48" s="14">
        <v>2001</v>
      </c>
      <c r="D48" s="22">
        <v>47</v>
      </c>
      <c r="E48" s="16">
        <v>0</v>
      </c>
      <c r="F48" s="17">
        <f t="shared" si="0"/>
        <v>47</v>
      </c>
      <c r="G48" s="21" t="s">
        <v>97</v>
      </c>
      <c r="H48" s="23">
        <v>0.9401</v>
      </c>
      <c r="I48" s="19">
        <v>1.651</v>
      </c>
      <c r="J48" s="46">
        <f>LOG(1.376)</f>
        <v>0.13861843389949247</v>
      </c>
      <c r="K48" s="54">
        <v>822</v>
      </c>
      <c r="L48" s="20"/>
    </row>
    <row r="49" spans="1:12" s="5" customFormat="1" ht="25.5">
      <c r="A49" s="14"/>
      <c r="B49" s="14"/>
      <c r="C49" s="14" t="s">
        <v>56</v>
      </c>
      <c r="D49" s="15">
        <v>79</v>
      </c>
      <c r="E49" s="16">
        <v>0</v>
      </c>
      <c r="F49" s="17">
        <f t="shared" si="0"/>
        <v>79</v>
      </c>
      <c r="G49" s="14" t="s">
        <v>98</v>
      </c>
      <c r="H49" s="18">
        <v>0.9317</v>
      </c>
      <c r="I49" s="19">
        <v>1.601</v>
      </c>
      <c r="J49" s="46">
        <f>LOG(1.5368)</f>
        <v>0.18661735185363723</v>
      </c>
      <c r="K49" s="54"/>
      <c r="L49" s="20"/>
    </row>
    <row r="50" spans="1:12" s="5" customFormat="1" ht="25.5">
      <c r="A50" s="14">
        <f>+A48+1</f>
        <v>24</v>
      </c>
      <c r="B50" s="21" t="s">
        <v>29</v>
      </c>
      <c r="C50" s="14">
        <v>2001</v>
      </c>
      <c r="D50" s="22">
        <v>27</v>
      </c>
      <c r="E50" s="16">
        <v>0</v>
      </c>
      <c r="F50" s="17">
        <f t="shared" si="0"/>
        <v>27</v>
      </c>
      <c r="G50" s="21" t="s">
        <v>109</v>
      </c>
      <c r="H50" s="23">
        <v>0.899</v>
      </c>
      <c r="I50" s="19">
        <v>1.6675</v>
      </c>
      <c r="J50" s="46">
        <f>LOG(0.2458)</f>
        <v>-0.6094181214495648</v>
      </c>
      <c r="K50" s="54">
        <v>8784</v>
      </c>
      <c r="L50" s="24"/>
    </row>
    <row r="51" spans="1:12" s="5" customFormat="1" ht="25.5">
      <c r="A51" s="14"/>
      <c r="B51" s="14"/>
      <c r="C51" s="14" t="s">
        <v>105</v>
      </c>
      <c r="D51" s="15">
        <v>225</v>
      </c>
      <c r="E51" s="16">
        <v>0</v>
      </c>
      <c r="F51" s="17">
        <f t="shared" si="0"/>
        <v>225</v>
      </c>
      <c r="G51" s="14" t="s">
        <v>110</v>
      </c>
      <c r="H51" s="18">
        <v>0.9069</v>
      </c>
      <c r="I51" s="19">
        <v>1.6016</v>
      </c>
      <c r="J51" s="46">
        <f>LOG(0.3908)</f>
        <v>-0.40804544495326456</v>
      </c>
      <c r="K51" s="54"/>
      <c r="L51" s="24"/>
    </row>
    <row r="52" spans="1:12" s="5" customFormat="1" ht="25.5">
      <c r="A52" s="14">
        <f>+A50+1</f>
        <v>25</v>
      </c>
      <c r="B52" s="21" t="s">
        <v>30</v>
      </c>
      <c r="C52" s="14">
        <v>2001</v>
      </c>
      <c r="D52" s="22">
        <v>33</v>
      </c>
      <c r="E52" s="16">
        <v>0</v>
      </c>
      <c r="F52" s="17">
        <f t="shared" si="0"/>
        <v>33</v>
      </c>
      <c r="G52" s="21" t="s">
        <v>111</v>
      </c>
      <c r="H52" s="23">
        <v>0.6951</v>
      </c>
      <c r="I52" s="19">
        <v>1.5975</v>
      </c>
      <c r="J52" s="46">
        <f>LOG(0.7133)</f>
        <v>-0.14672777597931674</v>
      </c>
      <c r="K52" s="54">
        <v>2107</v>
      </c>
      <c r="L52" s="20"/>
    </row>
    <row r="53" spans="1:12" s="5" customFormat="1" ht="25.5">
      <c r="A53" s="14"/>
      <c r="B53" s="14"/>
      <c r="C53" s="14" t="s">
        <v>58</v>
      </c>
      <c r="D53" s="15">
        <v>142</v>
      </c>
      <c r="E53" s="16">
        <v>0</v>
      </c>
      <c r="F53" s="17">
        <f t="shared" si="0"/>
        <v>142</v>
      </c>
      <c r="G53" s="14" t="s">
        <v>112</v>
      </c>
      <c r="H53" s="18">
        <v>0.8196</v>
      </c>
      <c r="I53" s="19">
        <v>1.8185</v>
      </c>
      <c r="J53" s="46">
        <f>LOG(0.3414)</f>
        <v>-0.4667364832212852</v>
      </c>
      <c r="K53" s="55"/>
      <c r="L53" s="20"/>
    </row>
    <row r="54" spans="1:12" s="5" customFormat="1" ht="25.5">
      <c r="A54" s="14">
        <f>+A52+1</f>
        <v>26</v>
      </c>
      <c r="B54" s="21" t="s">
        <v>31</v>
      </c>
      <c r="C54" s="14">
        <v>2001</v>
      </c>
      <c r="D54" s="22">
        <v>27</v>
      </c>
      <c r="E54" s="16">
        <v>0</v>
      </c>
      <c r="F54" s="17">
        <f aca="true" t="shared" si="2" ref="F54:F59">E54+D54</f>
        <v>27</v>
      </c>
      <c r="G54" s="21" t="s">
        <v>113</v>
      </c>
      <c r="H54" s="23">
        <v>0.7433</v>
      </c>
      <c r="I54" s="19">
        <v>1.1922</v>
      </c>
      <c r="J54" s="46">
        <f>LOG(1.7507)</f>
        <v>0.24321173174475935</v>
      </c>
      <c r="K54" s="54">
        <v>155</v>
      </c>
      <c r="L54" s="20"/>
    </row>
    <row r="55" spans="1:12" s="5" customFormat="1" ht="25.5">
      <c r="A55" s="14"/>
      <c r="B55" s="14"/>
      <c r="C55" s="14" t="s">
        <v>56</v>
      </c>
      <c r="D55" s="15">
        <v>59</v>
      </c>
      <c r="E55" s="16">
        <v>0</v>
      </c>
      <c r="F55" s="17">
        <f t="shared" si="2"/>
        <v>59</v>
      </c>
      <c r="G55" s="41" t="s">
        <v>114</v>
      </c>
      <c r="H55" s="18">
        <v>0.7756</v>
      </c>
      <c r="I55" s="19">
        <v>1.1121</v>
      </c>
      <c r="J55" s="46">
        <f>LOG(2.4095)</f>
        <v>0.38192693063722727</v>
      </c>
      <c r="K55" s="55"/>
      <c r="L55" s="20"/>
    </row>
    <row r="56" spans="1:12" s="5" customFormat="1" ht="25.5">
      <c r="A56" s="14">
        <f>+A54+1</f>
        <v>27</v>
      </c>
      <c r="B56" s="21" t="s">
        <v>32</v>
      </c>
      <c r="C56" s="14">
        <v>2001</v>
      </c>
      <c r="D56" s="22">
        <v>27</v>
      </c>
      <c r="E56" s="16">
        <v>0</v>
      </c>
      <c r="F56" s="17">
        <f t="shared" si="2"/>
        <v>27</v>
      </c>
      <c r="G56" s="21" t="s">
        <v>115</v>
      </c>
      <c r="H56" s="23">
        <v>0.8743</v>
      </c>
      <c r="I56" s="19">
        <v>1.603</v>
      </c>
      <c r="J56" s="46">
        <f>LOG(4.5027)</f>
        <v>0.653473012322734</v>
      </c>
      <c r="K56" s="54">
        <v>788</v>
      </c>
      <c r="L56" s="20"/>
    </row>
    <row r="57" spans="1:12" s="5" customFormat="1" ht="25.5">
      <c r="A57" s="14"/>
      <c r="B57" s="14"/>
      <c r="C57" s="14" t="s">
        <v>58</v>
      </c>
      <c r="D57" s="15">
        <v>132</v>
      </c>
      <c r="E57" s="16">
        <v>0</v>
      </c>
      <c r="F57" s="17">
        <f t="shared" si="2"/>
        <v>132</v>
      </c>
      <c r="G57" s="14" t="s">
        <v>116</v>
      </c>
      <c r="H57" s="18">
        <v>0.8959</v>
      </c>
      <c r="I57" s="19">
        <v>1.5548</v>
      </c>
      <c r="J57" s="46">
        <f>LOG(5.2898)</f>
        <v>0.7234392522736797</v>
      </c>
      <c r="K57" s="55"/>
      <c r="L57" s="20"/>
    </row>
    <row r="58" spans="1:12" s="5" customFormat="1" ht="25.5">
      <c r="A58" s="14">
        <f>+A56+1</f>
        <v>28</v>
      </c>
      <c r="B58" s="21" t="s">
        <v>33</v>
      </c>
      <c r="C58" s="14">
        <v>2001</v>
      </c>
      <c r="D58" s="22">
        <v>27</v>
      </c>
      <c r="E58" s="16">
        <v>0</v>
      </c>
      <c r="F58" s="17">
        <f t="shared" si="2"/>
        <v>27</v>
      </c>
      <c r="G58" s="21" t="s">
        <v>117</v>
      </c>
      <c r="H58" s="23">
        <v>0.8094</v>
      </c>
      <c r="I58" s="19">
        <v>1.3182</v>
      </c>
      <c r="J58" s="46">
        <f>LOG(2.1651)</f>
        <v>0.3354779600174358</v>
      </c>
      <c r="K58" s="54">
        <v>615</v>
      </c>
      <c r="L58" s="20"/>
    </row>
    <row r="59" spans="1:12" s="5" customFormat="1" ht="25.5">
      <c r="A59" s="14"/>
      <c r="B59" s="14"/>
      <c r="C59" s="14" t="s">
        <v>58</v>
      </c>
      <c r="D59" s="15">
        <v>130</v>
      </c>
      <c r="E59" s="16">
        <v>0</v>
      </c>
      <c r="F59" s="17">
        <f t="shared" si="2"/>
        <v>130</v>
      </c>
      <c r="G59" s="14" t="s">
        <v>118</v>
      </c>
      <c r="H59" s="18">
        <v>0.8709</v>
      </c>
      <c r="I59" s="19">
        <v>1.5622</v>
      </c>
      <c r="J59" s="46">
        <f>LOG(1.2793)</f>
        <v>0.10697239988667348</v>
      </c>
      <c r="K59" s="55"/>
      <c r="L59" s="20"/>
    </row>
    <row r="60" spans="1:12" s="5" customFormat="1" ht="25.5">
      <c r="A60" s="14">
        <f>+A58+1</f>
        <v>29</v>
      </c>
      <c r="B60" s="21" t="s">
        <v>34</v>
      </c>
      <c r="C60" s="14">
        <v>2001</v>
      </c>
      <c r="D60" s="22">
        <v>36</v>
      </c>
      <c r="E60" s="16">
        <v>0</v>
      </c>
      <c r="F60" s="17">
        <f aca="true" t="shared" si="3" ref="F60:F65">E60+D60</f>
        <v>36</v>
      </c>
      <c r="G60" s="21" t="s">
        <v>99</v>
      </c>
      <c r="H60" s="23">
        <v>0.9117</v>
      </c>
      <c r="I60" s="19">
        <v>1.3167</v>
      </c>
      <c r="J60" s="46">
        <f>LOG(7.5695)</f>
        <v>0.8790671933161128</v>
      </c>
      <c r="K60" s="54">
        <v>2934</v>
      </c>
      <c r="L60" s="20"/>
    </row>
    <row r="61" spans="1:12" s="5" customFormat="1" ht="25.5">
      <c r="A61" s="14"/>
      <c r="B61" s="14"/>
      <c r="C61" s="14" t="s">
        <v>58</v>
      </c>
      <c r="D61" s="15">
        <v>134</v>
      </c>
      <c r="E61" s="16">
        <v>0</v>
      </c>
      <c r="F61" s="17">
        <f t="shared" si="3"/>
        <v>134</v>
      </c>
      <c r="G61" s="14" t="s">
        <v>100</v>
      </c>
      <c r="H61" s="18">
        <v>0.9356</v>
      </c>
      <c r="I61" s="19">
        <v>1.4235</v>
      </c>
      <c r="J61" s="46">
        <f>LOG(4.9161)</f>
        <v>0.6916207084305436</v>
      </c>
      <c r="K61" s="55"/>
      <c r="L61" s="20"/>
    </row>
    <row r="62" spans="1:12" s="5" customFormat="1" ht="25.5">
      <c r="A62" s="14">
        <f>+A60+1</f>
        <v>30</v>
      </c>
      <c r="B62" s="21" t="s">
        <v>35</v>
      </c>
      <c r="C62" s="14">
        <v>2001</v>
      </c>
      <c r="D62" s="22">
        <v>36</v>
      </c>
      <c r="E62" s="16">
        <v>0</v>
      </c>
      <c r="F62" s="17">
        <f t="shared" si="3"/>
        <v>36</v>
      </c>
      <c r="G62" s="21" t="s">
        <v>101</v>
      </c>
      <c r="H62" s="23">
        <v>0.8307</v>
      </c>
      <c r="I62" s="19">
        <v>1.398</v>
      </c>
      <c r="J62" s="46">
        <f>LOG(5.2824)</f>
        <v>0.722831284264954</v>
      </c>
      <c r="K62" s="54">
        <v>644</v>
      </c>
      <c r="L62" s="20"/>
    </row>
    <row r="63" spans="1:12" s="5" customFormat="1" ht="25.5">
      <c r="A63" s="26"/>
      <c r="B63" s="26"/>
      <c r="C63" s="26" t="s">
        <v>58</v>
      </c>
      <c r="D63" s="27">
        <v>130</v>
      </c>
      <c r="E63" s="28">
        <v>0</v>
      </c>
      <c r="F63" s="29">
        <f t="shared" si="3"/>
        <v>130</v>
      </c>
      <c r="G63" s="26" t="s">
        <v>102</v>
      </c>
      <c r="H63" s="30">
        <v>0.7617</v>
      </c>
      <c r="I63" s="31">
        <v>1.5006</v>
      </c>
      <c r="J63" s="47">
        <f>LOG(5.4061)</f>
        <v>0.7328840748526284</v>
      </c>
      <c r="K63" s="77"/>
      <c r="L63" s="32"/>
    </row>
    <row r="64" spans="1:12" s="5" customFormat="1" ht="25.5">
      <c r="A64" s="6">
        <f>+A62+1</f>
        <v>31</v>
      </c>
      <c r="B64" s="44" t="s">
        <v>36</v>
      </c>
      <c r="C64" s="43">
        <v>2001</v>
      </c>
      <c r="D64" s="68">
        <v>36</v>
      </c>
      <c r="E64" s="69">
        <v>0</v>
      </c>
      <c r="F64" s="70">
        <f t="shared" si="3"/>
        <v>36</v>
      </c>
      <c r="G64" s="44" t="s">
        <v>103</v>
      </c>
      <c r="H64" s="71">
        <v>0.8851</v>
      </c>
      <c r="I64" s="72">
        <v>1.4977</v>
      </c>
      <c r="J64" s="73">
        <f>LOG(5.9372)</f>
        <v>0.773581678778409</v>
      </c>
      <c r="K64" s="74">
        <v>255</v>
      </c>
      <c r="L64" s="75"/>
    </row>
    <row r="65" spans="1:12" s="5" customFormat="1" ht="25.5">
      <c r="A65" s="14"/>
      <c r="B65" s="14"/>
      <c r="C65" s="14" t="s">
        <v>58</v>
      </c>
      <c r="D65" s="15">
        <v>131</v>
      </c>
      <c r="E65" s="16">
        <v>0</v>
      </c>
      <c r="F65" s="17">
        <f t="shared" si="3"/>
        <v>131</v>
      </c>
      <c r="G65" s="14" t="s">
        <v>104</v>
      </c>
      <c r="H65" s="18">
        <v>0.8288</v>
      </c>
      <c r="I65" s="19">
        <v>1.5637</v>
      </c>
      <c r="J65" s="46">
        <f>LOG(6.9584)</f>
        <v>0.8425093903212607</v>
      </c>
      <c r="K65" s="55"/>
      <c r="L65" s="20"/>
    </row>
    <row r="66" spans="1:12" s="5" customFormat="1" ht="25.5">
      <c r="A66" s="14">
        <f>+A64+1</f>
        <v>32</v>
      </c>
      <c r="B66" s="21" t="s">
        <v>37</v>
      </c>
      <c r="C66" s="14">
        <v>2001</v>
      </c>
      <c r="D66" s="22">
        <v>36</v>
      </c>
      <c r="E66" s="16">
        <v>0</v>
      </c>
      <c r="F66" s="17">
        <f>E66+D66</f>
        <v>36</v>
      </c>
      <c r="G66" s="21" t="s">
        <v>106</v>
      </c>
      <c r="H66" s="23">
        <v>0.9321</v>
      </c>
      <c r="I66" s="19">
        <v>1.0823</v>
      </c>
      <c r="J66" s="46">
        <f>LOG(5.93)</f>
        <v>0.7730546933642626</v>
      </c>
      <c r="K66" s="54">
        <v>6155</v>
      </c>
      <c r="L66" s="20"/>
    </row>
    <row r="67" spans="1:12" s="5" customFormat="1" ht="25.5">
      <c r="A67" s="14"/>
      <c r="B67" s="66"/>
      <c r="C67" s="66" t="s">
        <v>105</v>
      </c>
      <c r="D67" s="67">
        <v>231</v>
      </c>
      <c r="E67" s="78">
        <v>0</v>
      </c>
      <c r="F67" s="79">
        <f>E67+D67</f>
        <v>231</v>
      </c>
      <c r="G67" s="66" t="s">
        <v>107</v>
      </c>
      <c r="H67" s="80">
        <v>0.9164</v>
      </c>
      <c r="I67" s="81">
        <v>1.1365</v>
      </c>
      <c r="J67" s="82">
        <f>LOG(5.2051)</f>
        <v>0.716429077560485</v>
      </c>
      <c r="K67" s="66"/>
      <c r="L67" s="83"/>
    </row>
    <row r="68" spans="1:12" s="5" customFormat="1" ht="23.25">
      <c r="A68" s="14"/>
      <c r="B68" s="14"/>
      <c r="C68" s="14"/>
      <c r="D68" s="15"/>
      <c r="E68" s="16"/>
      <c r="F68" s="17"/>
      <c r="G68" s="14"/>
      <c r="H68" s="18"/>
      <c r="I68" s="19"/>
      <c r="J68" s="46"/>
      <c r="K68" s="14"/>
      <c r="L68" s="20"/>
    </row>
    <row r="69" spans="1:12" s="5" customFormat="1" ht="23.25">
      <c r="A69" s="14"/>
      <c r="B69" s="14"/>
      <c r="C69" s="14"/>
      <c r="D69" s="15"/>
      <c r="E69" s="16"/>
      <c r="F69" s="17"/>
      <c r="G69" s="14"/>
      <c r="H69" s="18"/>
      <c r="I69" s="19"/>
      <c r="J69" s="46"/>
      <c r="K69" s="14"/>
      <c r="L69" s="20"/>
    </row>
    <row r="70" spans="1:12" s="5" customFormat="1" ht="23.25">
      <c r="A70" s="14"/>
      <c r="B70" s="14"/>
      <c r="C70" s="14"/>
      <c r="D70" s="15"/>
      <c r="E70" s="16"/>
      <c r="F70" s="17"/>
      <c r="G70" s="14"/>
      <c r="H70" s="18"/>
      <c r="I70" s="19"/>
      <c r="J70" s="46"/>
      <c r="K70" s="14"/>
      <c r="L70" s="20"/>
    </row>
    <row r="71" spans="1:12" s="5" customFormat="1" ht="23.25">
      <c r="A71" s="14"/>
      <c r="B71" s="14"/>
      <c r="C71" s="14"/>
      <c r="D71" s="15"/>
      <c r="E71" s="16"/>
      <c r="F71" s="17"/>
      <c r="G71" s="14"/>
      <c r="H71" s="18"/>
      <c r="I71" s="19"/>
      <c r="J71" s="46"/>
      <c r="K71" s="14"/>
      <c r="L71" s="20"/>
    </row>
    <row r="72" spans="1:12" s="5" customFormat="1" ht="23.25">
      <c r="A72" s="14"/>
      <c r="B72" s="14"/>
      <c r="C72" s="14"/>
      <c r="D72" s="15"/>
      <c r="E72" s="16"/>
      <c r="F72" s="17"/>
      <c r="G72" s="14"/>
      <c r="H72" s="18"/>
      <c r="I72" s="19"/>
      <c r="J72" s="46"/>
      <c r="K72" s="14"/>
      <c r="L72" s="20"/>
    </row>
    <row r="73" spans="1:12" s="5" customFormat="1" ht="23.25">
      <c r="A73" s="14"/>
      <c r="B73" s="14"/>
      <c r="C73" s="14"/>
      <c r="D73" s="15"/>
      <c r="E73" s="16"/>
      <c r="F73" s="17"/>
      <c r="G73" s="14"/>
      <c r="H73" s="18"/>
      <c r="I73" s="19"/>
      <c r="J73" s="46"/>
      <c r="K73" s="14"/>
      <c r="L73" s="20"/>
    </row>
    <row r="74" spans="1:12" s="5" customFormat="1" ht="23.25">
      <c r="A74" s="14"/>
      <c r="B74" s="14"/>
      <c r="C74" s="14"/>
      <c r="D74" s="15"/>
      <c r="E74" s="16"/>
      <c r="F74" s="17"/>
      <c r="G74" s="14"/>
      <c r="H74" s="18"/>
      <c r="I74" s="19"/>
      <c r="J74" s="46"/>
      <c r="K74" s="14"/>
      <c r="L74" s="20"/>
    </row>
    <row r="75" spans="1:12" s="5" customFormat="1" ht="23.25">
      <c r="A75" s="14"/>
      <c r="B75" s="14"/>
      <c r="C75" s="14"/>
      <c r="D75" s="15"/>
      <c r="E75" s="16"/>
      <c r="F75" s="17"/>
      <c r="G75" s="14"/>
      <c r="H75" s="18"/>
      <c r="I75" s="19"/>
      <c r="J75" s="46"/>
      <c r="K75" s="14"/>
      <c r="L75" s="20"/>
    </row>
    <row r="76" spans="1:12" s="5" customFormat="1" ht="23.25">
      <c r="A76" s="14"/>
      <c r="B76" s="14"/>
      <c r="C76" s="14"/>
      <c r="D76" s="15"/>
      <c r="E76" s="16"/>
      <c r="F76" s="17"/>
      <c r="G76" s="14"/>
      <c r="H76" s="18"/>
      <c r="I76" s="19"/>
      <c r="J76" s="46"/>
      <c r="K76" s="14"/>
      <c r="L76" s="20"/>
    </row>
    <row r="77" spans="1:12" s="5" customFormat="1" ht="23.25">
      <c r="A77" s="14"/>
      <c r="B77" s="14"/>
      <c r="C77" s="14"/>
      <c r="D77" s="15"/>
      <c r="E77" s="16"/>
      <c r="F77" s="17"/>
      <c r="G77" s="14"/>
      <c r="H77" s="18"/>
      <c r="I77" s="19"/>
      <c r="J77" s="46"/>
      <c r="K77" s="14"/>
      <c r="L77" s="20"/>
    </row>
    <row r="78" spans="1:12" s="5" customFormat="1" ht="23.25">
      <c r="A78" s="14"/>
      <c r="B78" s="14"/>
      <c r="C78" s="14"/>
      <c r="D78" s="15"/>
      <c r="E78" s="16"/>
      <c r="F78" s="17"/>
      <c r="G78" s="14"/>
      <c r="H78" s="18"/>
      <c r="I78" s="19"/>
      <c r="J78" s="46"/>
      <c r="K78" s="14"/>
      <c r="L78" s="20"/>
    </row>
    <row r="79" spans="1:12" s="5" customFormat="1" ht="23.25">
      <c r="A79" s="14"/>
      <c r="B79" s="14"/>
      <c r="C79" s="14"/>
      <c r="D79" s="15"/>
      <c r="E79" s="16"/>
      <c r="F79" s="17"/>
      <c r="G79" s="14"/>
      <c r="H79" s="18"/>
      <c r="I79" s="19"/>
      <c r="J79" s="46"/>
      <c r="K79" s="14"/>
      <c r="L79" s="20"/>
    </row>
    <row r="80" spans="1:12" s="5" customFormat="1" ht="23.25">
      <c r="A80" s="14"/>
      <c r="B80" s="14"/>
      <c r="C80" s="14"/>
      <c r="D80" s="15"/>
      <c r="E80" s="16"/>
      <c r="F80" s="17"/>
      <c r="G80" s="14"/>
      <c r="H80" s="18"/>
      <c r="I80" s="19"/>
      <c r="J80" s="46"/>
      <c r="K80" s="14"/>
      <c r="L80" s="20"/>
    </row>
    <row r="81" spans="1:12" s="5" customFormat="1" ht="23.25">
      <c r="A81" s="14"/>
      <c r="B81" s="14"/>
      <c r="C81" s="14"/>
      <c r="D81" s="15"/>
      <c r="E81" s="16"/>
      <c r="F81" s="17"/>
      <c r="G81" s="14"/>
      <c r="H81" s="18"/>
      <c r="I81" s="19"/>
      <c r="J81" s="46"/>
      <c r="K81" s="14"/>
      <c r="L81" s="20"/>
    </row>
    <row r="82" spans="1:12" s="5" customFormat="1" ht="23.25">
      <c r="A82" s="14"/>
      <c r="B82" s="14"/>
      <c r="C82" s="14"/>
      <c r="D82" s="15"/>
      <c r="E82" s="16"/>
      <c r="F82" s="17"/>
      <c r="G82" s="14"/>
      <c r="H82" s="18"/>
      <c r="I82" s="19"/>
      <c r="J82" s="46"/>
      <c r="K82" s="14"/>
      <c r="L82" s="20"/>
    </row>
    <row r="83" spans="1:12" s="5" customFormat="1" ht="23.25">
      <c r="A83" s="14"/>
      <c r="B83" s="14"/>
      <c r="C83" s="14"/>
      <c r="D83" s="15"/>
      <c r="E83" s="16"/>
      <c r="F83" s="17"/>
      <c r="G83" s="14"/>
      <c r="H83" s="18"/>
      <c r="I83" s="19"/>
      <c r="J83" s="46"/>
      <c r="K83" s="14"/>
      <c r="L83" s="20"/>
    </row>
    <row r="84" spans="1:12" s="5" customFormat="1" ht="23.25">
      <c r="A84" s="14"/>
      <c r="B84" s="14"/>
      <c r="C84" s="14"/>
      <c r="D84" s="15"/>
      <c r="E84" s="16"/>
      <c r="F84" s="17"/>
      <c r="G84" s="14"/>
      <c r="H84" s="18"/>
      <c r="I84" s="19"/>
      <c r="J84" s="46"/>
      <c r="K84" s="14"/>
      <c r="L84" s="20"/>
    </row>
    <row r="85" spans="1:12" s="5" customFormat="1" ht="23.25">
      <c r="A85" s="14"/>
      <c r="B85" s="14"/>
      <c r="C85" s="14"/>
      <c r="D85" s="15"/>
      <c r="E85" s="16"/>
      <c r="F85" s="17"/>
      <c r="G85" s="14"/>
      <c r="H85" s="18"/>
      <c r="I85" s="19"/>
      <c r="J85" s="46"/>
      <c r="K85" s="14"/>
      <c r="L85" s="20"/>
    </row>
    <row r="86" spans="1:12" s="5" customFormat="1" ht="23.25">
      <c r="A86" s="14"/>
      <c r="B86" s="14"/>
      <c r="C86" s="14"/>
      <c r="D86" s="15"/>
      <c r="E86" s="16"/>
      <c r="F86" s="17"/>
      <c r="G86" s="14"/>
      <c r="H86" s="18"/>
      <c r="I86" s="19"/>
      <c r="J86" s="46"/>
      <c r="K86" s="14"/>
      <c r="L86" s="20"/>
    </row>
    <row r="87" spans="1:12" s="5" customFormat="1" ht="23.25">
      <c r="A87" s="14"/>
      <c r="B87" s="14"/>
      <c r="C87" s="14"/>
      <c r="D87" s="15"/>
      <c r="E87" s="16"/>
      <c r="F87" s="17"/>
      <c r="G87" s="14"/>
      <c r="H87" s="18"/>
      <c r="I87" s="19"/>
      <c r="J87" s="46"/>
      <c r="K87" s="14"/>
      <c r="L87" s="20"/>
    </row>
    <row r="88" spans="1:12" s="5" customFormat="1" ht="23.25">
      <c r="A88" s="14"/>
      <c r="B88" s="14"/>
      <c r="C88" s="14"/>
      <c r="D88" s="15"/>
      <c r="E88" s="16"/>
      <c r="F88" s="17"/>
      <c r="G88" s="14"/>
      <c r="H88" s="18"/>
      <c r="I88" s="19"/>
      <c r="J88" s="46"/>
      <c r="K88" s="14"/>
      <c r="L88" s="20"/>
    </row>
    <row r="89" spans="1:12" s="5" customFormat="1" ht="23.25">
      <c r="A89" s="14"/>
      <c r="B89" s="14"/>
      <c r="C89" s="14"/>
      <c r="D89" s="15"/>
      <c r="E89" s="16"/>
      <c r="F89" s="17"/>
      <c r="G89" s="14"/>
      <c r="H89" s="18"/>
      <c r="I89" s="19"/>
      <c r="J89" s="46"/>
      <c r="K89" s="14"/>
      <c r="L89" s="20"/>
    </row>
    <row r="90" spans="1:12" s="5" customFormat="1" ht="23.25">
      <c r="A90" s="14"/>
      <c r="B90" s="14"/>
      <c r="C90" s="14"/>
      <c r="D90" s="15"/>
      <c r="E90" s="16"/>
      <c r="F90" s="17"/>
      <c r="G90" s="14"/>
      <c r="H90" s="18"/>
      <c r="I90" s="19"/>
      <c r="J90" s="46"/>
      <c r="K90" s="14"/>
      <c r="L90" s="20"/>
    </row>
    <row r="91" spans="1:12" s="5" customFormat="1" ht="23.25">
      <c r="A91" s="14"/>
      <c r="B91" s="14"/>
      <c r="C91" s="14"/>
      <c r="D91" s="15"/>
      <c r="E91" s="16"/>
      <c r="F91" s="17"/>
      <c r="G91" s="14"/>
      <c r="H91" s="18"/>
      <c r="I91" s="19"/>
      <c r="J91" s="46"/>
      <c r="K91" s="14"/>
      <c r="L91" s="20"/>
    </row>
    <row r="92" spans="1:12" s="5" customFormat="1" ht="23.25">
      <c r="A92" s="14"/>
      <c r="B92" s="14"/>
      <c r="C92" s="14"/>
      <c r="D92" s="15"/>
      <c r="E92" s="16"/>
      <c r="F92" s="17"/>
      <c r="G92" s="14"/>
      <c r="H92" s="18"/>
      <c r="I92" s="19"/>
      <c r="J92" s="46"/>
      <c r="K92" s="14"/>
      <c r="L92" s="20"/>
    </row>
    <row r="93" spans="1:12" s="5" customFormat="1" ht="23.25">
      <c r="A93" s="26"/>
      <c r="B93" s="26"/>
      <c r="C93" s="26"/>
      <c r="D93" s="27"/>
      <c r="E93" s="28"/>
      <c r="F93" s="29"/>
      <c r="G93" s="26"/>
      <c r="H93" s="30"/>
      <c r="I93" s="31"/>
      <c r="J93" s="47"/>
      <c r="K93" s="26"/>
      <c r="L93" s="32"/>
    </row>
    <row r="94" spans="1:12" s="5" customFormat="1" ht="23.25">
      <c r="A94" s="33"/>
      <c r="B94" s="33"/>
      <c r="C94" s="33" t="s">
        <v>9</v>
      </c>
      <c r="D94" s="34">
        <f>SUM(D4:D93)</f>
        <v>5266</v>
      </c>
      <c r="E94" s="35">
        <f>SUM(E4:E53)</f>
        <v>0</v>
      </c>
      <c r="F94" s="36">
        <f>SUM(F4:F93)</f>
        <v>5266</v>
      </c>
      <c r="G94" s="37"/>
      <c r="H94" s="38"/>
      <c r="I94" s="37"/>
      <c r="J94" s="56"/>
      <c r="K94" s="39"/>
      <c r="L94" s="40"/>
    </row>
    <row r="95" spans="1:12" s="5" customFormat="1" ht="23.25">
      <c r="A95" s="94" t="s">
        <v>40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6"/>
    </row>
  </sheetData>
  <mergeCells count="11">
    <mergeCell ref="A95:L95"/>
    <mergeCell ref="H2:H3"/>
    <mergeCell ref="A1:L1"/>
    <mergeCell ref="D2:F2"/>
    <mergeCell ref="A2:A3"/>
    <mergeCell ref="B2:B3"/>
    <mergeCell ref="J2:J3"/>
    <mergeCell ref="I2:I3"/>
    <mergeCell ref="G2:G3"/>
    <mergeCell ref="C2:C3"/>
    <mergeCell ref="L2:L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39">
      <pane xSplit="2" topLeftCell="C1" activePane="topRight" state="frozen"/>
      <selection pane="topLeft" activeCell="A1" sqref="A1"/>
      <selection pane="topRight" activeCell="C4" sqref="C4:C47"/>
    </sheetView>
  </sheetViews>
  <sheetFormatPr defaultColWidth="9.140625" defaultRowHeight="21.75"/>
  <cols>
    <col min="1" max="1" width="3.7109375" style="3" customWidth="1"/>
    <col min="2" max="2" width="6.140625" style="3" customWidth="1"/>
    <col min="3" max="3" width="16.00390625" style="57" customWidth="1"/>
    <col min="4" max="16384" width="9.140625" style="1" customWidth="1"/>
  </cols>
  <sheetData>
    <row r="1" spans="1:3" ht="30">
      <c r="A1" s="60" t="s">
        <v>22</v>
      </c>
      <c r="B1" s="61"/>
      <c r="C1" s="61"/>
    </row>
    <row r="2" spans="1:3" s="5" customFormat="1" ht="23.25">
      <c r="A2" s="89" t="s">
        <v>7</v>
      </c>
      <c r="B2" s="89" t="s">
        <v>0</v>
      </c>
      <c r="C2" s="90" t="s">
        <v>3</v>
      </c>
    </row>
    <row r="3" spans="1:3" s="5" customFormat="1" ht="23.25">
      <c r="A3" s="89"/>
      <c r="B3" s="89"/>
      <c r="C3" s="90"/>
    </row>
    <row r="4" spans="1:3" s="5" customFormat="1" ht="23.25">
      <c r="A4" s="6">
        <v>1</v>
      </c>
      <c r="B4" s="7" t="s">
        <v>11</v>
      </c>
      <c r="C4" s="62">
        <f>LOG(0.4851)</f>
        <v>-0.3141687253739364</v>
      </c>
    </row>
    <row r="5" spans="1:3" s="5" customFormat="1" ht="23.25">
      <c r="A5" s="14"/>
      <c r="B5" s="14"/>
      <c r="C5" s="63">
        <f>LOG(1.4189)</f>
        <v>0.15195178870726556</v>
      </c>
    </row>
    <row r="6" spans="1:3" s="5" customFormat="1" ht="23.25">
      <c r="A6" s="14">
        <f>+A4+1</f>
        <v>2</v>
      </c>
      <c r="B6" s="21" t="s">
        <v>12</v>
      </c>
      <c r="C6" s="63">
        <f>LOG(3.4059)</f>
        <v>0.5322318925738089</v>
      </c>
    </row>
    <row r="7" spans="1:3" s="5" customFormat="1" ht="23.25">
      <c r="A7" s="14"/>
      <c r="B7" s="14"/>
      <c r="C7" s="63">
        <f>LOG(3.6824)</f>
        <v>0.5661309618859178</v>
      </c>
    </row>
    <row r="8" spans="1:3" s="5" customFormat="1" ht="23.25">
      <c r="A8" s="14">
        <f>+A6+1</f>
        <v>3</v>
      </c>
      <c r="B8" s="21" t="s">
        <v>23</v>
      </c>
      <c r="C8" s="63">
        <f>LOG(0.4124)</f>
        <v>-0.38468134338852106</v>
      </c>
    </row>
    <row r="9" spans="1:3" s="5" customFormat="1" ht="23.25">
      <c r="A9" s="14"/>
      <c r="B9" s="21"/>
      <c r="C9" s="63">
        <f>LOG(0.3674)</f>
        <v>-0.43486084803021047</v>
      </c>
    </row>
    <row r="10" spans="1:3" s="5" customFormat="1" ht="23.25">
      <c r="A10" s="14"/>
      <c r="B10" s="21" t="s">
        <v>42</v>
      </c>
      <c r="C10" s="63">
        <f>LOG(5.6805)</f>
        <v>0.7543865641765075</v>
      </c>
    </row>
    <row r="11" spans="1:3" s="5" customFormat="1" ht="23.25">
      <c r="A11" s="14"/>
      <c r="B11" s="14"/>
      <c r="C11" s="63">
        <f>LOG(5.6805)</f>
        <v>0.7543865641765075</v>
      </c>
    </row>
    <row r="12" spans="1:3" s="5" customFormat="1" ht="23.25">
      <c r="A12" s="14">
        <f>+A8+1</f>
        <v>4</v>
      </c>
      <c r="B12" s="21" t="s">
        <v>13</v>
      </c>
      <c r="C12" s="63">
        <f>LOG(3.1705)</f>
        <v>0.5011277575229803</v>
      </c>
    </row>
    <row r="13" spans="1:3" s="5" customFormat="1" ht="23.25">
      <c r="A13" s="14"/>
      <c r="B13" s="14"/>
      <c r="C13" s="63">
        <f>LOG(3.4453)</f>
        <v>0.5372270441455221</v>
      </c>
    </row>
    <row r="14" spans="1:3" s="5" customFormat="1" ht="23.25">
      <c r="A14" s="14">
        <f>+A12+1</f>
        <v>5</v>
      </c>
      <c r="B14" s="21" t="s">
        <v>24</v>
      </c>
      <c r="C14" s="63">
        <f>LOG(4.8522)</f>
        <v>0.6859386934942598</v>
      </c>
    </row>
    <row r="15" spans="1:3" s="5" customFormat="1" ht="23.25">
      <c r="A15" s="14"/>
      <c r="B15" s="14"/>
      <c r="C15" s="63">
        <f>LOG(4.9302)</f>
        <v>0.6928645373572675</v>
      </c>
    </row>
    <row r="16" spans="1:3" s="5" customFormat="1" ht="23.25">
      <c r="A16" s="14">
        <f>+A14+1</f>
        <v>6</v>
      </c>
      <c r="B16" s="21" t="s">
        <v>14</v>
      </c>
      <c r="C16" s="63">
        <f>LOG(5.1227)</f>
        <v>0.7094989230909564</v>
      </c>
    </row>
    <row r="17" spans="1:3" s="5" customFormat="1" ht="23.25">
      <c r="A17" s="14"/>
      <c r="B17" s="14"/>
      <c r="C17" s="63">
        <f>LOG(4.5302)</f>
        <v>0.6561173757388853</v>
      </c>
    </row>
    <row r="18" spans="1:3" s="5" customFormat="1" ht="23.25">
      <c r="A18" s="14">
        <f>+A16+1</f>
        <v>7</v>
      </c>
      <c r="B18" s="21" t="s">
        <v>15</v>
      </c>
      <c r="C18" s="63">
        <f>LOG(4.3208)</f>
        <v>0.6355641642731371</v>
      </c>
    </row>
    <row r="19" spans="1:3" s="5" customFormat="1" ht="23.25">
      <c r="A19" s="14"/>
      <c r="B19" s="14"/>
      <c r="C19" s="63">
        <f>LOG(4.7961)</f>
        <v>0.6808882296802367</v>
      </c>
    </row>
    <row r="20" spans="1:3" s="5" customFormat="1" ht="23.25">
      <c r="A20" s="14">
        <f>+A18+1</f>
        <v>8</v>
      </c>
      <c r="B20" s="21" t="s">
        <v>43</v>
      </c>
      <c r="C20" s="63">
        <f>LOG(2.7165)</f>
        <v>0.43400970936973965</v>
      </c>
    </row>
    <row r="21" spans="1:3" s="5" customFormat="1" ht="23.25">
      <c r="A21" s="14"/>
      <c r="B21" s="21"/>
      <c r="C21" s="63">
        <f>LOG(2.7165)</f>
        <v>0.43400970936973965</v>
      </c>
    </row>
    <row r="22" spans="1:3" s="5" customFormat="1" ht="23.25">
      <c r="A22" s="14">
        <f aca="true" t="shared" si="0" ref="A22:A28">+A20+1</f>
        <v>9</v>
      </c>
      <c r="B22" s="21" t="s">
        <v>44</v>
      </c>
      <c r="C22" s="63">
        <f>LOG(1.6061)</f>
        <v>0.20577258209841967</v>
      </c>
    </row>
    <row r="23" spans="1:3" s="5" customFormat="1" ht="23.25">
      <c r="A23" s="14"/>
      <c r="B23" s="21"/>
      <c r="C23" s="63">
        <f>LOG(1.6061)</f>
        <v>0.20577258209841967</v>
      </c>
    </row>
    <row r="24" spans="1:3" s="5" customFormat="1" ht="23.25">
      <c r="A24" s="14">
        <f t="shared" si="0"/>
        <v>10</v>
      </c>
      <c r="B24" s="21" t="s">
        <v>45</v>
      </c>
      <c r="C24" s="63">
        <f>LOG(0.1314)</f>
        <v>-0.8814046347762381</v>
      </c>
    </row>
    <row r="25" spans="1:3" s="5" customFormat="1" ht="23.25">
      <c r="A25" s="14"/>
      <c r="B25" s="21"/>
      <c r="C25" s="63">
        <f>LOG(0.1314)</f>
        <v>-0.8814046347762381</v>
      </c>
    </row>
    <row r="26" spans="1:3" s="5" customFormat="1" ht="23.25">
      <c r="A26" s="14">
        <f t="shared" si="0"/>
        <v>11</v>
      </c>
      <c r="B26" s="21" t="s">
        <v>46</v>
      </c>
      <c r="C26" s="63">
        <f>LOG(4.3139)</f>
        <v>0.6348700735547615</v>
      </c>
    </row>
    <row r="27" spans="1:3" s="5" customFormat="1" ht="23.25">
      <c r="A27" s="14"/>
      <c r="B27" s="21"/>
      <c r="C27" s="63">
        <f>LOG(4.3139)</f>
        <v>0.6348700735547615</v>
      </c>
    </row>
    <row r="28" spans="1:3" s="5" customFormat="1" ht="23.25">
      <c r="A28" s="14">
        <f t="shared" si="0"/>
        <v>12</v>
      </c>
      <c r="B28" s="21" t="s">
        <v>25</v>
      </c>
      <c r="C28" s="63">
        <f>LOG(4.0878)</f>
        <v>0.6114896393230412</v>
      </c>
    </row>
    <row r="29" spans="1:3" s="5" customFormat="1" ht="23.25">
      <c r="A29" s="14"/>
      <c r="B29" s="21"/>
      <c r="C29" s="63">
        <f>LOG(4.2467)</f>
        <v>0.628051582171172</v>
      </c>
    </row>
    <row r="30" spans="1:3" s="5" customFormat="1" ht="23.25">
      <c r="A30" s="14">
        <f>+A28+1</f>
        <v>13</v>
      </c>
      <c r="B30" s="21" t="s">
        <v>16</v>
      </c>
      <c r="C30" s="63">
        <f>LOG(0.9353)</f>
        <v>-0.029049065654575875</v>
      </c>
    </row>
    <row r="31" spans="1:3" s="5" customFormat="1" ht="23.25">
      <c r="A31" s="14"/>
      <c r="B31" s="14"/>
      <c r="C31" s="63">
        <f>LOG(1.339)</f>
        <v>0.12678057701200895</v>
      </c>
    </row>
    <row r="32" spans="1:3" s="5" customFormat="1" ht="23.25">
      <c r="A32" s="14" t="e">
        <f>+#REF!+1</f>
        <v>#REF!</v>
      </c>
      <c r="B32" s="21" t="s">
        <v>27</v>
      </c>
      <c r="C32" s="63">
        <f>LOG(3.4498)</f>
        <v>0.537793917851788</v>
      </c>
    </row>
    <row r="33" spans="1:3" s="5" customFormat="1" ht="23.25">
      <c r="A33" s="14"/>
      <c r="B33" s="14"/>
      <c r="C33" s="63">
        <f>LOG(3.8867)</f>
        <v>0.5895810203398645</v>
      </c>
    </row>
    <row r="34" spans="1:3" s="5" customFormat="1" ht="23.25">
      <c r="A34" s="14" t="e">
        <f>+#REF!+1</f>
        <v>#REF!</v>
      </c>
      <c r="B34" s="21" t="s">
        <v>19</v>
      </c>
      <c r="C34" s="63">
        <f>LOG(1.8967)</f>
        <v>0.2779986442002884</v>
      </c>
    </row>
    <row r="35" spans="1:3" s="5" customFormat="1" ht="23.25">
      <c r="A35" s="26"/>
      <c r="B35" s="26"/>
      <c r="C35" s="64">
        <f>LOG(2.5085)</f>
        <v>0.3994141053637703</v>
      </c>
    </row>
    <row r="36" spans="1:3" s="5" customFormat="1" ht="23.25">
      <c r="A36" s="43" t="e">
        <f>+#REF!+1</f>
        <v>#REF!</v>
      </c>
      <c r="B36" s="44" t="s">
        <v>21</v>
      </c>
      <c r="C36" s="65">
        <f>LOG(4.117)</f>
        <v>0.614580866997486</v>
      </c>
    </row>
    <row r="37" spans="1:3" s="5" customFormat="1" ht="23.25">
      <c r="A37" s="14"/>
      <c r="B37" s="14"/>
      <c r="C37" s="63">
        <f>LOG(4.0716)</f>
        <v>0.6097651056927426</v>
      </c>
    </row>
    <row r="38" spans="1:3" s="5" customFormat="1" ht="23.25">
      <c r="A38" s="14" t="e">
        <f>+A36+1</f>
        <v>#REF!</v>
      </c>
      <c r="B38" s="21" t="s">
        <v>28</v>
      </c>
      <c r="C38" s="63">
        <f>LOG(1.376)</f>
        <v>0.13861843389949247</v>
      </c>
    </row>
    <row r="39" spans="1:3" s="5" customFormat="1" ht="23.25">
      <c r="A39" s="14"/>
      <c r="B39" s="14"/>
      <c r="C39" s="63">
        <f>LOG(1.5368)</f>
        <v>0.18661735185363723</v>
      </c>
    </row>
    <row r="40" spans="1:3" s="5" customFormat="1" ht="23.25">
      <c r="A40" s="14" t="e">
        <f>+#REF!+1</f>
        <v>#REF!</v>
      </c>
      <c r="B40" s="21" t="s">
        <v>34</v>
      </c>
      <c r="C40" s="63">
        <f>LOG(7.5695)</f>
        <v>0.8790671933161128</v>
      </c>
    </row>
    <row r="41" spans="1:3" s="5" customFormat="1" ht="23.25">
      <c r="A41" s="14"/>
      <c r="B41" s="14"/>
      <c r="C41" s="63">
        <f>LOG(4.9161)</f>
        <v>0.6916207084305436</v>
      </c>
    </row>
    <row r="42" spans="1:3" s="5" customFormat="1" ht="23.25">
      <c r="A42" s="14" t="e">
        <f>+A40+1</f>
        <v>#REF!</v>
      </c>
      <c r="B42" s="21" t="s">
        <v>35</v>
      </c>
      <c r="C42" s="63">
        <f>LOG(5.3348)</f>
        <v>0.7271181425000357</v>
      </c>
    </row>
    <row r="43" spans="1:3" s="5" customFormat="1" ht="23.25">
      <c r="A43" s="14"/>
      <c r="B43" s="14"/>
      <c r="C43" s="63">
        <f>LOG(5.4234)</f>
        <v>0.7342716367766632</v>
      </c>
    </row>
    <row r="44" spans="1:3" s="5" customFormat="1" ht="23.25">
      <c r="A44" s="14" t="e">
        <f>+A42+1</f>
        <v>#REF!</v>
      </c>
      <c r="B44" s="21" t="s">
        <v>36</v>
      </c>
      <c r="C44" s="63">
        <f>LOG(5.9372)</f>
        <v>0.773581678778409</v>
      </c>
    </row>
    <row r="45" spans="1:3" s="5" customFormat="1" ht="23.25">
      <c r="A45" s="14"/>
      <c r="B45" s="14"/>
      <c r="C45" s="63">
        <f>LOG(6.9584)</f>
        <v>0.8425093903212607</v>
      </c>
    </row>
    <row r="46" spans="1:3" s="5" customFormat="1" ht="23.25">
      <c r="A46" s="14" t="e">
        <f>+A44+1</f>
        <v>#REF!</v>
      </c>
      <c r="B46" s="21" t="s">
        <v>37</v>
      </c>
      <c r="C46" s="63">
        <f>LOG(5.9321)</f>
        <v>0.7732084635097722</v>
      </c>
    </row>
    <row r="47" spans="1:3" s="5" customFormat="1" ht="23.25">
      <c r="A47" s="26"/>
      <c r="B47" s="26"/>
      <c r="C47" s="64">
        <f>LOG(5.2056)</f>
        <v>0.7164707937257992</v>
      </c>
    </row>
    <row r="48" spans="1:3" s="5" customFormat="1" ht="23.25">
      <c r="A48" s="33"/>
      <c r="B48" s="33"/>
      <c r="C48" s="56"/>
    </row>
    <row r="49" spans="1:3" s="5" customFormat="1" ht="23.25">
      <c r="A49" s="58" t="s">
        <v>40</v>
      </c>
      <c r="B49" s="59"/>
      <c r="C49" s="59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sediment</cp:lastModifiedBy>
  <cp:lastPrinted>2002-11-25T03:54:20Z</cp:lastPrinted>
  <dcterms:created xsi:type="dcterms:W3CDTF">2001-05-01T08:12:27Z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