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EQU2005" sheetId="1" r:id="rId1"/>
    <sheet name="EQU2002 (2)" sheetId="2" r:id="rId2"/>
  </sheets>
  <definedNames>
    <definedName name="_xlnm.Print_Titles" localSheetId="1">'EQU2002 (2)'!$1:$3</definedName>
    <definedName name="_xlnm.Print_Titles" localSheetId="0">'EQU2005'!$1:$3</definedName>
  </definedNames>
  <calcPr fullCalcOnLoad="1"/>
</workbook>
</file>

<file path=xl/sharedStrings.xml><?xml version="1.0" encoding="utf-8"?>
<sst xmlns="http://schemas.openxmlformats.org/spreadsheetml/2006/main" count="140" uniqueCount="107">
  <si>
    <t>CODE</t>
  </si>
  <si>
    <t>EQUATION</t>
  </si>
  <si>
    <t>b</t>
  </si>
  <si>
    <t>Log(a)</t>
  </si>
  <si>
    <t>R-Square</t>
  </si>
  <si>
    <t>No. of Samples</t>
  </si>
  <si>
    <t>Water year</t>
  </si>
  <si>
    <t>ที่</t>
  </si>
  <si>
    <t>Good</t>
  </si>
  <si>
    <t>Total</t>
  </si>
  <si>
    <t>N/A</t>
  </si>
  <si>
    <t>P.1</t>
  </si>
  <si>
    <t>P.4A</t>
  </si>
  <si>
    <t>P.24A</t>
  </si>
  <si>
    <t>P.64</t>
  </si>
  <si>
    <t>P.65</t>
  </si>
  <si>
    <t>W.3A</t>
  </si>
  <si>
    <t>W.17</t>
  </si>
  <si>
    <t>W.21</t>
  </si>
  <si>
    <t>Y.1C</t>
  </si>
  <si>
    <t>Y.24</t>
  </si>
  <si>
    <t>Y.34</t>
  </si>
  <si>
    <r>
      <t xml:space="preserve">สมการประเมินตะกอนแขวนลอย  </t>
    </r>
    <r>
      <rPr>
        <b/>
        <sz val="18"/>
        <color indexed="10"/>
        <rFont val="DilleniaUPC"/>
        <family val="1"/>
      </rPr>
      <t>Y=aX</t>
    </r>
    <r>
      <rPr>
        <b/>
        <vertAlign val="superscript"/>
        <sz val="18"/>
        <color indexed="10"/>
        <rFont val="DilleniaUPC"/>
        <family val="1"/>
      </rPr>
      <t>b</t>
    </r>
  </si>
  <si>
    <t>P.14</t>
  </si>
  <si>
    <t>P.56A</t>
  </si>
  <si>
    <t>P.77</t>
  </si>
  <si>
    <t>W.16A</t>
  </si>
  <si>
    <t>W.20</t>
  </si>
  <si>
    <t>Y.36</t>
  </si>
  <si>
    <t>N.13A</t>
  </si>
  <si>
    <t>N.49</t>
  </si>
  <si>
    <t>N.63</t>
  </si>
  <si>
    <t>N.65</t>
  </si>
  <si>
    <t>G.8</t>
  </si>
  <si>
    <t>KH.72</t>
  </si>
  <si>
    <t>KH.89</t>
  </si>
  <si>
    <t>I.14</t>
  </si>
  <si>
    <t>DA.</t>
  </si>
  <si>
    <t>sq.km.</t>
  </si>
  <si>
    <r>
      <t xml:space="preserve">Accept  Equations are shown in </t>
    </r>
    <r>
      <rPr>
        <sz val="16"/>
        <color indexed="10"/>
        <rFont val="DilleniaUPC"/>
        <family val="1"/>
      </rPr>
      <t>red</t>
    </r>
  </si>
  <si>
    <t xml:space="preserve">Date of N/A sample </t>
  </si>
  <si>
    <t>P.21</t>
  </si>
  <si>
    <t>P.71</t>
  </si>
  <si>
    <t>P.73</t>
  </si>
  <si>
    <t>P.75</t>
  </si>
  <si>
    <t>P.76</t>
  </si>
  <si>
    <t>1993 - 2005</t>
  </si>
  <si>
    <r>
      <t xml:space="preserve">สมการประเมินตะกอนแขวนลอย  </t>
    </r>
    <r>
      <rPr>
        <b/>
        <sz val="18"/>
        <color indexed="10"/>
        <rFont val="AngsanaUPC"/>
        <family val="1"/>
      </rPr>
      <t>Y=aX</t>
    </r>
    <r>
      <rPr>
        <b/>
        <vertAlign val="superscript"/>
        <sz val="18"/>
        <color indexed="10"/>
        <rFont val="AngsanaUPC"/>
        <family val="1"/>
      </rPr>
      <t>b</t>
    </r>
  </si>
  <si>
    <r>
      <t>Y=1.3975X</t>
    </r>
    <r>
      <rPr>
        <vertAlign val="superscript"/>
        <sz val="16"/>
        <rFont val="AngsanaUPC"/>
        <family val="1"/>
      </rPr>
      <t>1.552</t>
    </r>
  </si>
  <si>
    <r>
      <t xml:space="preserve">Accept  Equations are shown in </t>
    </r>
    <r>
      <rPr>
        <sz val="16"/>
        <color indexed="10"/>
        <rFont val="AngsanaUPC"/>
        <family val="1"/>
      </rPr>
      <t>red</t>
    </r>
  </si>
  <si>
    <t>1992 - 2005</t>
  </si>
  <si>
    <r>
      <t>Y=4.0008X</t>
    </r>
    <r>
      <rPr>
        <vertAlign val="superscript"/>
        <sz val="16"/>
        <rFont val="AngsanaUPC"/>
        <family val="1"/>
      </rPr>
      <t>1.5129</t>
    </r>
  </si>
  <si>
    <t>1970 - 2005</t>
  </si>
  <si>
    <r>
      <t>Y=0.7333X</t>
    </r>
    <r>
      <rPr>
        <vertAlign val="superscript"/>
        <sz val="16"/>
        <rFont val="AngsanaUPC"/>
        <family val="1"/>
      </rPr>
      <t>2.0592</t>
    </r>
  </si>
  <si>
    <r>
      <t>Y=5.5961X</t>
    </r>
    <r>
      <rPr>
        <vertAlign val="superscript"/>
        <sz val="16"/>
        <rFont val="AngsanaUPC"/>
        <family val="1"/>
      </rPr>
      <t>1.3169</t>
    </r>
  </si>
  <si>
    <t>1997 - 2005</t>
  </si>
  <si>
    <r>
      <t>Y=5.4289X</t>
    </r>
    <r>
      <rPr>
        <vertAlign val="superscript"/>
        <sz val="16"/>
        <rFont val="AngsanaUPC"/>
        <family val="1"/>
      </rPr>
      <t>1.3383</t>
    </r>
  </si>
  <si>
    <t>2001 - 2005</t>
  </si>
  <si>
    <r>
      <t>Y=1.5813X</t>
    </r>
    <r>
      <rPr>
        <vertAlign val="superscript"/>
        <sz val="16"/>
        <rFont val="AngsanaUPC"/>
        <family val="1"/>
      </rPr>
      <t>1.3362</t>
    </r>
  </si>
  <si>
    <r>
      <t>Y=0.7702X</t>
    </r>
    <r>
      <rPr>
        <vertAlign val="superscript"/>
        <sz val="16"/>
        <rFont val="AngsanaUPC"/>
        <family val="1"/>
      </rPr>
      <t>1.6857</t>
    </r>
  </si>
  <si>
    <r>
      <t>Y=4.5932X</t>
    </r>
    <r>
      <rPr>
        <vertAlign val="superscript"/>
        <sz val="16"/>
        <rFont val="AngsanaUPC"/>
        <family val="1"/>
      </rPr>
      <t>1.2261</t>
    </r>
  </si>
  <si>
    <t>2000 - 2005</t>
  </si>
  <si>
    <r>
      <t>Y=4.9648X</t>
    </r>
    <r>
      <rPr>
        <vertAlign val="superscript"/>
        <sz val="16"/>
        <color indexed="8"/>
        <rFont val="AngsanaUPC"/>
        <family val="1"/>
      </rPr>
      <t>1.2516</t>
    </r>
  </si>
  <si>
    <r>
      <t>Y=1.8157X</t>
    </r>
    <r>
      <rPr>
        <vertAlign val="superscript"/>
        <sz val="16"/>
        <rFont val="AngsanaUPC"/>
        <family val="1"/>
      </rPr>
      <t>1.416</t>
    </r>
  </si>
  <si>
    <r>
      <t>Y=3.4761X</t>
    </r>
    <r>
      <rPr>
        <vertAlign val="superscript"/>
        <sz val="16"/>
        <rFont val="AngsanaUPC"/>
        <family val="1"/>
      </rPr>
      <t>1.5277</t>
    </r>
  </si>
  <si>
    <t>1996 - 2005</t>
  </si>
  <si>
    <r>
      <t>Y=3.3984X</t>
    </r>
    <r>
      <rPr>
        <vertAlign val="superscript"/>
        <sz val="16"/>
        <rFont val="AngsanaUPC"/>
        <family val="1"/>
      </rPr>
      <t>1.4853</t>
    </r>
  </si>
  <si>
    <r>
      <t>Y=4.538X</t>
    </r>
    <r>
      <rPr>
        <vertAlign val="superscript"/>
        <sz val="16"/>
        <rFont val="AngsanaUPC"/>
        <family val="1"/>
      </rPr>
      <t>1.3628</t>
    </r>
  </si>
  <si>
    <t>1999 - 2005</t>
  </si>
  <si>
    <r>
      <t>Y=3.9988X</t>
    </r>
    <r>
      <rPr>
        <vertAlign val="superscript"/>
        <sz val="16"/>
        <rFont val="AngsanaUPC"/>
        <family val="1"/>
      </rPr>
      <t>1.3519</t>
    </r>
  </si>
  <si>
    <r>
      <t>Y=4.8585X</t>
    </r>
    <r>
      <rPr>
        <vertAlign val="superscript"/>
        <sz val="16"/>
        <rFont val="AngsanaUPC"/>
        <family val="1"/>
      </rPr>
      <t>1.431</t>
    </r>
  </si>
  <si>
    <t>1994 - 2005</t>
  </si>
  <si>
    <r>
      <t>Y=6.1016X</t>
    </r>
    <r>
      <rPr>
        <vertAlign val="superscript"/>
        <sz val="16"/>
        <rFont val="AngsanaUPC"/>
        <family val="1"/>
      </rPr>
      <t>1.1204</t>
    </r>
  </si>
  <si>
    <r>
      <t>Y=2.2178X</t>
    </r>
    <r>
      <rPr>
        <vertAlign val="superscript"/>
        <sz val="16"/>
        <rFont val="AngsanaUPC"/>
        <family val="1"/>
      </rPr>
      <t>1.4694</t>
    </r>
  </si>
  <si>
    <r>
      <t>Y=6.1271X</t>
    </r>
    <r>
      <rPr>
        <vertAlign val="superscript"/>
        <sz val="16"/>
        <rFont val="AngsanaUPC"/>
        <family val="1"/>
      </rPr>
      <t>1.3228</t>
    </r>
  </si>
  <si>
    <r>
      <t>Y=2.4095X</t>
    </r>
    <r>
      <rPr>
        <vertAlign val="superscript"/>
        <sz val="16"/>
        <rFont val="AngsanaUPC"/>
        <family val="1"/>
      </rPr>
      <t>1.5222</t>
    </r>
  </si>
  <si>
    <r>
      <t>Y=0.4698X</t>
    </r>
    <r>
      <rPr>
        <vertAlign val="superscript"/>
        <sz val="16"/>
        <rFont val="AngsanaUPC"/>
        <family val="1"/>
      </rPr>
      <t>1.568</t>
    </r>
  </si>
  <si>
    <r>
      <t>Y=2.6379X</t>
    </r>
    <r>
      <rPr>
        <vertAlign val="superscript"/>
        <sz val="16"/>
        <color indexed="8"/>
        <rFont val="AngsanaUPC"/>
        <family val="1"/>
      </rPr>
      <t>1.1838</t>
    </r>
  </si>
  <si>
    <r>
      <t>Y=5.2416X</t>
    </r>
    <r>
      <rPr>
        <vertAlign val="superscript"/>
        <sz val="16"/>
        <rFont val="AngsanaUPC"/>
        <family val="1"/>
      </rPr>
      <t>1.5631</t>
    </r>
  </si>
  <si>
    <r>
      <t>Y=1.241X</t>
    </r>
    <r>
      <rPr>
        <vertAlign val="superscript"/>
        <sz val="16"/>
        <rFont val="AngsanaUPC"/>
        <family val="1"/>
      </rPr>
      <t>1.5833</t>
    </r>
  </si>
  <si>
    <r>
      <t>Y=1.1377X</t>
    </r>
    <r>
      <rPr>
        <vertAlign val="superscript"/>
        <sz val="16"/>
        <color indexed="10"/>
        <rFont val="AngsanaUPC"/>
        <family val="1"/>
      </rPr>
      <t>1.6923</t>
    </r>
  </si>
  <si>
    <r>
      <t>Y=9.765X</t>
    </r>
    <r>
      <rPr>
        <vertAlign val="superscript"/>
        <sz val="16"/>
        <color indexed="10"/>
        <rFont val="AngsanaUPC"/>
        <family val="1"/>
      </rPr>
      <t>1.2385</t>
    </r>
  </si>
  <si>
    <r>
      <t>Y=16.089X</t>
    </r>
    <r>
      <rPr>
        <vertAlign val="superscript"/>
        <sz val="16"/>
        <color indexed="10"/>
        <rFont val="AngsanaUPC"/>
        <family val="1"/>
      </rPr>
      <t>1.0685</t>
    </r>
  </si>
  <si>
    <r>
      <t>Y=8.5435X</t>
    </r>
    <r>
      <rPr>
        <vertAlign val="superscript"/>
        <sz val="16"/>
        <color indexed="10"/>
        <rFont val="AngsanaUPC"/>
        <family val="1"/>
      </rPr>
      <t>1.6095</t>
    </r>
  </si>
  <si>
    <r>
      <t>Y=10.132X</t>
    </r>
    <r>
      <rPr>
        <vertAlign val="superscript"/>
        <sz val="16"/>
        <color indexed="10"/>
        <rFont val="AngsanaUPC"/>
        <family val="1"/>
      </rPr>
      <t>1.1777</t>
    </r>
  </si>
  <si>
    <r>
      <t>Y=7.78X</t>
    </r>
    <r>
      <rPr>
        <vertAlign val="superscript"/>
        <sz val="16"/>
        <color indexed="10"/>
        <rFont val="AngsanaUPC"/>
        <family val="1"/>
      </rPr>
      <t>1.3893</t>
    </r>
  </si>
  <si>
    <r>
      <t>Y=0.9421X</t>
    </r>
    <r>
      <rPr>
        <vertAlign val="superscript"/>
        <sz val="16"/>
        <color indexed="10"/>
        <rFont val="AngsanaUPC"/>
        <family val="1"/>
      </rPr>
      <t>1.5145</t>
    </r>
  </si>
  <si>
    <r>
      <t>Y=4.3077X</t>
    </r>
    <r>
      <rPr>
        <vertAlign val="superscript"/>
        <sz val="16"/>
        <color indexed="10"/>
        <rFont val="AngsanaUPC"/>
        <family val="1"/>
      </rPr>
      <t>1.3228</t>
    </r>
  </si>
  <si>
    <r>
      <t>Y=6.605X</t>
    </r>
    <r>
      <rPr>
        <vertAlign val="superscript"/>
        <sz val="16"/>
        <color indexed="10"/>
        <rFont val="AngsanaUPC"/>
        <family val="1"/>
      </rPr>
      <t>1.0968</t>
    </r>
  </si>
  <si>
    <r>
      <t>Y=10.584X</t>
    </r>
    <r>
      <rPr>
        <vertAlign val="superscript"/>
        <sz val="16"/>
        <color indexed="10"/>
        <rFont val="AngsanaUPC"/>
        <family val="1"/>
      </rPr>
      <t>1.5687</t>
    </r>
  </si>
  <si>
    <t>P.80</t>
  </si>
  <si>
    <t>ไม่มีการตักตะกอน</t>
  </si>
  <si>
    <t>P.84</t>
  </si>
  <si>
    <r>
      <t>Y=21.398X</t>
    </r>
    <r>
      <rPr>
        <vertAlign val="superscript"/>
        <sz val="16"/>
        <color indexed="10"/>
        <rFont val="AngsanaUPC"/>
        <family val="1"/>
      </rPr>
      <t>2.2236</t>
    </r>
  </si>
  <si>
    <r>
      <t>Y=6.7552X</t>
    </r>
    <r>
      <rPr>
        <vertAlign val="superscript"/>
        <sz val="16"/>
        <color indexed="10"/>
        <rFont val="AngsanaUPC"/>
        <family val="1"/>
      </rPr>
      <t>1.2197</t>
    </r>
  </si>
  <si>
    <r>
      <t>Y=5.446X</t>
    </r>
    <r>
      <rPr>
        <vertAlign val="superscript"/>
        <sz val="16"/>
        <color indexed="10"/>
        <rFont val="AngsanaUPC"/>
        <family val="1"/>
      </rPr>
      <t>1.6327</t>
    </r>
  </si>
  <si>
    <r>
      <t>Y=3.9937X</t>
    </r>
    <r>
      <rPr>
        <vertAlign val="superscript"/>
        <sz val="16"/>
        <color indexed="10"/>
        <rFont val="AngsanaUPC"/>
        <family val="1"/>
      </rPr>
      <t>1.5829</t>
    </r>
  </si>
  <si>
    <r>
      <t>Y=9.7583X</t>
    </r>
    <r>
      <rPr>
        <vertAlign val="superscript"/>
        <sz val="16"/>
        <color indexed="10"/>
        <rFont val="AngsanaUPC"/>
        <family val="1"/>
      </rPr>
      <t>1.3912</t>
    </r>
  </si>
  <si>
    <r>
      <t>Y=6.6994X</t>
    </r>
    <r>
      <rPr>
        <vertAlign val="superscript"/>
        <sz val="16"/>
        <color indexed="10"/>
        <rFont val="AngsanaUPC"/>
        <family val="1"/>
      </rPr>
      <t>1.3171</t>
    </r>
  </si>
  <si>
    <r>
      <t>Y=3.0081X</t>
    </r>
    <r>
      <rPr>
        <vertAlign val="superscript"/>
        <sz val="16"/>
        <color indexed="10"/>
        <rFont val="AngsanaUPC"/>
        <family val="1"/>
      </rPr>
      <t>1.4925</t>
    </r>
  </si>
  <si>
    <r>
      <t>Y=16.318X</t>
    </r>
    <r>
      <rPr>
        <vertAlign val="superscript"/>
        <sz val="16"/>
        <color indexed="10"/>
        <rFont val="AngsanaUPC"/>
        <family val="1"/>
      </rPr>
      <t>1.2667</t>
    </r>
  </si>
  <si>
    <r>
      <t>Y=5.7908X</t>
    </r>
    <r>
      <rPr>
        <vertAlign val="superscript"/>
        <sz val="16"/>
        <color indexed="10"/>
        <rFont val="AngsanaUPC"/>
        <family val="1"/>
      </rPr>
      <t>1237</t>
    </r>
  </si>
  <si>
    <r>
      <t>Y=10.895X</t>
    </r>
    <r>
      <rPr>
        <vertAlign val="superscript"/>
        <sz val="16"/>
        <color indexed="10"/>
        <rFont val="AngsanaUPC"/>
        <family val="1"/>
      </rPr>
      <t>1.1.0773</t>
    </r>
  </si>
  <si>
    <r>
      <t>Y=2.7041X</t>
    </r>
    <r>
      <rPr>
        <vertAlign val="superscript"/>
        <sz val="16"/>
        <color indexed="10"/>
        <rFont val="AngsanaUPC"/>
        <family val="1"/>
      </rPr>
      <t>0.987</t>
    </r>
  </si>
  <si>
    <r>
      <t>Y=6.9288X</t>
    </r>
    <r>
      <rPr>
        <vertAlign val="superscript"/>
        <sz val="16"/>
        <color indexed="10"/>
        <rFont val="AngsanaUPC"/>
        <family val="1"/>
      </rPr>
      <t>1.1758</t>
    </r>
  </si>
  <si>
    <r>
      <t>Y=7.2214X</t>
    </r>
    <r>
      <rPr>
        <vertAlign val="superscript"/>
        <sz val="16"/>
        <color indexed="10"/>
        <rFont val="AngsanaUPC"/>
        <family val="1"/>
      </rPr>
      <t>0.8577</t>
    </r>
  </si>
  <si>
    <r>
      <t>Y=5.6608X</t>
    </r>
    <r>
      <rPr>
        <vertAlign val="superscript"/>
        <sz val="16"/>
        <color indexed="10"/>
        <rFont val="AngsanaUPC"/>
        <family val="1"/>
      </rPr>
      <t>1.6245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</si>
</sst>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00"/>
    <numFmt numFmtId="189" formatCode="0.0000"/>
    <numFmt numFmtId="190" formatCode="0.000"/>
    <numFmt numFmtId="191" formatCode="_-* #,##0.0_-;\-* #,##0.0_-;_-* &quot;-&quot;??_-;_-@_-"/>
    <numFmt numFmtId="192" formatCode="_-* #,##0_-;\-* #,##0_-;_-* &quot;-&quot;??_-;_-@_-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"/>
  </numFmts>
  <fonts count="20">
    <font>
      <sz val="14"/>
      <name val="Cordia New"/>
      <family val="0"/>
    </font>
    <font>
      <b/>
      <sz val="18"/>
      <color indexed="48"/>
      <name val="DilleniaUPC"/>
      <family val="1"/>
    </font>
    <font>
      <b/>
      <sz val="18"/>
      <color indexed="10"/>
      <name val="DilleniaUPC"/>
      <family val="1"/>
    </font>
    <font>
      <b/>
      <vertAlign val="superscript"/>
      <sz val="18"/>
      <color indexed="10"/>
      <name val="DilleniaUPC"/>
      <family val="1"/>
    </font>
    <font>
      <sz val="18"/>
      <name val="DilleniaUPC"/>
      <family val="1"/>
    </font>
    <font>
      <sz val="16"/>
      <color indexed="12"/>
      <name val="DilleniaUPC"/>
      <family val="1"/>
    </font>
    <font>
      <sz val="16"/>
      <name val="DilleniaUPC"/>
      <family val="1"/>
    </font>
    <font>
      <sz val="16"/>
      <color indexed="10"/>
      <name val="DilleniaUPC"/>
      <family val="1"/>
    </font>
    <font>
      <b/>
      <sz val="18"/>
      <color indexed="48"/>
      <name val="AngsanaUPC"/>
      <family val="1"/>
    </font>
    <font>
      <b/>
      <sz val="18"/>
      <color indexed="10"/>
      <name val="AngsanaUPC"/>
      <family val="1"/>
    </font>
    <font>
      <b/>
      <vertAlign val="superscript"/>
      <sz val="18"/>
      <color indexed="10"/>
      <name val="AngsanaUPC"/>
      <family val="1"/>
    </font>
    <font>
      <sz val="18"/>
      <name val="AngsanaUPC"/>
      <family val="1"/>
    </font>
    <font>
      <sz val="16"/>
      <color indexed="12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vertAlign val="superscript"/>
      <sz val="16"/>
      <name val="AngsanaUPC"/>
      <family val="1"/>
    </font>
    <font>
      <sz val="16"/>
      <color indexed="8"/>
      <name val="AngsanaUPC"/>
      <family val="1"/>
    </font>
    <font>
      <vertAlign val="superscript"/>
      <sz val="16"/>
      <color indexed="8"/>
      <name val="AngsanaUPC"/>
      <family val="1"/>
    </font>
    <font>
      <sz val="8"/>
      <name val="Cordia New"/>
      <family val="0"/>
    </font>
    <font>
      <vertAlign val="superscript"/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gray0625">
        <bgColor indexed="9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96" fontId="6" fillId="0" borderId="4" xfId="0" applyNumberFormat="1" applyFont="1" applyBorder="1" applyAlignment="1">
      <alignment/>
    </xf>
    <xf numFmtId="196" fontId="4" fillId="0" borderId="0" xfId="0" applyNumberFormat="1" applyFont="1" applyAlignment="1">
      <alignment/>
    </xf>
    <xf numFmtId="196" fontId="6" fillId="0" borderId="6" xfId="0" applyNumberFormat="1" applyFont="1" applyBorder="1" applyAlignment="1">
      <alignment/>
    </xf>
    <xf numFmtId="196" fontId="1" fillId="2" borderId="7" xfId="0" applyNumberFormat="1" applyFont="1" applyFill="1" applyBorder="1" applyAlignment="1">
      <alignment horizontal="center" vertical="center"/>
    </xf>
    <xf numFmtId="199" fontId="6" fillId="0" borderId="1" xfId="0" applyNumberFormat="1" applyFont="1" applyBorder="1" applyAlignment="1">
      <alignment/>
    </xf>
    <xf numFmtId="199" fontId="6" fillId="0" borderId="2" xfId="0" applyNumberFormat="1" applyFont="1" applyBorder="1" applyAlignment="1">
      <alignment/>
    </xf>
    <xf numFmtId="199" fontId="6" fillId="0" borderId="3" xfId="0" applyNumberFormat="1" applyFont="1" applyBorder="1" applyAlignment="1">
      <alignment/>
    </xf>
    <xf numFmtId="199" fontId="6" fillId="0" borderId="5" xfId="0" applyNumberFormat="1" applyFont="1" applyBorder="1" applyAlignment="1">
      <alignment/>
    </xf>
    <xf numFmtId="196" fontId="1" fillId="2" borderId="8" xfId="0" applyNumberFormat="1" applyFont="1" applyFill="1" applyBorder="1" applyAlignment="1">
      <alignment horizontal="left" vertical="center"/>
    </xf>
    <xf numFmtId="196" fontId="6" fillId="0" borderId="9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2" fillId="2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189" fontId="13" fillId="0" borderId="2" xfId="0" applyNumberFormat="1" applyFont="1" applyBorder="1" applyAlignment="1">
      <alignment horizontal="center"/>
    </xf>
    <xf numFmtId="189" fontId="13" fillId="0" borderId="2" xfId="0" applyNumberFormat="1" applyFont="1" applyBorder="1" applyAlignment="1">
      <alignment/>
    </xf>
    <xf numFmtId="196" fontId="13" fillId="0" borderId="2" xfId="0" applyNumberFormat="1" applyFont="1" applyBorder="1" applyAlignment="1">
      <alignment/>
    </xf>
    <xf numFmtId="3" fontId="13" fillId="0" borderId="2" xfId="15" applyNumberFormat="1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 vertical="justify"/>
    </xf>
    <xf numFmtId="0" fontId="16" fillId="0" borderId="2" xfId="0" applyFont="1" applyBorder="1" applyAlignment="1">
      <alignment horizontal="center"/>
    </xf>
    <xf numFmtId="189" fontId="16" fillId="0" borderId="2" xfId="0" applyNumberFormat="1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189" fontId="13" fillId="0" borderId="2" xfId="0" applyNumberFormat="1" applyFont="1" applyBorder="1" applyAlignment="1">
      <alignment horizontal="center" vertical="center"/>
    </xf>
    <xf numFmtId="189" fontId="13" fillId="0" borderId="2" xfId="0" applyNumberFormat="1" applyFont="1" applyBorder="1" applyAlignment="1">
      <alignment vertical="center"/>
    </xf>
    <xf numFmtId="196" fontId="13" fillId="0" borderId="2" xfId="0" applyNumberFormat="1" applyFont="1" applyBorder="1" applyAlignment="1">
      <alignment vertical="center"/>
    </xf>
    <xf numFmtId="3" fontId="13" fillId="0" borderId="2" xfId="15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/>
    </xf>
    <xf numFmtId="189" fontId="13" fillId="0" borderId="3" xfId="0" applyNumberFormat="1" applyFont="1" applyBorder="1" applyAlignment="1">
      <alignment horizontal="center"/>
    </xf>
    <xf numFmtId="189" fontId="13" fillId="0" borderId="3" xfId="0" applyNumberFormat="1" applyFont="1" applyBorder="1" applyAlignment="1">
      <alignment/>
    </xf>
    <xf numFmtId="196" fontId="13" fillId="0" borderId="3" xfId="0" applyNumberFormat="1" applyFont="1" applyBorder="1" applyAlignment="1">
      <alignment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/>
    </xf>
    <xf numFmtId="189" fontId="13" fillId="0" borderId="4" xfId="0" applyNumberFormat="1" applyFont="1" applyBorder="1" applyAlignment="1">
      <alignment horizontal="center"/>
    </xf>
    <xf numFmtId="196" fontId="13" fillId="0" borderId="4" xfId="0" applyNumberFormat="1" applyFont="1" applyBorder="1" applyAlignment="1">
      <alignment/>
    </xf>
    <xf numFmtId="41" fontId="13" fillId="0" borderId="4" xfId="15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1" fillId="0" borderId="0" xfId="0" applyFont="1" applyAlignment="1">
      <alignment horizontal="center"/>
    </xf>
    <xf numFmtId="189" fontId="11" fillId="0" borderId="0" xfId="0" applyNumberFormat="1" applyFont="1" applyAlignment="1">
      <alignment horizontal="center"/>
    </xf>
    <xf numFmtId="196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196" fontId="5" fillId="2" borderId="15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89" fontId="13" fillId="0" borderId="1" xfId="0" applyNumberFormat="1" applyFont="1" applyBorder="1" applyAlignment="1">
      <alignment/>
    </xf>
    <xf numFmtId="196" fontId="13" fillId="0" borderId="1" xfId="0" applyNumberFormat="1" applyFont="1" applyBorder="1" applyAlignment="1">
      <alignment/>
    </xf>
    <xf numFmtId="3" fontId="13" fillId="0" borderId="1" xfId="15" applyNumberFormat="1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/>
    </xf>
    <xf numFmtId="196" fontId="13" fillId="0" borderId="9" xfId="0" applyNumberFormat="1" applyFont="1" applyBorder="1" applyAlignment="1">
      <alignment horizontal="center"/>
    </xf>
    <xf numFmtId="196" fontId="13" fillId="0" borderId="6" xfId="0" applyNumberFormat="1" applyFont="1" applyBorder="1" applyAlignment="1">
      <alignment horizontal="center"/>
    </xf>
    <xf numFmtId="196" fontId="13" fillId="0" borderId="16" xfId="0" applyNumberFormat="1" applyFont="1" applyBorder="1" applyAlignment="1">
      <alignment horizontal="center"/>
    </xf>
    <xf numFmtId="0" fontId="12" fillId="2" borderId="1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189" fontId="12" fillId="2" borderId="15" xfId="0" applyNumberFormat="1" applyFont="1" applyFill="1" applyBorder="1" applyAlignment="1">
      <alignment horizontal="center" vertical="center"/>
    </xf>
    <xf numFmtId="196" fontId="8" fillId="2" borderId="8" xfId="0" applyNumberFormat="1" applyFont="1" applyFill="1" applyBorder="1" applyAlignment="1">
      <alignment horizontal="center" vertical="center"/>
    </xf>
    <xf numFmtId="196" fontId="8" fillId="2" borderId="7" xfId="0" applyNumberFormat="1" applyFont="1" applyFill="1" applyBorder="1" applyAlignment="1">
      <alignment horizontal="center" vertical="center"/>
    </xf>
    <xf numFmtId="196" fontId="8" fillId="2" borderId="17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96" fontId="12" fillId="2" borderId="15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89" fontId="14" fillId="0" borderId="1" xfId="0" applyNumberFormat="1" applyFont="1" applyBorder="1" applyAlignment="1">
      <alignment horizontal="center"/>
    </xf>
    <xf numFmtId="189" fontId="14" fillId="0" borderId="2" xfId="0" applyNumberFormat="1" applyFont="1" applyBorder="1" applyAlignment="1">
      <alignment horizontal="center"/>
    </xf>
    <xf numFmtId="189" fontId="14" fillId="0" borderId="2" xfId="0" applyNumberFormat="1" applyFont="1" applyBorder="1" applyAlignment="1">
      <alignment horizontal="center" vertical="center"/>
    </xf>
    <xf numFmtId="192" fontId="13" fillId="0" borderId="18" xfId="15" applyNumberFormat="1" applyFont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192" fontId="13" fillId="0" borderId="20" xfId="15" applyNumberFormat="1" applyFont="1" applyBorder="1" applyAlignment="1">
      <alignment horizontal="center"/>
    </xf>
    <xf numFmtId="3" fontId="13" fillId="0" borderId="3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27">
      <selection activeCell="G35" sqref="G35"/>
    </sheetView>
  </sheetViews>
  <sheetFormatPr defaultColWidth="9.140625" defaultRowHeight="21.75"/>
  <cols>
    <col min="1" max="1" width="3.7109375" style="60" customWidth="1"/>
    <col min="2" max="2" width="6.140625" style="60" customWidth="1"/>
    <col min="3" max="3" width="11.7109375" style="60" customWidth="1"/>
    <col min="4" max="4" width="6.7109375" style="60" customWidth="1"/>
    <col min="5" max="5" width="4.7109375" style="60" customWidth="1"/>
    <col min="6" max="6" width="6.7109375" style="60" customWidth="1"/>
    <col min="7" max="7" width="14.7109375" style="22" customWidth="1"/>
    <col min="8" max="8" width="8.7109375" style="61" customWidth="1"/>
    <col min="9" max="9" width="6.7109375" style="22" customWidth="1"/>
    <col min="10" max="10" width="13.7109375" style="62" customWidth="1"/>
    <col min="11" max="11" width="6.7109375" style="22" customWidth="1"/>
    <col min="12" max="12" width="18.57421875" style="63" bestFit="1" customWidth="1"/>
    <col min="13" max="16384" width="9.140625" style="22" customWidth="1"/>
  </cols>
  <sheetData>
    <row r="1" spans="1:12" ht="29.25">
      <c r="A1" s="82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s="24" customFormat="1" ht="23.25">
      <c r="A2" s="78" t="s">
        <v>7</v>
      </c>
      <c r="B2" s="78" t="s">
        <v>0</v>
      </c>
      <c r="C2" s="78" t="s">
        <v>6</v>
      </c>
      <c r="D2" s="85" t="s">
        <v>5</v>
      </c>
      <c r="E2" s="86"/>
      <c r="F2" s="86"/>
      <c r="G2" s="88" t="s">
        <v>1</v>
      </c>
      <c r="H2" s="81" t="s">
        <v>4</v>
      </c>
      <c r="I2" s="78" t="s">
        <v>2</v>
      </c>
      <c r="J2" s="87" t="s">
        <v>3</v>
      </c>
      <c r="K2" s="23" t="s">
        <v>37</v>
      </c>
      <c r="L2" s="79" t="s">
        <v>40</v>
      </c>
    </row>
    <row r="3" spans="1:12" s="24" customFormat="1" ht="23.25">
      <c r="A3" s="78"/>
      <c r="B3" s="78"/>
      <c r="C3" s="78"/>
      <c r="D3" s="25" t="s">
        <v>8</v>
      </c>
      <c r="E3" s="26" t="s">
        <v>10</v>
      </c>
      <c r="F3" s="27" t="s">
        <v>9</v>
      </c>
      <c r="G3" s="88"/>
      <c r="H3" s="81"/>
      <c r="I3" s="78"/>
      <c r="J3" s="87"/>
      <c r="K3" s="28" t="s">
        <v>38</v>
      </c>
      <c r="L3" s="80"/>
    </row>
    <row r="4" spans="1:12" s="24" customFormat="1" ht="25.5">
      <c r="A4" s="65">
        <v>1</v>
      </c>
      <c r="B4" s="66" t="s">
        <v>11</v>
      </c>
      <c r="C4" s="65">
        <v>2005</v>
      </c>
      <c r="D4" s="66">
        <v>12</v>
      </c>
      <c r="E4" s="67">
        <v>0</v>
      </c>
      <c r="F4" s="65">
        <f>E4+D4</f>
        <v>12</v>
      </c>
      <c r="G4" s="66" t="s">
        <v>80</v>
      </c>
      <c r="H4" s="90">
        <v>0.9446</v>
      </c>
      <c r="I4" s="68">
        <v>1.6923</v>
      </c>
      <c r="J4" s="69">
        <f>LOG(1.1377)</f>
        <v>0.05602775808636199</v>
      </c>
      <c r="K4" s="70">
        <v>6355</v>
      </c>
      <c r="L4" s="71"/>
    </row>
    <row r="5" spans="1:12" s="24" customFormat="1" ht="25.5">
      <c r="A5" s="29"/>
      <c r="B5" s="29"/>
      <c r="C5" s="29" t="s">
        <v>46</v>
      </c>
      <c r="D5" s="29">
        <v>356</v>
      </c>
      <c r="E5" s="72">
        <v>0</v>
      </c>
      <c r="F5" s="29">
        <f>E5+D5</f>
        <v>356</v>
      </c>
      <c r="G5" s="29" t="s">
        <v>48</v>
      </c>
      <c r="H5" s="30">
        <v>0.8896</v>
      </c>
      <c r="I5" s="31">
        <v>1.552</v>
      </c>
      <c r="J5" s="32">
        <f>LOG(1.552)</f>
        <v>0.19089171692216964</v>
      </c>
      <c r="K5" s="33"/>
      <c r="L5" s="34"/>
    </row>
    <row r="6" spans="1:12" s="24" customFormat="1" ht="25.5">
      <c r="A6" s="29">
        <f>+A4+1</f>
        <v>2</v>
      </c>
      <c r="B6" s="35" t="s">
        <v>12</v>
      </c>
      <c r="C6" s="29">
        <v>2005</v>
      </c>
      <c r="D6" s="35">
        <v>12</v>
      </c>
      <c r="E6" s="72">
        <v>0</v>
      </c>
      <c r="F6" s="29">
        <f aca="true" t="shared" si="0" ref="F6:F48">E6+D6</f>
        <v>12</v>
      </c>
      <c r="G6" s="35" t="s">
        <v>82</v>
      </c>
      <c r="H6" s="91">
        <v>0.8229</v>
      </c>
      <c r="I6" s="31">
        <v>1.0685</v>
      </c>
      <c r="J6" s="32">
        <f>LOG(16.089)</f>
        <v>1.2065290516827305</v>
      </c>
      <c r="K6" s="33">
        <v>1902</v>
      </c>
      <c r="L6" s="34"/>
    </row>
    <row r="7" spans="1:12" s="24" customFormat="1" ht="25.5">
      <c r="A7" s="29"/>
      <c r="B7" s="29"/>
      <c r="C7" s="29" t="s">
        <v>50</v>
      </c>
      <c r="D7" s="29">
        <v>357</v>
      </c>
      <c r="E7" s="72">
        <v>0</v>
      </c>
      <c r="F7" s="29">
        <f t="shared" si="0"/>
        <v>357</v>
      </c>
      <c r="G7" s="29" t="s">
        <v>51</v>
      </c>
      <c r="H7" s="30">
        <v>0.9198</v>
      </c>
      <c r="I7" s="31">
        <v>1.5129</v>
      </c>
      <c r="J7" s="32">
        <f>LOG(4.0008)</f>
        <v>0.6021468415396113</v>
      </c>
      <c r="K7" s="33"/>
      <c r="L7" s="34"/>
    </row>
    <row r="8" spans="1:12" s="24" customFormat="1" ht="25.5">
      <c r="A8" s="29">
        <f>+A6+1</f>
        <v>3</v>
      </c>
      <c r="B8" s="35" t="s">
        <v>23</v>
      </c>
      <c r="C8" s="29">
        <v>2005</v>
      </c>
      <c r="D8" s="35">
        <v>15</v>
      </c>
      <c r="E8" s="72">
        <v>0</v>
      </c>
      <c r="F8" s="29">
        <f t="shared" si="0"/>
        <v>15</v>
      </c>
      <c r="G8" s="35" t="s">
        <v>83</v>
      </c>
      <c r="H8" s="91">
        <v>0.8028</v>
      </c>
      <c r="I8" s="31">
        <v>1.6095</v>
      </c>
      <c r="J8" s="32">
        <f>LOG(8.5435)</f>
        <v>0.9316358237674642</v>
      </c>
      <c r="K8" s="33">
        <v>3853</v>
      </c>
      <c r="L8" s="34"/>
    </row>
    <row r="9" spans="1:12" s="24" customFormat="1" ht="25.5">
      <c r="A9" s="29"/>
      <c r="B9" s="29"/>
      <c r="C9" s="29" t="s">
        <v>52</v>
      </c>
      <c r="D9" s="29">
        <v>410</v>
      </c>
      <c r="E9" s="72">
        <v>0</v>
      </c>
      <c r="F9" s="29">
        <f t="shared" si="0"/>
        <v>410</v>
      </c>
      <c r="G9" s="29" t="s">
        <v>53</v>
      </c>
      <c r="H9" s="30">
        <v>0.7318</v>
      </c>
      <c r="I9" s="31">
        <v>2.0592</v>
      </c>
      <c r="J9" s="32">
        <f>LOG(0.7333)</f>
        <v>-0.13471831500438947</v>
      </c>
      <c r="K9" s="33"/>
      <c r="L9" s="34"/>
    </row>
    <row r="10" spans="1:12" s="24" customFormat="1" ht="25.5">
      <c r="A10" s="29">
        <f>+A8+1</f>
        <v>4</v>
      </c>
      <c r="B10" s="35" t="s">
        <v>41</v>
      </c>
      <c r="C10" s="29">
        <v>2005</v>
      </c>
      <c r="D10" s="35">
        <v>12</v>
      </c>
      <c r="E10" s="72">
        <v>0</v>
      </c>
      <c r="F10" s="29">
        <f>E10+D10</f>
        <v>12</v>
      </c>
      <c r="G10" s="35" t="s">
        <v>84</v>
      </c>
      <c r="H10" s="91">
        <v>0.751</v>
      </c>
      <c r="I10" s="31">
        <v>1.1777</v>
      </c>
      <c r="J10" s="32">
        <f>LOG(10.132)</f>
        <v>1.0056951811185104</v>
      </c>
      <c r="K10" s="33">
        <v>515</v>
      </c>
      <c r="L10" s="34"/>
    </row>
    <row r="11" spans="1:12" s="24" customFormat="1" ht="25.5">
      <c r="A11" s="29"/>
      <c r="B11" s="29"/>
      <c r="C11" s="29" t="s">
        <v>52</v>
      </c>
      <c r="D11" s="29">
        <v>126</v>
      </c>
      <c r="E11" s="72">
        <v>0</v>
      </c>
      <c r="F11" s="29">
        <f>E11+D11</f>
        <v>126</v>
      </c>
      <c r="G11" s="29" t="s">
        <v>54</v>
      </c>
      <c r="H11" s="30">
        <v>0.905</v>
      </c>
      <c r="I11" s="31">
        <v>1.3169</v>
      </c>
      <c r="J11" s="32">
        <f>LOG(5.5961)</f>
        <v>0.7478854665524839</v>
      </c>
      <c r="K11" s="33"/>
      <c r="L11" s="34"/>
    </row>
    <row r="12" spans="1:12" s="24" customFormat="1" ht="25.5">
      <c r="A12" s="29">
        <f>+A10+1</f>
        <v>5</v>
      </c>
      <c r="B12" s="35" t="s">
        <v>24</v>
      </c>
      <c r="C12" s="29">
        <v>2005</v>
      </c>
      <c r="D12" s="35">
        <v>12</v>
      </c>
      <c r="E12" s="72">
        <v>0</v>
      </c>
      <c r="F12" s="29">
        <f t="shared" si="0"/>
        <v>12</v>
      </c>
      <c r="G12" s="35" t="s">
        <v>85</v>
      </c>
      <c r="H12" s="91">
        <v>0.9482</v>
      </c>
      <c r="I12" s="31">
        <v>1.3893</v>
      </c>
      <c r="J12" s="32">
        <f>LOG(7.78)</f>
        <v>0.890979596989689</v>
      </c>
      <c r="K12" s="33">
        <v>539</v>
      </c>
      <c r="L12" s="34"/>
    </row>
    <row r="13" spans="1:12" s="24" customFormat="1" ht="25.5">
      <c r="A13" s="29"/>
      <c r="B13" s="29"/>
      <c r="C13" s="29" t="s">
        <v>55</v>
      </c>
      <c r="D13" s="29">
        <v>155</v>
      </c>
      <c r="E13" s="72">
        <v>0</v>
      </c>
      <c r="F13" s="29">
        <f t="shared" si="0"/>
        <v>155</v>
      </c>
      <c r="G13" s="29" t="s">
        <v>56</v>
      </c>
      <c r="H13" s="30">
        <v>0.9401</v>
      </c>
      <c r="I13" s="31">
        <v>1.3383</v>
      </c>
      <c r="J13" s="32">
        <f>LOG(5.4289)</f>
        <v>0.7347118420520379</v>
      </c>
      <c r="K13" s="33"/>
      <c r="L13" s="34"/>
    </row>
    <row r="14" spans="1:12" s="24" customFormat="1" ht="25.5">
      <c r="A14" s="29">
        <f>+A12+1</f>
        <v>6</v>
      </c>
      <c r="B14" s="35" t="s">
        <v>43</v>
      </c>
      <c r="C14" s="29">
        <v>2005</v>
      </c>
      <c r="D14" s="35">
        <v>9</v>
      </c>
      <c r="E14" s="72">
        <v>0</v>
      </c>
      <c r="F14" s="29">
        <f t="shared" si="0"/>
        <v>9</v>
      </c>
      <c r="G14" s="35" t="s">
        <v>86</v>
      </c>
      <c r="H14" s="91">
        <v>0.9103</v>
      </c>
      <c r="I14" s="31">
        <v>1.5145</v>
      </c>
      <c r="J14" s="32">
        <f>LOG(0.9421)</f>
        <v>-0.025902996205868847</v>
      </c>
      <c r="K14" s="33">
        <v>16815</v>
      </c>
      <c r="L14" s="34"/>
    </row>
    <row r="15" spans="1:12" s="24" customFormat="1" ht="25.5">
      <c r="A15" s="29"/>
      <c r="B15" s="29"/>
      <c r="C15" s="29" t="s">
        <v>57</v>
      </c>
      <c r="D15" s="29">
        <v>137</v>
      </c>
      <c r="E15" s="72">
        <v>0</v>
      </c>
      <c r="F15" s="29">
        <f>E15+D15</f>
        <v>137</v>
      </c>
      <c r="G15" s="29" t="s">
        <v>58</v>
      </c>
      <c r="H15" s="30">
        <v>0.8766</v>
      </c>
      <c r="I15" s="31">
        <v>1.3362</v>
      </c>
      <c r="J15" s="32">
        <f>LOG(1.5813)</f>
        <v>0.19901427093461982</v>
      </c>
      <c r="K15" s="33"/>
      <c r="L15" s="34"/>
    </row>
    <row r="16" spans="1:12" s="24" customFormat="1" ht="25.5">
      <c r="A16" s="29">
        <f>+A14+1</f>
        <v>7</v>
      </c>
      <c r="B16" s="35" t="s">
        <v>44</v>
      </c>
      <c r="C16" s="29">
        <v>2005</v>
      </c>
      <c r="D16" s="35">
        <v>12</v>
      </c>
      <c r="E16" s="72">
        <v>0</v>
      </c>
      <c r="F16" s="29">
        <f t="shared" si="0"/>
        <v>12</v>
      </c>
      <c r="G16" s="35" t="s">
        <v>87</v>
      </c>
      <c r="H16" s="91">
        <v>0.8489</v>
      </c>
      <c r="I16" s="31">
        <v>1.3228</v>
      </c>
      <c r="J16" s="32">
        <f>LOG(4.3077)</f>
        <v>0.6342454502245317</v>
      </c>
      <c r="K16" s="33">
        <v>3090</v>
      </c>
      <c r="L16" s="34"/>
    </row>
    <row r="17" spans="1:12" s="24" customFormat="1" ht="25.5">
      <c r="A17" s="29"/>
      <c r="B17" s="29"/>
      <c r="C17" s="29" t="s">
        <v>57</v>
      </c>
      <c r="D17" s="29">
        <v>135</v>
      </c>
      <c r="E17" s="72">
        <v>0</v>
      </c>
      <c r="F17" s="29">
        <f>E17+D17</f>
        <v>135</v>
      </c>
      <c r="G17" s="29" t="s">
        <v>59</v>
      </c>
      <c r="H17" s="30">
        <v>0.7956</v>
      </c>
      <c r="I17" s="31">
        <v>1.6857</v>
      </c>
      <c r="J17" s="32">
        <f>LOG(0.7702)</f>
        <v>-0.1133964857132877</v>
      </c>
      <c r="K17" s="33"/>
      <c r="L17" s="34"/>
    </row>
    <row r="18" spans="1:12" s="24" customFormat="1" ht="25.5">
      <c r="A18" s="29">
        <f>+A16+1</f>
        <v>8</v>
      </c>
      <c r="B18" s="35" t="s">
        <v>45</v>
      </c>
      <c r="C18" s="29">
        <v>2005</v>
      </c>
      <c r="D18" s="35">
        <v>3</v>
      </c>
      <c r="E18" s="72">
        <v>0</v>
      </c>
      <c r="F18" s="29">
        <f t="shared" si="0"/>
        <v>3</v>
      </c>
      <c r="G18" s="35" t="s">
        <v>88</v>
      </c>
      <c r="H18" s="91">
        <v>0.953</v>
      </c>
      <c r="I18" s="31">
        <v>1.0968</v>
      </c>
      <c r="J18" s="32">
        <f>LOG(6.605)</f>
        <v>0.819872821950546</v>
      </c>
      <c r="K18" s="33">
        <v>1541</v>
      </c>
      <c r="L18" s="36"/>
    </row>
    <row r="19" spans="1:12" s="24" customFormat="1" ht="25.5">
      <c r="A19" s="29"/>
      <c r="B19" s="29"/>
      <c r="C19" s="29" t="s">
        <v>57</v>
      </c>
      <c r="D19" s="29">
        <v>109</v>
      </c>
      <c r="E19" s="72">
        <v>0</v>
      </c>
      <c r="F19" s="29">
        <f>E19+D19</f>
        <v>109</v>
      </c>
      <c r="G19" s="29" t="s">
        <v>60</v>
      </c>
      <c r="H19" s="30">
        <v>0.8735</v>
      </c>
      <c r="I19" s="31">
        <v>1.2261</v>
      </c>
      <c r="J19" s="32">
        <f>LOG(4.5932)</f>
        <v>0.6621153561528073</v>
      </c>
      <c r="K19" s="33"/>
      <c r="L19" s="36"/>
    </row>
    <row r="20" spans="1:12" s="24" customFormat="1" ht="25.5">
      <c r="A20" s="29">
        <f>+A18+1</f>
        <v>9</v>
      </c>
      <c r="B20" s="35" t="s">
        <v>25</v>
      </c>
      <c r="C20" s="29">
        <v>2005</v>
      </c>
      <c r="D20" s="35">
        <v>3</v>
      </c>
      <c r="E20" s="72">
        <v>0</v>
      </c>
      <c r="F20" s="29">
        <f t="shared" si="0"/>
        <v>3</v>
      </c>
      <c r="G20" s="35" t="s">
        <v>89</v>
      </c>
      <c r="H20" s="91">
        <v>0.9688</v>
      </c>
      <c r="I20" s="31">
        <v>1.5687</v>
      </c>
      <c r="J20" s="32">
        <f>LOG(10.584)</f>
        <v>1.0246498311794445</v>
      </c>
      <c r="K20" s="33">
        <v>547</v>
      </c>
      <c r="L20" s="36"/>
    </row>
    <row r="21" spans="1:12" s="24" customFormat="1" ht="25.5">
      <c r="A21" s="29"/>
      <c r="B21" s="29"/>
      <c r="C21" s="29" t="s">
        <v>61</v>
      </c>
      <c r="D21" s="29">
        <v>136</v>
      </c>
      <c r="E21" s="72">
        <v>0</v>
      </c>
      <c r="F21" s="29">
        <f t="shared" si="0"/>
        <v>136</v>
      </c>
      <c r="G21" s="37" t="s">
        <v>62</v>
      </c>
      <c r="H21" s="38">
        <v>0.9221</v>
      </c>
      <c r="I21" s="31">
        <v>1.2516</v>
      </c>
      <c r="J21" s="32">
        <f>LOG(4.9648)</f>
        <v>0.6959017582400905</v>
      </c>
      <c r="K21" s="33"/>
      <c r="L21" s="36"/>
    </row>
    <row r="22" spans="1:12" s="24" customFormat="1" ht="23.25">
      <c r="A22" s="29">
        <f>+A20+1</f>
        <v>10</v>
      </c>
      <c r="B22" s="35" t="s">
        <v>90</v>
      </c>
      <c r="C22" s="34" t="s">
        <v>91</v>
      </c>
      <c r="D22" s="35"/>
      <c r="E22" s="72"/>
      <c r="F22" s="29"/>
      <c r="G22" s="35"/>
      <c r="H22" s="91"/>
      <c r="I22" s="31"/>
      <c r="J22" s="32"/>
      <c r="K22" s="33"/>
      <c r="L22" s="36"/>
    </row>
    <row r="23" spans="1:12" s="24" customFormat="1" ht="25.5">
      <c r="A23" s="29">
        <v>11</v>
      </c>
      <c r="B23" s="35" t="s">
        <v>92</v>
      </c>
      <c r="C23" s="29">
        <v>2005</v>
      </c>
      <c r="D23" s="35">
        <v>9</v>
      </c>
      <c r="E23" s="72">
        <v>0</v>
      </c>
      <c r="F23" s="29">
        <f>E23+D23</f>
        <v>9</v>
      </c>
      <c r="G23" s="35" t="s">
        <v>93</v>
      </c>
      <c r="H23" s="91">
        <v>0.7822</v>
      </c>
      <c r="I23" s="31">
        <v>2.2236</v>
      </c>
      <c r="J23" s="32">
        <f>LOG(21.398)</f>
        <v>1.3303731831830878</v>
      </c>
      <c r="K23" s="33"/>
      <c r="L23" s="36"/>
    </row>
    <row r="24" spans="1:12" s="24" customFormat="1" ht="25.5">
      <c r="A24" s="29">
        <v>12</v>
      </c>
      <c r="B24" s="35" t="s">
        <v>16</v>
      </c>
      <c r="C24" s="29">
        <v>2005</v>
      </c>
      <c r="D24" s="35">
        <v>15</v>
      </c>
      <c r="E24" s="72">
        <v>0</v>
      </c>
      <c r="F24" s="29">
        <f t="shared" si="0"/>
        <v>15</v>
      </c>
      <c r="G24" s="35" t="s">
        <v>94</v>
      </c>
      <c r="H24" s="91">
        <v>0.8587</v>
      </c>
      <c r="I24" s="31">
        <v>1.2197</v>
      </c>
      <c r="J24" s="32">
        <f>LOG(6.7552)</f>
        <v>0.8296382116275623</v>
      </c>
      <c r="K24" s="33">
        <v>8985</v>
      </c>
      <c r="L24" s="36"/>
    </row>
    <row r="25" spans="1:12" s="24" customFormat="1" ht="25.5">
      <c r="A25" s="29"/>
      <c r="B25" s="29"/>
      <c r="C25" s="29" t="s">
        <v>55</v>
      </c>
      <c r="D25" s="29">
        <v>173</v>
      </c>
      <c r="E25" s="72">
        <v>0</v>
      </c>
      <c r="F25" s="29">
        <f t="shared" si="0"/>
        <v>173</v>
      </c>
      <c r="G25" s="29" t="s">
        <v>63</v>
      </c>
      <c r="H25" s="30">
        <v>0.9055</v>
      </c>
      <c r="I25" s="31">
        <v>1.416</v>
      </c>
      <c r="J25" s="32">
        <f>LOG(1.8157)</f>
        <v>0.25904409357523217</v>
      </c>
      <c r="K25" s="33"/>
      <c r="L25" s="36"/>
    </row>
    <row r="26" spans="1:12" s="24" customFormat="1" ht="25.5">
      <c r="A26" s="29">
        <f>+A24+1</f>
        <v>13</v>
      </c>
      <c r="B26" s="35" t="s">
        <v>26</v>
      </c>
      <c r="C26" s="29">
        <v>2005</v>
      </c>
      <c r="D26" s="35">
        <v>15</v>
      </c>
      <c r="E26" s="72">
        <v>0</v>
      </c>
      <c r="F26" s="29">
        <f t="shared" si="0"/>
        <v>15</v>
      </c>
      <c r="G26" s="35" t="s">
        <v>95</v>
      </c>
      <c r="H26" s="91">
        <v>0.9678</v>
      </c>
      <c r="I26" s="31">
        <v>1.6327</v>
      </c>
      <c r="J26" s="32">
        <f>LOG(5.446)</f>
        <v>0.7360776370039458</v>
      </c>
      <c r="K26" s="33">
        <v>1388</v>
      </c>
      <c r="L26" s="36"/>
    </row>
    <row r="27" spans="1:12" s="24" customFormat="1" ht="25.5">
      <c r="A27" s="29"/>
      <c r="B27" s="29"/>
      <c r="C27" s="29" t="s">
        <v>61</v>
      </c>
      <c r="D27" s="29">
        <v>132</v>
      </c>
      <c r="E27" s="72">
        <v>0</v>
      </c>
      <c r="F27" s="29">
        <f t="shared" si="0"/>
        <v>132</v>
      </c>
      <c r="G27" s="29" t="s">
        <v>64</v>
      </c>
      <c r="H27" s="30">
        <v>0.9376</v>
      </c>
      <c r="I27" s="31">
        <v>1.5277</v>
      </c>
      <c r="J27" s="32">
        <f>LOG(3.4761)</f>
        <v>0.5410922616844246</v>
      </c>
      <c r="K27" s="33"/>
      <c r="L27" s="36"/>
    </row>
    <row r="28" spans="1:12" s="24" customFormat="1" ht="25.5">
      <c r="A28" s="29">
        <f>+A26+1</f>
        <v>14</v>
      </c>
      <c r="B28" s="35" t="s">
        <v>17</v>
      </c>
      <c r="C28" s="29">
        <v>2005</v>
      </c>
      <c r="D28" s="35">
        <v>15</v>
      </c>
      <c r="E28" s="72">
        <v>0</v>
      </c>
      <c r="F28" s="29">
        <f t="shared" si="0"/>
        <v>15</v>
      </c>
      <c r="G28" s="35" t="s">
        <v>96</v>
      </c>
      <c r="H28" s="91">
        <v>0.9429</v>
      </c>
      <c r="I28" s="31">
        <v>1.5829</v>
      </c>
      <c r="J28" s="32">
        <f>LOG(3.9937)</f>
        <v>0.6013754382918273</v>
      </c>
      <c r="K28" s="33">
        <v>619</v>
      </c>
      <c r="L28" s="36"/>
    </row>
    <row r="29" spans="1:12" s="24" customFormat="1" ht="25.5">
      <c r="A29" s="29"/>
      <c r="B29" s="29"/>
      <c r="C29" s="29" t="s">
        <v>65</v>
      </c>
      <c r="D29" s="29">
        <v>245</v>
      </c>
      <c r="E29" s="72">
        <v>0</v>
      </c>
      <c r="F29" s="29">
        <f t="shared" si="0"/>
        <v>245</v>
      </c>
      <c r="G29" s="29" t="s">
        <v>66</v>
      </c>
      <c r="H29" s="30">
        <v>0.8786</v>
      </c>
      <c r="I29" s="31">
        <v>1.4853</v>
      </c>
      <c r="J29" s="32">
        <f>LOG(3.3984)</f>
        <v>0.5312744950653563</v>
      </c>
      <c r="K29" s="33"/>
      <c r="L29" s="36"/>
    </row>
    <row r="30" spans="1:12" s="24" customFormat="1" ht="25.5">
      <c r="A30" s="29">
        <f>+A28+1</f>
        <v>15</v>
      </c>
      <c r="B30" s="35" t="s">
        <v>27</v>
      </c>
      <c r="C30" s="29">
        <v>2005</v>
      </c>
      <c r="D30" s="35">
        <v>15</v>
      </c>
      <c r="E30" s="72">
        <v>0</v>
      </c>
      <c r="F30" s="29">
        <f t="shared" si="0"/>
        <v>15</v>
      </c>
      <c r="G30" s="35" t="s">
        <v>97</v>
      </c>
      <c r="H30" s="91">
        <v>0.9597</v>
      </c>
      <c r="I30" s="31">
        <v>1.3912</v>
      </c>
      <c r="J30" s="32">
        <f>LOG(9.7583)</f>
        <v>0.9893741655226934</v>
      </c>
      <c r="K30" s="33">
        <v>1065</v>
      </c>
      <c r="L30" s="34"/>
    </row>
    <row r="31" spans="1:12" s="24" customFormat="1" ht="25.5">
      <c r="A31" s="49"/>
      <c r="B31" s="49"/>
      <c r="C31" s="49" t="s">
        <v>65</v>
      </c>
      <c r="D31" s="49">
        <v>244</v>
      </c>
      <c r="E31" s="74">
        <v>0</v>
      </c>
      <c r="F31" s="49">
        <f t="shared" si="0"/>
        <v>244</v>
      </c>
      <c r="G31" s="49" t="s">
        <v>67</v>
      </c>
      <c r="H31" s="50">
        <v>0.9351</v>
      </c>
      <c r="I31" s="51">
        <v>1.3628</v>
      </c>
      <c r="J31" s="52">
        <f>LOG(4.538)</f>
        <v>0.6568644915489172</v>
      </c>
      <c r="K31" s="96"/>
      <c r="L31" s="53"/>
    </row>
    <row r="32" spans="1:12" s="24" customFormat="1" ht="25.5">
      <c r="A32" s="65">
        <f>+A30+1</f>
        <v>16</v>
      </c>
      <c r="B32" s="66" t="s">
        <v>18</v>
      </c>
      <c r="C32" s="65">
        <v>2005</v>
      </c>
      <c r="D32" s="66">
        <v>15</v>
      </c>
      <c r="E32" s="67">
        <v>0</v>
      </c>
      <c r="F32" s="65">
        <f t="shared" si="0"/>
        <v>15</v>
      </c>
      <c r="G32" s="66" t="s">
        <v>98</v>
      </c>
      <c r="H32" s="90">
        <v>0.9628</v>
      </c>
      <c r="I32" s="68">
        <v>1.3171</v>
      </c>
      <c r="J32" s="69">
        <f>LOG(6.6994)</f>
        <v>0.8260359089161322</v>
      </c>
      <c r="K32" s="70">
        <v>3415</v>
      </c>
      <c r="L32" s="71"/>
    </row>
    <row r="33" spans="1:12" s="24" customFormat="1" ht="25.5">
      <c r="A33" s="29"/>
      <c r="B33" s="29"/>
      <c r="C33" s="29" t="s">
        <v>68</v>
      </c>
      <c r="D33" s="29">
        <v>165</v>
      </c>
      <c r="E33" s="72">
        <v>0</v>
      </c>
      <c r="F33" s="29">
        <f t="shared" si="0"/>
        <v>165</v>
      </c>
      <c r="G33" s="29" t="s">
        <v>69</v>
      </c>
      <c r="H33" s="30">
        <v>0.9292</v>
      </c>
      <c r="I33" s="31">
        <v>1.3519</v>
      </c>
      <c r="J33" s="32">
        <f>LOG(3.9988)</f>
        <v>0.6019296834362302</v>
      </c>
      <c r="K33" s="33"/>
      <c r="L33" s="34"/>
    </row>
    <row r="34" spans="1:12" s="24" customFormat="1" ht="25.5">
      <c r="A34" s="40">
        <v>17</v>
      </c>
      <c r="B34" s="46" t="s">
        <v>19</v>
      </c>
      <c r="C34" s="40">
        <v>2005</v>
      </c>
      <c r="D34" s="46">
        <v>15</v>
      </c>
      <c r="E34" s="73">
        <v>0</v>
      </c>
      <c r="F34" s="40">
        <f>E34+D34</f>
        <v>15</v>
      </c>
      <c r="G34" s="46" t="s">
        <v>99</v>
      </c>
      <c r="H34" s="92">
        <v>0.9705</v>
      </c>
      <c r="I34" s="42">
        <v>1.4925</v>
      </c>
      <c r="J34" s="43">
        <f>LOG(3.0081)</f>
        <v>0.4782922696610632</v>
      </c>
      <c r="K34" s="44"/>
      <c r="L34" s="34"/>
    </row>
    <row r="35" spans="1:12" s="24" customFormat="1" ht="25.5">
      <c r="A35" s="40"/>
      <c r="B35" s="40"/>
      <c r="C35" s="40" t="s">
        <v>55</v>
      </c>
      <c r="D35" s="40">
        <v>199</v>
      </c>
      <c r="E35" s="73">
        <v>0</v>
      </c>
      <c r="F35" s="40">
        <f>E35+D35</f>
        <v>199</v>
      </c>
      <c r="G35" s="40" t="s">
        <v>73</v>
      </c>
      <c r="H35" s="41">
        <v>0.9339</v>
      </c>
      <c r="I35" s="42">
        <v>1.4694</v>
      </c>
      <c r="J35" s="43">
        <f>LOG(2.2178)</f>
        <v>0.345922379138341</v>
      </c>
      <c r="K35" s="44"/>
      <c r="L35" s="34"/>
    </row>
    <row r="36" spans="1:12" s="39" customFormat="1" ht="22.5" customHeight="1">
      <c r="A36" s="40">
        <v>18</v>
      </c>
      <c r="B36" s="46" t="s">
        <v>20</v>
      </c>
      <c r="C36" s="40">
        <v>2005</v>
      </c>
      <c r="D36" s="46">
        <v>17</v>
      </c>
      <c r="E36" s="73">
        <v>0</v>
      </c>
      <c r="F36" s="40">
        <f t="shared" si="0"/>
        <v>17</v>
      </c>
      <c r="G36" s="46" t="s">
        <v>100</v>
      </c>
      <c r="H36" s="92">
        <v>0.8971</v>
      </c>
      <c r="I36" s="42">
        <v>1.2667</v>
      </c>
      <c r="J36" s="43">
        <f>LOG(16.318)</f>
        <v>1.2126669287934233</v>
      </c>
      <c r="K36" s="44">
        <v>597</v>
      </c>
      <c r="L36" s="45"/>
    </row>
    <row r="37" spans="1:12" s="39" customFormat="1" ht="22.5" customHeight="1">
      <c r="A37" s="40"/>
      <c r="B37" s="40"/>
      <c r="C37" s="40" t="s">
        <v>55</v>
      </c>
      <c r="D37" s="40">
        <v>229</v>
      </c>
      <c r="E37" s="73">
        <v>0</v>
      </c>
      <c r="F37" s="40">
        <f t="shared" si="0"/>
        <v>229</v>
      </c>
      <c r="G37" s="40" t="s">
        <v>74</v>
      </c>
      <c r="H37" s="41">
        <v>0.9081</v>
      </c>
      <c r="I37" s="42">
        <v>1.3228</v>
      </c>
      <c r="J37" s="43">
        <f>LOG(6.1271)</f>
        <v>0.7872549684817474</v>
      </c>
      <c r="K37" s="44"/>
      <c r="L37" s="45"/>
    </row>
    <row r="38" spans="1:12" s="39" customFormat="1" ht="22.5" customHeight="1">
      <c r="A38" s="40">
        <f>+A36+1</f>
        <v>19</v>
      </c>
      <c r="B38" s="46" t="s">
        <v>28</v>
      </c>
      <c r="C38" s="40">
        <v>2005</v>
      </c>
      <c r="D38" s="46">
        <v>18</v>
      </c>
      <c r="E38" s="73">
        <v>0</v>
      </c>
      <c r="F38" s="40">
        <f t="shared" si="0"/>
        <v>18</v>
      </c>
      <c r="G38" s="46" t="s">
        <v>101</v>
      </c>
      <c r="H38" s="92">
        <v>0.7424</v>
      </c>
      <c r="I38" s="42">
        <v>1.237</v>
      </c>
      <c r="J38" s="43">
        <f>LOG(5.7908)</f>
        <v>0.7627385657283472</v>
      </c>
      <c r="K38" s="44">
        <v>822</v>
      </c>
      <c r="L38" s="45"/>
    </row>
    <row r="39" spans="1:12" s="39" customFormat="1" ht="22.5" customHeight="1">
      <c r="A39" s="40"/>
      <c r="B39" s="40"/>
      <c r="C39" s="40" t="s">
        <v>61</v>
      </c>
      <c r="D39" s="40">
        <v>182</v>
      </c>
      <c r="E39" s="73">
        <v>0</v>
      </c>
      <c r="F39" s="40">
        <f t="shared" si="0"/>
        <v>182</v>
      </c>
      <c r="G39" s="40" t="s">
        <v>75</v>
      </c>
      <c r="H39" s="41">
        <v>0.869</v>
      </c>
      <c r="I39" s="42">
        <v>1.5222</v>
      </c>
      <c r="J39" s="43">
        <f>LOG(2.4095)</f>
        <v>0.38192693063722727</v>
      </c>
      <c r="K39" s="44"/>
      <c r="L39" s="45"/>
    </row>
    <row r="40" spans="1:12" s="39" customFormat="1" ht="22.5" customHeight="1">
      <c r="A40" s="40">
        <f>+A38+1</f>
        <v>20</v>
      </c>
      <c r="B40" s="46" t="s">
        <v>29</v>
      </c>
      <c r="C40" s="40">
        <v>2005</v>
      </c>
      <c r="D40" s="46">
        <v>12</v>
      </c>
      <c r="E40" s="73">
        <v>0</v>
      </c>
      <c r="F40" s="40">
        <f t="shared" si="0"/>
        <v>12</v>
      </c>
      <c r="G40" s="46" t="s">
        <v>102</v>
      </c>
      <c r="H40" s="92">
        <v>0.9698</v>
      </c>
      <c r="I40" s="42">
        <v>1.0773</v>
      </c>
      <c r="J40" s="43">
        <f>LOG(10.895)</f>
        <v>1.0372272345822744</v>
      </c>
      <c r="K40" s="44">
        <v>8784</v>
      </c>
      <c r="L40" s="45"/>
    </row>
    <row r="41" spans="1:12" s="39" customFormat="1" ht="22.5" customHeight="1">
      <c r="A41" s="40"/>
      <c r="B41" s="40"/>
      <c r="C41" s="40" t="s">
        <v>71</v>
      </c>
      <c r="D41" s="40">
        <v>300</v>
      </c>
      <c r="E41" s="73">
        <v>0</v>
      </c>
      <c r="F41" s="40">
        <f t="shared" si="0"/>
        <v>300</v>
      </c>
      <c r="G41" s="40" t="s">
        <v>76</v>
      </c>
      <c r="H41" s="41">
        <v>0.8788</v>
      </c>
      <c r="I41" s="42">
        <v>1.568</v>
      </c>
      <c r="J41" s="43">
        <f>LOG(0.4698)</f>
        <v>-0.328086987558413</v>
      </c>
      <c r="K41" s="44"/>
      <c r="L41" s="45"/>
    </row>
    <row r="42" spans="1:12" s="39" customFormat="1" ht="22.5" customHeight="1">
      <c r="A42" s="40">
        <f>+A40+1</f>
        <v>21</v>
      </c>
      <c r="B42" s="46" t="s">
        <v>30</v>
      </c>
      <c r="C42" s="40">
        <v>2005</v>
      </c>
      <c r="D42" s="46">
        <v>9</v>
      </c>
      <c r="E42" s="73">
        <v>0</v>
      </c>
      <c r="F42" s="40">
        <f t="shared" si="0"/>
        <v>9</v>
      </c>
      <c r="G42" s="46" t="s">
        <v>103</v>
      </c>
      <c r="H42" s="92">
        <v>0.9196</v>
      </c>
      <c r="I42" s="42">
        <v>0.987</v>
      </c>
      <c r="J42" s="43">
        <f>LOG(2.7041)</f>
        <v>0.43202274815907715</v>
      </c>
      <c r="K42" s="44">
        <v>155</v>
      </c>
      <c r="L42" s="45"/>
    </row>
    <row r="43" spans="1:12" s="39" customFormat="1" ht="22.5" customHeight="1">
      <c r="A43" s="40"/>
      <c r="B43" s="40"/>
      <c r="C43" s="40" t="s">
        <v>61</v>
      </c>
      <c r="D43" s="40">
        <v>131</v>
      </c>
      <c r="E43" s="73">
        <v>0</v>
      </c>
      <c r="F43" s="40">
        <f>E43+D43</f>
        <v>131</v>
      </c>
      <c r="G43" s="47" t="s">
        <v>77</v>
      </c>
      <c r="H43" s="41">
        <v>0.7501</v>
      </c>
      <c r="I43" s="42">
        <v>1.1838</v>
      </c>
      <c r="J43" s="43">
        <f>LOG(2.6379)</f>
        <v>0.4212583278777604</v>
      </c>
      <c r="K43" s="48"/>
      <c r="L43" s="45"/>
    </row>
    <row r="44" spans="1:12" s="39" customFormat="1" ht="22.5" customHeight="1">
      <c r="A44" s="40">
        <f>+A42+1</f>
        <v>22</v>
      </c>
      <c r="B44" s="46" t="s">
        <v>31</v>
      </c>
      <c r="C44" s="40">
        <v>2005</v>
      </c>
      <c r="D44" s="46">
        <v>9</v>
      </c>
      <c r="E44" s="73">
        <v>0</v>
      </c>
      <c r="F44" s="40">
        <f t="shared" si="0"/>
        <v>9</v>
      </c>
      <c r="G44" s="46" t="s">
        <v>104</v>
      </c>
      <c r="H44" s="92">
        <v>0.9214</v>
      </c>
      <c r="I44" s="42">
        <v>1.1758</v>
      </c>
      <c r="J44" s="43">
        <f>LOG(6.9288)</f>
        <v>0.8406580255923265</v>
      </c>
      <c r="K44" s="44">
        <v>788</v>
      </c>
      <c r="L44" s="45"/>
    </row>
    <row r="45" spans="1:12" s="39" customFormat="1" ht="22.5" customHeight="1">
      <c r="A45" s="40"/>
      <c r="B45" s="40"/>
      <c r="C45" s="40" t="s">
        <v>55</v>
      </c>
      <c r="D45" s="40">
        <v>201</v>
      </c>
      <c r="E45" s="73">
        <v>0</v>
      </c>
      <c r="F45" s="40">
        <f>E45+D45</f>
        <v>201</v>
      </c>
      <c r="G45" s="40" t="s">
        <v>78</v>
      </c>
      <c r="H45" s="41">
        <v>0.8881</v>
      </c>
      <c r="I45" s="42">
        <v>1.5631</v>
      </c>
      <c r="J45" s="43">
        <f>LOG(5.2416)</f>
        <v>0.7194638757443057</v>
      </c>
      <c r="K45" s="48"/>
      <c r="L45" s="45"/>
    </row>
    <row r="46" spans="1:12" s="39" customFormat="1" ht="22.5" customHeight="1">
      <c r="A46" s="40">
        <f>+A44+1</f>
        <v>23</v>
      </c>
      <c r="B46" s="46" t="s">
        <v>32</v>
      </c>
      <c r="C46" s="40">
        <v>2005</v>
      </c>
      <c r="D46" s="46">
        <v>9</v>
      </c>
      <c r="E46" s="73">
        <v>0</v>
      </c>
      <c r="F46" s="40">
        <f t="shared" si="0"/>
        <v>9</v>
      </c>
      <c r="G46" s="46" t="s">
        <v>105</v>
      </c>
      <c r="H46" s="92">
        <v>0.47</v>
      </c>
      <c r="I46" s="42">
        <v>0.8577</v>
      </c>
      <c r="J46" s="43">
        <f>LOG(7.2214)</f>
        <v>0.8586214016324819</v>
      </c>
      <c r="K46" s="44">
        <v>615</v>
      </c>
      <c r="L46" s="45"/>
    </row>
    <row r="47" spans="1:12" s="39" customFormat="1" ht="22.5" customHeight="1">
      <c r="A47" s="40"/>
      <c r="B47" s="40"/>
      <c r="C47" s="40" t="s">
        <v>55</v>
      </c>
      <c r="D47" s="40">
        <v>201</v>
      </c>
      <c r="E47" s="73">
        <v>0</v>
      </c>
      <c r="F47" s="40">
        <f>E47+D47</f>
        <v>201</v>
      </c>
      <c r="G47" s="40" t="s">
        <v>79</v>
      </c>
      <c r="H47" s="41">
        <v>0.8595</v>
      </c>
      <c r="I47" s="42">
        <v>1.5833</v>
      </c>
      <c r="J47" s="43">
        <f>LOG(1.241)</f>
        <v>0.09377178149872986</v>
      </c>
      <c r="K47" s="48"/>
      <c r="L47" s="45"/>
    </row>
    <row r="48" spans="1:12" s="39" customFormat="1" ht="22.5" customHeight="1">
      <c r="A48" s="40">
        <f>+A46+1</f>
        <v>24</v>
      </c>
      <c r="B48" s="46" t="s">
        <v>33</v>
      </c>
      <c r="C48" s="40">
        <v>2005</v>
      </c>
      <c r="D48" s="46">
        <v>12</v>
      </c>
      <c r="E48" s="73">
        <v>0</v>
      </c>
      <c r="F48" s="40">
        <f t="shared" si="0"/>
        <v>12</v>
      </c>
      <c r="G48" s="46" t="s">
        <v>81</v>
      </c>
      <c r="H48" s="92">
        <v>0.9015</v>
      </c>
      <c r="I48" s="42">
        <v>1.2385</v>
      </c>
      <c r="J48" s="43">
        <f>LOG(9.765)</f>
        <v>0.9896722476238732</v>
      </c>
      <c r="K48" s="44">
        <v>2934</v>
      </c>
      <c r="L48" s="45"/>
    </row>
    <row r="49" spans="1:12" s="39" customFormat="1" ht="22.5" customHeight="1">
      <c r="A49" s="40"/>
      <c r="B49" s="40"/>
      <c r="C49" s="40" t="s">
        <v>55</v>
      </c>
      <c r="D49" s="40">
        <v>227</v>
      </c>
      <c r="E49" s="73">
        <v>0</v>
      </c>
      <c r="F49" s="40">
        <f>E49+D49</f>
        <v>227</v>
      </c>
      <c r="G49" s="40" t="s">
        <v>70</v>
      </c>
      <c r="H49" s="41">
        <v>0.9305</v>
      </c>
      <c r="I49" s="42">
        <v>1.431</v>
      </c>
      <c r="J49" s="43">
        <f>LOG(4.8585)</f>
        <v>0.6865022070658582</v>
      </c>
      <c r="K49" s="48"/>
      <c r="L49" s="45"/>
    </row>
    <row r="50" spans="1:12" s="39" customFormat="1" ht="22.5" customHeight="1">
      <c r="A50" s="40">
        <v>25</v>
      </c>
      <c r="B50" s="46" t="s">
        <v>36</v>
      </c>
      <c r="C50" s="40">
        <v>2005</v>
      </c>
      <c r="D50" s="46">
        <v>9</v>
      </c>
      <c r="E50" s="73">
        <v>0</v>
      </c>
      <c r="F50" s="40">
        <f>E50+D50</f>
        <v>9</v>
      </c>
      <c r="G50" s="46" t="s">
        <v>106</v>
      </c>
      <c r="H50" s="92">
        <v>0.8552</v>
      </c>
      <c r="I50" s="42">
        <v>1.6245</v>
      </c>
      <c r="J50" s="43">
        <f>LOG(5.6608)</f>
        <v>0.7528778112296292</v>
      </c>
      <c r="K50" s="44">
        <v>6155</v>
      </c>
      <c r="L50" s="45"/>
    </row>
    <row r="51" spans="1:12" s="39" customFormat="1" ht="22.5" customHeight="1">
      <c r="A51" s="40"/>
      <c r="B51" s="40"/>
      <c r="C51" s="40" t="s">
        <v>71</v>
      </c>
      <c r="D51" s="40">
        <v>321</v>
      </c>
      <c r="E51" s="73">
        <v>0</v>
      </c>
      <c r="F51" s="40">
        <f>E51+D51</f>
        <v>321</v>
      </c>
      <c r="G51" s="40" t="s">
        <v>72</v>
      </c>
      <c r="H51" s="41">
        <v>0.9237</v>
      </c>
      <c r="I51" s="42">
        <v>1.1204</v>
      </c>
      <c r="J51" s="43">
        <f>LOG(6.1016)</f>
        <v>0.7854437333806575</v>
      </c>
      <c r="K51" s="40"/>
      <c r="L51" s="45"/>
    </row>
    <row r="52" spans="1:12" s="24" customFormat="1" ht="23.25">
      <c r="A52" s="49"/>
      <c r="B52" s="49"/>
      <c r="C52" s="49"/>
      <c r="D52" s="49"/>
      <c r="E52" s="74"/>
      <c r="F52" s="49"/>
      <c r="G52" s="49"/>
      <c r="H52" s="50"/>
      <c r="I52" s="51"/>
      <c r="J52" s="52"/>
      <c r="K52" s="49"/>
      <c r="L52" s="53"/>
    </row>
    <row r="53" spans="1:12" s="24" customFormat="1" ht="23.25">
      <c r="A53" s="54"/>
      <c r="B53" s="54"/>
      <c r="C53" s="54" t="s">
        <v>9</v>
      </c>
      <c r="D53" s="93">
        <f>SUM(D4:D52)</f>
        <v>5155</v>
      </c>
      <c r="E53" s="94">
        <f>SUM(E4:E52)</f>
        <v>0</v>
      </c>
      <c r="F53" s="95">
        <f>SUM(F4:F52)</f>
        <v>5155</v>
      </c>
      <c r="G53" s="55"/>
      <c r="H53" s="56"/>
      <c r="I53" s="55"/>
      <c r="J53" s="57"/>
      <c r="K53" s="58"/>
      <c r="L53" s="59"/>
    </row>
    <row r="54" spans="1:12" s="24" customFormat="1" ht="23.25">
      <c r="A54" s="75" t="s">
        <v>49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7"/>
    </row>
    <row r="55" spans="1:12" s="24" customFormat="1" ht="26.25">
      <c r="A55" s="60"/>
      <c r="B55" s="60"/>
      <c r="C55" s="60"/>
      <c r="D55" s="60"/>
      <c r="E55" s="60"/>
      <c r="F55" s="60"/>
      <c r="G55" s="22"/>
      <c r="H55" s="61"/>
      <c r="I55" s="22"/>
      <c r="J55" s="62"/>
      <c r="K55" s="22"/>
      <c r="L55" s="63"/>
    </row>
    <row r="56" spans="1:12" s="24" customFormat="1" ht="26.25">
      <c r="A56" s="60"/>
      <c r="B56" s="60"/>
      <c r="C56" s="60"/>
      <c r="D56" s="60"/>
      <c r="E56" s="60"/>
      <c r="F56" s="60"/>
      <c r="G56" s="22"/>
      <c r="H56" s="61"/>
      <c r="I56" s="22"/>
      <c r="J56" s="62"/>
      <c r="K56" s="22"/>
      <c r="L56" s="63"/>
    </row>
    <row r="57" spans="1:12" s="24" customFormat="1" ht="26.25">
      <c r="A57" s="60"/>
      <c r="B57" s="60"/>
      <c r="C57" s="60"/>
      <c r="D57" s="60"/>
      <c r="E57" s="60"/>
      <c r="F57" s="60"/>
      <c r="G57" s="22"/>
      <c r="H57" s="61"/>
      <c r="I57" s="22"/>
      <c r="J57" s="62"/>
      <c r="K57" s="22"/>
      <c r="L57" s="63"/>
    </row>
    <row r="58" spans="1:12" s="24" customFormat="1" ht="26.25">
      <c r="A58" s="60"/>
      <c r="B58" s="60"/>
      <c r="C58" s="60"/>
      <c r="D58" s="60"/>
      <c r="E58" s="60"/>
      <c r="F58" s="60"/>
      <c r="G58" s="22"/>
      <c r="H58" s="61"/>
      <c r="I58" s="22"/>
      <c r="J58" s="62"/>
      <c r="K58" s="22"/>
      <c r="L58" s="63"/>
    </row>
    <row r="59" spans="1:12" s="24" customFormat="1" ht="26.25">
      <c r="A59" s="60"/>
      <c r="B59" s="60"/>
      <c r="C59" s="60"/>
      <c r="D59" s="60"/>
      <c r="E59" s="60"/>
      <c r="F59" s="60"/>
      <c r="G59" s="22"/>
      <c r="H59" s="61"/>
      <c r="I59" s="22"/>
      <c r="J59" s="62"/>
      <c r="K59" s="22"/>
      <c r="L59" s="63"/>
    </row>
    <row r="60" spans="1:12" s="24" customFormat="1" ht="26.25">
      <c r="A60" s="60"/>
      <c r="B60" s="60"/>
      <c r="C60" s="60"/>
      <c r="D60" s="60"/>
      <c r="E60" s="60"/>
      <c r="F60" s="60"/>
      <c r="G60" s="22"/>
      <c r="H60" s="61"/>
      <c r="I60" s="22"/>
      <c r="J60" s="62"/>
      <c r="K60" s="22"/>
      <c r="L60" s="63"/>
    </row>
  </sheetData>
  <mergeCells count="11">
    <mergeCell ref="A54:L54"/>
    <mergeCell ref="A1:L1"/>
    <mergeCell ref="A2:A3"/>
    <mergeCell ref="B2:B3"/>
    <mergeCell ref="C2:C3"/>
    <mergeCell ref="D2:F2"/>
    <mergeCell ref="G2:G3"/>
    <mergeCell ref="H2:H3"/>
    <mergeCell ref="I2:I3"/>
    <mergeCell ref="J2:J3"/>
    <mergeCell ref="L2:L3"/>
  </mergeCells>
  <printOptions/>
  <pageMargins left="0.1968503937007874" right="0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pane xSplit="2" topLeftCell="C1" activePane="topRight" state="frozen"/>
      <selection pane="topLeft" activeCell="A1" sqref="A1"/>
      <selection pane="topRight" activeCell="D5" sqref="D5"/>
    </sheetView>
  </sheetViews>
  <sheetFormatPr defaultColWidth="9.140625" defaultRowHeight="21.75"/>
  <cols>
    <col min="1" max="1" width="9.140625" style="2" customWidth="1"/>
    <col min="2" max="2" width="6.140625" style="2" customWidth="1"/>
    <col min="3" max="3" width="20.8515625" style="13" customWidth="1"/>
    <col min="4" max="16384" width="9.140625" style="1" customWidth="1"/>
  </cols>
  <sheetData>
    <row r="1" spans="1:3" ht="30">
      <c r="A1" s="20" t="s">
        <v>22</v>
      </c>
      <c r="B1" s="15"/>
      <c r="C1" s="15"/>
    </row>
    <row r="2" spans="1:3" s="3" customFormat="1" ht="23.25">
      <c r="A2" s="89" t="s">
        <v>7</v>
      </c>
      <c r="B2" s="89" t="s">
        <v>0</v>
      </c>
      <c r="C2" s="64" t="s">
        <v>3</v>
      </c>
    </row>
    <row r="3" spans="1:3" s="3" customFormat="1" ht="23.25">
      <c r="A3" s="89"/>
      <c r="B3" s="89"/>
      <c r="C3" s="64"/>
    </row>
    <row r="4" spans="1:5" s="3" customFormat="1" ht="23.25">
      <c r="A4" s="4">
        <v>1</v>
      </c>
      <c r="B4" s="5" t="s">
        <v>11</v>
      </c>
      <c r="C4" s="16">
        <f>LOG(0.4851)</f>
        <v>-0.3141687253739364</v>
      </c>
      <c r="D4" s="3">
        <v>0.4851</v>
      </c>
      <c r="E4" s="3">
        <f>+LOG(D4)</f>
        <v>-0.3141687253739364</v>
      </c>
    </row>
    <row r="5" spans="1:3" s="3" customFormat="1" ht="23.25">
      <c r="A5" s="6"/>
      <c r="B5" s="6"/>
      <c r="C5" s="17">
        <f>LOG(1.4189)</f>
        <v>0.15195178870726556</v>
      </c>
    </row>
    <row r="6" spans="1:3" s="3" customFormat="1" ht="23.25">
      <c r="A6" s="6">
        <f>+A4+1</f>
        <v>2</v>
      </c>
      <c r="B6" s="7" t="s">
        <v>12</v>
      </c>
      <c r="C6" s="17">
        <f>LOG(3.4059)</f>
        <v>0.5322318925738089</v>
      </c>
    </row>
    <row r="7" spans="1:3" s="3" customFormat="1" ht="23.25">
      <c r="A7" s="6"/>
      <c r="B7" s="6"/>
      <c r="C7" s="17">
        <f>LOG(3.6824)</f>
        <v>0.5661309618859178</v>
      </c>
    </row>
    <row r="8" spans="1:3" s="3" customFormat="1" ht="23.25">
      <c r="A8" s="6">
        <f>+A6+1</f>
        <v>3</v>
      </c>
      <c r="B8" s="7" t="s">
        <v>23</v>
      </c>
      <c r="C8" s="17">
        <f>LOG(0.4124)</f>
        <v>-0.38468134338852106</v>
      </c>
    </row>
    <row r="9" spans="1:3" s="3" customFormat="1" ht="23.25">
      <c r="A9" s="6"/>
      <c r="B9" s="7"/>
      <c r="C9" s="17">
        <f>LOG(0.3674)</f>
        <v>-0.43486084803021047</v>
      </c>
    </row>
    <row r="10" spans="1:3" s="3" customFormat="1" ht="23.25">
      <c r="A10" s="6"/>
      <c r="B10" s="7" t="s">
        <v>41</v>
      </c>
      <c r="C10" s="17">
        <f>LOG(5.6805)</f>
        <v>0.7543865641765075</v>
      </c>
    </row>
    <row r="11" spans="1:3" s="3" customFormat="1" ht="23.25">
      <c r="A11" s="6"/>
      <c r="B11" s="6"/>
      <c r="C11" s="17">
        <f>LOG(5.6805)</f>
        <v>0.7543865641765075</v>
      </c>
    </row>
    <row r="12" spans="1:3" s="3" customFormat="1" ht="23.25">
      <c r="A12" s="6">
        <f>+A8+1</f>
        <v>4</v>
      </c>
      <c r="B12" s="7" t="s">
        <v>13</v>
      </c>
      <c r="C12" s="17">
        <f>LOG(3.1705)</f>
        <v>0.5011277575229803</v>
      </c>
    </row>
    <row r="13" spans="1:3" s="3" customFormat="1" ht="23.25">
      <c r="A13" s="6"/>
      <c r="B13" s="6"/>
      <c r="C13" s="17">
        <f>LOG(3.4453)</f>
        <v>0.5372270441455221</v>
      </c>
    </row>
    <row r="14" spans="1:3" s="3" customFormat="1" ht="23.25">
      <c r="A14" s="6">
        <f>+A12+1</f>
        <v>5</v>
      </c>
      <c r="B14" s="7" t="s">
        <v>24</v>
      </c>
      <c r="C14" s="17">
        <f>LOG(4.8522)</f>
        <v>0.6859386934942598</v>
      </c>
    </row>
    <row r="15" spans="1:3" s="3" customFormat="1" ht="23.25">
      <c r="A15" s="6"/>
      <c r="B15" s="6"/>
      <c r="C15" s="17">
        <f>LOG(4.9302)</f>
        <v>0.6928645373572675</v>
      </c>
    </row>
    <row r="16" spans="1:3" s="3" customFormat="1" ht="23.25">
      <c r="A16" s="6">
        <f>+A14+1</f>
        <v>6</v>
      </c>
      <c r="B16" s="7" t="s">
        <v>14</v>
      </c>
      <c r="C16" s="17">
        <f>LOG(5.1227)</f>
        <v>0.7094989230909564</v>
      </c>
    </row>
    <row r="17" spans="1:3" s="3" customFormat="1" ht="23.25">
      <c r="A17" s="6"/>
      <c r="B17" s="6"/>
      <c r="C17" s="17">
        <f>LOG(4.5302)</f>
        <v>0.6561173757388853</v>
      </c>
    </row>
    <row r="18" spans="1:3" s="3" customFormat="1" ht="23.25">
      <c r="A18" s="6">
        <f>+A16+1</f>
        <v>7</v>
      </c>
      <c r="B18" s="7" t="s">
        <v>15</v>
      </c>
      <c r="C18" s="17">
        <f>LOG(4.3208)</f>
        <v>0.6355641642731371</v>
      </c>
    </row>
    <row r="19" spans="1:3" s="3" customFormat="1" ht="23.25">
      <c r="A19" s="6"/>
      <c r="B19" s="6"/>
      <c r="C19" s="17">
        <f>LOG(4.7961)</f>
        <v>0.6808882296802367</v>
      </c>
    </row>
    <row r="20" spans="1:3" s="3" customFormat="1" ht="23.25">
      <c r="A20" s="6">
        <f>+A18+1</f>
        <v>8</v>
      </c>
      <c r="B20" s="7" t="s">
        <v>42</v>
      </c>
      <c r="C20" s="17">
        <f>LOG(2.7165)</f>
        <v>0.43400970936973965</v>
      </c>
    </row>
    <row r="21" spans="1:3" s="3" customFormat="1" ht="23.25">
      <c r="A21" s="6"/>
      <c r="B21" s="7"/>
      <c r="C21" s="17">
        <f>LOG(2.7165)</f>
        <v>0.43400970936973965</v>
      </c>
    </row>
    <row r="22" spans="1:3" s="3" customFormat="1" ht="23.25">
      <c r="A22" s="6">
        <f aca="true" t="shared" si="0" ref="A22:A28">+A20+1</f>
        <v>9</v>
      </c>
      <c r="B22" s="7" t="s">
        <v>43</v>
      </c>
      <c r="C22" s="17">
        <f>LOG(1.6061)</f>
        <v>0.20577258209841967</v>
      </c>
    </row>
    <row r="23" spans="1:3" s="3" customFormat="1" ht="23.25">
      <c r="A23" s="6"/>
      <c r="B23" s="7"/>
      <c r="C23" s="17">
        <f>LOG(1.6061)</f>
        <v>0.20577258209841967</v>
      </c>
    </row>
    <row r="24" spans="1:3" s="3" customFormat="1" ht="23.25">
      <c r="A24" s="6">
        <f t="shared" si="0"/>
        <v>10</v>
      </c>
      <c r="B24" s="7" t="s">
        <v>44</v>
      </c>
      <c r="C24" s="17">
        <f>LOG(0.1314)</f>
        <v>-0.8814046347762381</v>
      </c>
    </row>
    <row r="25" spans="1:3" s="3" customFormat="1" ht="23.25">
      <c r="A25" s="6"/>
      <c r="B25" s="7"/>
      <c r="C25" s="17">
        <f>LOG(0.1314)</f>
        <v>-0.8814046347762381</v>
      </c>
    </row>
    <row r="26" spans="1:3" s="3" customFormat="1" ht="23.25">
      <c r="A26" s="6">
        <f t="shared" si="0"/>
        <v>11</v>
      </c>
      <c r="B26" s="7" t="s">
        <v>45</v>
      </c>
      <c r="C26" s="17">
        <f>LOG(4.3139)</f>
        <v>0.6348700735547615</v>
      </c>
    </row>
    <row r="27" spans="1:3" s="3" customFormat="1" ht="23.25">
      <c r="A27" s="6"/>
      <c r="B27" s="7"/>
      <c r="C27" s="17">
        <f>LOG(4.3139)</f>
        <v>0.6348700735547615</v>
      </c>
    </row>
    <row r="28" spans="1:3" s="3" customFormat="1" ht="23.25">
      <c r="A28" s="6">
        <f t="shared" si="0"/>
        <v>12</v>
      </c>
      <c r="B28" s="7" t="s">
        <v>25</v>
      </c>
      <c r="C28" s="17">
        <f>LOG(4.0878)</f>
        <v>0.6114896393230412</v>
      </c>
    </row>
    <row r="29" spans="1:3" s="3" customFormat="1" ht="23.25">
      <c r="A29" s="6"/>
      <c r="B29" s="7"/>
      <c r="C29" s="17">
        <f>LOG(4.2467)</f>
        <v>0.628051582171172</v>
      </c>
    </row>
    <row r="30" spans="1:3" s="3" customFormat="1" ht="23.25">
      <c r="A30" s="6">
        <f>+A28+1</f>
        <v>13</v>
      </c>
      <c r="B30" s="7" t="s">
        <v>16</v>
      </c>
      <c r="C30" s="17">
        <f>LOG(0.9353)</f>
        <v>-0.029049065654575875</v>
      </c>
    </row>
    <row r="31" spans="1:3" s="3" customFormat="1" ht="23.25">
      <c r="A31" s="6"/>
      <c r="B31" s="6"/>
      <c r="C31" s="17">
        <f>LOG(1.339)</f>
        <v>0.12678057701200895</v>
      </c>
    </row>
    <row r="32" spans="1:3" s="3" customFormat="1" ht="23.25">
      <c r="A32" s="6">
        <f>+A30+1</f>
        <v>14</v>
      </c>
      <c r="B32" s="7" t="s">
        <v>27</v>
      </c>
      <c r="C32" s="17">
        <f>LOG(3.4498)</f>
        <v>0.537793917851788</v>
      </c>
    </row>
    <row r="33" spans="1:3" s="3" customFormat="1" ht="23.25">
      <c r="A33" s="6"/>
      <c r="B33" s="6"/>
      <c r="C33" s="17">
        <f>LOG(3.8867)</f>
        <v>0.5895810203398645</v>
      </c>
    </row>
    <row r="34" spans="1:3" s="3" customFormat="1" ht="23.25">
      <c r="A34" s="6">
        <f>+A32+1</f>
        <v>15</v>
      </c>
      <c r="B34" s="7" t="s">
        <v>19</v>
      </c>
      <c r="C34" s="17">
        <f>LOG(1.8967)</f>
        <v>0.2779986442002884</v>
      </c>
    </row>
    <row r="35" spans="1:3" s="3" customFormat="1" ht="23.25">
      <c r="A35" s="8"/>
      <c r="B35" s="8"/>
      <c r="C35" s="18">
        <f>LOG(2.5085)</f>
        <v>0.3994141053637703</v>
      </c>
    </row>
    <row r="36" spans="1:3" s="3" customFormat="1" ht="23.25">
      <c r="A36" s="10">
        <f>+A34+1</f>
        <v>16</v>
      </c>
      <c r="B36" s="11" t="s">
        <v>21</v>
      </c>
      <c r="C36" s="19">
        <f>LOG(4.117)</f>
        <v>0.614580866997486</v>
      </c>
    </row>
    <row r="37" spans="1:3" s="3" customFormat="1" ht="23.25">
      <c r="A37" s="6"/>
      <c r="B37" s="6"/>
      <c r="C37" s="17">
        <f>LOG(4.0716)</f>
        <v>0.6097651056927426</v>
      </c>
    </row>
    <row r="38" spans="1:3" s="3" customFormat="1" ht="23.25">
      <c r="A38" s="6">
        <f>+A36+1</f>
        <v>17</v>
      </c>
      <c r="B38" s="7" t="s">
        <v>28</v>
      </c>
      <c r="C38" s="17">
        <f>LOG(1.376)</f>
        <v>0.13861843389949247</v>
      </c>
    </row>
    <row r="39" spans="1:3" s="3" customFormat="1" ht="23.25">
      <c r="A39" s="6"/>
      <c r="B39" s="6"/>
      <c r="C39" s="17">
        <f>LOG(1.5368)</f>
        <v>0.18661735185363723</v>
      </c>
    </row>
    <row r="40" spans="1:3" s="3" customFormat="1" ht="23.25">
      <c r="A40" s="6">
        <f>+A38+1</f>
        <v>18</v>
      </c>
      <c r="B40" s="7" t="s">
        <v>33</v>
      </c>
      <c r="C40" s="17">
        <f>LOG(7.5695)</f>
        <v>0.8790671933161128</v>
      </c>
    </row>
    <row r="41" spans="1:3" s="3" customFormat="1" ht="23.25">
      <c r="A41" s="6"/>
      <c r="B41" s="6"/>
      <c r="C41" s="17">
        <f>LOG(4.9161)</f>
        <v>0.6916207084305436</v>
      </c>
    </row>
    <row r="42" spans="1:3" s="3" customFormat="1" ht="23.25">
      <c r="A42" s="6">
        <f>+A40+1</f>
        <v>19</v>
      </c>
      <c r="B42" s="7" t="s">
        <v>34</v>
      </c>
      <c r="C42" s="17">
        <f>LOG(5.3348)</f>
        <v>0.7271181425000357</v>
      </c>
    </row>
    <row r="43" spans="1:3" s="3" customFormat="1" ht="23.25">
      <c r="A43" s="6"/>
      <c r="B43" s="6"/>
      <c r="C43" s="17">
        <f>LOG(5.4234)</f>
        <v>0.7342716367766632</v>
      </c>
    </row>
    <row r="44" spans="1:3" s="3" customFormat="1" ht="23.25">
      <c r="A44" s="6">
        <f>+A42+1</f>
        <v>20</v>
      </c>
      <c r="B44" s="7" t="s">
        <v>35</v>
      </c>
      <c r="C44" s="17">
        <f>LOG(5.9372)</f>
        <v>0.773581678778409</v>
      </c>
    </row>
    <row r="45" spans="1:3" s="3" customFormat="1" ht="23.25">
      <c r="A45" s="6"/>
      <c r="B45" s="6"/>
      <c r="C45" s="17">
        <f>LOG(6.9584)</f>
        <v>0.8425093903212607</v>
      </c>
    </row>
    <row r="46" spans="1:3" s="3" customFormat="1" ht="23.25">
      <c r="A46" s="6">
        <f>+A44+1</f>
        <v>21</v>
      </c>
      <c r="B46" s="7" t="s">
        <v>36</v>
      </c>
      <c r="C46" s="17">
        <f>LOG(5.9321)</f>
        <v>0.7732084635097722</v>
      </c>
    </row>
    <row r="47" spans="1:3" s="3" customFormat="1" ht="23.25">
      <c r="A47" s="8"/>
      <c r="B47" s="8"/>
      <c r="C47" s="18">
        <f>LOG(5.2056)</f>
        <v>0.7164707937257992</v>
      </c>
    </row>
    <row r="48" spans="1:3" s="3" customFormat="1" ht="23.25">
      <c r="A48" s="9"/>
      <c r="B48" s="9"/>
      <c r="C48" s="12"/>
    </row>
    <row r="49" spans="1:3" s="3" customFormat="1" ht="23.25">
      <c r="A49" s="21" t="s">
        <v>39</v>
      </c>
      <c r="B49" s="14"/>
      <c r="C49" s="14"/>
    </row>
  </sheetData>
  <mergeCells count="3">
    <mergeCell ref="A2:A3"/>
    <mergeCell ref="B2:B3"/>
    <mergeCell ref="C2:C3"/>
  </mergeCells>
  <printOptions horizontalCentered="1"/>
  <pageMargins left="0.1968503937007874" right="0.1968503937007874" top="0.3937007874015748" bottom="0.3937007874015748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 Organize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Customer</cp:lastModifiedBy>
  <cp:lastPrinted>2007-10-24T04:22:09Z</cp:lastPrinted>
  <dcterms:created xsi:type="dcterms:W3CDTF">2001-05-01T08:12:27Z</dcterms:created>
  <dcterms:modified xsi:type="dcterms:W3CDTF">2007-10-24T04:22:11Z</dcterms:modified>
  <cp:category/>
  <cp:version/>
  <cp:contentType/>
  <cp:contentStatus/>
</cp:coreProperties>
</file>