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15" windowHeight="6450" activeTab="0"/>
  </bookViews>
  <sheets>
    <sheet name="EQU2002" sheetId="1" r:id="rId1"/>
    <sheet name="EQU2002 (2)" sheetId="2" r:id="rId2"/>
  </sheets>
  <definedNames>
    <definedName name="_xlnm.Print_Titles" localSheetId="0">'EQU2002'!$1:$3</definedName>
    <definedName name="_xlnm.Print_Titles" localSheetId="1">'EQU2002 (2)'!$1:$3</definedName>
  </definedNames>
  <calcPr fullCalcOnLoad="1"/>
</workbook>
</file>

<file path=xl/sharedStrings.xml><?xml version="1.0" encoding="utf-8"?>
<sst xmlns="http://schemas.openxmlformats.org/spreadsheetml/2006/main" count="144" uniqueCount="118">
  <si>
    <t>CODE</t>
  </si>
  <si>
    <t>EQUATION</t>
  </si>
  <si>
    <t>b</t>
  </si>
  <si>
    <t>Log(a)</t>
  </si>
  <si>
    <t>R-Square</t>
  </si>
  <si>
    <t>No. of Samples</t>
  </si>
  <si>
    <t>Water year</t>
  </si>
  <si>
    <t>ที่</t>
  </si>
  <si>
    <t>Good</t>
  </si>
  <si>
    <t>Total</t>
  </si>
  <si>
    <t>N/A</t>
  </si>
  <si>
    <t>P.1</t>
  </si>
  <si>
    <t>P.4A</t>
  </si>
  <si>
    <t>P.24A</t>
  </si>
  <si>
    <t>P.64</t>
  </si>
  <si>
    <t>P.65</t>
  </si>
  <si>
    <t>W.3A</t>
  </si>
  <si>
    <t>W.17</t>
  </si>
  <si>
    <t>W.21</t>
  </si>
  <si>
    <t>Y.1C</t>
  </si>
  <si>
    <t>Y.34</t>
  </si>
  <si>
    <r>
      <t xml:space="preserve">สมการประเมินตะกอนแขวนลอย  </t>
    </r>
    <r>
      <rPr>
        <b/>
        <sz val="18"/>
        <color indexed="10"/>
        <rFont val="DilleniaUPC"/>
        <family val="1"/>
      </rPr>
      <t>Y=aX</t>
    </r>
    <r>
      <rPr>
        <b/>
        <vertAlign val="superscript"/>
        <sz val="18"/>
        <color indexed="10"/>
        <rFont val="DilleniaUPC"/>
        <family val="1"/>
      </rPr>
      <t>b</t>
    </r>
  </si>
  <si>
    <t>P.14</t>
  </si>
  <si>
    <t>P.56A</t>
  </si>
  <si>
    <t>P.77</t>
  </si>
  <si>
    <t>W.16A</t>
  </si>
  <si>
    <t>W.20</t>
  </si>
  <si>
    <t>Y.36</t>
  </si>
  <si>
    <t>N.13A</t>
  </si>
  <si>
    <t>N.65</t>
  </si>
  <si>
    <t>G.8</t>
  </si>
  <si>
    <t>KH.72</t>
  </si>
  <si>
    <t>KH.89</t>
  </si>
  <si>
    <t>I.14</t>
  </si>
  <si>
    <t>DA.</t>
  </si>
  <si>
    <t>sq.km.</t>
  </si>
  <si>
    <r>
      <t xml:space="preserve">Accept  Equations are shown in </t>
    </r>
    <r>
      <rPr>
        <sz val="16"/>
        <color indexed="10"/>
        <rFont val="DilleniaUPC"/>
        <family val="1"/>
      </rPr>
      <t>red</t>
    </r>
  </si>
  <si>
    <t xml:space="preserve">Date of N/A sample </t>
  </si>
  <si>
    <t>P.21</t>
  </si>
  <si>
    <t>P.71</t>
  </si>
  <si>
    <t>P.73</t>
  </si>
  <si>
    <t>P.75</t>
  </si>
  <si>
    <t>P.76</t>
  </si>
  <si>
    <t>1993 - 2007</t>
  </si>
  <si>
    <t>P.5</t>
  </si>
  <si>
    <t>2001 - 2007</t>
  </si>
  <si>
    <t>2000 - 2007</t>
  </si>
  <si>
    <t>P.67</t>
  </si>
  <si>
    <t>P.79</t>
  </si>
  <si>
    <t>P.80</t>
  </si>
  <si>
    <t>P.82</t>
  </si>
  <si>
    <t>P.84</t>
  </si>
  <si>
    <t>P.86</t>
  </si>
  <si>
    <t>W.1C</t>
  </si>
  <si>
    <t>1996 - 2007</t>
  </si>
  <si>
    <t>1999 - 2007</t>
  </si>
  <si>
    <t>Y.20</t>
  </si>
  <si>
    <t>Y.37</t>
  </si>
  <si>
    <t>Y.38</t>
  </si>
  <si>
    <t>N.1</t>
  </si>
  <si>
    <t>2006 - 2007</t>
  </si>
  <si>
    <t>1994 - 2007</t>
  </si>
  <si>
    <t>N.64</t>
  </si>
  <si>
    <t>1997 - 2007</t>
  </si>
  <si>
    <t>G.9</t>
  </si>
  <si>
    <r>
      <t xml:space="preserve">สมการประเมินตะกอนแขวนลอย  </t>
    </r>
    <r>
      <rPr>
        <b/>
        <sz val="18"/>
        <color indexed="10"/>
        <rFont val="Angsana New"/>
        <family val="1"/>
      </rPr>
      <t>Y=aX</t>
    </r>
    <r>
      <rPr>
        <b/>
        <vertAlign val="superscript"/>
        <sz val="18"/>
        <color indexed="10"/>
        <rFont val="Angsana New"/>
        <family val="1"/>
      </rPr>
      <t>b</t>
    </r>
  </si>
  <si>
    <r>
      <t>Y=0.4099X</t>
    </r>
    <r>
      <rPr>
        <vertAlign val="superscript"/>
        <sz val="16"/>
        <color indexed="10"/>
        <rFont val="Angsana New"/>
        <family val="1"/>
      </rPr>
      <t>1.8149</t>
    </r>
  </si>
  <si>
    <r>
      <t>Y=1.3962X</t>
    </r>
    <r>
      <rPr>
        <vertAlign val="superscript"/>
        <sz val="16"/>
        <rFont val="Angsana New"/>
        <family val="1"/>
      </rPr>
      <t>1.55</t>
    </r>
  </si>
  <si>
    <r>
      <t>Y=4.0019X</t>
    </r>
    <r>
      <rPr>
        <vertAlign val="superscript"/>
        <sz val="16"/>
        <color indexed="10"/>
        <rFont val="Angsana New"/>
        <family val="1"/>
      </rPr>
      <t>1.4798</t>
    </r>
  </si>
  <si>
    <r>
      <t>Y=1.3068X</t>
    </r>
    <r>
      <rPr>
        <vertAlign val="superscript"/>
        <sz val="16"/>
        <color indexed="10"/>
        <rFont val="Angsana New"/>
        <family val="1"/>
      </rPr>
      <t>1.5245</t>
    </r>
  </si>
  <si>
    <r>
      <t>Y=15.893X</t>
    </r>
    <r>
      <rPr>
        <vertAlign val="superscript"/>
        <sz val="16"/>
        <color indexed="10"/>
        <rFont val="Angsana New"/>
        <family val="1"/>
      </rPr>
      <t>0.944</t>
    </r>
  </si>
  <si>
    <r>
      <t>Y=5.327X</t>
    </r>
    <r>
      <rPr>
        <vertAlign val="superscript"/>
        <sz val="16"/>
        <rFont val="Angsana New"/>
        <family val="1"/>
      </rPr>
      <t>1.3557</t>
    </r>
  </si>
  <si>
    <r>
      <t>Y=9.9339X</t>
    </r>
    <r>
      <rPr>
        <vertAlign val="superscript"/>
        <sz val="16"/>
        <color indexed="10"/>
        <rFont val="Angsana New"/>
        <family val="1"/>
      </rPr>
      <t>1.0495</t>
    </r>
  </si>
  <si>
    <r>
      <t>Y=5.574X</t>
    </r>
    <r>
      <rPr>
        <vertAlign val="superscript"/>
        <sz val="16"/>
        <rFont val="Angsana New"/>
        <family val="1"/>
      </rPr>
      <t>1.3308</t>
    </r>
  </si>
  <si>
    <r>
      <t>Y=6.1194X</t>
    </r>
    <r>
      <rPr>
        <vertAlign val="superscript"/>
        <sz val="16"/>
        <color indexed="10"/>
        <rFont val="Angsana New"/>
        <family val="1"/>
      </rPr>
      <t>1.281</t>
    </r>
  </si>
  <si>
    <r>
      <t>Y=2.7436X</t>
    </r>
    <r>
      <rPr>
        <vertAlign val="superscript"/>
        <sz val="16"/>
        <color indexed="10"/>
        <rFont val="Angsana New"/>
        <family val="1"/>
      </rPr>
      <t>1.3054</t>
    </r>
  </si>
  <si>
    <r>
      <t>Y=1.5692X</t>
    </r>
    <r>
      <rPr>
        <vertAlign val="superscript"/>
        <sz val="16"/>
        <rFont val="Angsana New"/>
        <family val="1"/>
      </rPr>
      <t>1.3492</t>
    </r>
  </si>
  <si>
    <r>
      <t>Y=1.5815X</t>
    </r>
    <r>
      <rPr>
        <vertAlign val="superscript"/>
        <sz val="16"/>
        <color indexed="10"/>
        <rFont val="Angsana New"/>
        <family val="1"/>
      </rPr>
      <t>1.5164</t>
    </r>
  </si>
  <si>
    <r>
      <t>Y=6.605X</t>
    </r>
    <r>
      <rPr>
        <vertAlign val="superscript"/>
        <sz val="16"/>
        <color indexed="10"/>
        <rFont val="Angsana New"/>
        <family val="1"/>
      </rPr>
      <t>1.0968</t>
    </r>
  </si>
  <si>
    <r>
      <t>Y=4.0036X</t>
    </r>
    <r>
      <rPr>
        <vertAlign val="superscript"/>
        <sz val="16"/>
        <rFont val="Angsana New"/>
        <family val="1"/>
      </rPr>
      <t>1.2566</t>
    </r>
  </si>
  <si>
    <r>
      <t>Y=4.783X</t>
    </r>
    <r>
      <rPr>
        <vertAlign val="superscript"/>
        <sz val="16"/>
        <color indexed="10"/>
        <rFont val="Angsana New"/>
        <family val="1"/>
      </rPr>
      <t>1.0869</t>
    </r>
  </si>
  <si>
    <r>
      <t>Y=4.9363X</t>
    </r>
    <r>
      <rPr>
        <vertAlign val="superscript"/>
        <sz val="16"/>
        <color indexed="8"/>
        <rFont val="Angsana New"/>
        <family val="1"/>
      </rPr>
      <t>1.2443</t>
    </r>
  </si>
  <si>
    <r>
      <t>Y=3.4276X</t>
    </r>
    <r>
      <rPr>
        <vertAlign val="superscript"/>
        <sz val="16"/>
        <color indexed="10"/>
        <rFont val="Angsana New"/>
        <family val="1"/>
      </rPr>
      <t>1.2187</t>
    </r>
  </si>
  <si>
    <r>
      <t>Y=1.0634X</t>
    </r>
    <r>
      <rPr>
        <vertAlign val="superscript"/>
        <sz val="16"/>
        <color indexed="10"/>
        <rFont val="Angsana New"/>
        <family val="1"/>
      </rPr>
      <t>1.673</t>
    </r>
  </si>
  <si>
    <r>
      <t>Y=0.5718X</t>
    </r>
    <r>
      <rPr>
        <vertAlign val="superscript"/>
        <sz val="16"/>
        <color indexed="10"/>
        <rFont val="Angsana New"/>
        <family val="1"/>
      </rPr>
      <t>1.7669</t>
    </r>
  </si>
  <si>
    <r>
      <t>Y=5.6325X</t>
    </r>
    <r>
      <rPr>
        <vertAlign val="superscript"/>
        <sz val="16"/>
        <color indexed="10"/>
        <rFont val="Angsana New"/>
        <family val="1"/>
      </rPr>
      <t>1.143</t>
    </r>
  </si>
  <si>
    <r>
      <t>Y=3.7648X</t>
    </r>
    <r>
      <rPr>
        <vertAlign val="superscript"/>
        <sz val="16"/>
        <rFont val="Angsana New"/>
        <family val="1"/>
      </rPr>
      <t>1.4804</t>
    </r>
  </si>
  <si>
    <r>
      <t>Y=3.475X</t>
    </r>
    <r>
      <rPr>
        <vertAlign val="superscript"/>
        <sz val="16"/>
        <rFont val="Angsana New"/>
        <family val="1"/>
      </rPr>
      <t>1.4905</t>
    </r>
  </si>
  <si>
    <r>
      <t>Y=1.3542X</t>
    </r>
    <r>
      <rPr>
        <vertAlign val="superscript"/>
        <sz val="16"/>
        <color indexed="10"/>
        <rFont val="Angsana New"/>
        <family val="1"/>
      </rPr>
      <t>1.5411</t>
    </r>
  </si>
  <si>
    <r>
      <t>Y=3.3631X</t>
    </r>
    <r>
      <rPr>
        <vertAlign val="superscript"/>
        <sz val="16"/>
        <rFont val="Angsana New"/>
        <family val="1"/>
      </rPr>
      <t>1.3745</t>
    </r>
  </si>
  <si>
    <r>
      <t>Y=50.1X</t>
    </r>
    <r>
      <rPr>
        <vertAlign val="superscript"/>
        <sz val="16"/>
        <color indexed="10"/>
        <rFont val="Angsana New"/>
        <family val="1"/>
      </rPr>
      <t>0.85</t>
    </r>
  </si>
  <si>
    <r>
      <t>Y=0.4024X</t>
    </r>
    <r>
      <rPr>
        <vertAlign val="superscript"/>
        <sz val="16"/>
        <rFont val="Angsana New"/>
        <family val="1"/>
      </rPr>
      <t>1.8385</t>
    </r>
  </si>
  <si>
    <r>
      <t>Y=1.0501X</t>
    </r>
    <r>
      <rPr>
        <vertAlign val="superscript"/>
        <sz val="16"/>
        <color indexed="10"/>
        <rFont val="Angsana New"/>
        <family val="1"/>
      </rPr>
      <t>1.4989</t>
    </r>
  </si>
  <si>
    <r>
      <t>Y=3.3816X</t>
    </r>
    <r>
      <rPr>
        <vertAlign val="superscript"/>
        <sz val="16"/>
        <color indexed="10"/>
        <rFont val="Angsana New"/>
        <family val="1"/>
      </rPr>
      <t>1.4548</t>
    </r>
  </si>
  <si>
    <r>
      <t>Y=0.127X</t>
    </r>
    <r>
      <rPr>
        <vertAlign val="superscript"/>
        <sz val="16"/>
        <color indexed="10"/>
        <rFont val="Angsana New"/>
        <family val="1"/>
      </rPr>
      <t>1.9816</t>
    </r>
  </si>
  <si>
    <r>
      <t>Y=0.1783X</t>
    </r>
    <r>
      <rPr>
        <vertAlign val="superscript"/>
        <sz val="16"/>
        <rFont val="Angsana New"/>
        <family val="1"/>
      </rPr>
      <t>1.9024</t>
    </r>
  </si>
  <si>
    <r>
      <t>Y=1.2872X</t>
    </r>
    <r>
      <rPr>
        <vertAlign val="superscript"/>
        <sz val="16"/>
        <color indexed="10"/>
        <rFont val="Angsana New"/>
        <family val="1"/>
      </rPr>
      <t>1.4839</t>
    </r>
  </si>
  <si>
    <r>
      <t>Y=0.4757X</t>
    </r>
    <r>
      <rPr>
        <vertAlign val="superscript"/>
        <sz val="16"/>
        <rFont val="Angsana New"/>
        <family val="1"/>
      </rPr>
      <t>1.5719</t>
    </r>
  </si>
  <si>
    <r>
      <t>Y=0.1432X</t>
    </r>
    <r>
      <rPr>
        <vertAlign val="superscript"/>
        <sz val="16"/>
        <color indexed="10"/>
        <rFont val="Angsana New"/>
        <family val="1"/>
      </rPr>
      <t>2.0649</t>
    </r>
  </si>
  <si>
    <r>
      <t>Y=0.7096X</t>
    </r>
    <r>
      <rPr>
        <vertAlign val="superscript"/>
        <sz val="16"/>
        <color indexed="10"/>
        <rFont val="Angsana New"/>
        <family val="1"/>
      </rPr>
      <t>1.6829</t>
    </r>
  </si>
  <si>
    <r>
      <t>Y=3.9963X</t>
    </r>
    <r>
      <rPr>
        <vertAlign val="superscript"/>
        <sz val="16"/>
        <color indexed="10"/>
        <rFont val="Angsana New"/>
        <family val="1"/>
      </rPr>
      <t>1.5577</t>
    </r>
  </si>
  <si>
    <r>
      <t>Y=4.1616X</t>
    </r>
    <r>
      <rPr>
        <vertAlign val="superscript"/>
        <sz val="16"/>
        <rFont val="Angsana New"/>
        <family val="1"/>
      </rPr>
      <t>1.4687</t>
    </r>
  </si>
  <si>
    <r>
      <t>Y=0.8942X</t>
    </r>
    <r>
      <rPr>
        <vertAlign val="superscript"/>
        <sz val="16"/>
        <color indexed="10"/>
        <rFont val="Angsana New"/>
        <family val="1"/>
      </rPr>
      <t>2.3098</t>
    </r>
  </si>
  <si>
    <r>
      <t>Y=1.3643X</t>
    </r>
    <r>
      <rPr>
        <vertAlign val="superscript"/>
        <sz val="16"/>
        <rFont val="Angsana New"/>
        <family val="1"/>
      </rPr>
      <t>2.0586</t>
    </r>
  </si>
  <si>
    <r>
      <t xml:space="preserve">Accept  Equations are shown in </t>
    </r>
    <r>
      <rPr>
        <sz val="16"/>
        <color indexed="10"/>
        <rFont val="Angsana New"/>
        <family val="1"/>
      </rPr>
      <t>red</t>
    </r>
  </si>
  <si>
    <r>
      <t>Y=0.8535X</t>
    </r>
    <r>
      <rPr>
        <vertAlign val="superscript"/>
        <sz val="16"/>
        <rFont val="Angsana New"/>
        <family val="1"/>
      </rPr>
      <t>1.6611</t>
    </r>
  </si>
  <si>
    <r>
      <t>Y=1.4913X</t>
    </r>
    <r>
      <rPr>
        <vertAlign val="superscript"/>
        <sz val="16"/>
        <color indexed="10"/>
        <rFont val="Angsana New"/>
        <family val="1"/>
      </rPr>
      <t>1.1227</t>
    </r>
  </si>
  <si>
    <r>
      <t>Y=1.7135X</t>
    </r>
    <r>
      <rPr>
        <vertAlign val="superscript"/>
        <sz val="16"/>
        <color indexed="8"/>
        <rFont val="Angsana New"/>
        <family val="1"/>
      </rPr>
      <t>1.247</t>
    </r>
  </si>
  <si>
    <r>
      <t>Y=2.3543X</t>
    </r>
    <r>
      <rPr>
        <vertAlign val="superscript"/>
        <sz val="16"/>
        <color indexed="10"/>
        <rFont val="Angsana New"/>
        <family val="1"/>
      </rPr>
      <t>1.5914</t>
    </r>
  </si>
  <si>
    <r>
      <t>Y=2.5016X</t>
    </r>
    <r>
      <rPr>
        <vertAlign val="superscript"/>
        <sz val="16"/>
        <color indexed="8"/>
        <rFont val="Angsana New"/>
        <family val="1"/>
      </rPr>
      <t>1.599</t>
    </r>
  </si>
  <si>
    <r>
      <t>Y=0.7028X</t>
    </r>
    <r>
      <rPr>
        <vertAlign val="superscript"/>
        <sz val="16"/>
        <color indexed="10"/>
        <rFont val="Angsana New"/>
        <family val="1"/>
      </rPr>
      <t>2.2362</t>
    </r>
  </si>
  <si>
    <r>
      <t>Y=0.9421X</t>
    </r>
    <r>
      <rPr>
        <vertAlign val="superscript"/>
        <sz val="16"/>
        <color indexed="8"/>
        <rFont val="Angsana New"/>
        <family val="1"/>
      </rPr>
      <t>2.1695</t>
    </r>
  </si>
  <si>
    <t>2005 - 2007</t>
  </si>
  <si>
    <r>
      <t>Y=5.0768X</t>
    </r>
    <r>
      <rPr>
        <vertAlign val="superscript"/>
        <sz val="16"/>
        <color indexed="10"/>
        <rFont val="Angsana New"/>
        <family val="1"/>
      </rPr>
      <t>1.7659</t>
    </r>
  </si>
  <si>
    <r>
      <t>Y=6.9922X</t>
    </r>
    <r>
      <rPr>
        <vertAlign val="superscript"/>
        <sz val="16"/>
        <color indexed="8"/>
        <rFont val="Angsana New"/>
        <family val="1"/>
      </rPr>
      <t>1.6125</t>
    </r>
  </si>
  <si>
    <r>
      <t>Y=4.0475X</t>
    </r>
    <r>
      <rPr>
        <vertAlign val="superscript"/>
        <sz val="16"/>
        <color indexed="10"/>
        <rFont val="Angsana New"/>
        <family val="1"/>
      </rPr>
      <t>1.5266</t>
    </r>
  </si>
  <si>
    <r>
      <t>Y=1.8444X</t>
    </r>
    <r>
      <rPr>
        <vertAlign val="superscript"/>
        <sz val="16"/>
        <rFont val="Angsana New"/>
        <family val="1"/>
      </rPr>
      <t>1.5109</t>
    </r>
  </si>
  <si>
    <r>
      <t>Y=0.7968X</t>
    </r>
    <r>
      <rPr>
        <vertAlign val="superscript"/>
        <sz val="16"/>
        <color indexed="10"/>
        <rFont val="Angsana New"/>
        <family val="1"/>
      </rPr>
      <t>1.7224</t>
    </r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</si>
</sst>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"/>
    <numFmt numFmtId="188" formatCode="0.000000"/>
    <numFmt numFmtId="189" formatCode="0.0000"/>
    <numFmt numFmtId="190" formatCode="0.000"/>
    <numFmt numFmtId="191" formatCode="_-* #,##0.0_-;\-* #,##0.0_-;_-* &quot;-&quot;??_-;_-@_-"/>
    <numFmt numFmtId="192" formatCode="_-* #,##0_-;\-* #,##0_-;_-* &quot;-&quot;??_-;_-@_-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0.0000000000000"/>
    <numFmt numFmtId="200" formatCode="0.0"/>
  </numFmts>
  <fonts count="20">
    <font>
      <sz val="14"/>
      <name val="Cordia New"/>
      <family val="0"/>
    </font>
    <font>
      <b/>
      <sz val="18"/>
      <color indexed="48"/>
      <name val="DilleniaUPC"/>
      <family val="1"/>
    </font>
    <font>
      <b/>
      <sz val="18"/>
      <color indexed="10"/>
      <name val="DilleniaUPC"/>
      <family val="1"/>
    </font>
    <font>
      <b/>
      <vertAlign val="superscript"/>
      <sz val="18"/>
      <color indexed="10"/>
      <name val="DilleniaUPC"/>
      <family val="1"/>
    </font>
    <font>
      <sz val="18"/>
      <name val="DilleniaUPC"/>
      <family val="1"/>
    </font>
    <font>
      <sz val="16"/>
      <color indexed="12"/>
      <name val="DilleniaUPC"/>
      <family val="1"/>
    </font>
    <font>
      <sz val="16"/>
      <name val="DilleniaUPC"/>
      <family val="1"/>
    </font>
    <font>
      <sz val="16"/>
      <color indexed="10"/>
      <name val="DilleniaUPC"/>
      <family val="1"/>
    </font>
    <font>
      <sz val="8"/>
      <name val="Cordia New"/>
      <family val="0"/>
    </font>
    <font>
      <b/>
      <sz val="18"/>
      <color indexed="48"/>
      <name val="Angsana New"/>
      <family val="1"/>
    </font>
    <font>
      <b/>
      <sz val="18"/>
      <color indexed="10"/>
      <name val="Angsana New"/>
      <family val="1"/>
    </font>
    <font>
      <b/>
      <vertAlign val="superscript"/>
      <sz val="18"/>
      <color indexed="10"/>
      <name val="Angsana New"/>
      <family val="1"/>
    </font>
    <font>
      <sz val="18"/>
      <name val="Angsana New"/>
      <family val="1"/>
    </font>
    <font>
      <sz val="16"/>
      <color indexed="12"/>
      <name val="Angsana New"/>
      <family val="1"/>
    </font>
    <font>
      <sz val="16"/>
      <name val="Angsana New"/>
      <family val="1"/>
    </font>
    <font>
      <sz val="16"/>
      <color indexed="10"/>
      <name val="Angsana New"/>
      <family val="1"/>
    </font>
    <font>
      <vertAlign val="superscript"/>
      <sz val="16"/>
      <color indexed="10"/>
      <name val="Angsana New"/>
      <family val="1"/>
    </font>
    <font>
      <vertAlign val="superscript"/>
      <sz val="16"/>
      <name val="Angsana New"/>
      <family val="1"/>
    </font>
    <font>
      <sz val="16"/>
      <color indexed="8"/>
      <name val="Angsana New"/>
      <family val="1"/>
    </font>
    <font>
      <vertAlign val="superscript"/>
      <sz val="16"/>
      <color indexed="8"/>
      <name val="Angsana New"/>
      <family val="1"/>
    </font>
  </fonts>
  <fills count="3">
    <fill>
      <patternFill/>
    </fill>
    <fill>
      <patternFill patternType="gray125"/>
    </fill>
    <fill>
      <patternFill patternType="gray0625">
        <bgColor indexed="9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96" fontId="6" fillId="0" borderId="4" xfId="0" applyNumberFormat="1" applyFont="1" applyBorder="1" applyAlignment="1">
      <alignment/>
    </xf>
    <xf numFmtId="196" fontId="4" fillId="0" borderId="0" xfId="0" applyNumberFormat="1" applyFont="1" applyAlignment="1">
      <alignment/>
    </xf>
    <xf numFmtId="196" fontId="6" fillId="0" borderId="6" xfId="0" applyNumberFormat="1" applyFont="1" applyBorder="1" applyAlignment="1">
      <alignment/>
    </xf>
    <xf numFmtId="196" fontId="1" fillId="2" borderId="7" xfId="0" applyNumberFormat="1" applyFont="1" applyFill="1" applyBorder="1" applyAlignment="1">
      <alignment horizontal="center" vertical="center"/>
    </xf>
    <xf numFmtId="199" fontId="6" fillId="0" borderId="1" xfId="0" applyNumberFormat="1" applyFont="1" applyBorder="1" applyAlignment="1">
      <alignment/>
    </xf>
    <xf numFmtId="199" fontId="6" fillId="0" borderId="2" xfId="0" applyNumberFormat="1" applyFont="1" applyBorder="1" applyAlignment="1">
      <alignment/>
    </xf>
    <xf numFmtId="199" fontId="6" fillId="0" borderId="3" xfId="0" applyNumberFormat="1" applyFont="1" applyBorder="1" applyAlignment="1">
      <alignment/>
    </xf>
    <xf numFmtId="199" fontId="6" fillId="0" borderId="5" xfId="0" applyNumberFormat="1" applyFont="1" applyBorder="1" applyAlignment="1">
      <alignment/>
    </xf>
    <xf numFmtId="196" fontId="1" fillId="2" borderId="8" xfId="0" applyNumberFormat="1" applyFont="1" applyFill="1" applyBorder="1" applyAlignment="1">
      <alignment horizontal="left" vertical="center"/>
    </xf>
    <xf numFmtId="196" fontId="6" fillId="0" borderId="9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13" fillId="2" borderId="1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89" fontId="15" fillId="0" borderId="1" xfId="0" applyNumberFormat="1" applyFont="1" applyBorder="1" applyAlignment="1">
      <alignment horizontal="center"/>
    </xf>
    <xf numFmtId="189" fontId="14" fillId="0" borderId="1" xfId="0" applyNumberFormat="1" applyFont="1" applyBorder="1" applyAlignment="1">
      <alignment/>
    </xf>
    <xf numFmtId="196" fontId="14" fillId="0" borderId="1" xfId="0" applyNumberFormat="1" applyFont="1" applyBorder="1" applyAlignment="1">
      <alignment/>
    </xf>
    <xf numFmtId="3" fontId="14" fillId="0" borderId="1" xfId="15" applyNumberFormat="1" applyFont="1" applyBorder="1" applyAlignment="1">
      <alignment horizontal="right"/>
    </xf>
    <xf numFmtId="0" fontId="14" fillId="0" borderId="1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1" fontId="14" fillId="0" borderId="2" xfId="0" applyNumberFormat="1" applyFont="1" applyBorder="1" applyAlignment="1">
      <alignment horizontal="center"/>
    </xf>
    <xf numFmtId="189" fontId="14" fillId="0" borderId="2" xfId="0" applyNumberFormat="1" applyFont="1" applyBorder="1" applyAlignment="1">
      <alignment horizontal="center"/>
    </xf>
    <xf numFmtId="189" fontId="14" fillId="0" borderId="2" xfId="0" applyNumberFormat="1" applyFont="1" applyBorder="1" applyAlignment="1">
      <alignment/>
    </xf>
    <xf numFmtId="196" fontId="14" fillId="0" borderId="2" xfId="0" applyNumberFormat="1" applyFont="1" applyBorder="1" applyAlignment="1">
      <alignment/>
    </xf>
    <xf numFmtId="3" fontId="14" fillId="0" borderId="2" xfId="15" applyNumberFormat="1" applyFont="1" applyBorder="1" applyAlignment="1">
      <alignment horizontal="right"/>
    </xf>
    <xf numFmtId="0" fontId="14" fillId="0" borderId="2" xfId="0" applyFont="1" applyBorder="1" applyAlignment="1">
      <alignment horizontal="left"/>
    </xf>
    <xf numFmtId="0" fontId="15" fillId="0" borderId="2" xfId="0" applyFont="1" applyBorder="1" applyAlignment="1">
      <alignment horizontal="center"/>
    </xf>
    <xf numFmtId="189" fontId="15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left" vertical="justify"/>
    </xf>
    <xf numFmtId="0" fontId="18" fillId="0" borderId="2" xfId="0" applyFont="1" applyBorder="1" applyAlignment="1">
      <alignment horizontal="center"/>
    </xf>
    <xf numFmtId="189" fontId="18" fillId="0" borderId="2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189" fontId="14" fillId="0" borderId="3" xfId="0" applyNumberFormat="1" applyFont="1" applyBorder="1" applyAlignment="1">
      <alignment/>
    </xf>
    <xf numFmtId="196" fontId="14" fillId="0" borderId="3" xfId="0" applyNumberFormat="1" applyFont="1" applyBorder="1" applyAlignment="1">
      <alignment/>
    </xf>
    <xf numFmtId="3" fontId="14" fillId="0" borderId="3" xfId="15" applyNumberFormat="1" applyFont="1" applyBorder="1" applyAlignment="1">
      <alignment horizontal="right"/>
    </xf>
    <xf numFmtId="0" fontId="14" fillId="0" borderId="3" xfId="0" applyFont="1" applyBorder="1" applyAlignment="1">
      <alignment horizontal="left" vertical="justify"/>
    </xf>
    <xf numFmtId="0" fontId="14" fillId="0" borderId="1" xfId="0" applyFont="1" applyBorder="1" applyAlignment="1">
      <alignment horizontal="left" vertical="justify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/>
    </xf>
    <xf numFmtId="189" fontId="15" fillId="0" borderId="2" xfId="0" applyNumberFormat="1" applyFont="1" applyBorder="1" applyAlignment="1">
      <alignment horizontal="center" vertical="center"/>
    </xf>
    <xf numFmtId="189" fontId="14" fillId="0" borderId="2" xfId="0" applyNumberFormat="1" applyFont="1" applyBorder="1" applyAlignment="1">
      <alignment vertical="center"/>
    </xf>
    <xf numFmtId="196" fontId="14" fillId="0" borderId="2" xfId="0" applyNumberFormat="1" applyFont="1" applyBorder="1" applyAlignment="1">
      <alignment vertical="center"/>
    </xf>
    <xf numFmtId="3" fontId="14" fillId="0" borderId="2" xfId="15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189" fontId="14" fillId="0" borderId="2" xfId="0" applyNumberFormat="1" applyFont="1" applyBorder="1" applyAlignment="1">
      <alignment horizontal="center" vertical="center"/>
    </xf>
    <xf numFmtId="3" fontId="14" fillId="0" borderId="2" xfId="0" applyNumberFormat="1" applyFont="1" applyBorder="1" applyAlignment="1">
      <alignment horizontal="right" vertical="center"/>
    </xf>
    <xf numFmtId="189" fontId="14" fillId="0" borderId="3" xfId="0" applyNumberFormat="1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/>
    </xf>
    <xf numFmtId="189" fontId="14" fillId="0" borderId="4" xfId="0" applyNumberFormat="1" applyFont="1" applyBorder="1" applyAlignment="1">
      <alignment horizontal="center"/>
    </xf>
    <xf numFmtId="196" fontId="14" fillId="0" borderId="4" xfId="0" applyNumberFormat="1" applyFont="1" applyBorder="1" applyAlignment="1">
      <alignment/>
    </xf>
    <xf numFmtId="41" fontId="14" fillId="0" borderId="4" xfId="15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0" fontId="12" fillId="0" borderId="0" xfId="0" applyFont="1" applyAlignment="1">
      <alignment horizontal="center"/>
    </xf>
    <xf numFmtId="189" fontId="12" fillId="0" borderId="0" xfId="0" applyNumberFormat="1" applyFont="1" applyAlignment="1">
      <alignment horizontal="center"/>
    </xf>
    <xf numFmtId="196" fontId="12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18" fillId="0" borderId="3" xfId="0" applyFont="1" applyBorder="1" applyAlignment="1">
      <alignment horizontal="center"/>
    </xf>
    <xf numFmtId="189" fontId="18" fillId="0" borderId="3" xfId="0" applyNumberFormat="1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1" fontId="14" fillId="0" borderId="5" xfId="0" applyNumberFormat="1" applyFont="1" applyBorder="1" applyAlignment="1">
      <alignment horizontal="center" vertical="center"/>
    </xf>
    <xf numFmtId="189" fontId="15" fillId="0" borderId="5" xfId="0" applyNumberFormat="1" applyFont="1" applyBorder="1" applyAlignment="1">
      <alignment horizontal="center" vertical="center"/>
    </xf>
    <xf numFmtId="189" fontId="14" fillId="0" borderId="5" xfId="0" applyNumberFormat="1" applyFont="1" applyBorder="1" applyAlignment="1">
      <alignment vertical="center"/>
    </xf>
    <xf numFmtId="196" fontId="14" fillId="0" borderId="5" xfId="0" applyNumberFormat="1" applyFont="1" applyBorder="1" applyAlignment="1">
      <alignment vertical="center"/>
    </xf>
    <xf numFmtId="3" fontId="14" fillId="0" borderId="5" xfId="15" applyNumberFormat="1" applyFont="1" applyBorder="1" applyAlignment="1">
      <alignment horizontal="right" vertical="center"/>
    </xf>
    <xf numFmtId="0" fontId="14" fillId="0" borderId="5" xfId="0" applyFont="1" applyBorder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89" fontId="14" fillId="0" borderId="3" xfId="0" applyNumberFormat="1" applyFont="1" applyBorder="1" applyAlignment="1">
      <alignment horizontal="center" vertical="center"/>
    </xf>
    <xf numFmtId="189" fontId="14" fillId="0" borderId="3" xfId="0" applyNumberFormat="1" applyFont="1" applyBorder="1" applyAlignment="1">
      <alignment vertical="center"/>
    </xf>
    <xf numFmtId="196" fontId="14" fillId="0" borderId="3" xfId="0" applyNumberFormat="1" applyFont="1" applyBorder="1" applyAlignment="1">
      <alignment vertical="center"/>
    </xf>
    <xf numFmtId="3" fontId="14" fillId="0" borderId="3" xfId="15" applyNumberFormat="1" applyFont="1" applyBorder="1" applyAlignment="1">
      <alignment horizontal="right" vertical="center"/>
    </xf>
    <xf numFmtId="0" fontId="14" fillId="0" borderId="3" xfId="0" applyFont="1" applyBorder="1" applyAlignment="1">
      <alignment horizontal="left" vertical="center"/>
    </xf>
    <xf numFmtId="192" fontId="14" fillId="0" borderId="15" xfId="15" applyNumberFormat="1" applyFont="1" applyBorder="1" applyAlignment="1">
      <alignment horizontal="center"/>
    </xf>
    <xf numFmtId="192" fontId="14" fillId="0" borderId="16" xfId="15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96" fontId="14" fillId="0" borderId="9" xfId="0" applyNumberFormat="1" applyFont="1" applyBorder="1" applyAlignment="1">
      <alignment horizontal="center"/>
    </xf>
    <xf numFmtId="196" fontId="14" fillId="0" borderId="6" xfId="0" applyNumberFormat="1" applyFont="1" applyBorder="1" applyAlignment="1">
      <alignment horizontal="center"/>
    </xf>
    <xf numFmtId="196" fontId="14" fillId="0" borderId="18" xfId="0" applyNumberFormat="1" applyFont="1" applyBorder="1" applyAlignment="1">
      <alignment horizontal="center"/>
    </xf>
    <xf numFmtId="0" fontId="13" fillId="2" borderId="1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189" fontId="13" fillId="2" borderId="19" xfId="0" applyNumberFormat="1" applyFont="1" applyFill="1" applyBorder="1" applyAlignment="1">
      <alignment horizontal="center" vertical="center"/>
    </xf>
    <xf numFmtId="196" fontId="9" fillId="2" borderId="8" xfId="0" applyNumberFormat="1" applyFont="1" applyFill="1" applyBorder="1" applyAlignment="1">
      <alignment horizontal="center" vertical="center"/>
    </xf>
    <xf numFmtId="196" fontId="9" fillId="2" borderId="7" xfId="0" applyNumberFormat="1" applyFont="1" applyFill="1" applyBorder="1" applyAlignment="1">
      <alignment horizontal="center" vertical="center"/>
    </xf>
    <xf numFmtId="196" fontId="9" fillId="2" borderId="20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196" fontId="13" fillId="2" borderId="19" xfId="0" applyNumberFormat="1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196" fontId="5" fillId="2" borderId="19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workbookViewId="0" topLeftCell="A52">
      <selection activeCell="O59" sqref="O59"/>
    </sheetView>
  </sheetViews>
  <sheetFormatPr defaultColWidth="9.140625" defaultRowHeight="21.75"/>
  <cols>
    <col min="1" max="1" width="3.7109375" style="75" customWidth="1"/>
    <col min="2" max="2" width="6.140625" style="75" customWidth="1"/>
    <col min="3" max="3" width="11.7109375" style="75" customWidth="1"/>
    <col min="4" max="4" width="6.7109375" style="75" customWidth="1"/>
    <col min="5" max="5" width="4.7109375" style="75" customWidth="1"/>
    <col min="6" max="6" width="6.7109375" style="75" customWidth="1"/>
    <col min="7" max="7" width="14.7109375" style="22" customWidth="1"/>
    <col min="8" max="8" width="8.7109375" style="76" customWidth="1"/>
    <col min="9" max="9" width="6.7109375" style="22" customWidth="1"/>
    <col min="10" max="10" width="13.7109375" style="77" customWidth="1"/>
    <col min="11" max="11" width="6.7109375" style="22" customWidth="1"/>
    <col min="12" max="12" width="18.57421875" style="78" bestFit="1" customWidth="1"/>
    <col min="13" max="16384" width="9.140625" style="22" customWidth="1"/>
  </cols>
  <sheetData>
    <row r="1" spans="1:12" ht="29.25">
      <c r="A1" s="106" t="s">
        <v>65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</row>
    <row r="2" spans="1:12" s="24" customFormat="1" ht="23.25">
      <c r="A2" s="102" t="s">
        <v>7</v>
      </c>
      <c r="B2" s="102" t="s">
        <v>0</v>
      </c>
      <c r="C2" s="102" t="s">
        <v>6</v>
      </c>
      <c r="D2" s="109" t="s">
        <v>5</v>
      </c>
      <c r="E2" s="110"/>
      <c r="F2" s="110"/>
      <c r="G2" s="112" t="s">
        <v>1</v>
      </c>
      <c r="H2" s="105" t="s">
        <v>4</v>
      </c>
      <c r="I2" s="102" t="s">
        <v>2</v>
      </c>
      <c r="J2" s="111" t="s">
        <v>3</v>
      </c>
      <c r="K2" s="23" t="s">
        <v>34</v>
      </c>
      <c r="L2" s="103" t="s">
        <v>37</v>
      </c>
    </row>
    <row r="3" spans="1:12" s="24" customFormat="1" ht="23.25">
      <c r="A3" s="102"/>
      <c r="B3" s="102"/>
      <c r="C3" s="102"/>
      <c r="D3" s="25" t="s">
        <v>8</v>
      </c>
      <c r="E3" s="26" t="s">
        <v>10</v>
      </c>
      <c r="F3" s="27" t="s">
        <v>9</v>
      </c>
      <c r="G3" s="112"/>
      <c r="H3" s="105"/>
      <c r="I3" s="102"/>
      <c r="J3" s="111"/>
      <c r="K3" s="28" t="s">
        <v>35</v>
      </c>
      <c r="L3" s="104"/>
    </row>
    <row r="4" spans="1:12" s="24" customFormat="1" ht="25.5">
      <c r="A4" s="29">
        <v>1</v>
      </c>
      <c r="B4" s="30" t="s">
        <v>11</v>
      </c>
      <c r="C4" s="29">
        <v>2007</v>
      </c>
      <c r="D4" s="30">
        <v>22</v>
      </c>
      <c r="E4" s="31">
        <v>0</v>
      </c>
      <c r="F4" s="29">
        <f aca="true" t="shared" si="0" ref="F4:F17">E4+D4</f>
        <v>22</v>
      </c>
      <c r="G4" s="30" t="s">
        <v>66</v>
      </c>
      <c r="H4" s="32">
        <v>0.7267</v>
      </c>
      <c r="I4" s="33">
        <v>1.8149</v>
      </c>
      <c r="J4" s="34">
        <f>LOG(0.4099)</f>
        <v>-0.38732208168349824</v>
      </c>
      <c r="K4" s="35">
        <v>6355</v>
      </c>
      <c r="L4" s="36"/>
    </row>
    <row r="5" spans="1:12" s="24" customFormat="1" ht="25.5">
      <c r="A5" s="37"/>
      <c r="B5" s="37"/>
      <c r="C5" s="37" t="s">
        <v>43</v>
      </c>
      <c r="D5" s="37">
        <v>383</v>
      </c>
      <c r="E5" s="38">
        <v>0</v>
      </c>
      <c r="F5" s="37">
        <f t="shared" si="0"/>
        <v>383</v>
      </c>
      <c r="G5" s="37" t="s">
        <v>67</v>
      </c>
      <c r="H5" s="39">
        <v>0.8816</v>
      </c>
      <c r="I5" s="40">
        <v>1.55</v>
      </c>
      <c r="J5" s="41">
        <f>LOG(1.3962)</f>
        <v>0.1449476336703736</v>
      </c>
      <c r="K5" s="42"/>
      <c r="L5" s="43"/>
    </row>
    <row r="6" spans="1:12" s="24" customFormat="1" ht="23.25">
      <c r="A6" s="37"/>
      <c r="B6" s="37"/>
      <c r="C6" s="37"/>
      <c r="D6" s="37"/>
      <c r="E6" s="38"/>
      <c r="F6" s="37"/>
      <c r="G6" s="37"/>
      <c r="H6" s="39"/>
      <c r="I6" s="40"/>
      <c r="J6" s="41"/>
      <c r="K6" s="42"/>
      <c r="L6" s="43"/>
    </row>
    <row r="7" spans="1:12" s="24" customFormat="1" ht="25.5">
      <c r="A7" s="37">
        <f>+A4+1</f>
        <v>2</v>
      </c>
      <c r="B7" s="44" t="s">
        <v>12</v>
      </c>
      <c r="C7" s="37">
        <v>2007</v>
      </c>
      <c r="D7" s="44">
        <v>22</v>
      </c>
      <c r="E7" s="38">
        <v>0</v>
      </c>
      <c r="F7" s="37">
        <f t="shared" si="0"/>
        <v>22</v>
      </c>
      <c r="G7" s="44" t="s">
        <v>68</v>
      </c>
      <c r="H7" s="45">
        <v>0.7398</v>
      </c>
      <c r="I7" s="40">
        <v>1.4798</v>
      </c>
      <c r="J7" s="41">
        <f>LOG(4.0019)</f>
        <v>0.6022662322285294</v>
      </c>
      <c r="K7" s="42">
        <v>1902</v>
      </c>
      <c r="L7" s="43"/>
    </row>
    <row r="8" spans="1:12" s="24" customFormat="1" ht="23.25">
      <c r="A8" s="37"/>
      <c r="B8" s="44"/>
      <c r="C8" s="37"/>
      <c r="D8" s="44"/>
      <c r="E8" s="38"/>
      <c r="F8" s="37"/>
      <c r="G8" s="44"/>
      <c r="H8" s="45"/>
      <c r="I8" s="40"/>
      <c r="J8" s="41"/>
      <c r="K8" s="42"/>
      <c r="L8" s="43"/>
    </row>
    <row r="9" spans="1:12" s="24" customFormat="1" ht="25.5">
      <c r="A9" s="37">
        <f>+A7+1</f>
        <v>3</v>
      </c>
      <c r="B9" s="44" t="s">
        <v>44</v>
      </c>
      <c r="C9" s="37">
        <v>2007</v>
      </c>
      <c r="D9" s="44">
        <v>34</v>
      </c>
      <c r="E9" s="38">
        <v>0</v>
      </c>
      <c r="F9" s="37">
        <f t="shared" si="0"/>
        <v>34</v>
      </c>
      <c r="G9" s="44" t="s">
        <v>69</v>
      </c>
      <c r="H9" s="45">
        <v>0.9375</v>
      </c>
      <c r="I9" s="40">
        <v>1.5245</v>
      </c>
      <c r="J9" s="41">
        <f>LOG(1.3068)</f>
        <v>0.11620912580339977</v>
      </c>
      <c r="K9" s="42">
        <v>1569</v>
      </c>
      <c r="L9" s="43"/>
    </row>
    <row r="10" spans="1:12" s="24" customFormat="1" ht="23.25">
      <c r="A10" s="37"/>
      <c r="B10" s="44"/>
      <c r="C10" s="37"/>
      <c r="D10" s="44"/>
      <c r="E10" s="38"/>
      <c r="F10" s="37"/>
      <c r="G10" s="44"/>
      <c r="H10" s="45"/>
      <c r="I10" s="40"/>
      <c r="J10" s="41"/>
      <c r="K10" s="42"/>
      <c r="L10" s="43"/>
    </row>
    <row r="11" spans="1:12" s="24" customFormat="1" ht="25.5">
      <c r="A11" s="37">
        <f>+A9+1</f>
        <v>4</v>
      </c>
      <c r="B11" s="44" t="s">
        <v>38</v>
      </c>
      <c r="C11" s="37">
        <v>2007</v>
      </c>
      <c r="D11" s="44">
        <v>34</v>
      </c>
      <c r="E11" s="38">
        <v>0</v>
      </c>
      <c r="F11" s="37">
        <f t="shared" si="0"/>
        <v>34</v>
      </c>
      <c r="G11" s="44" t="s">
        <v>70</v>
      </c>
      <c r="H11" s="45">
        <v>0.954</v>
      </c>
      <c r="I11" s="40">
        <v>0.944</v>
      </c>
      <c r="J11" s="41">
        <f>LOG(15.893)</f>
        <v>1.2012058833917914</v>
      </c>
      <c r="K11" s="42">
        <v>515</v>
      </c>
      <c r="L11" s="43"/>
    </row>
    <row r="12" spans="1:12" s="24" customFormat="1" ht="25.5">
      <c r="A12" s="37"/>
      <c r="B12" s="37"/>
      <c r="C12" s="37" t="s">
        <v>45</v>
      </c>
      <c r="D12" s="37">
        <v>165</v>
      </c>
      <c r="E12" s="38">
        <v>0</v>
      </c>
      <c r="F12" s="37">
        <f t="shared" si="0"/>
        <v>165</v>
      </c>
      <c r="G12" s="37" t="s">
        <v>71</v>
      </c>
      <c r="H12" s="39">
        <v>0.9052</v>
      </c>
      <c r="I12" s="40">
        <v>1.3557</v>
      </c>
      <c r="J12" s="41">
        <f>LOG(5.327)</f>
        <v>0.7264826967848297</v>
      </c>
      <c r="K12" s="42"/>
      <c r="L12" s="43"/>
    </row>
    <row r="13" spans="1:12" s="24" customFormat="1" ht="23.25">
      <c r="A13" s="37"/>
      <c r="B13" s="37"/>
      <c r="C13" s="37"/>
      <c r="D13" s="37"/>
      <c r="E13" s="38"/>
      <c r="F13" s="37"/>
      <c r="G13" s="37"/>
      <c r="H13" s="39"/>
      <c r="I13" s="40"/>
      <c r="J13" s="41"/>
      <c r="K13" s="42"/>
      <c r="L13" s="43"/>
    </row>
    <row r="14" spans="1:12" s="24" customFormat="1" ht="25.5">
      <c r="A14" s="37">
        <f>+A11+1</f>
        <v>5</v>
      </c>
      <c r="B14" s="44" t="s">
        <v>23</v>
      </c>
      <c r="C14" s="37">
        <v>2007</v>
      </c>
      <c r="D14" s="44">
        <v>19</v>
      </c>
      <c r="E14" s="38">
        <v>0</v>
      </c>
      <c r="F14" s="37">
        <f t="shared" si="0"/>
        <v>19</v>
      </c>
      <c r="G14" s="44" t="s">
        <v>72</v>
      </c>
      <c r="H14" s="45">
        <v>0.7531</v>
      </c>
      <c r="I14" s="40">
        <v>1.0495</v>
      </c>
      <c r="J14" s="41">
        <f>LOG(9.9339)</f>
        <v>0.9971197838385097</v>
      </c>
      <c r="K14" s="42">
        <v>539</v>
      </c>
      <c r="L14" s="43"/>
    </row>
    <row r="15" spans="1:12" s="24" customFormat="1" ht="25.5">
      <c r="A15" s="37"/>
      <c r="B15" s="37"/>
      <c r="C15" s="37" t="s">
        <v>46</v>
      </c>
      <c r="D15" s="37">
        <v>179</v>
      </c>
      <c r="E15" s="38">
        <v>0</v>
      </c>
      <c r="F15" s="37">
        <f t="shared" si="0"/>
        <v>179</v>
      </c>
      <c r="G15" s="37" t="s">
        <v>73</v>
      </c>
      <c r="H15" s="39">
        <v>0.9348</v>
      </c>
      <c r="I15" s="40">
        <v>1.3308</v>
      </c>
      <c r="J15" s="41">
        <f>LOG(5.574)</f>
        <v>0.7461669643772854</v>
      </c>
      <c r="K15" s="42"/>
      <c r="L15" s="43"/>
    </row>
    <row r="16" spans="1:12" s="24" customFormat="1" ht="23.25">
      <c r="A16" s="37"/>
      <c r="B16" s="37"/>
      <c r="C16" s="37"/>
      <c r="D16" s="37"/>
      <c r="E16" s="38"/>
      <c r="F16" s="37"/>
      <c r="G16" s="37"/>
      <c r="H16" s="39"/>
      <c r="I16" s="40"/>
      <c r="J16" s="41"/>
      <c r="K16" s="42"/>
      <c r="L16" s="43"/>
    </row>
    <row r="17" spans="1:12" s="24" customFormat="1" ht="25.5">
      <c r="A17" s="37">
        <f>+A14+1</f>
        <v>6</v>
      </c>
      <c r="B17" s="44" t="s">
        <v>47</v>
      </c>
      <c r="C17" s="37">
        <v>2007</v>
      </c>
      <c r="D17" s="44">
        <v>34</v>
      </c>
      <c r="E17" s="38">
        <v>0</v>
      </c>
      <c r="F17" s="37">
        <f t="shared" si="0"/>
        <v>34</v>
      </c>
      <c r="G17" s="44" t="s">
        <v>74</v>
      </c>
      <c r="H17" s="45">
        <v>0.7759</v>
      </c>
      <c r="I17" s="40">
        <v>1.281</v>
      </c>
      <c r="J17" s="41">
        <f>LOG(6.1194)</f>
        <v>0.7867088421678906</v>
      </c>
      <c r="K17" s="42">
        <v>5289</v>
      </c>
      <c r="L17" s="43"/>
    </row>
    <row r="18" spans="1:12" s="24" customFormat="1" ht="23.25">
      <c r="A18" s="37"/>
      <c r="B18" s="44"/>
      <c r="C18" s="37"/>
      <c r="D18" s="44"/>
      <c r="E18" s="38"/>
      <c r="F18" s="37"/>
      <c r="G18" s="44"/>
      <c r="H18" s="45"/>
      <c r="I18" s="40"/>
      <c r="J18" s="41"/>
      <c r="K18" s="42"/>
      <c r="L18" s="43"/>
    </row>
    <row r="19" spans="1:12" s="24" customFormat="1" ht="25.5">
      <c r="A19" s="37">
        <f>+A17+1</f>
        <v>7</v>
      </c>
      <c r="B19" s="44" t="s">
        <v>40</v>
      </c>
      <c r="C19" s="37">
        <v>2007</v>
      </c>
      <c r="D19" s="44">
        <v>22</v>
      </c>
      <c r="E19" s="38">
        <v>0</v>
      </c>
      <c r="F19" s="37">
        <f aca="true" t="shared" si="1" ref="F19:F26">E19+D19</f>
        <v>22</v>
      </c>
      <c r="G19" s="44" t="s">
        <v>75</v>
      </c>
      <c r="H19" s="45">
        <v>0.9886</v>
      </c>
      <c r="I19" s="40">
        <v>1.3054</v>
      </c>
      <c r="J19" s="41">
        <f>LOG(2.7436)</f>
        <v>0.43832079418644926</v>
      </c>
      <c r="K19" s="42">
        <v>14814</v>
      </c>
      <c r="L19" s="43"/>
    </row>
    <row r="20" spans="1:12" s="24" customFormat="1" ht="25.5">
      <c r="A20" s="37"/>
      <c r="B20" s="37"/>
      <c r="C20" s="37" t="s">
        <v>45</v>
      </c>
      <c r="D20" s="37">
        <v>163</v>
      </c>
      <c r="E20" s="38">
        <v>0</v>
      </c>
      <c r="F20" s="37">
        <f t="shared" si="1"/>
        <v>163</v>
      </c>
      <c r="G20" s="37" t="s">
        <v>76</v>
      </c>
      <c r="H20" s="39">
        <v>0.8811</v>
      </c>
      <c r="I20" s="40">
        <v>1.3492</v>
      </c>
      <c r="J20" s="41">
        <f>LOG(1.5692)</f>
        <v>0.1956782994574983</v>
      </c>
      <c r="K20" s="42"/>
      <c r="L20" s="43"/>
    </row>
    <row r="21" spans="1:12" s="24" customFormat="1" ht="23.25">
      <c r="A21" s="37"/>
      <c r="B21" s="37"/>
      <c r="C21" s="37"/>
      <c r="D21" s="37"/>
      <c r="E21" s="38"/>
      <c r="F21" s="37"/>
      <c r="G21" s="37"/>
      <c r="H21" s="39"/>
      <c r="I21" s="40"/>
      <c r="J21" s="41"/>
      <c r="K21" s="42"/>
      <c r="L21" s="43"/>
    </row>
    <row r="22" spans="1:12" s="24" customFormat="1" ht="25.5">
      <c r="A22" s="37">
        <f>+A19+1</f>
        <v>8</v>
      </c>
      <c r="B22" s="44" t="s">
        <v>41</v>
      </c>
      <c r="C22" s="37">
        <v>2007</v>
      </c>
      <c r="D22" s="44">
        <v>22</v>
      </c>
      <c r="E22" s="38">
        <v>0</v>
      </c>
      <c r="F22" s="37">
        <f t="shared" si="1"/>
        <v>22</v>
      </c>
      <c r="G22" s="44" t="s">
        <v>77</v>
      </c>
      <c r="H22" s="45">
        <v>0.4262</v>
      </c>
      <c r="I22" s="40">
        <v>1.5164</v>
      </c>
      <c r="J22" s="41">
        <f>LOG(1.5815)</f>
        <v>0.19906919625174163</v>
      </c>
      <c r="K22" s="42">
        <v>3090</v>
      </c>
      <c r="L22" s="43"/>
    </row>
    <row r="23" spans="1:12" s="24" customFormat="1" ht="25.5">
      <c r="A23" s="37"/>
      <c r="B23" s="37"/>
      <c r="C23" s="37" t="s">
        <v>45</v>
      </c>
      <c r="D23" s="37">
        <v>162</v>
      </c>
      <c r="E23" s="38">
        <v>0</v>
      </c>
      <c r="F23" s="37">
        <f t="shared" si="1"/>
        <v>162</v>
      </c>
      <c r="G23" s="37" t="s">
        <v>105</v>
      </c>
      <c r="H23" s="39">
        <v>0.7648</v>
      </c>
      <c r="I23" s="40">
        <v>1.6611</v>
      </c>
      <c r="J23" s="41">
        <f>LOG(0.8535)</f>
        <v>-0.06879647454924756</v>
      </c>
      <c r="K23" s="42"/>
      <c r="L23" s="43"/>
    </row>
    <row r="24" spans="1:12" s="24" customFormat="1" ht="23.25">
      <c r="A24" s="37"/>
      <c r="B24" s="37"/>
      <c r="C24" s="37"/>
      <c r="D24" s="37"/>
      <c r="E24" s="38"/>
      <c r="F24" s="37"/>
      <c r="G24" s="37"/>
      <c r="H24" s="39"/>
      <c r="I24" s="40"/>
      <c r="J24" s="41"/>
      <c r="K24" s="42"/>
      <c r="L24" s="43"/>
    </row>
    <row r="25" spans="1:12" s="24" customFormat="1" ht="25.5">
      <c r="A25" s="37">
        <f>+A22+1</f>
        <v>9</v>
      </c>
      <c r="B25" s="44" t="s">
        <v>42</v>
      </c>
      <c r="C25" s="37">
        <v>2007</v>
      </c>
      <c r="D25" s="44">
        <v>34</v>
      </c>
      <c r="E25" s="38">
        <v>0</v>
      </c>
      <c r="F25" s="37">
        <f t="shared" si="1"/>
        <v>34</v>
      </c>
      <c r="G25" s="44" t="s">
        <v>78</v>
      </c>
      <c r="H25" s="45">
        <v>0.953</v>
      </c>
      <c r="I25" s="40">
        <v>1.0968</v>
      </c>
      <c r="J25" s="41">
        <f>LOG(6.605)</f>
        <v>0.819872821950546</v>
      </c>
      <c r="K25" s="42">
        <v>1541</v>
      </c>
      <c r="L25" s="46"/>
    </row>
    <row r="26" spans="1:12" s="24" customFormat="1" ht="25.5">
      <c r="A26" s="37"/>
      <c r="B26" s="37"/>
      <c r="C26" s="37" t="s">
        <v>45</v>
      </c>
      <c r="D26" s="37">
        <v>143</v>
      </c>
      <c r="E26" s="38">
        <v>0</v>
      </c>
      <c r="F26" s="37">
        <f t="shared" si="1"/>
        <v>143</v>
      </c>
      <c r="G26" s="37" t="s">
        <v>79</v>
      </c>
      <c r="H26" s="39">
        <v>0.8664</v>
      </c>
      <c r="I26" s="40">
        <v>1.2566</v>
      </c>
      <c r="J26" s="41">
        <f>LOG(4.0036)</f>
        <v>0.6024506805778724</v>
      </c>
      <c r="K26" s="42"/>
      <c r="L26" s="46"/>
    </row>
    <row r="27" spans="1:12" s="24" customFormat="1" ht="23.25">
      <c r="A27" s="37"/>
      <c r="B27" s="37"/>
      <c r="C27" s="37"/>
      <c r="D27" s="37"/>
      <c r="E27" s="38"/>
      <c r="F27" s="37"/>
      <c r="G27" s="37"/>
      <c r="H27" s="39"/>
      <c r="I27" s="40"/>
      <c r="J27" s="41"/>
      <c r="K27" s="42"/>
      <c r="L27" s="46"/>
    </row>
    <row r="28" spans="1:12" s="24" customFormat="1" ht="25.5">
      <c r="A28" s="37">
        <f>+A25+1</f>
        <v>10</v>
      </c>
      <c r="B28" s="44" t="s">
        <v>24</v>
      </c>
      <c r="C28" s="37">
        <v>2007</v>
      </c>
      <c r="D28" s="44">
        <v>21</v>
      </c>
      <c r="E28" s="38">
        <v>0</v>
      </c>
      <c r="F28" s="37">
        <f aca="true" t="shared" si="2" ref="F28:F80">E28+D28</f>
        <v>21</v>
      </c>
      <c r="G28" s="44" t="s">
        <v>80</v>
      </c>
      <c r="H28" s="45">
        <v>0.7816</v>
      </c>
      <c r="I28" s="40">
        <v>1.0869</v>
      </c>
      <c r="J28" s="41">
        <f>LOG(4.783)</f>
        <v>0.6797003808719642</v>
      </c>
      <c r="K28" s="42">
        <v>547</v>
      </c>
      <c r="L28" s="46"/>
    </row>
    <row r="29" spans="1:12" s="24" customFormat="1" ht="25.5">
      <c r="A29" s="37"/>
      <c r="B29" s="37"/>
      <c r="C29" s="37" t="s">
        <v>46</v>
      </c>
      <c r="D29" s="37">
        <v>156</v>
      </c>
      <c r="E29" s="38">
        <v>0</v>
      </c>
      <c r="F29" s="37">
        <f t="shared" si="2"/>
        <v>156</v>
      </c>
      <c r="G29" s="47" t="s">
        <v>81</v>
      </c>
      <c r="H29" s="48">
        <v>0.9163</v>
      </c>
      <c r="I29" s="40">
        <v>1.2443</v>
      </c>
      <c r="J29" s="41">
        <f>LOG(4.9363)</f>
        <v>0.6934015457548047</v>
      </c>
      <c r="K29" s="42"/>
      <c r="L29" s="46"/>
    </row>
    <row r="30" spans="1:12" s="24" customFormat="1" ht="23.25">
      <c r="A30" s="37"/>
      <c r="B30" s="37"/>
      <c r="C30" s="37"/>
      <c r="D30" s="37"/>
      <c r="E30" s="38"/>
      <c r="F30" s="37"/>
      <c r="G30" s="47"/>
      <c r="H30" s="48"/>
      <c r="I30" s="40"/>
      <c r="J30" s="41"/>
      <c r="K30" s="42"/>
      <c r="L30" s="46"/>
    </row>
    <row r="31" spans="1:12" s="24" customFormat="1" ht="25.5">
      <c r="A31" s="37">
        <f>+A28+1</f>
        <v>11</v>
      </c>
      <c r="B31" s="44" t="s">
        <v>48</v>
      </c>
      <c r="C31" s="37">
        <v>2007</v>
      </c>
      <c r="D31" s="44">
        <v>22</v>
      </c>
      <c r="E31" s="38">
        <v>0</v>
      </c>
      <c r="F31" s="37">
        <f t="shared" si="2"/>
        <v>22</v>
      </c>
      <c r="G31" s="44" t="s">
        <v>106</v>
      </c>
      <c r="H31" s="45">
        <v>0.4946</v>
      </c>
      <c r="I31" s="40">
        <v>1.1227</v>
      </c>
      <c r="J31" s="41">
        <f>LOG(1.4913)</f>
        <v>0.17356501785866163</v>
      </c>
      <c r="K31" s="42">
        <v>134</v>
      </c>
      <c r="L31" s="46"/>
    </row>
    <row r="32" spans="1:12" s="24" customFormat="1" ht="25.5">
      <c r="A32" s="49"/>
      <c r="B32" s="49"/>
      <c r="C32" s="49" t="s">
        <v>60</v>
      </c>
      <c r="D32" s="49">
        <v>25</v>
      </c>
      <c r="E32" s="50">
        <v>0</v>
      </c>
      <c r="F32" s="49">
        <f t="shared" si="2"/>
        <v>25</v>
      </c>
      <c r="G32" s="79" t="s">
        <v>107</v>
      </c>
      <c r="H32" s="80">
        <v>0.498</v>
      </c>
      <c r="I32" s="51">
        <v>1.247</v>
      </c>
      <c r="J32" s="52">
        <f>LOG(1.7135)</f>
        <v>0.23388410876588572</v>
      </c>
      <c r="K32" s="53"/>
      <c r="L32" s="54"/>
    </row>
    <row r="33" spans="1:12" s="24" customFormat="1" ht="25.5">
      <c r="A33" s="29">
        <f>+A31+1</f>
        <v>12</v>
      </c>
      <c r="B33" s="30" t="s">
        <v>49</v>
      </c>
      <c r="C33" s="29">
        <v>2007</v>
      </c>
      <c r="D33" s="30">
        <v>22</v>
      </c>
      <c r="E33" s="31">
        <v>0</v>
      </c>
      <c r="F33" s="29">
        <f t="shared" si="2"/>
        <v>22</v>
      </c>
      <c r="G33" s="30" t="s">
        <v>108</v>
      </c>
      <c r="H33" s="32">
        <v>0.7038</v>
      </c>
      <c r="I33" s="33">
        <v>1.5914</v>
      </c>
      <c r="J33" s="34">
        <f>LOG(2.3543)</f>
        <v>0.37186180262089513</v>
      </c>
      <c r="K33" s="35">
        <v>129</v>
      </c>
      <c r="L33" s="55"/>
    </row>
    <row r="34" spans="1:12" s="24" customFormat="1" ht="25.5">
      <c r="A34" s="37"/>
      <c r="B34" s="37"/>
      <c r="C34" s="37" t="s">
        <v>60</v>
      </c>
      <c r="D34" s="37">
        <v>25</v>
      </c>
      <c r="E34" s="38">
        <v>0</v>
      </c>
      <c r="F34" s="37">
        <f t="shared" si="2"/>
        <v>25</v>
      </c>
      <c r="G34" s="47" t="s">
        <v>109</v>
      </c>
      <c r="H34" s="48">
        <v>0.6987</v>
      </c>
      <c r="I34" s="40">
        <v>1.599</v>
      </c>
      <c r="J34" s="41">
        <f>LOG(2.5016)</f>
        <v>0.3982178682348768</v>
      </c>
      <c r="K34" s="42"/>
      <c r="L34" s="46"/>
    </row>
    <row r="35" spans="1:12" s="24" customFormat="1" ht="23.25">
      <c r="A35" s="37"/>
      <c r="B35" s="37"/>
      <c r="C35" s="37"/>
      <c r="D35" s="37"/>
      <c r="E35" s="38"/>
      <c r="F35" s="37"/>
      <c r="G35" s="47"/>
      <c r="H35" s="48"/>
      <c r="I35" s="40"/>
      <c r="J35" s="41"/>
      <c r="K35" s="42"/>
      <c r="L35" s="46"/>
    </row>
    <row r="36" spans="1:12" s="24" customFormat="1" ht="25.5">
      <c r="A36" s="37">
        <f>+A33+1</f>
        <v>13</v>
      </c>
      <c r="B36" s="44" t="s">
        <v>50</v>
      </c>
      <c r="C36" s="37">
        <v>2007</v>
      </c>
      <c r="D36" s="44">
        <v>34</v>
      </c>
      <c r="E36" s="38">
        <v>0</v>
      </c>
      <c r="F36" s="37">
        <f t="shared" si="2"/>
        <v>34</v>
      </c>
      <c r="G36" s="44" t="s">
        <v>110</v>
      </c>
      <c r="H36" s="45">
        <v>0.8383</v>
      </c>
      <c r="I36" s="40">
        <v>2.2362</v>
      </c>
      <c r="J36" s="41">
        <f>LOG(0.7028)</f>
        <v>-0.15316824717674266</v>
      </c>
      <c r="K36" s="42">
        <v>389</v>
      </c>
      <c r="L36" s="46"/>
    </row>
    <row r="37" spans="1:12" s="24" customFormat="1" ht="25.5">
      <c r="A37" s="37"/>
      <c r="B37" s="37"/>
      <c r="C37" s="37" t="s">
        <v>60</v>
      </c>
      <c r="D37" s="37">
        <v>49</v>
      </c>
      <c r="E37" s="38">
        <v>0</v>
      </c>
      <c r="F37" s="37">
        <f t="shared" si="2"/>
        <v>49</v>
      </c>
      <c r="G37" s="47" t="s">
        <v>111</v>
      </c>
      <c r="H37" s="48">
        <v>0.8539</v>
      </c>
      <c r="I37" s="40">
        <v>2.1695</v>
      </c>
      <c r="J37" s="41">
        <f>LOG(0.9421)</f>
        <v>-0.025902996205868847</v>
      </c>
      <c r="K37" s="42"/>
      <c r="L37" s="46"/>
    </row>
    <row r="38" spans="1:12" s="24" customFormat="1" ht="23.25">
      <c r="A38" s="37"/>
      <c r="B38" s="37"/>
      <c r="C38" s="37"/>
      <c r="D38" s="37"/>
      <c r="E38" s="38"/>
      <c r="F38" s="37"/>
      <c r="G38" s="47"/>
      <c r="H38" s="48"/>
      <c r="I38" s="40"/>
      <c r="J38" s="41"/>
      <c r="K38" s="42"/>
      <c r="L38" s="46"/>
    </row>
    <row r="39" spans="1:12" s="24" customFormat="1" ht="25.5">
      <c r="A39" s="37">
        <f>+A36+1</f>
        <v>14</v>
      </c>
      <c r="B39" s="44" t="s">
        <v>51</v>
      </c>
      <c r="C39" s="37">
        <v>2007</v>
      </c>
      <c r="D39" s="44">
        <v>35</v>
      </c>
      <c r="E39" s="38">
        <v>0</v>
      </c>
      <c r="F39" s="37">
        <f t="shared" si="2"/>
        <v>35</v>
      </c>
      <c r="G39" s="44" t="s">
        <v>113</v>
      </c>
      <c r="H39" s="45">
        <v>0.9023</v>
      </c>
      <c r="I39" s="40">
        <v>1.7659</v>
      </c>
      <c r="J39" s="41">
        <f>LOG(5.0768)</f>
        <v>0.7055900547563371</v>
      </c>
      <c r="K39" s="42">
        <v>493</v>
      </c>
      <c r="L39" s="46"/>
    </row>
    <row r="40" spans="1:12" s="24" customFormat="1" ht="25.5">
      <c r="A40" s="37"/>
      <c r="B40" s="37"/>
      <c r="C40" s="37" t="s">
        <v>112</v>
      </c>
      <c r="D40" s="37">
        <v>48</v>
      </c>
      <c r="E40" s="38">
        <v>0</v>
      </c>
      <c r="F40" s="37">
        <f t="shared" si="2"/>
        <v>48</v>
      </c>
      <c r="G40" s="47" t="s">
        <v>114</v>
      </c>
      <c r="H40" s="48">
        <v>0.8967</v>
      </c>
      <c r="I40" s="40">
        <v>1.6125</v>
      </c>
      <c r="J40" s="41">
        <f>LOG(6.9922)</f>
        <v>0.8446138420597196</v>
      </c>
      <c r="K40" s="42"/>
      <c r="L40" s="46"/>
    </row>
    <row r="41" spans="1:12" s="24" customFormat="1" ht="23.25">
      <c r="A41" s="37"/>
      <c r="B41" s="37"/>
      <c r="C41" s="37"/>
      <c r="D41" s="37"/>
      <c r="E41" s="38"/>
      <c r="F41" s="37"/>
      <c r="G41" s="47"/>
      <c r="H41" s="48"/>
      <c r="I41" s="40"/>
      <c r="J41" s="41"/>
      <c r="K41" s="42"/>
      <c r="L41" s="46"/>
    </row>
    <row r="42" spans="1:12" s="24" customFormat="1" ht="25.5">
      <c r="A42" s="37">
        <f>+A39+1</f>
        <v>15</v>
      </c>
      <c r="B42" s="44" t="s">
        <v>52</v>
      </c>
      <c r="C42" s="37">
        <v>2007</v>
      </c>
      <c r="D42" s="44">
        <v>34</v>
      </c>
      <c r="E42" s="38">
        <v>0</v>
      </c>
      <c r="F42" s="37">
        <f t="shared" si="2"/>
        <v>34</v>
      </c>
      <c r="G42" s="44" t="s">
        <v>82</v>
      </c>
      <c r="H42" s="45">
        <v>0.6927</v>
      </c>
      <c r="I42" s="40">
        <v>1.2187</v>
      </c>
      <c r="J42" s="41">
        <f>LOG(3.4276)</f>
        <v>0.5349901341587519</v>
      </c>
      <c r="K42" s="42">
        <v>97</v>
      </c>
      <c r="L42" s="46"/>
    </row>
    <row r="43" spans="1:12" s="24" customFormat="1" ht="23.25">
      <c r="A43" s="37"/>
      <c r="B43" s="44"/>
      <c r="C43" s="37"/>
      <c r="D43" s="44"/>
      <c r="E43" s="38"/>
      <c r="F43" s="37"/>
      <c r="G43" s="44"/>
      <c r="H43" s="45"/>
      <c r="I43" s="40"/>
      <c r="J43" s="41"/>
      <c r="K43" s="42"/>
      <c r="L43" s="46"/>
    </row>
    <row r="44" spans="1:12" s="24" customFormat="1" ht="25.5">
      <c r="A44" s="37">
        <f>+A42+1</f>
        <v>16</v>
      </c>
      <c r="B44" s="44" t="s">
        <v>53</v>
      </c>
      <c r="C44" s="37">
        <v>2007</v>
      </c>
      <c r="D44" s="44">
        <v>34</v>
      </c>
      <c r="E44" s="38">
        <v>0</v>
      </c>
      <c r="F44" s="37">
        <f t="shared" si="2"/>
        <v>34</v>
      </c>
      <c r="G44" s="44" t="s">
        <v>83</v>
      </c>
      <c r="H44" s="45">
        <v>0.8794</v>
      </c>
      <c r="I44" s="40">
        <v>1.673</v>
      </c>
      <c r="J44" s="41">
        <f>LOG(1.0634)</f>
        <v>0.026696655978159727</v>
      </c>
      <c r="K44" s="42"/>
      <c r="L44" s="46"/>
    </row>
    <row r="45" spans="1:12" s="24" customFormat="1" ht="23.25">
      <c r="A45" s="37"/>
      <c r="B45" s="44"/>
      <c r="C45" s="37"/>
      <c r="D45" s="44"/>
      <c r="E45" s="38"/>
      <c r="F45" s="37"/>
      <c r="G45" s="44"/>
      <c r="H45" s="45"/>
      <c r="I45" s="40"/>
      <c r="J45" s="41"/>
      <c r="K45" s="42"/>
      <c r="L45" s="46"/>
    </row>
    <row r="46" spans="1:12" s="24" customFormat="1" ht="25.5">
      <c r="A46" s="37">
        <v>17</v>
      </c>
      <c r="B46" s="44" t="s">
        <v>16</v>
      </c>
      <c r="C46" s="37">
        <v>2007</v>
      </c>
      <c r="D46" s="44">
        <v>19</v>
      </c>
      <c r="E46" s="38">
        <v>0</v>
      </c>
      <c r="F46" s="37">
        <f t="shared" si="2"/>
        <v>19</v>
      </c>
      <c r="G46" s="44" t="s">
        <v>84</v>
      </c>
      <c r="H46" s="45">
        <v>0.9182</v>
      </c>
      <c r="I46" s="40">
        <v>1.7669</v>
      </c>
      <c r="J46" s="41">
        <f>LOG(0.5718)</f>
        <v>-0.24275584897803</v>
      </c>
      <c r="K46" s="42">
        <v>8924</v>
      </c>
      <c r="L46" s="46"/>
    </row>
    <row r="47" spans="1:12" s="24" customFormat="1" ht="23.25">
      <c r="A47" s="37"/>
      <c r="B47" s="44"/>
      <c r="C47" s="37"/>
      <c r="D47" s="44"/>
      <c r="E47" s="38"/>
      <c r="F47" s="37"/>
      <c r="G47" s="44"/>
      <c r="H47" s="45"/>
      <c r="I47" s="40"/>
      <c r="J47" s="41"/>
      <c r="K47" s="42"/>
      <c r="L47" s="46"/>
    </row>
    <row r="48" spans="1:12" s="24" customFormat="1" ht="25.5">
      <c r="A48" s="37">
        <f>+A46+1</f>
        <v>18</v>
      </c>
      <c r="B48" s="44" t="s">
        <v>25</v>
      </c>
      <c r="C48" s="37">
        <v>2007</v>
      </c>
      <c r="D48" s="44">
        <v>19</v>
      </c>
      <c r="E48" s="38">
        <v>0</v>
      </c>
      <c r="F48" s="37">
        <f t="shared" si="2"/>
        <v>19</v>
      </c>
      <c r="G48" s="44" t="s">
        <v>85</v>
      </c>
      <c r="H48" s="45">
        <v>0.9703</v>
      </c>
      <c r="I48" s="40">
        <v>1.143</v>
      </c>
      <c r="J48" s="41">
        <f>LOG(5.6325)</f>
        <v>0.7507012003958684</v>
      </c>
      <c r="K48" s="42">
        <v>1392</v>
      </c>
      <c r="L48" s="46"/>
    </row>
    <row r="49" spans="1:12" s="24" customFormat="1" ht="25.5">
      <c r="A49" s="37"/>
      <c r="B49" s="37"/>
      <c r="C49" s="37" t="s">
        <v>46</v>
      </c>
      <c r="D49" s="37">
        <v>156</v>
      </c>
      <c r="E49" s="38">
        <v>0</v>
      </c>
      <c r="F49" s="37">
        <f t="shared" si="2"/>
        <v>156</v>
      </c>
      <c r="G49" s="37" t="s">
        <v>86</v>
      </c>
      <c r="H49" s="39">
        <v>0.9289</v>
      </c>
      <c r="I49" s="40">
        <v>1.4804</v>
      </c>
      <c r="J49" s="41">
        <f>LOG(3.7648)</f>
        <v>0.5757419098319461</v>
      </c>
      <c r="K49" s="42"/>
      <c r="L49" s="46"/>
    </row>
    <row r="50" spans="1:12" s="24" customFormat="1" ht="23.25">
      <c r="A50" s="37"/>
      <c r="B50" s="37"/>
      <c r="C50" s="37"/>
      <c r="D50" s="37"/>
      <c r="E50" s="38"/>
      <c r="F50" s="37"/>
      <c r="G50" s="37"/>
      <c r="H50" s="39"/>
      <c r="I50" s="40"/>
      <c r="J50" s="41"/>
      <c r="K50" s="42"/>
      <c r="L50" s="46"/>
    </row>
    <row r="51" spans="1:12" s="24" customFormat="1" ht="25.5">
      <c r="A51" s="37">
        <f>+A48+1</f>
        <v>19</v>
      </c>
      <c r="B51" s="44" t="s">
        <v>17</v>
      </c>
      <c r="C51" s="37">
        <v>2007</v>
      </c>
      <c r="D51" s="44">
        <v>19</v>
      </c>
      <c r="E51" s="38">
        <v>0</v>
      </c>
      <c r="F51" s="37">
        <f t="shared" si="2"/>
        <v>19</v>
      </c>
      <c r="G51" s="44" t="s">
        <v>115</v>
      </c>
      <c r="H51" s="45">
        <v>0.8242</v>
      </c>
      <c r="I51" s="40">
        <v>1.5266</v>
      </c>
      <c r="J51" s="41">
        <f>LOG(4.0475)</f>
        <v>0.6071868574254113</v>
      </c>
      <c r="K51" s="42">
        <v>726</v>
      </c>
      <c r="L51" s="46"/>
    </row>
    <row r="52" spans="1:12" s="24" customFormat="1" ht="25.5">
      <c r="A52" s="37"/>
      <c r="B52" s="37"/>
      <c r="C52" s="37" t="s">
        <v>54</v>
      </c>
      <c r="D52" s="37">
        <v>269</v>
      </c>
      <c r="E52" s="38">
        <v>0</v>
      </c>
      <c r="F52" s="37">
        <f t="shared" si="2"/>
        <v>269</v>
      </c>
      <c r="G52" s="37" t="s">
        <v>87</v>
      </c>
      <c r="H52" s="39">
        <v>0.8738</v>
      </c>
      <c r="I52" s="40">
        <v>1.4905</v>
      </c>
      <c r="J52" s="41">
        <f>LOG(3.475)</f>
        <v>0.5409548089261327</v>
      </c>
      <c r="K52" s="42"/>
      <c r="L52" s="46"/>
    </row>
    <row r="53" spans="1:12" s="24" customFormat="1" ht="23.25">
      <c r="A53" s="37"/>
      <c r="B53" s="37"/>
      <c r="C53" s="37"/>
      <c r="D53" s="37"/>
      <c r="E53" s="38"/>
      <c r="F53" s="37"/>
      <c r="G53" s="37"/>
      <c r="H53" s="39"/>
      <c r="I53" s="40"/>
      <c r="J53" s="41"/>
      <c r="K53" s="42"/>
      <c r="L53" s="46"/>
    </row>
    <row r="54" spans="1:12" s="24" customFormat="1" ht="25.5">
      <c r="A54" s="37">
        <f>+A51+1</f>
        <v>20</v>
      </c>
      <c r="B54" s="44" t="s">
        <v>18</v>
      </c>
      <c r="C54" s="37">
        <v>2007</v>
      </c>
      <c r="D54" s="44">
        <v>34</v>
      </c>
      <c r="E54" s="38">
        <v>0</v>
      </c>
      <c r="F54" s="37">
        <f t="shared" si="2"/>
        <v>34</v>
      </c>
      <c r="G54" s="44" t="s">
        <v>88</v>
      </c>
      <c r="H54" s="45">
        <v>0.8698</v>
      </c>
      <c r="I54" s="40">
        <v>1.5411</v>
      </c>
      <c r="J54" s="41">
        <f>LOG(1.3542)</f>
        <v>0.13168280946140568</v>
      </c>
      <c r="K54" s="42">
        <v>3367</v>
      </c>
      <c r="L54" s="43"/>
    </row>
    <row r="55" spans="1:12" s="24" customFormat="1" ht="25.5">
      <c r="A55" s="37"/>
      <c r="B55" s="37"/>
      <c r="C55" s="37" t="s">
        <v>55</v>
      </c>
      <c r="D55" s="37">
        <v>204</v>
      </c>
      <c r="E55" s="38">
        <v>0</v>
      </c>
      <c r="F55" s="37">
        <f t="shared" si="2"/>
        <v>204</v>
      </c>
      <c r="G55" s="37" t="s">
        <v>89</v>
      </c>
      <c r="H55" s="39">
        <v>0.908</v>
      </c>
      <c r="I55" s="40">
        <v>1.3745</v>
      </c>
      <c r="J55" s="41">
        <f>LOG(3.3631)</f>
        <v>0.5267397810233803</v>
      </c>
      <c r="K55" s="42"/>
      <c r="L55" s="43"/>
    </row>
    <row r="56" spans="1:12" s="24" customFormat="1" ht="23.25">
      <c r="A56" s="37"/>
      <c r="B56" s="37"/>
      <c r="C56" s="37"/>
      <c r="D56" s="37"/>
      <c r="E56" s="38"/>
      <c r="F56" s="37"/>
      <c r="G56" s="37"/>
      <c r="H56" s="39"/>
      <c r="I56" s="40"/>
      <c r="J56" s="41"/>
      <c r="K56" s="42"/>
      <c r="L56" s="43"/>
    </row>
    <row r="57" spans="1:12" s="64" customFormat="1" ht="22.5" customHeight="1">
      <c r="A57" s="56">
        <f>+A54+1</f>
        <v>21</v>
      </c>
      <c r="B57" s="57" t="s">
        <v>19</v>
      </c>
      <c r="C57" s="56">
        <v>2007</v>
      </c>
      <c r="D57" s="57">
        <v>34</v>
      </c>
      <c r="E57" s="58">
        <v>0</v>
      </c>
      <c r="F57" s="56">
        <f t="shared" si="2"/>
        <v>34</v>
      </c>
      <c r="G57" s="57" t="s">
        <v>117</v>
      </c>
      <c r="H57" s="59">
        <v>0.9642</v>
      </c>
      <c r="I57" s="60">
        <v>1.0318</v>
      </c>
      <c r="J57" s="61">
        <f>LOG(19.856)</f>
        <v>1.2978917641546546</v>
      </c>
      <c r="K57" s="62">
        <v>7624</v>
      </c>
      <c r="L57" s="63"/>
    </row>
    <row r="58" spans="1:12" s="64" customFormat="1" ht="22.5" customHeight="1">
      <c r="A58" s="56"/>
      <c r="B58" s="56"/>
      <c r="C58" s="56" t="s">
        <v>63</v>
      </c>
      <c r="D58" s="56">
        <v>235</v>
      </c>
      <c r="E58" s="58">
        <v>0</v>
      </c>
      <c r="F58" s="56">
        <f t="shared" si="2"/>
        <v>235</v>
      </c>
      <c r="G58" s="56" t="s">
        <v>116</v>
      </c>
      <c r="H58" s="65">
        <v>0.9368</v>
      </c>
      <c r="I58" s="60">
        <v>1.5109</v>
      </c>
      <c r="J58" s="61">
        <f>LOG(1.8444)</f>
        <v>0.26585511354736996</v>
      </c>
      <c r="K58" s="62"/>
      <c r="L58" s="63"/>
    </row>
    <row r="59" spans="1:12" s="64" customFormat="1" ht="22.5" customHeight="1">
      <c r="A59" s="56"/>
      <c r="B59" s="56"/>
      <c r="C59" s="56"/>
      <c r="D59" s="56"/>
      <c r="E59" s="58"/>
      <c r="F59" s="56"/>
      <c r="G59" s="56"/>
      <c r="H59" s="65"/>
      <c r="I59" s="60"/>
      <c r="J59" s="61"/>
      <c r="K59" s="62"/>
      <c r="L59" s="63"/>
    </row>
    <row r="60" spans="1:12" s="64" customFormat="1" ht="22.5" customHeight="1">
      <c r="A60" s="56">
        <f>+A57+1</f>
        <v>22</v>
      </c>
      <c r="B60" s="57" t="s">
        <v>56</v>
      </c>
      <c r="C60" s="56">
        <v>2007</v>
      </c>
      <c r="D60" s="57">
        <v>34</v>
      </c>
      <c r="E60" s="58">
        <v>0</v>
      </c>
      <c r="F60" s="56">
        <f t="shared" si="2"/>
        <v>34</v>
      </c>
      <c r="G60" s="57" t="s">
        <v>90</v>
      </c>
      <c r="H60" s="59">
        <v>0.9784</v>
      </c>
      <c r="I60" s="60">
        <v>0.85</v>
      </c>
      <c r="J60" s="61">
        <f>LOG(50.1)</f>
        <v>1.6998377258672457</v>
      </c>
      <c r="K60" s="62">
        <v>5410</v>
      </c>
      <c r="L60" s="63"/>
    </row>
    <row r="61" spans="1:12" s="64" customFormat="1" ht="22.5" customHeight="1">
      <c r="A61" s="89"/>
      <c r="B61" s="89"/>
      <c r="C61" s="89" t="s">
        <v>60</v>
      </c>
      <c r="D61" s="89">
        <v>37</v>
      </c>
      <c r="E61" s="90">
        <v>0</v>
      </c>
      <c r="F61" s="89">
        <f t="shared" si="2"/>
        <v>37</v>
      </c>
      <c r="G61" s="89" t="s">
        <v>91</v>
      </c>
      <c r="H61" s="91">
        <v>0.8425</v>
      </c>
      <c r="I61" s="92">
        <v>1.8385</v>
      </c>
      <c r="J61" s="93">
        <f>LOG(0.4024)</f>
        <v>-0.395342027952129</v>
      </c>
      <c r="K61" s="94"/>
      <c r="L61" s="95"/>
    </row>
    <row r="62" spans="1:12" s="64" customFormat="1" ht="22.5" customHeight="1">
      <c r="A62" s="81">
        <f>+A60+1</f>
        <v>23</v>
      </c>
      <c r="B62" s="82" t="s">
        <v>57</v>
      </c>
      <c r="C62" s="81">
        <v>2007</v>
      </c>
      <c r="D62" s="82">
        <v>33</v>
      </c>
      <c r="E62" s="83">
        <v>0</v>
      </c>
      <c r="F62" s="81">
        <f t="shared" si="2"/>
        <v>33</v>
      </c>
      <c r="G62" s="82" t="s">
        <v>92</v>
      </c>
      <c r="H62" s="84">
        <v>0.9388</v>
      </c>
      <c r="I62" s="85">
        <v>1.4989</v>
      </c>
      <c r="J62" s="86">
        <f>LOG(1.0501)</f>
        <v>0.021230658479702524</v>
      </c>
      <c r="K62" s="87">
        <v>10360</v>
      </c>
      <c r="L62" s="88"/>
    </row>
    <row r="63" spans="1:12" s="64" customFormat="1" ht="22.5" customHeight="1">
      <c r="A63" s="56"/>
      <c r="B63" s="57"/>
      <c r="C63" s="56"/>
      <c r="D63" s="57"/>
      <c r="E63" s="58"/>
      <c r="F63" s="56"/>
      <c r="G63" s="57"/>
      <c r="H63" s="59"/>
      <c r="I63" s="60"/>
      <c r="J63" s="61"/>
      <c r="K63" s="62"/>
      <c r="L63" s="63"/>
    </row>
    <row r="64" spans="1:12" s="64" customFormat="1" ht="22.5" customHeight="1">
      <c r="A64" s="56">
        <f>+A62+1</f>
        <v>24</v>
      </c>
      <c r="B64" s="57" t="s">
        <v>58</v>
      </c>
      <c r="C64" s="56">
        <v>2007</v>
      </c>
      <c r="D64" s="57">
        <v>33</v>
      </c>
      <c r="E64" s="58">
        <v>0</v>
      </c>
      <c r="F64" s="56">
        <f t="shared" si="2"/>
        <v>33</v>
      </c>
      <c r="G64" s="57" t="s">
        <v>93</v>
      </c>
      <c r="H64" s="59">
        <v>0.8896</v>
      </c>
      <c r="I64" s="60">
        <v>1.4548</v>
      </c>
      <c r="J64" s="61">
        <f>LOG(3.3816)</f>
        <v>0.5291222348209624</v>
      </c>
      <c r="K64" s="62">
        <v>452</v>
      </c>
      <c r="L64" s="63"/>
    </row>
    <row r="65" spans="1:12" s="64" customFormat="1" ht="22.5" customHeight="1">
      <c r="A65" s="56"/>
      <c r="B65" s="57"/>
      <c r="C65" s="56"/>
      <c r="D65" s="57"/>
      <c r="E65" s="58"/>
      <c r="F65" s="56"/>
      <c r="G65" s="57"/>
      <c r="H65" s="59"/>
      <c r="I65" s="60"/>
      <c r="J65" s="61"/>
      <c r="K65" s="62"/>
      <c r="L65" s="63"/>
    </row>
    <row r="66" spans="1:12" s="64" customFormat="1" ht="22.5" customHeight="1">
      <c r="A66" s="56">
        <f>+A64+1</f>
        <v>25</v>
      </c>
      <c r="B66" s="57" t="s">
        <v>59</v>
      </c>
      <c r="C66" s="56">
        <v>2007</v>
      </c>
      <c r="D66" s="57">
        <v>34</v>
      </c>
      <c r="E66" s="58">
        <v>0</v>
      </c>
      <c r="F66" s="56">
        <f t="shared" si="2"/>
        <v>34</v>
      </c>
      <c r="G66" s="57" t="s">
        <v>94</v>
      </c>
      <c r="H66" s="59">
        <v>0.976</v>
      </c>
      <c r="I66" s="60">
        <v>1.9816</v>
      </c>
      <c r="J66" s="61">
        <f>LOG(0.127)</f>
        <v>-0.8961962790440431</v>
      </c>
      <c r="K66" s="62">
        <v>4560</v>
      </c>
      <c r="L66" s="63"/>
    </row>
    <row r="67" spans="1:12" s="64" customFormat="1" ht="22.5" customHeight="1">
      <c r="A67" s="56"/>
      <c r="B67" s="56"/>
      <c r="C67" s="56" t="s">
        <v>60</v>
      </c>
      <c r="D67" s="56">
        <v>45</v>
      </c>
      <c r="E67" s="58">
        <v>0</v>
      </c>
      <c r="F67" s="56">
        <f t="shared" si="2"/>
        <v>45</v>
      </c>
      <c r="G67" s="56" t="s">
        <v>95</v>
      </c>
      <c r="H67" s="65">
        <v>0.8729</v>
      </c>
      <c r="I67" s="60">
        <v>1.9024</v>
      </c>
      <c r="J67" s="61">
        <f>LOG(0.1783)</f>
        <v>-0.7488486568246454</v>
      </c>
      <c r="K67" s="62"/>
      <c r="L67" s="63"/>
    </row>
    <row r="68" spans="1:12" s="64" customFormat="1" ht="22.5" customHeight="1">
      <c r="A68" s="56"/>
      <c r="B68" s="56"/>
      <c r="C68" s="56"/>
      <c r="D68" s="56"/>
      <c r="E68" s="58"/>
      <c r="F68" s="56"/>
      <c r="G68" s="56"/>
      <c r="H68" s="65"/>
      <c r="I68" s="60"/>
      <c r="J68" s="61"/>
      <c r="K68" s="62"/>
      <c r="L68" s="63"/>
    </row>
    <row r="69" spans="1:12" s="64" customFormat="1" ht="22.5" customHeight="1">
      <c r="A69" s="56">
        <f>+A66+1</f>
        <v>26</v>
      </c>
      <c r="B69" s="57" t="s">
        <v>28</v>
      </c>
      <c r="C69" s="56">
        <v>2007</v>
      </c>
      <c r="D69" s="57">
        <v>16</v>
      </c>
      <c r="E69" s="58">
        <v>0</v>
      </c>
      <c r="F69" s="56">
        <f t="shared" si="2"/>
        <v>16</v>
      </c>
      <c r="G69" s="57" t="s">
        <v>96</v>
      </c>
      <c r="H69" s="59">
        <v>0.7231</v>
      </c>
      <c r="I69" s="60">
        <v>1.4839</v>
      </c>
      <c r="J69" s="61">
        <f>LOG(1.2872)</f>
        <v>0.1096460310909731</v>
      </c>
      <c r="K69" s="62">
        <v>8705</v>
      </c>
      <c r="L69" s="63"/>
    </row>
    <row r="70" spans="1:12" s="64" customFormat="1" ht="22.5" customHeight="1">
      <c r="A70" s="56"/>
      <c r="B70" s="56"/>
      <c r="C70" s="56" t="s">
        <v>61</v>
      </c>
      <c r="D70" s="56">
        <v>319</v>
      </c>
      <c r="E70" s="58">
        <v>0</v>
      </c>
      <c r="F70" s="56">
        <f t="shared" si="2"/>
        <v>319</v>
      </c>
      <c r="G70" s="56" t="s">
        <v>97</v>
      </c>
      <c r="H70" s="65">
        <v>0.875</v>
      </c>
      <c r="I70" s="60">
        <v>1.5719</v>
      </c>
      <c r="J70" s="61">
        <f>LOG(0.4757)</f>
        <v>-0.32266684858009825</v>
      </c>
      <c r="K70" s="62"/>
      <c r="L70" s="63"/>
    </row>
    <row r="71" spans="1:12" s="64" customFormat="1" ht="22.5" customHeight="1">
      <c r="A71" s="56"/>
      <c r="B71" s="56"/>
      <c r="C71" s="56"/>
      <c r="D71" s="56"/>
      <c r="E71" s="58"/>
      <c r="F71" s="56"/>
      <c r="G71" s="56"/>
      <c r="H71" s="65"/>
      <c r="I71" s="60"/>
      <c r="J71" s="61"/>
      <c r="K71" s="62"/>
      <c r="L71" s="63"/>
    </row>
    <row r="72" spans="1:12" s="64" customFormat="1" ht="22.5" customHeight="1">
      <c r="A72" s="56">
        <f>+A69+1</f>
        <v>27</v>
      </c>
      <c r="B72" s="57" t="s">
        <v>62</v>
      </c>
      <c r="C72" s="56">
        <v>2007</v>
      </c>
      <c r="D72" s="57">
        <v>34</v>
      </c>
      <c r="E72" s="58">
        <v>0</v>
      </c>
      <c r="F72" s="56">
        <f t="shared" si="2"/>
        <v>34</v>
      </c>
      <c r="G72" s="57" t="s">
        <v>98</v>
      </c>
      <c r="H72" s="59">
        <v>0.8566</v>
      </c>
      <c r="I72" s="60">
        <v>2.0649</v>
      </c>
      <c r="J72" s="61">
        <f>LOG(0.1432)</f>
        <v>-0.8440569820281633</v>
      </c>
      <c r="K72" s="62">
        <v>3476</v>
      </c>
      <c r="L72" s="63"/>
    </row>
    <row r="73" spans="1:12" s="64" customFormat="1" ht="22.5" customHeight="1">
      <c r="A73" s="56"/>
      <c r="B73" s="57"/>
      <c r="C73" s="56"/>
      <c r="D73" s="57"/>
      <c r="E73" s="58"/>
      <c r="F73" s="56"/>
      <c r="G73" s="57"/>
      <c r="H73" s="59"/>
      <c r="I73" s="60"/>
      <c r="J73" s="61"/>
      <c r="K73" s="62"/>
      <c r="L73" s="63"/>
    </row>
    <row r="74" spans="1:12" s="64" customFormat="1" ht="22.5" customHeight="1">
      <c r="A74" s="56">
        <f>+A72+1</f>
        <v>28</v>
      </c>
      <c r="B74" s="57" t="s">
        <v>29</v>
      </c>
      <c r="C74" s="56">
        <v>2007</v>
      </c>
      <c r="D74" s="57">
        <v>34</v>
      </c>
      <c r="E74" s="58">
        <v>0</v>
      </c>
      <c r="F74" s="56">
        <f t="shared" si="2"/>
        <v>34</v>
      </c>
      <c r="G74" s="57" t="s">
        <v>99</v>
      </c>
      <c r="H74" s="59">
        <v>0.7273</v>
      </c>
      <c r="I74" s="60">
        <v>1.6829</v>
      </c>
      <c r="J74" s="61">
        <f>LOG(0.7096)</f>
        <v>-0.14898639317633003</v>
      </c>
      <c r="K74" s="62">
        <v>621</v>
      </c>
      <c r="L74" s="63"/>
    </row>
    <row r="75" spans="1:12" s="64" customFormat="1" ht="22.5" customHeight="1">
      <c r="A75" s="56"/>
      <c r="B75" s="57"/>
      <c r="C75" s="56"/>
      <c r="D75" s="57"/>
      <c r="E75" s="58"/>
      <c r="F75" s="56"/>
      <c r="G75" s="57"/>
      <c r="H75" s="59"/>
      <c r="I75" s="60"/>
      <c r="J75" s="61"/>
      <c r="K75" s="62"/>
      <c r="L75" s="63"/>
    </row>
    <row r="76" spans="1:12" s="64" customFormat="1" ht="22.5" customHeight="1">
      <c r="A76" s="56">
        <f>+A74+1</f>
        <v>29</v>
      </c>
      <c r="B76" s="57" t="s">
        <v>30</v>
      </c>
      <c r="C76" s="56">
        <v>2007</v>
      </c>
      <c r="D76" s="57">
        <v>33</v>
      </c>
      <c r="E76" s="58">
        <v>0</v>
      </c>
      <c r="F76" s="56">
        <f t="shared" si="2"/>
        <v>33</v>
      </c>
      <c r="G76" s="57" t="s">
        <v>100</v>
      </c>
      <c r="H76" s="59">
        <v>0.924</v>
      </c>
      <c r="I76" s="60">
        <v>1.5577</v>
      </c>
      <c r="J76" s="61">
        <f>LOG(3.9963)</f>
        <v>0.6016580830209397</v>
      </c>
      <c r="K76" s="62">
        <v>2934</v>
      </c>
      <c r="L76" s="63"/>
    </row>
    <row r="77" spans="1:12" s="64" customFormat="1" ht="22.5" customHeight="1">
      <c r="A77" s="56"/>
      <c r="B77" s="56"/>
      <c r="C77" s="56" t="s">
        <v>63</v>
      </c>
      <c r="D77" s="56">
        <v>268</v>
      </c>
      <c r="E77" s="58">
        <v>0</v>
      </c>
      <c r="F77" s="56">
        <f t="shared" si="2"/>
        <v>268</v>
      </c>
      <c r="G77" s="56" t="s">
        <v>101</v>
      </c>
      <c r="H77" s="65">
        <v>0.9224</v>
      </c>
      <c r="I77" s="60">
        <v>1.4687</v>
      </c>
      <c r="J77" s="61">
        <f>LOG(4.1616)</f>
        <v>0.6192603348517975</v>
      </c>
      <c r="K77" s="66"/>
      <c r="L77" s="63"/>
    </row>
    <row r="78" spans="1:12" s="64" customFormat="1" ht="22.5" customHeight="1">
      <c r="A78" s="56"/>
      <c r="B78" s="56"/>
      <c r="C78" s="56"/>
      <c r="D78" s="56"/>
      <c r="E78" s="58"/>
      <c r="F78" s="56"/>
      <c r="G78" s="56"/>
      <c r="H78" s="65"/>
      <c r="I78" s="60"/>
      <c r="J78" s="61"/>
      <c r="K78" s="66"/>
      <c r="L78" s="63"/>
    </row>
    <row r="79" spans="1:12" s="64" customFormat="1" ht="22.5" customHeight="1">
      <c r="A79" s="56">
        <f>+A76+1</f>
        <v>30</v>
      </c>
      <c r="B79" s="57" t="s">
        <v>64</v>
      </c>
      <c r="C79" s="56">
        <v>2007</v>
      </c>
      <c r="D79" s="57">
        <v>19</v>
      </c>
      <c r="E79" s="58">
        <v>0</v>
      </c>
      <c r="F79" s="56">
        <f t="shared" si="2"/>
        <v>19</v>
      </c>
      <c r="G79" s="57" t="s">
        <v>102</v>
      </c>
      <c r="H79" s="59">
        <v>0.7973</v>
      </c>
      <c r="I79" s="60">
        <v>2.3098</v>
      </c>
      <c r="J79" s="61">
        <f>LOG(0.8942)</f>
        <v>-0.04856533446798701</v>
      </c>
      <c r="K79" s="62">
        <v>382</v>
      </c>
      <c r="L79" s="63"/>
    </row>
    <row r="80" spans="1:12" s="64" customFormat="1" ht="22.5" customHeight="1">
      <c r="A80" s="56"/>
      <c r="B80" s="56"/>
      <c r="C80" s="56" t="s">
        <v>60</v>
      </c>
      <c r="D80" s="56">
        <v>25</v>
      </c>
      <c r="E80" s="58">
        <v>0</v>
      </c>
      <c r="F80" s="56">
        <f t="shared" si="2"/>
        <v>25</v>
      </c>
      <c r="G80" s="56" t="s">
        <v>103</v>
      </c>
      <c r="H80" s="65">
        <v>0.7798</v>
      </c>
      <c r="I80" s="60">
        <v>2.0586</v>
      </c>
      <c r="J80" s="61">
        <f>LOG(1.3643)</f>
        <v>0.1349098791318783</v>
      </c>
      <c r="K80" s="66"/>
      <c r="L80" s="63"/>
    </row>
    <row r="81" spans="1:12" s="24" customFormat="1" ht="23.25">
      <c r="A81" s="49"/>
      <c r="B81" s="49"/>
      <c r="C81" s="49"/>
      <c r="D81" s="49"/>
      <c r="E81" s="50"/>
      <c r="F81" s="49"/>
      <c r="G81" s="49"/>
      <c r="H81" s="67"/>
      <c r="I81" s="51"/>
      <c r="J81" s="52"/>
      <c r="K81" s="49"/>
      <c r="L81" s="68"/>
    </row>
    <row r="82" spans="1:12" s="24" customFormat="1" ht="23.25">
      <c r="A82" s="69"/>
      <c r="B82" s="69"/>
      <c r="C82" s="69" t="s">
        <v>9</v>
      </c>
      <c r="D82" s="96">
        <f>SUM(D4:D81)</f>
        <v>3896</v>
      </c>
      <c r="E82" s="98">
        <f>SUM(E4:E81)</f>
        <v>0</v>
      </c>
      <c r="F82" s="97">
        <f>SUM(F4:F81)</f>
        <v>3896</v>
      </c>
      <c r="G82" s="70"/>
      <c r="H82" s="71"/>
      <c r="I82" s="70"/>
      <c r="J82" s="72"/>
      <c r="K82" s="73"/>
      <c r="L82" s="74"/>
    </row>
    <row r="83" spans="1:12" s="24" customFormat="1" ht="23.25">
      <c r="A83" s="99" t="s">
        <v>104</v>
      </c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1"/>
    </row>
    <row r="84" spans="1:12" s="24" customFormat="1" ht="26.25">
      <c r="A84" s="75"/>
      <c r="B84" s="75"/>
      <c r="C84" s="75"/>
      <c r="D84" s="75"/>
      <c r="E84" s="75"/>
      <c r="F84" s="75"/>
      <c r="G84" s="22"/>
      <c r="H84" s="76"/>
      <c r="I84" s="22"/>
      <c r="J84" s="77"/>
      <c r="K84" s="22"/>
      <c r="L84" s="78"/>
    </row>
    <row r="85" spans="1:12" s="24" customFormat="1" ht="26.25">
      <c r="A85" s="75"/>
      <c r="B85" s="75"/>
      <c r="C85" s="75"/>
      <c r="D85" s="75"/>
      <c r="E85" s="75"/>
      <c r="F85" s="75"/>
      <c r="G85" s="22"/>
      <c r="H85" s="76"/>
      <c r="I85" s="22"/>
      <c r="J85" s="77"/>
      <c r="K85" s="22"/>
      <c r="L85" s="78"/>
    </row>
    <row r="86" spans="1:12" s="24" customFormat="1" ht="26.25">
      <c r="A86" s="75"/>
      <c r="B86" s="75"/>
      <c r="C86" s="75"/>
      <c r="D86" s="75"/>
      <c r="E86" s="75"/>
      <c r="F86" s="75"/>
      <c r="G86" s="22"/>
      <c r="H86" s="76"/>
      <c r="I86" s="22"/>
      <c r="J86" s="77"/>
      <c r="K86" s="22"/>
      <c r="L86" s="78"/>
    </row>
    <row r="87" spans="1:12" s="24" customFormat="1" ht="26.25">
      <c r="A87" s="75"/>
      <c r="B87" s="75"/>
      <c r="C87" s="75"/>
      <c r="D87" s="75"/>
      <c r="E87" s="75"/>
      <c r="F87" s="75"/>
      <c r="G87" s="22"/>
      <c r="H87" s="76"/>
      <c r="I87" s="22"/>
      <c r="J87" s="77"/>
      <c r="K87" s="22"/>
      <c r="L87" s="78"/>
    </row>
    <row r="88" spans="1:12" s="24" customFormat="1" ht="26.25">
      <c r="A88" s="75"/>
      <c r="B88" s="75"/>
      <c r="C88" s="75"/>
      <c r="D88" s="75"/>
      <c r="E88" s="75"/>
      <c r="F88" s="75"/>
      <c r="G88" s="22"/>
      <c r="H88" s="76"/>
      <c r="I88" s="22"/>
      <c r="J88" s="77"/>
      <c r="K88" s="22"/>
      <c r="L88" s="78"/>
    </row>
    <row r="89" spans="1:12" s="24" customFormat="1" ht="26.25">
      <c r="A89" s="75"/>
      <c r="B89" s="75"/>
      <c r="C89" s="75"/>
      <c r="D89" s="75"/>
      <c r="E89" s="75"/>
      <c r="F89" s="75"/>
      <c r="G89" s="22"/>
      <c r="H89" s="76"/>
      <c r="I89" s="22"/>
      <c r="J89" s="77"/>
      <c r="K89" s="22"/>
      <c r="L89" s="78"/>
    </row>
  </sheetData>
  <mergeCells count="11">
    <mergeCell ref="A1:L1"/>
    <mergeCell ref="D2:F2"/>
    <mergeCell ref="A2:A3"/>
    <mergeCell ref="B2:B3"/>
    <mergeCell ref="J2:J3"/>
    <mergeCell ref="I2:I3"/>
    <mergeCell ref="G2:G3"/>
    <mergeCell ref="A83:L83"/>
    <mergeCell ref="C2:C3"/>
    <mergeCell ref="L2:L3"/>
    <mergeCell ref="H2:H3"/>
  </mergeCells>
  <printOptions horizontalCentered="1"/>
  <pageMargins left="0.1968503937007874" right="0" top="0.7874015748031497" bottom="0.5905511811023623" header="0.5118110236220472" footer="0.551181102362204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22">
      <pane xSplit="2" topLeftCell="C1" activePane="topRight" state="frozen"/>
      <selection pane="topLeft" activeCell="A1" sqref="A1"/>
      <selection pane="topRight" activeCell="C34" sqref="C34"/>
    </sheetView>
  </sheetViews>
  <sheetFormatPr defaultColWidth="9.140625" defaultRowHeight="21.75"/>
  <cols>
    <col min="1" max="1" width="9.140625" style="2" customWidth="1"/>
    <col min="2" max="2" width="6.140625" style="2" customWidth="1"/>
    <col min="3" max="3" width="20.8515625" style="13" customWidth="1"/>
    <col min="4" max="16384" width="9.140625" style="1" customWidth="1"/>
  </cols>
  <sheetData>
    <row r="1" spans="1:3" ht="30">
      <c r="A1" s="20" t="s">
        <v>21</v>
      </c>
      <c r="B1" s="15"/>
      <c r="C1" s="15"/>
    </row>
    <row r="2" spans="1:3" s="3" customFormat="1" ht="23.25">
      <c r="A2" s="113" t="s">
        <v>7</v>
      </c>
      <c r="B2" s="113" t="s">
        <v>0</v>
      </c>
      <c r="C2" s="114" t="s">
        <v>3</v>
      </c>
    </row>
    <row r="3" spans="1:3" s="3" customFormat="1" ht="23.25">
      <c r="A3" s="113"/>
      <c r="B3" s="113"/>
      <c r="C3" s="114"/>
    </row>
    <row r="4" spans="1:5" s="3" customFormat="1" ht="23.25">
      <c r="A4" s="4">
        <v>1</v>
      </c>
      <c r="B4" s="5" t="s">
        <v>11</v>
      </c>
      <c r="C4" s="16">
        <f>LOG(0.4851)</f>
        <v>-0.3141687253739364</v>
      </c>
      <c r="D4" s="3">
        <v>0.4851</v>
      </c>
      <c r="E4" s="3">
        <f>+LOG(D4)</f>
        <v>-0.3141687253739364</v>
      </c>
    </row>
    <row r="5" spans="1:3" s="3" customFormat="1" ht="23.25">
      <c r="A5" s="6"/>
      <c r="B5" s="6"/>
      <c r="C5" s="17">
        <f>LOG(1.4189)</f>
        <v>0.15195178870726556</v>
      </c>
    </row>
    <row r="6" spans="1:3" s="3" customFormat="1" ht="23.25">
      <c r="A6" s="6">
        <f>+A4+1</f>
        <v>2</v>
      </c>
      <c r="B6" s="7" t="s">
        <v>12</v>
      </c>
      <c r="C6" s="17">
        <f>LOG(3.4059)</f>
        <v>0.5322318925738089</v>
      </c>
    </row>
    <row r="7" spans="1:3" s="3" customFormat="1" ht="23.25">
      <c r="A7" s="6"/>
      <c r="B7" s="6"/>
      <c r="C7" s="17">
        <f>LOG(3.6824)</f>
        <v>0.5661309618859178</v>
      </c>
    </row>
    <row r="8" spans="1:3" s="3" customFormat="1" ht="23.25">
      <c r="A8" s="6">
        <f>+A6+1</f>
        <v>3</v>
      </c>
      <c r="B8" s="7" t="s">
        <v>22</v>
      </c>
      <c r="C8" s="17">
        <f>LOG(0.4124)</f>
        <v>-0.38468134338852106</v>
      </c>
    </row>
    <row r="9" spans="1:3" s="3" customFormat="1" ht="23.25">
      <c r="A9" s="6"/>
      <c r="B9" s="7"/>
      <c r="C9" s="17">
        <f>LOG(0.3674)</f>
        <v>-0.43486084803021047</v>
      </c>
    </row>
    <row r="10" spans="1:3" s="3" customFormat="1" ht="23.25">
      <c r="A10" s="6"/>
      <c r="B10" s="7" t="s">
        <v>38</v>
      </c>
      <c r="C10" s="17">
        <f>LOG(5.6805)</f>
        <v>0.7543865641765075</v>
      </c>
    </row>
    <row r="11" spans="1:3" s="3" customFormat="1" ht="23.25">
      <c r="A11" s="6"/>
      <c r="B11" s="6"/>
      <c r="C11" s="17">
        <f>LOG(5.6805)</f>
        <v>0.7543865641765075</v>
      </c>
    </row>
    <row r="12" spans="1:3" s="3" customFormat="1" ht="23.25">
      <c r="A12" s="6">
        <f>+A8+1</f>
        <v>4</v>
      </c>
      <c r="B12" s="7" t="s">
        <v>13</v>
      </c>
      <c r="C12" s="17">
        <f>LOG(3.1705)</f>
        <v>0.5011277575229803</v>
      </c>
    </row>
    <row r="13" spans="1:3" s="3" customFormat="1" ht="23.25">
      <c r="A13" s="6"/>
      <c r="B13" s="6"/>
      <c r="C13" s="17">
        <f>LOG(3.4453)</f>
        <v>0.5372270441455221</v>
      </c>
    </row>
    <row r="14" spans="1:3" s="3" customFormat="1" ht="23.25">
      <c r="A14" s="6">
        <f>+A12+1</f>
        <v>5</v>
      </c>
      <c r="B14" s="7" t="s">
        <v>23</v>
      </c>
      <c r="C14" s="17">
        <f>LOG(4.8522)</f>
        <v>0.6859386934942598</v>
      </c>
    </row>
    <row r="15" spans="1:3" s="3" customFormat="1" ht="23.25">
      <c r="A15" s="6"/>
      <c r="B15" s="6"/>
      <c r="C15" s="17">
        <f>LOG(4.9302)</f>
        <v>0.6928645373572675</v>
      </c>
    </row>
    <row r="16" spans="1:3" s="3" customFormat="1" ht="23.25">
      <c r="A16" s="6">
        <f>+A14+1</f>
        <v>6</v>
      </c>
      <c r="B16" s="7" t="s">
        <v>14</v>
      </c>
      <c r="C16" s="17">
        <f>LOG(5.1227)</f>
        <v>0.7094989230909564</v>
      </c>
    </row>
    <row r="17" spans="1:3" s="3" customFormat="1" ht="23.25">
      <c r="A17" s="6"/>
      <c r="B17" s="6"/>
      <c r="C17" s="17">
        <f>LOG(4.5302)</f>
        <v>0.6561173757388853</v>
      </c>
    </row>
    <row r="18" spans="1:3" s="3" customFormat="1" ht="23.25">
      <c r="A18" s="6">
        <f>+A16+1</f>
        <v>7</v>
      </c>
      <c r="B18" s="7" t="s">
        <v>15</v>
      </c>
      <c r="C18" s="17">
        <f>LOG(4.3208)</f>
        <v>0.6355641642731371</v>
      </c>
    </row>
    <row r="19" spans="1:3" s="3" customFormat="1" ht="23.25">
      <c r="A19" s="6"/>
      <c r="B19" s="6"/>
      <c r="C19" s="17">
        <f>LOG(4.7961)</f>
        <v>0.6808882296802367</v>
      </c>
    </row>
    <row r="20" spans="1:3" s="3" customFormat="1" ht="23.25">
      <c r="A20" s="6">
        <f>+A18+1</f>
        <v>8</v>
      </c>
      <c r="B20" s="7" t="s">
        <v>39</v>
      </c>
      <c r="C20" s="17">
        <f>LOG(2.7165)</f>
        <v>0.43400970936973965</v>
      </c>
    </row>
    <row r="21" spans="1:3" s="3" customFormat="1" ht="23.25">
      <c r="A21" s="6"/>
      <c r="B21" s="7"/>
      <c r="C21" s="17">
        <f>LOG(2.7165)</f>
        <v>0.43400970936973965</v>
      </c>
    </row>
    <row r="22" spans="1:3" s="3" customFormat="1" ht="23.25">
      <c r="A22" s="6">
        <f aca="true" t="shared" si="0" ref="A22:A28">+A20+1</f>
        <v>9</v>
      </c>
      <c r="B22" s="7" t="s">
        <v>40</v>
      </c>
      <c r="C22" s="17">
        <f>LOG(1.6061)</f>
        <v>0.20577258209841967</v>
      </c>
    </row>
    <row r="23" spans="1:3" s="3" customFormat="1" ht="23.25">
      <c r="A23" s="6"/>
      <c r="B23" s="7"/>
      <c r="C23" s="17">
        <f>LOG(1.6061)</f>
        <v>0.20577258209841967</v>
      </c>
    </row>
    <row r="24" spans="1:3" s="3" customFormat="1" ht="23.25">
      <c r="A24" s="6">
        <f t="shared" si="0"/>
        <v>10</v>
      </c>
      <c r="B24" s="7" t="s">
        <v>41</v>
      </c>
      <c r="C24" s="17">
        <f>LOG(0.1314)</f>
        <v>-0.8814046347762381</v>
      </c>
    </row>
    <row r="25" spans="1:3" s="3" customFormat="1" ht="23.25">
      <c r="A25" s="6"/>
      <c r="B25" s="7"/>
      <c r="C25" s="17">
        <f>LOG(0.1314)</f>
        <v>-0.8814046347762381</v>
      </c>
    </row>
    <row r="26" spans="1:3" s="3" customFormat="1" ht="23.25">
      <c r="A26" s="6">
        <f t="shared" si="0"/>
        <v>11</v>
      </c>
      <c r="B26" s="7" t="s">
        <v>42</v>
      </c>
      <c r="C26" s="17">
        <f>LOG(4.3139)</f>
        <v>0.6348700735547615</v>
      </c>
    </row>
    <row r="27" spans="1:3" s="3" customFormat="1" ht="23.25">
      <c r="A27" s="6"/>
      <c r="B27" s="7"/>
      <c r="C27" s="17">
        <f>LOG(4.3139)</f>
        <v>0.6348700735547615</v>
      </c>
    </row>
    <row r="28" spans="1:3" s="3" customFormat="1" ht="23.25">
      <c r="A28" s="6">
        <f t="shared" si="0"/>
        <v>12</v>
      </c>
      <c r="B28" s="7" t="s">
        <v>24</v>
      </c>
      <c r="C28" s="17">
        <f>LOG(4.0878)</f>
        <v>0.6114896393230412</v>
      </c>
    </row>
    <row r="29" spans="1:3" s="3" customFormat="1" ht="23.25">
      <c r="A29" s="6"/>
      <c r="B29" s="7"/>
      <c r="C29" s="17">
        <f>LOG(4.2467)</f>
        <v>0.628051582171172</v>
      </c>
    </row>
    <row r="30" spans="1:3" s="3" customFormat="1" ht="23.25">
      <c r="A30" s="6">
        <f>+A28+1</f>
        <v>13</v>
      </c>
      <c r="B30" s="7" t="s">
        <v>16</v>
      </c>
      <c r="C30" s="17">
        <f>LOG(0.9353)</f>
        <v>-0.029049065654575875</v>
      </c>
    </row>
    <row r="31" spans="1:3" s="3" customFormat="1" ht="23.25">
      <c r="A31" s="6"/>
      <c r="B31" s="6"/>
      <c r="C31" s="17">
        <f>LOG(1.339)</f>
        <v>0.12678057701200895</v>
      </c>
    </row>
    <row r="32" spans="1:3" s="3" customFormat="1" ht="23.25">
      <c r="A32" s="6">
        <f>+A30+1</f>
        <v>14</v>
      </c>
      <c r="B32" s="7" t="s">
        <v>26</v>
      </c>
      <c r="C32" s="17">
        <f>LOG(3.4498)</f>
        <v>0.537793917851788</v>
      </c>
    </row>
    <row r="33" spans="1:3" s="3" customFormat="1" ht="23.25">
      <c r="A33" s="6"/>
      <c r="B33" s="6"/>
      <c r="C33" s="17">
        <f>LOG(3.8867)</f>
        <v>0.5895810203398645</v>
      </c>
    </row>
    <row r="34" spans="1:3" s="3" customFormat="1" ht="23.25">
      <c r="A34" s="6">
        <f>+A32+1</f>
        <v>15</v>
      </c>
      <c r="B34" s="7" t="s">
        <v>19</v>
      </c>
      <c r="C34" s="17">
        <f>LOG(1.8967)</f>
        <v>0.2779986442002884</v>
      </c>
    </row>
    <row r="35" spans="1:3" s="3" customFormat="1" ht="23.25">
      <c r="A35" s="8"/>
      <c r="B35" s="8"/>
      <c r="C35" s="18">
        <f>LOG(2.5085)</f>
        <v>0.3994141053637703</v>
      </c>
    </row>
    <row r="36" spans="1:3" s="3" customFormat="1" ht="23.25">
      <c r="A36" s="10">
        <f>+A34+1</f>
        <v>16</v>
      </c>
      <c r="B36" s="11" t="s">
        <v>20</v>
      </c>
      <c r="C36" s="19">
        <f>LOG(4.117)</f>
        <v>0.614580866997486</v>
      </c>
    </row>
    <row r="37" spans="1:3" s="3" customFormat="1" ht="23.25">
      <c r="A37" s="6"/>
      <c r="B37" s="6"/>
      <c r="C37" s="17">
        <f>LOG(4.0716)</f>
        <v>0.6097651056927426</v>
      </c>
    </row>
    <row r="38" spans="1:3" s="3" customFormat="1" ht="23.25">
      <c r="A38" s="6">
        <f>+A36+1</f>
        <v>17</v>
      </c>
      <c r="B38" s="7" t="s">
        <v>27</v>
      </c>
      <c r="C38" s="17">
        <f>LOG(1.376)</f>
        <v>0.13861843389949247</v>
      </c>
    </row>
    <row r="39" spans="1:3" s="3" customFormat="1" ht="23.25">
      <c r="A39" s="6"/>
      <c r="B39" s="6"/>
      <c r="C39" s="17">
        <f>LOG(1.5368)</f>
        <v>0.18661735185363723</v>
      </c>
    </row>
    <row r="40" spans="1:3" s="3" customFormat="1" ht="23.25">
      <c r="A40" s="6">
        <f>+A38+1</f>
        <v>18</v>
      </c>
      <c r="B40" s="7" t="s">
        <v>30</v>
      </c>
      <c r="C40" s="17">
        <f>LOG(7.5695)</f>
        <v>0.8790671933161128</v>
      </c>
    </row>
    <row r="41" spans="1:3" s="3" customFormat="1" ht="23.25">
      <c r="A41" s="6"/>
      <c r="B41" s="6"/>
      <c r="C41" s="17">
        <f>LOG(4.9161)</f>
        <v>0.6916207084305436</v>
      </c>
    </row>
    <row r="42" spans="1:3" s="3" customFormat="1" ht="23.25">
      <c r="A42" s="6">
        <f>+A40+1</f>
        <v>19</v>
      </c>
      <c r="B42" s="7" t="s">
        <v>31</v>
      </c>
      <c r="C42" s="17">
        <f>LOG(5.3348)</f>
        <v>0.7271181425000357</v>
      </c>
    </row>
    <row r="43" spans="1:3" s="3" customFormat="1" ht="23.25">
      <c r="A43" s="6"/>
      <c r="B43" s="6"/>
      <c r="C43" s="17">
        <f>LOG(5.4234)</f>
        <v>0.7342716367766632</v>
      </c>
    </row>
    <row r="44" spans="1:3" s="3" customFormat="1" ht="23.25">
      <c r="A44" s="6">
        <f>+A42+1</f>
        <v>20</v>
      </c>
      <c r="B44" s="7" t="s">
        <v>32</v>
      </c>
      <c r="C44" s="17">
        <f>LOG(5.9372)</f>
        <v>0.773581678778409</v>
      </c>
    </row>
    <row r="45" spans="1:3" s="3" customFormat="1" ht="23.25">
      <c r="A45" s="6"/>
      <c r="B45" s="6"/>
      <c r="C45" s="17">
        <f>LOG(6.9584)</f>
        <v>0.8425093903212607</v>
      </c>
    </row>
    <row r="46" spans="1:3" s="3" customFormat="1" ht="23.25">
      <c r="A46" s="6">
        <f>+A44+1</f>
        <v>21</v>
      </c>
      <c r="B46" s="7" t="s">
        <v>33</v>
      </c>
      <c r="C46" s="17">
        <f>LOG(5.9321)</f>
        <v>0.7732084635097722</v>
      </c>
    </row>
    <row r="47" spans="1:3" s="3" customFormat="1" ht="23.25">
      <c r="A47" s="8"/>
      <c r="B47" s="8"/>
      <c r="C47" s="18">
        <f>LOG(5.2056)</f>
        <v>0.7164707937257992</v>
      </c>
    </row>
    <row r="48" spans="1:3" s="3" customFormat="1" ht="23.25">
      <c r="A48" s="9"/>
      <c r="B48" s="9"/>
      <c r="C48" s="12"/>
    </row>
    <row r="49" spans="1:3" s="3" customFormat="1" ht="23.25">
      <c r="A49" s="21" t="s">
        <v>36</v>
      </c>
      <c r="B49" s="14"/>
      <c r="C49" s="14"/>
    </row>
  </sheetData>
  <mergeCells count="3">
    <mergeCell ref="A2:A3"/>
    <mergeCell ref="B2:B3"/>
    <mergeCell ref="C2:C3"/>
  </mergeCells>
  <printOptions horizontalCentered="1"/>
  <pageMargins left="0.1968503937007874" right="0.1968503937007874" top="0.3937007874015748" bottom="0.3937007874015748" header="0.5118110236220472" footer="0.551181102362204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 Organize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 User</dc:creator>
  <cp:keywords/>
  <dc:description/>
  <cp:lastModifiedBy>iLLuSioN</cp:lastModifiedBy>
  <cp:lastPrinted>2008-10-03T08:58:18Z</cp:lastPrinted>
  <dcterms:created xsi:type="dcterms:W3CDTF">2001-05-01T08:12:27Z</dcterms:created>
  <dcterms:modified xsi:type="dcterms:W3CDTF">2011-01-24T01:50:18Z</dcterms:modified>
  <cp:category/>
  <cp:version/>
  <cp:contentType/>
  <cp:contentStatus/>
</cp:coreProperties>
</file>