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8" sheetId="1" r:id="rId1"/>
    <sheet name="EQU2008 (2)" sheetId="2" r:id="rId2"/>
  </sheets>
  <definedNames>
    <definedName name="_xlnm.Print_Titles" localSheetId="0">'EQU2008'!$1:$3</definedName>
    <definedName name="_xlnm.Print_Titles" localSheetId="1">'EQU2008 (2)'!$1:$3</definedName>
  </definedNames>
  <calcPr fullCalcOnLoad="1"/>
</workbook>
</file>

<file path=xl/sharedStrings.xml><?xml version="1.0" encoding="utf-8"?>
<sst xmlns="http://schemas.openxmlformats.org/spreadsheetml/2006/main" count="151" uniqueCount="121">
  <si>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</si>
  <si>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</si>
  <si>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</si>
  <si>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</si>
  <si>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</si>
  <si>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</si>
  <si>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</si>
  <si>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</si>
  <si>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</si>
  <si>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</si>
  <si>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</si>
  <si>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</si>
  <si>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</si>
  <si>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</si>
  <si>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</si>
  <si>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</si>
  <si>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</si>
  <si>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</si>
  <si>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</si>
  <si>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</si>
  <si>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</si>
  <si>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</si>
  <si>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</si>
  <si>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</si>
  <si>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</si>
  <si>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</si>
  <si>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</si>
  <si>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</si>
  <si>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</si>
  <si>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</si>
  <si>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</si>
  <si>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</si>
  <si>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</si>
  <si>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</si>
  <si>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</si>
  <si>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</si>
  <si>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</si>
  <si>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</si>
  <si>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</si>
  <si>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</si>
  <si>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</si>
  <si>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</si>
  <si>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</si>
  <si>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</si>
  <si>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</si>
  <si>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</si>
  <si>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</si>
  <si>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</si>
  <si>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</si>
  <si>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</si>
  <si>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</si>
  <si>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</si>
  <si>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</si>
  <si>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</si>
  <si>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>Y=6.605X</t>
    </r>
    <r>
      <rPr>
        <vertAlign val="superscript"/>
        <sz val="16"/>
        <color indexed="10"/>
        <rFont val="Angsana New"/>
        <family val="1"/>
      </rPr>
      <t>1.0968</t>
    </r>
  </si>
  <si>
    <r>
      <t>Y=50.1X</t>
    </r>
    <r>
      <rPr>
        <vertAlign val="superscript"/>
        <sz val="16"/>
        <color indexed="10"/>
        <rFont val="Angsana New"/>
        <family val="1"/>
      </rPr>
      <t>0.85</t>
    </r>
  </si>
  <si>
    <r>
      <t>Y=0.127X</t>
    </r>
    <r>
      <rPr>
        <vertAlign val="superscript"/>
        <sz val="16"/>
        <color indexed="10"/>
        <rFont val="Angsana New"/>
        <family val="1"/>
      </rPr>
      <t>1.9816</t>
    </r>
  </si>
  <si>
    <r>
      <t>Y=3.9963X</t>
    </r>
    <r>
      <rPr>
        <vertAlign val="superscript"/>
        <sz val="16"/>
        <color indexed="10"/>
        <rFont val="Angsana New"/>
        <family val="1"/>
      </rPr>
      <t>1.5577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</si>
  <si>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</si>
  <si>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t>Y.30</t>
  </si>
  <si>
    <r>
      <t>Y=0.6712X</t>
    </r>
    <r>
      <rPr>
        <vertAlign val="superscript"/>
        <sz val="16"/>
        <color indexed="10"/>
        <rFont val="Angsana New"/>
        <family val="1"/>
      </rPr>
      <t>1.6675</t>
    </r>
  </si>
  <si>
    <t>1993 - 2011</t>
  </si>
  <si>
    <r>
      <t>Y=1.5249X</t>
    </r>
    <r>
      <rPr>
        <vertAlign val="superscript"/>
        <sz val="16"/>
        <color indexed="8"/>
        <rFont val="Angsana New"/>
        <family val="1"/>
      </rPr>
      <t>1.6129</t>
    </r>
  </si>
  <si>
    <r>
      <t>Y=1.4301X</t>
    </r>
    <r>
      <rPr>
        <vertAlign val="superscript"/>
        <sz val="16"/>
        <color indexed="10"/>
        <rFont val="Angsana New"/>
        <family val="1"/>
      </rPr>
      <t>1.6896</t>
    </r>
  </si>
  <si>
    <t>2007-2011</t>
  </si>
  <si>
    <r>
      <t>Y=0.7568X</t>
    </r>
    <r>
      <rPr>
        <vertAlign val="superscript"/>
        <sz val="16"/>
        <color indexed="10"/>
        <rFont val="Angsana New"/>
        <family val="1"/>
      </rPr>
      <t>1.4677</t>
    </r>
  </si>
  <si>
    <r>
      <t>y=1.3402x</t>
    </r>
    <r>
      <rPr>
        <vertAlign val="superscript"/>
        <sz val="16"/>
        <color indexed="8"/>
        <rFont val="Angsana New"/>
        <family val="1"/>
      </rPr>
      <t>1.3425</t>
    </r>
  </si>
  <si>
    <r>
      <t>Y=15.893x</t>
    </r>
    <r>
      <rPr>
        <vertAlign val="superscript"/>
        <sz val="16"/>
        <color indexed="10"/>
        <rFont val="Angsana New"/>
        <family val="1"/>
      </rPr>
      <t>0.9440</t>
    </r>
  </si>
  <si>
    <t>2001 - 2011</t>
  </si>
  <si>
    <r>
      <t>Y=3.7644x</t>
    </r>
    <r>
      <rPr>
        <vertAlign val="superscript"/>
        <sz val="16"/>
        <color indexed="8"/>
        <rFont val="Angsana New"/>
        <family val="1"/>
      </rPr>
      <t>1.3482</t>
    </r>
  </si>
  <si>
    <r>
      <t>Y=3.3526X</t>
    </r>
    <r>
      <rPr>
        <vertAlign val="superscript"/>
        <sz val="16"/>
        <color indexed="10"/>
        <rFont val="Angsana New"/>
        <family val="1"/>
      </rPr>
      <t>1.5037</t>
    </r>
  </si>
  <si>
    <t>2000 - 2011</t>
  </si>
  <si>
    <r>
      <t>Y=5.1196X</t>
    </r>
    <r>
      <rPr>
        <vertAlign val="superscript"/>
        <sz val="16"/>
        <color indexed="8"/>
        <rFont val="Angsana New"/>
        <family val="1"/>
      </rPr>
      <t>1.1798</t>
    </r>
  </si>
  <si>
    <r>
      <t>Y=1.6654X</t>
    </r>
    <r>
      <rPr>
        <vertAlign val="superscript"/>
        <sz val="16"/>
        <color indexed="10"/>
        <rFont val="Angsana New"/>
        <family val="1"/>
      </rPr>
      <t>1.5644</t>
    </r>
  </si>
  <si>
    <r>
      <t>Y=115.44x</t>
    </r>
    <r>
      <rPr>
        <vertAlign val="superscript"/>
        <sz val="16"/>
        <color indexed="8"/>
        <rFont val="Angsana New"/>
        <family val="1"/>
      </rPr>
      <t>1.3668</t>
    </r>
  </si>
  <si>
    <r>
      <t>Y=0.1504X</t>
    </r>
    <r>
      <rPr>
        <vertAlign val="superscript"/>
        <sz val="16"/>
        <color indexed="10"/>
        <rFont val="Angsana New"/>
        <family val="1"/>
      </rPr>
      <t>1.9754</t>
    </r>
  </si>
  <si>
    <r>
      <t>Y=0.923X</t>
    </r>
    <r>
      <rPr>
        <vertAlign val="superscript"/>
        <sz val="16"/>
        <color indexed="8"/>
        <rFont val="Angsana New"/>
        <family val="1"/>
      </rPr>
      <t>1.6664</t>
    </r>
  </si>
  <si>
    <r>
      <t>Y=2.7602X</t>
    </r>
    <r>
      <rPr>
        <vertAlign val="superscript"/>
        <sz val="16"/>
        <color indexed="8"/>
        <rFont val="Angsana New"/>
        <family val="1"/>
      </rPr>
      <t>1.4074</t>
    </r>
  </si>
  <si>
    <r>
      <t>Y=2.2100X</t>
    </r>
    <r>
      <rPr>
        <vertAlign val="superscript"/>
        <sz val="16"/>
        <color indexed="8"/>
        <rFont val="Angsana New"/>
        <family val="1"/>
      </rPr>
      <t>1.1377</t>
    </r>
  </si>
  <si>
    <t>2006 - 2011</t>
  </si>
  <si>
    <r>
      <t>Y=1.6436X</t>
    </r>
    <r>
      <rPr>
        <vertAlign val="superscript"/>
        <sz val="16"/>
        <color indexed="8"/>
        <rFont val="Angsana New"/>
        <family val="1"/>
      </rPr>
      <t>1.5657</t>
    </r>
  </si>
  <si>
    <r>
      <t>Y=2.0299X</t>
    </r>
    <r>
      <rPr>
        <vertAlign val="superscript"/>
        <sz val="16"/>
        <color indexed="8"/>
        <rFont val="Angsana New"/>
        <family val="1"/>
      </rPr>
      <t>1.603</t>
    </r>
  </si>
  <si>
    <r>
      <t>Y=0.4920X</t>
    </r>
    <r>
      <rPr>
        <vertAlign val="superscript"/>
        <sz val="16"/>
        <color indexed="10"/>
        <rFont val="Angsana New"/>
        <family val="1"/>
      </rPr>
      <t>1.8664</t>
    </r>
  </si>
  <si>
    <t>Y=0.4230X1.976</t>
  </si>
  <si>
    <r>
      <t>Y=2.4898X</t>
    </r>
    <r>
      <rPr>
        <vertAlign val="superscript"/>
        <sz val="16"/>
        <color indexed="10"/>
        <rFont val="Angsana New"/>
        <family val="1"/>
      </rPr>
      <t>1.6036</t>
    </r>
  </si>
  <si>
    <t>2005 - 2011</t>
  </si>
  <si>
    <r>
      <t>Y=2.1787X</t>
    </r>
    <r>
      <rPr>
        <vertAlign val="superscript"/>
        <sz val="16"/>
        <color indexed="8"/>
        <rFont val="Angsana New"/>
        <family val="1"/>
      </rPr>
      <t>1.3448</t>
    </r>
  </si>
  <si>
    <r>
      <t>Y=0.8824X</t>
    </r>
    <r>
      <rPr>
        <vertAlign val="superscript"/>
        <sz val="16"/>
        <color indexed="10"/>
        <rFont val="Angsana New"/>
        <family val="1"/>
      </rPr>
      <t>1.6194</t>
    </r>
  </si>
  <si>
    <r>
      <t>Y=0.2061X</t>
    </r>
    <r>
      <rPr>
        <vertAlign val="superscript"/>
        <sz val="16"/>
        <color indexed="10"/>
        <rFont val="Angsana New"/>
        <family val="1"/>
      </rPr>
      <t>1.7311</t>
    </r>
  </si>
  <si>
    <t>Y=2.7317X0.9958</t>
  </si>
  <si>
    <t>1996 - 2011</t>
  </si>
  <si>
    <r>
      <t>Y=3.0641X</t>
    </r>
    <r>
      <rPr>
        <vertAlign val="superscript"/>
        <sz val="16"/>
        <color indexed="8"/>
        <rFont val="Angsana New"/>
        <family val="1"/>
      </rPr>
      <t>1.5669</t>
    </r>
  </si>
  <si>
    <r>
      <t>Y=1.2715X</t>
    </r>
    <r>
      <rPr>
        <vertAlign val="superscript"/>
        <sz val="16"/>
        <color indexed="10"/>
        <rFont val="Angsana New"/>
        <family val="1"/>
      </rPr>
      <t>14828</t>
    </r>
  </si>
  <si>
    <t>1999 - 2011</t>
  </si>
  <si>
    <r>
      <t>Y=2.9538X</t>
    </r>
    <r>
      <rPr>
        <vertAlign val="superscript"/>
        <sz val="16"/>
        <color indexed="8"/>
        <rFont val="Angsana New"/>
        <family val="1"/>
      </rPr>
      <t>1.1372</t>
    </r>
  </si>
  <si>
    <t>W.25</t>
  </si>
  <si>
    <r>
      <t>Y=109.3800X</t>
    </r>
    <r>
      <rPr>
        <vertAlign val="superscript"/>
        <sz val="16"/>
        <color indexed="8"/>
        <rFont val="Angsana New"/>
        <family val="1"/>
      </rPr>
      <t>1.4133</t>
    </r>
  </si>
  <si>
    <r>
      <t>Y=0.5083X</t>
    </r>
    <r>
      <rPr>
        <vertAlign val="superscript"/>
        <sz val="16"/>
        <color indexed="10"/>
        <rFont val="Angsana New"/>
        <family val="1"/>
      </rPr>
      <t>1.7145</t>
    </r>
  </si>
  <si>
    <t>1997 - 2011</t>
  </si>
  <si>
    <r>
      <t>Y=1.0984X</t>
    </r>
    <r>
      <rPr>
        <vertAlign val="superscript"/>
        <sz val="16"/>
        <color indexed="8"/>
        <rFont val="Angsana New"/>
        <family val="1"/>
      </rPr>
      <t>1.3268</t>
    </r>
  </si>
  <si>
    <r>
      <t>Y=0.5937X</t>
    </r>
    <r>
      <rPr>
        <vertAlign val="superscript"/>
        <sz val="16"/>
        <color indexed="8"/>
        <rFont val="Angsana New"/>
        <family val="1"/>
      </rPr>
      <t>1.7575</t>
    </r>
  </si>
  <si>
    <r>
      <t>Y=0.8170X</t>
    </r>
    <r>
      <rPr>
        <vertAlign val="superscript"/>
        <sz val="16"/>
        <color indexed="10"/>
        <rFont val="Angsana New"/>
        <family val="1"/>
      </rPr>
      <t>1.5776</t>
    </r>
  </si>
  <si>
    <r>
      <t>Y=0.1361X</t>
    </r>
    <r>
      <rPr>
        <vertAlign val="superscript"/>
        <sz val="16"/>
        <color indexed="8"/>
        <rFont val="Angsana New"/>
        <family val="1"/>
      </rPr>
      <t>1.9314</t>
    </r>
  </si>
  <si>
    <r>
      <t>Y=3.6178X</t>
    </r>
    <r>
      <rPr>
        <vertAlign val="superscript"/>
        <sz val="16"/>
        <color indexed="8"/>
        <rFont val="Angsana New"/>
        <family val="1"/>
      </rPr>
      <t>1.4976</t>
    </r>
  </si>
  <si>
    <t>2009 - 2011</t>
  </si>
  <si>
    <t>2008-2011</t>
  </si>
  <si>
    <r>
      <t>Y=0.0140X</t>
    </r>
    <r>
      <rPr>
        <vertAlign val="superscript"/>
        <sz val="16"/>
        <color indexed="10"/>
        <rFont val="Angsana New"/>
        <family val="1"/>
      </rPr>
      <t>2.4097</t>
    </r>
  </si>
  <si>
    <r>
      <t>Y=91.0300X</t>
    </r>
    <r>
      <rPr>
        <vertAlign val="superscript"/>
        <sz val="16"/>
        <color indexed="10"/>
        <rFont val="Angsana New"/>
        <family val="1"/>
      </rPr>
      <t>1.2852</t>
    </r>
  </si>
  <si>
    <r>
      <t>Y=0.3881X</t>
    </r>
    <r>
      <rPr>
        <vertAlign val="superscript"/>
        <sz val="16"/>
        <color indexed="10"/>
        <rFont val="Angsana New"/>
        <family val="1"/>
      </rPr>
      <t>2.1176</t>
    </r>
  </si>
  <si>
    <r>
      <t>Y=2.0059X</t>
    </r>
    <r>
      <rPr>
        <vertAlign val="superscript"/>
        <sz val="16"/>
        <color indexed="10"/>
        <rFont val="Angsana New"/>
        <family val="1"/>
      </rPr>
      <t>1.6041</t>
    </r>
  </si>
  <si>
    <r>
      <t>y=3.024x</t>
    </r>
    <r>
      <rPr>
        <vertAlign val="superscript"/>
        <sz val="16"/>
        <rFont val="Angsana New"/>
        <family val="1"/>
      </rPr>
      <t>1.5237</t>
    </r>
  </si>
  <si>
    <r>
      <t>Y=0.9541X</t>
    </r>
    <r>
      <rPr>
        <vertAlign val="superscript"/>
        <sz val="16"/>
        <rFont val="Angsana New"/>
        <family val="1"/>
      </rPr>
      <t>1.6176</t>
    </r>
  </si>
  <si>
    <r>
      <t>Y=0.6924X</t>
    </r>
    <r>
      <rPr>
        <vertAlign val="superscript"/>
        <sz val="16"/>
        <rFont val="Angsana New"/>
        <family val="1"/>
      </rPr>
      <t>1.5805</t>
    </r>
  </si>
  <si>
    <r>
      <t>Y=4.5505X</t>
    </r>
    <r>
      <rPr>
        <vertAlign val="superscript"/>
        <sz val="16"/>
        <rFont val="Angsana New"/>
        <family val="1"/>
      </rPr>
      <t>1.4577</t>
    </r>
  </si>
  <si>
    <r>
      <t>Y=06218X</t>
    </r>
    <r>
      <rPr>
        <vertAlign val="superscript"/>
        <sz val="16"/>
        <rFont val="Angsana New"/>
        <family val="1"/>
      </rPr>
      <t>1.5896</t>
    </r>
  </si>
  <si>
    <r>
      <t>Y=0.2112X</t>
    </r>
    <r>
      <rPr>
        <vertAlign val="superscript"/>
        <sz val="16"/>
        <rFont val="Angsana New"/>
        <family val="1"/>
      </rPr>
      <t>1.9181</t>
    </r>
  </si>
  <si>
    <r>
      <t>Y=0.1407X</t>
    </r>
    <r>
      <rPr>
        <vertAlign val="superscript"/>
        <sz val="16"/>
        <color indexed="10"/>
        <rFont val="Angsana New"/>
        <family val="1"/>
      </rPr>
      <t>1.8585</t>
    </r>
  </si>
  <si>
    <r>
      <t>Y=3.5301X</t>
    </r>
    <r>
      <rPr>
        <vertAlign val="superscript"/>
        <sz val="16"/>
        <color indexed="10"/>
        <rFont val="Angsana New"/>
        <family val="1"/>
      </rPr>
      <t>1.5964</t>
    </r>
  </si>
  <si>
    <r>
      <t>Y=1.2596X</t>
    </r>
    <r>
      <rPr>
        <vertAlign val="superscript"/>
        <sz val="16"/>
        <color indexed="10"/>
        <rFont val="Angsana New"/>
        <family val="1"/>
      </rPr>
      <t>1.8408</t>
    </r>
  </si>
  <si>
    <r>
      <t>Y=0.218X</t>
    </r>
    <r>
      <rPr>
        <vertAlign val="superscript"/>
        <sz val="16"/>
        <color indexed="10"/>
        <rFont val="Angsana New"/>
        <family val="1"/>
      </rPr>
      <t>2.6586</t>
    </r>
  </si>
  <si>
    <r>
      <t>Y=1.5465X</t>
    </r>
    <r>
      <rPr>
        <vertAlign val="superscript"/>
        <sz val="16"/>
        <color indexed="8"/>
        <rFont val="Angsana New"/>
        <family val="1"/>
      </rPr>
      <t>1.813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</si>
</sst>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56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  <font>
      <vertAlign val="superscript"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96" fontId="6" fillId="0" borderId="13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15" xfId="0" applyNumberFormat="1" applyFont="1" applyBorder="1" applyAlignment="1">
      <alignment/>
    </xf>
    <xf numFmtId="196" fontId="1" fillId="33" borderId="16" xfId="0" applyNumberFormat="1" applyFont="1" applyFill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9" fontId="6" fillId="0" borderId="12" xfId="0" applyNumberFormat="1" applyFont="1" applyBorder="1" applyAlignment="1">
      <alignment/>
    </xf>
    <xf numFmtId="199" fontId="6" fillId="0" borderId="14" xfId="0" applyNumberFormat="1" applyFont="1" applyBorder="1" applyAlignment="1">
      <alignment/>
    </xf>
    <xf numFmtId="196" fontId="1" fillId="33" borderId="17" xfId="0" applyNumberFormat="1" applyFont="1" applyFill="1" applyBorder="1" applyAlignment="1">
      <alignment horizontal="left" vertical="center"/>
    </xf>
    <xf numFmtId="196" fontId="6" fillId="0" borderId="18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33" borderId="2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 horizontal="center"/>
    </xf>
    <xf numFmtId="189" fontId="17" fillId="0" borderId="10" xfId="0" applyNumberFormat="1" applyFont="1" applyFill="1" applyBorder="1" applyAlignment="1">
      <alignment/>
    </xf>
    <xf numFmtId="196" fontId="17" fillId="0" borderId="10" xfId="0" applyNumberFormat="1" applyFont="1" applyFill="1" applyBorder="1" applyAlignment="1">
      <alignment/>
    </xf>
    <xf numFmtId="3" fontId="17" fillId="0" borderId="10" xfId="33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1" fontId="1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9" fontId="17" fillId="0" borderId="11" xfId="0" applyNumberFormat="1" applyFont="1" applyFill="1" applyBorder="1" applyAlignment="1">
      <alignment/>
    </xf>
    <xf numFmtId="196" fontId="17" fillId="0" borderId="11" xfId="0" applyNumberFormat="1" applyFont="1" applyFill="1" applyBorder="1" applyAlignment="1">
      <alignment/>
    </xf>
    <xf numFmtId="3" fontId="17" fillId="0" borderId="11" xfId="33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/>
    </xf>
    <xf numFmtId="196" fontId="17" fillId="0" borderId="24" xfId="0" applyNumberFormat="1" applyFont="1" applyFill="1" applyBorder="1" applyAlignment="1">
      <alignment/>
    </xf>
    <xf numFmtId="1" fontId="18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horizontal="center" vertical="center"/>
    </xf>
    <xf numFmtId="189" fontId="17" fillId="0" borderId="11" xfId="0" applyNumberFormat="1" applyFont="1" applyFill="1" applyBorder="1" applyAlignment="1">
      <alignment vertical="center"/>
    </xf>
    <xf numFmtId="196" fontId="17" fillId="0" borderId="11" xfId="0" applyNumberFormat="1" applyFont="1" applyFill="1" applyBorder="1" applyAlignment="1">
      <alignment vertical="center"/>
    </xf>
    <xf numFmtId="3" fontId="17" fillId="0" borderId="11" xfId="33" applyNumberFormat="1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horizontal="center" vertical="center"/>
    </xf>
    <xf numFmtId="189" fontId="17" fillId="0" borderId="25" xfId="0" applyNumberFormat="1" applyFont="1" applyFill="1" applyBorder="1" applyAlignment="1">
      <alignment vertical="center"/>
    </xf>
    <xf numFmtId="196" fontId="17" fillId="0" borderId="25" xfId="0" applyNumberFormat="1" applyFont="1" applyFill="1" applyBorder="1" applyAlignment="1">
      <alignment vertical="center"/>
    </xf>
    <xf numFmtId="3" fontId="17" fillId="0" borderId="25" xfId="33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horizontal="center" vertical="center"/>
    </xf>
    <xf numFmtId="189" fontId="17" fillId="0" borderId="14" xfId="0" applyNumberFormat="1" applyFont="1" applyFill="1" applyBorder="1" applyAlignment="1">
      <alignment vertical="center"/>
    </xf>
    <xf numFmtId="196" fontId="17" fillId="0" borderId="14" xfId="0" applyNumberFormat="1" applyFont="1" applyFill="1" applyBorder="1" applyAlignment="1">
      <alignment vertical="center"/>
    </xf>
    <xf numFmtId="3" fontId="17" fillId="0" borderId="14" xfId="33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17" fillId="0" borderId="24" xfId="0" applyFont="1" applyFill="1" applyBorder="1" applyAlignment="1">
      <alignment horizontal="center"/>
    </xf>
    <xf numFmtId="1" fontId="17" fillId="0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 horizontal="center"/>
    </xf>
    <xf numFmtId="189" fontId="17" fillId="0" borderId="24" xfId="0" applyNumberFormat="1" applyFont="1" applyFill="1" applyBorder="1" applyAlignment="1">
      <alignment/>
    </xf>
    <xf numFmtId="3" fontId="17" fillId="0" borderId="24" xfId="33" applyNumberFormat="1" applyFont="1" applyFill="1" applyBorder="1" applyAlignment="1">
      <alignment horizontal="right"/>
    </xf>
    <xf numFmtId="0" fontId="17" fillId="0" borderId="24" xfId="0" applyFont="1" applyFill="1" applyBorder="1" applyAlignment="1">
      <alignment horizontal="left" vertical="justify"/>
    </xf>
    <xf numFmtId="0" fontId="17" fillId="0" borderId="14" xfId="0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 horizontal="center"/>
    </xf>
    <xf numFmtId="189" fontId="17" fillId="0" borderId="14" xfId="0" applyNumberFormat="1" applyFont="1" applyFill="1" applyBorder="1" applyAlignment="1">
      <alignment/>
    </xf>
    <xf numFmtId="196" fontId="17" fillId="0" borderId="14" xfId="0" applyNumberFormat="1" applyFont="1" applyFill="1" applyBorder="1" applyAlignment="1">
      <alignment/>
    </xf>
    <xf numFmtId="3" fontId="17" fillId="0" borderId="14" xfId="33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 vertical="justify"/>
    </xf>
    <xf numFmtId="0" fontId="15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196" fontId="14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192" fontId="17" fillId="0" borderId="11" xfId="33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192" fontId="18" fillId="0" borderId="11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189" fontId="17" fillId="0" borderId="11" xfId="0" applyNumberFormat="1" applyFont="1" applyBorder="1" applyAlignment="1">
      <alignment horizontal="center"/>
    </xf>
    <xf numFmtId="196" fontId="17" fillId="0" borderId="11" xfId="0" applyNumberFormat="1" applyFont="1" applyBorder="1" applyAlignment="1">
      <alignment/>
    </xf>
    <xf numFmtId="41" fontId="17" fillId="0" borderId="11" xfId="33" applyNumberFormat="1" applyFont="1" applyBorder="1" applyAlignment="1">
      <alignment horizontal="center"/>
    </xf>
    <xf numFmtId="196" fontId="14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3" fillId="33" borderId="26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189" fontId="13" fillId="33" borderId="26" xfId="0" applyNumberFormat="1" applyFont="1" applyFill="1" applyBorder="1" applyAlignment="1">
      <alignment horizontal="center" vertical="center"/>
    </xf>
    <xf numFmtId="196" fontId="9" fillId="33" borderId="17" xfId="0" applyNumberFormat="1" applyFont="1" applyFill="1" applyBorder="1" applyAlignment="1">
      <alignment horizontal="center" vertical="center"/>
    </xf>
    <xf numFmtId="196" fontId="9" fillId="33" borderId="16" xfId="0" applyNumberFormat="1" applyFont="1" applyFill="1" applyBorder="1" applyAlignment="1">
      <alignment horizontal="center" vertical="center"/>
    </xf>
    <xf numFmtId="196" fontId="9" fillId="33" borderId="27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196" fontId="13" fillId="33" borderId="26" xfId="0" applyNumberFormat="1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96" fontId="5" fillId="33" borderId="2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Q89" sqref="Q89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7.57421875" style="30" customWidth="1"/>
    <col min="9" max="9" width="6.7109375" style="22" customWidth="1"/>
    <col min="10" max="10" width="13.7109375" style="31" customWidth="1"/>
    <col min="11" max="11" width="6.7109375" style="22" customWidth="1"/>
    <col min="12" max="12" width="18.57421875" style="32" bestFit="1" customWidth="1"/>
    <col min="13" max="16384" width="9.140625" style="22" customWidth="1"/>
  </cols>
  <sheetData>
    <row r="1" spans="1:12" ht="29.25">
      <c r="A1" s="123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s="24" customFormat="1" ht="23.25">
      <c r="A2" s="119" t="s">
        <v>7</v>
      </c>
      <c r="B2" s="119" t="s">
        <v>0</v>
      </c>
      <c r="C2" s="119" t="s">
        <v>6</v>
      </c>
      <c r="D2" s="126" t="s">
        <v>5</v>
      </c>
      <c r="E2" s="127"/>
      <c r="F2" s="127"/>
      <c r="G2" s="129" t="s">
        <v>1</v>
      </c>
      <c r="H2" s="122" t="s">
        <v>4</v>
      </c>
      <c r="I2" s="119" t="s">
        <v>2</v>
      </c>
      <c r="J2" s="128" t="s">
        <v>3</v>
      </c>
      <c r="K2" s="23" t="s">
        <v>32</v>
      </c>
      <c r="L2" s="120" t="s">
        <v>35</v>
      </c>
    </row>
    <row r="3" spans="1:12" s="24" customFormat="1" ht="25.5">
      <c r="A3" s="119"/>
      <c r="B3" s="119"/>
      <c r="C3" s="119"/>
      <c r="D3" s="25" t="s">
        <v>8</v>
      </c>
      <c r="E3" s="26" t="s">
        <v>10</v>
      </c>
      <c r="F3" s="33" t="s">
        <v>9</v>
      </c>
      <c r="G3" s="129"/>
      <c r="H3" s="122"/>
      <c r="I3" s="119"/>
      <c r="J3" s="128"/>
      <c r="K3" s="27" t="s">
        <v>33</v>
      </c>
      <c r="L3" s="121"/>
    </row>
    <row r="4" spans="1:12" s="24" customFormat="1" ht="25.5">
      <c r="A4" s="41">
        <v>1</v>
      </c>
      <c r="B4" s="41" t="s">
        <v>11</v>
      </c>
      <c r="C4" s="41">
        <v>2011</v>
      </c>
      <c r="D4" s="41">
        <v>37</v>
      </c>
      <c r="E4" s="42">
        <v>0</v>
      </c>
      <c r="F4" s="43">
        <f>E4+D4</f>
        <v>37</v>
      </c>
      <c r="G4" s="35" t="s">
        <v>60</v>
      </c>
      <c r="H4" s="44">
        <v>0.8637</v>
      </c>
      <c r="I4" s="45">
        <v>1.6675</v>
      </c>
      <c r="J4" s="46">
        <f>LOG(0.6712)</f>
        <v>-0.17314805217935614</v>
      </c>
      <c r="K4" s="47">
        <v>6355</v>
      </c>
      <c r="L4" s="48"/>
    </row>
    <row r="5" spans="1:12" s="24" customFormat="1" ht="25.5">
      <c r="A5" s="37"/>
      <c r="B5" s="37"/>
      <c r="C5" s="37" t="s">
        <v>61</v>
      </c>
      <c r="D5" s="37">
        <v>532</v>
      </c>
      <c r="E5" s="49">
        <v>0</v>
      </c>
      <c r="F5" s="56">
        <f>E5+D5</f>
        <v>532</v>
      </c>
      <c r="G5" s="37" t="s">
        <v>62</v>
      </c>
      <c r="H5" s="38">
        <v>0.8681</v>
      </c>
      <c r="I5" s="51">
        <v>1.6129</v>
      </c>
      <c r="J5" s="52">
        <f>LOG(1.5249)</f>
        <v>0.183241364422366</v>
      </c>
      <c r="K5" s="53"/>
      <c r="L5" s="54"/>
    </row>
    <row r="6" spans="1:12" s="24" customFormat="1" ht="25.5">
      <c r="A6" s="37"/>
      <c r="B6" s="37"/>
      <c r="C6" s="37"/>
      <c r="D6" s="37"/>
      <c r="E6" s="49"/>
      <c r="F6" s="50"/>
      <c r="G6" s="37"/>
      <c r="H6" s="38"/>
      <c r="I6" s="51"/>
      <c r="J6" s="55"/>
      <c r="K6" s="53"/>
      <c r="L6" s="54"/>
    </row>
    <row r="7" spans="1:12" s="24" customFormat="1" ht="25.5">
      <c r="A7" s="37">
        <f>+A4+1</f>
        <v>2</v>
      </c>
      <c r="B7" s="37" t="s">
        <v>12</v>
      </c>
      <c r="C7" s="37">
        <v>2011</v>
      </c>
      <c r="D7" s="37">
        <v>35</v>
      </c>
      <c r="E7" s="49">
        <v>0</v>
      </c>
      <c r="F7" s="56">
        <f>E7+D7</f>
        <v>35</v>
      </c>
      <c r="G7" s="36" t="s">
        <v>63</v>
      </c>
      <c r="H7" s="38">
        <v>0.9187</v>
      </c>
      <c r="I7" s="51">
        <v>1.6896</v>
      </c>
      <c r="J7" s="52">
        <f>LOG(1.4301)</f>
        <v>0.1553664066467044</v>
      </c>
      <c r="K7" s="53">
        <v>1902</v>
      </c>
      <c r="L7" s="54"/>
    </row>
    <row r="8" spans="1:12" s="24" customFormat="1" ht="25.5">
      <c r="A8" s="37"/>
      <c r="B8" s="37"/>
      <c r="C8" s="37" t="s">
        <v>64</v>
      </c>
      <c r="D8" s="37">
        <v>148</v>
      </c>
      <c r="E8" s="37"/>
      <c r="F8" s="37">
        <v>148</v>
      </c>
      <c r="G8" s="102" t="s">
        <v>110</v>
      </c>
      <c r="H8" s="38">
        <v>0.8893</v>
      </c>
      <c r="I8" s="51">
        <v>1.5237</v>
      </c>
      <c r="J8" s="52">
        <f>LOG(3.024)</f>
        <v>0.4805817868291689</v>
      </c>
      <c r="K8" s="53"/>
      <c r="L8" s="54"/>
    </row>
    <row r="9" spans="1:12" s="24" customFormat="1" ht="25.5">
      <c r="A9" s="37"/>
      <c r="B9" s="37"/>
      <c r="C9" s="37"/>
      <c r="D9" s="37"/>
      <c r="E9" s="49"/>
      <c r="F9" s="50"/>
      <c r="G9" s="36"/>
      <c r="H9" s="38"/>
      <c r="I9" s="51"/>
      <c r="J9" s="52"/>
      <c r="K9" s="53"/>
      <c r="L9" s="54"/>
    </row>
    <row r="10" spans="1:12" s="24" customFormat="1" ht="25.5">
      <c r="A10" s="37">
        <f>+A7+1</f>
        <v>3</v>
      </c>
      <c r="B10" s="37" t="s">
        <v>41</v>
      </c>
      <c r="C10" s="37">
        <v>2011</v>
      </c>
      <c r="D10" s="37">
        <v>36</v>
      </c>
      <c r="E10" s="49">
        <v>0</v>
      </c>
      <c r="F10" s="50">
        <f>E10+D10</f>
        <v>36</v>
      </c>
      <c r="G10" s="36" t="s">
        <v>65</v>
      </c>
      <c r="H10" s="38">
        <v>0.8941</v>
      </c>
      <c r="I10" s="51">
        <v>1.4677</v>
      </c>
      <c r="J10" s="52">
        <f>LOG(0.7568)</f>
        <v>-0.12101887660626363</v>
      </c>
      <c r="K10" s="53">
        <v>1569</v>
      </c>
      <c r="L10" s="54"/>
    </row>
    <row r="11" spans="1:12" s="24" customFormat="1" ht="25.5">
      <c r="A11" s="37"/>
      <c r="B11" s="37"/>
      <c r="C11" s="37" t="s">
        <v>64</v>
      </c>
      <c r="D11" s="37">
        <v>156</v>
      </c>
      <c r="E11" s="37"/>
      <c r="F11" s="37">
        <v>156</v>
      </c>
      <c r="G11" s="37" t="s">
        <v>66</v>
      </c>
      <c r="H11" s="38">
        <v>0.8773</v>
      </c>
      <c r="I11" s="51">
        <v>1.3425</v>
      </c>
      <c r="J11" s="52">
        <f>LOG(1.3402)</f>
        <v>0.12716961359989598</v>
      </c>
      <c r="K11" s="53"/>
      <c r="L11" s="54"/>
    </row>
    <row r="12" spans="1:12" s="24" customFormat="1" ht="25.5">
      <c r="A12" s="37"/>
      <c r="B12" s="37"/>
      <c r="C12" s="37"/>
      <c r="D12" s="37"/>
      <c r="E12" s="49"/>
      <c r="F12" s="50"/>
      <c r="G12" s="37"/>
      <c r="H12" s="38"/>
      <c r="I12" s="51"/>
      <c r="J12" s="52"/>
      <c r="K12" s="53"/>
      <c r="L12" s="54"/>
    </row>
    <row r="13" spans="1:12" s="24" customFormat="1" ht="25.5">
      <c r="A13" s="37">
        <f>+A10+1</f>
        <v>4</v>
      </c>
      <c r="B13" s="37" t="s">
        <v>36</v>
      </c>
      <c r="C13" s="37">
        <v>2011</v>
      </c>
      <c r="D13" s="37">
        <v>36</v>
      </c>
      <c r="E13" s="49">
        <v>0</v>
      </c>
      <c r="F13" s="50">
        <f>E13+D13</f>
        <v>36</v>
      </c>
      <c r="G13" s="36" t="s">
        <v>67</v>
      </c>
      <c r="H13" s="38">
        <v>0.954</v>
      </c>
      <c r="I13" s="51">
        <v>0.944</v>
      </c>
      <c r="J13" s="52">
        <f>LOG(15.893)</f>
        <v>1.2012058833917914</v>
      </c>
      <c r="K13" s="53">
        <v>515</v>
      </c>
      <c r="L13" s="54"/>
    </row>
    <row r="14" spans="1:12" s="24" customFormat="1" ht="25.5">
      <c r="A14" s="37"/>
      <c r="B14" s="37"/>
      <c r="C14" s="37" t="s">
        <v>68</v>
      </c>
      <c r="D14" s="37">
        <v>304</v>
      </c>
      <c r="E14" s="49">
        <v>0</v>
      </c>
      <c r="F14" s="50">
        <f>E14+D14</f>
        <v>304</v>
      </c>
      <c r="G14" s="37" t="s">
        <v>69</v>
      </c>
      <c r="H14" s="38">
        <v>0.5544</v>
      </c>
      <c r="I14" s="51">
        <v>1.3482</v>
      </c>
      <c r="J14" s="52">
        <f>LOG(3.764)</f>
        <v>0.5756496147552193</v>
      </c>
      <c r="K14" s="53"/>
      <c r="L14" s="54"/>
    </row>
    <row r="15" spans="1:12" s="24" customFormat="1" ht="25.5">
      <c r="A15" s="37"/>
      <c r="B15" s="37"/>
      <c r="C15" s="37"/>
      <c r="D15" s="37"/>
      <c r="E15" s="49"/>
      <c r="F15" s="50"/>
      <c r="G15" s="37"/>
      <c r="H15" s="38"/>
      <c r="I15" s="51"/>
      <c r="J15" s="52"/>
      <c r="K15" s="53"/>
      <c r="L15" s="54"/>
    </row>
    <row r="16" spans="1:12" s="24" customFormat="1" ht="25.5">
      <c r="A16" s="37">
        <f>+A13+1</f>
        <v>5</v>
      </c>
      <c r="B16" s="37" t="s">
        <v>23</v>
      </c>
      <c r="C16" s="37">
        <v>2011</v>
      </c>
      <c r="D16" s="37">
        <v>34</v>
      </c>
      <c r="E16" s="49">
        <v>0</v>
      </c>
      <c r="F16" s="50">
        <f>E16+D16</f>
        <v>34</v>
      </c>
      <c r="G16" s="36" t="s">
        <v>70</v>
      </c>
      <c r="H16" s="38">
        <v>0.9172</v>
      </c>
      <c r="I16" s="51">
        <v>1.5037</v>
      </c>
      <c r="J16" s="52">
        <f>LOG(3.3526)</f>
        <v>0.5253817406773982</v>
      </c>
      <c r="K16" s="53">
        <v>539</v>
      </c>
      <c r="L16" s="54"/>
    </row>
    <row r="17" spans="1:12" s="24" customFormat="1" ht="25.5">
      <c r="A17" s="37"/>
      <c r="B17" s="37"/>
      <c r="C17" s="37" t="s">
        <v>71</v>
      </c>
      <c r="D17" s="37">
        <v>310</v>
      </c>
      <c r="E17" s="49">
        <v>0</v>
      </c>
      <c r="F17" s="50">
        <f>E17+D17</f>
        <v>310</v>
      </c>
      <c r="G17" s="37" t="s">
        <v>72</v>
      </c>
      <c r="H17" s="38">
        <v>0.5269</v>
      </c>
      <c r="I17" s="51">
        <v>1.1798</v>
      </c>
      <c r="J17" s="52">
        <f>LOG(5.1196)</f>
        <v>0.7092360303940015</v>
      </c>
      <c r="K17" s="53"/>
      <c r="L17" s="54"/>
    </row>
    <row r="18" spans="1:12" s="24" customFormat="1" ht="25.5">
      <c r="A18" s="37"/>
      <c r="B18" s="37"/>
      <c r="C18" s="37"/>
      <c r="D18" s="37"/>
      <c r="E18" s="49"/>
      <c r="F18" s="50"/>
      <c r="G18" s="37"/>
      <c r="H18" s="38"/>
      <c r="I18" s="51"/>
      <c r="J18" s="52"/>
      <c r="K18" s="53"/>
      <c r="L18" s="54"/>
    </row>
    <row r="19" spans="1:12" s="24" customFormat="1" ht="25.5">
      <c r="A19" s="37">
        <f>+A16+1</f>
        <v>6</v>
      </c>
      <c r="B19" s="37" t="s">
        <v>42</v>
      </c>
      <c r="C19" s="37">
        <v>2011</v>
      </c>
      <c r="D19" s="101">
        <v>36</v>
      </c>
      <c r="E19" s="49">
        <v>0</v>
      </c>
      <c r="F19" s="50">
        <v>36</v>
      </c>
      <c r="G19" s="36" t="s">
        <v>73</v>
      </c>
      <c r="H19" s="38">
        <v>0.8737</v>
      </c>
      <c r="I19" s="51">
        <v>1.5644</v>
      </c>
      <c r="J19" s="52">
        <f>LOG(1.6654)</f>
        <v>0.22151856032227898</v>
      </c>
      <c r="K19" s="53">
        <v>5289</v>
      </c>
      <c r="L19" s="54"/>
    </row>
    <row r="20" spans="1:12" s="24" customFormat="1" ht="25.5">
      <c r="A20" s="37"/>
      <c r="B20" s="37"/>
      <c r="C20" s="37" t="s">
        <v>64</v>
      </c>
      <c r="D20" s="37">
        <v>170</v>
      </c>
      <c r="E20" s="49"/>
      <c r="F20" s="50">
        <v>170</v>
      </c>
      <c r="G20" s="37" t="s">
        <v>74</v>
      </c>
      <c r="H20" s="38">
        <v>0.8774</v>
      </c>
      <c r="I20" s="51">
        <v>1.3668</v>
      </c>
      <c r="J20" s="52">
        <f>LOG(115.44)</f>
        <v>2.062356318085438</v>
      </c>
      <c r="K20" s="53"/>
      <c r="L20" s="54"/>
    </row>
    <row r="21" spans="1:12" s="24" customFormat="1" ht="25.5">
      <c r="A21" s="37"/>
      <c r="B21" s="37"/>
      <c r="C21" s="37"/>
      <c r="D21" s="37"/>
      <c r="E21" s="49"/>
      <c r="F21" s="50"/>
      <c r="G21" s="37"/>
      <c r="H21" s="38"/>
      <c r="I21" s="51"/>
      <c r="J21" s="52"/>
      <c r="K21" s="53"/>
      <c r="L21" s="54"/>
    </row>
    <row r="22" spans="1:12" s="24" customFormat="1" ht="25.5">
      <c r="A22" s="37">
        <v>7</v>
      </c>
      <c r="B22" s="37" t="s">
        <v>39</v>
      </c>
      <c r="C22" s="37">
        <v>2011</v>
      </c>
      <c r="D22" s="37">
        <v>36</v>
      </c>
      <c r="E22" s="49">
        <v>0</v>
      </c>
      <c r="F22" s="50">
        <f>E22+D22</f>
        <v>36</v>
      </c>
      <c r="G22" s="36" t="s">
        <v>75</v>
      </c>
      <c r="H22" s="38">
        <v>0.8396</v>
      </c>
      <c r="I22" s="51">
        <v>1.9754</v>
      </c>
      <c r="J22" s="52">
        <f>LOG(0.1504)</f>
        <v>-0.8227521637443765</v>
      </c>
      <c r="K22" s="53">
        <v>3090</v>
      </c>
      <c r="L22" s="54"/>
    </row>
    <row r="23" spans="1:12" s="24" customFormat="1" ht="25.5">
      <c r="A23" s="37"/>
      <c r="B23" s="37"/>
      <c r="C23" s="37" t="s">
        <v>68</v>
      </c>
      <c r="D23" s="37">
        <v>294</v>
      </c>
      <c r="E23" s="49">
        <v>0</v>
      </c>
      <c r="F23" s="50">
        <f>E23+D23</f>
        <v>294</v>
      </c>
      <c r="G23" s="37" t="s">
        <v>76</v>
      </c>
      <c r="H23" s="38">
        <v>0.4206</v>
      </c>
      <c r="I23" s="51">
        <v>1.6664</v>
      </c>
      <c r="J23" s="52">
        <f>LOG(0.923)</f>
        <v>-0.03479829897408793</v>
      </c>
      <c r="K23" s="53"/>
      <c r="L23" s="54"/>
    </row>
    <row r="24" spans="1:12" s="24" customFormat="1" ht="25.5">
      <c r="A24" s="37"/>
      <c r="B24" s="37"/>
      <c r="C24" s="37"/>
      <c r="D24" s="37"/>
      <c r="E24" s="49"/>
      <c r="F24" s="50"/>
      <c r="G24" s="37"/>
      <c r="H24" s="38"/>
      <c r="I24" s="51"/>
      <c r="J24" s="52"/>
      <c r="K24" s="53"/>
      <c r="L24" s="54"/>
    </row>
    <row r="25" spans="1:12" s="24" customFormat="1" ht="25.5">
      <c r="A25" s="37">
        <f>+A22+1</f>
        <v>8</v>
      </c>
      <c r="B25" s="37" t="s">
        <v>40</v>
      </c>
      <c r="C25" s="37">
        <v>2011</v>
      </c>
      <c r="D25" s="37">
        <v>36</v>
      </c>
      <c r="E25" s="49">
        <v>0</v>
      </c>
      <c r="F25" s="50">
        <f>E25+D25</f>
        <v>36</v>
      </c>
      <c r="G25" s="36" t="s">
        <v>54</v>
      </c>
      <c r="H25" s="38">
        <v>0.953</v>
      </c>
      <c r="I25" s="51">
        <v>1.0968</v>
      </c>
      <c r="J25" s="52">
        <f>LOG(6.605)</f>
        <v>0.819872821950546</v>
      </c>
      <c r="K25" s="53">
        <v>1541</v>
      </c>
      <c r="L25" s="57"/>
    </row>
    <row r="26" spans="1:12" s="24" customFormat="1" ht="25.5">
      <c r="A26" s="37"/>
      <c r="B26" s="37"/>
      <c r="C26" s="37" t="s">
        <v>68</v>
      </c>
      <c r="D26" s="37">
        <v>294</v>
      </c>
      <c r="E26" s="49">
        <v>0</v>
      </c>
      <c r="F26" s="50">
        <f>E26+D26</f>
        <v>294</v>
      </c>
      <c r="G26" s="37" t="s">
        <v>77</v>
      </c>
      <c r="H26" s="38">
        <v>0.8599</v>
      </c>
      <c r="I26" s="51">
        <v>1.4074</v>
      </c>
      <c r="J26" s="52">
        <f>LOG(2.7602)</f>
        <v>0.4409405515396638</v>
      </c>
      <c r="K26" s="53"/>
      <c r="L26" s="57"/>
    </row>
    <row r="27" spans="1:12" s="24" customFormat="1" ht="25.5">
      <c r="A27" s="37"/>
      <c r="B27" s="37"/>
      <c r="C27" s="37"/>
      <c r="D27" s="37"/>
      <c r="E27" s="49"/>
      <c r="F27" s="50"/>
      <c r="G27" s="37"/>
      <c r="H27" s="38"/>
      <c r="I27" s="51"/>
      <c r="J27" s="52"/>
      <c r="K27" s="53"/>
      <c r="L27" s="57"/>
    </row>
    <row r="28" spans="1:12" s="24" customFormat="1" ht="25.5">
      <c r="A28" s="37">
        <f>+A25+1</f>
        <v>9</v>
      </c>
      <c r="B28" s="37" t="s">
        <v>24</v>
      </c>
      <c r="C28" s="37">
        <v>2011</v>
      </c>
      <c r="D28" s="37">
        <v>37</v>
      </c>
      <c r="E28" s="49">
        <v>0</v>
      </c>
      <c r="F28" s="50">
        <f>E28+D28</f>
        <v>37</v>
      </c>
      <c r="G28" s="36" t="s">
        <v>109</v>
      </c>
      <c r="H28" s="38">
        <v>0.9325</v>
      </c>
      <c r="I28" s="51">
        <v>1.6041</v>
      </c>
      <c r="J28" s="52">
        <f>LOG(2.0059)</f>
        <v>0.30230927836998506</v>
      </c>
      <c r="K28" s="53">
        <v>547</v>
      </c>
      <c r="L28" s="57"/>
    </row>
    <row r="29" spans="1:12" s="24" customFormat="1" ht="25.5">
      <c r="A29" s="37"/>
      <c r="B29" s="37"/>
      <c r="C29" s="37" t="s">
        <v>71</v>
      </c>
      <c r="D29" s="37">
        <v>299</v>
      </c>
      <c r="E29" s="49">
        <v>0</v>
      </c>
      <c r="F29" s="50">
        <f>E29+D29</f>
        <v>299</v>
      </c>
      <c r="G29" s="37" t="s">
        <v>78</v>
      </c>
      <c r="H29" s="38">
        <v>0.5452</v>
      </c>
      <c r="I29" s="51">
        <v>1.1377</v>
      </c>
      <c r="J29" s="52">
        <f>LOG(2.21)</f>
        <v>0.3443922736851107</v>
      </c>
      <c r="K29" s="53"/>
      <c r="L29" s="57"/>
    </row>
    <row r="30" spans="1:12" s="24" customFormat="1" ht="25.5">
      <c r="A30" s="37"/>
      <c r="B30" s="37"/>
      <c r="C30" s="37"/>
      <c r="D30" s="37"/>
      <c r="E30" s="49"/>
      <c r="F30" s="50"/>
      <c r="G30" s="37"/>
      <c r="H30" s="38"/>
      <c r="I30" s="51"/>
      <c r="J30" s="52"/>
      <c r="K30" s="53"/>
      <c r="L30" s="57"/>
    </row>
    <row r="31" spans="1:12" s="24" customFormat="1" ht="25.5">
      <c r="A31" s="37">
        <f>+A28+1</f>
        <v>10</v>
      </c>
      <c r="B31" s="37" t="s">
        <v>43</v>
      </c>
      <c r="C31" s="37">
        <v>2011</v>
      </c>
      <c r="D31" s="37">
        <v>36</v>
      </c>
      <c r="E31" s="49">
        <v>0</v>
      </c>
      <c r="F31" s="50">
        <f>E31+D31</f>
        <v>36</v>
      </c>
      <c r="G31" s="36" t="s">
        <v>54</v>
      </c>
      <c r="H31" s="38">
        <v>0.953</v>
      </c>
      <c r="I31" s="51">
        <v>1.0968</v>
      </c>
      <c r="J31" s="52">
        <f>LOG(6.605)</f>
        <v>0.819872821950546</v>
      </c>
      <c r="K31" s="53">
        <v>134</v>
      </c>
      <c r="L31" s="57"/>
    </row>
    <row r="32" spans="1:12" s="24" customFormat="1" ht="25.5">
      <c r="A32" s="84"/>
      <c r="B32" s="84"/>
      <c r="C32" s="84" t="s">
        <v>79</v>
      </c>
      <c r="D32" s="84">
        <v>161</v>
      </c>
      <c r="E32" s="85">
        <v>0</v>
      </c>
      <c r="F32" s="86">
        <f>E32+D32</f>
        <v>161</v>
      </c>
      <c r="G32" s="84" t="s">
        <v>80</v>
      </c>
      <c r="H32" s="87">
        <v>0.6563</v>
      </c>
      <c r="I32" s="88">
        <v>1.5657</v>
      </c>
      <c r="J32" s="55">
        <f>LOG(1.6436)</f>
        <v>0.21579613258983368</v>
      </c>
      <c r="K32" s="89"/>
      <c r="L32" s="90"/>
    </row>
    <row r="33" spans="1:12" s="24" customFormat="1" ht="25.5">
      <c r="A33" s="37"/>
      <c r="B33" s="37"/>
      <c r="C33" s="37"/>
      <c r="D33" s="37"/>
      <c r="E33" s="49"/>
      <c r="F33" s="50"/>
      <c r="G33" s="37"/>
      <c r="H33" s="38"/>
      <c r="I33" s="51"/>
      <c r="J33" s="52"/>
      <c r="K33" s="53"/>
      <c r="L33" s="57"/>
    </row>
    <row r="34" spans="1:12" s="24" customFormat="1" ht="25.5">
      <c r="A34" s="91">
        <f>+A31+1</f>
        <v>11</v>
      </c>
      <c r="B34" s="91" t="s">
        <v>44</v>
      </c>
      <c r="C34" s="91">
        <v>2011</v>
      </c>
      <c r="D34" s="91">
        <v>36</v>
      </c>
      <c r="E34" s="92">
        <v>0</v>
      </c>
      <c r="F34" s="93">
        <f>E34+D34</f>
        <v>36</v>
      </c>
      <c r="G34" s="99" t="s">
        <v>118</v>
      </c>
      <c r="H34" s="94">
        <v>0.7784</v>
      </c>
      <c r="I34" s="95">
        <v>1.8408</v>
      </c>
      <c r="J34" s="96">
        <f>LOG(1.2596)</f>
        <v>0.10023265196450631</v>
      </c>
      <c r="K34" s="97">
        <v>129</v>
      </c>
      <c r="L34" s="98"/>
    </row>
    <row r="35" spans="1:12" s="24" customFormat="1" ht="25.5">
      <c r="A35" s="37"/>
      <c r="B35" s="37"/>
      <c r="C35" s="37" t="s">
        <v>79</v>
      </c>
      <c r="D35" s="37">
        <v>160</v>
      </c>
      <c r="E35" s="49">
        <v>0</v>
      </c>
      <c r="F35" s="50">
        <f>E35+D35</f>
        <v>160</v>
      </c>
      <c r="G35" s="37" t="s">
        <v>81</v>
      </c>
      <c r="H35" s="38">
        <v>0.7197</v>
      </c>
      <c r="I35" s="51">
        <v>1.603</v>
      </c>
      <c r="J35" s="52">
        <f>LOG(2.0299)</f>
        <v>0.3074746435694118</v>
      </c>
      <c r="K35" s="53"/>
      <c r="L35" s="57"/>
    </row>
    <row r="36" spans="1:12" s="24" customFormat="1" ht="25.5">
      <c r="A36" s="37"/>
      <c r="B36" s="37"/>
      <c r="C36" s="37"/>
      <c r="D36" s="37"/>
      <c r="E36" s="49"/>
      <c r="F36" s="50"/>
      <c r="G36" s="37"/>
      <c r="H36" s="38"/>
      <c r="I36" s="51"/>
      <c r="J36" s="52"/>
      <c r="K36" s="53"/>
      <c r="L36" s="57"/>
    </row>
    <row r="37" spans="1:12" s="24" customFormat="1" ht="25.5">
      <c r="A37" s="37">
        <f>+A34+1</f>
        <v>12</v>
      </c>
      <c r="B37" s="37" t="s">
        <v>45</v>
      </c>
      <c r="C37" s="37">
        <v>2011</v>
      </c>
      <c r="D37" s="37">
        <v>36</v>
      </c>
      <c r="E37" s="49">
        <v>0</v>
      </c>
      <c r="F37" s="50">
        <f>E37+D37</f>
        <v>36</v>
      </c>
      <c r="G37" s="36" t="s">
        <v>82</v>
      </c>
      <c r="H37" s="38">
        <v>0.7742</v>
      </c>
      <c r="I37" s="51">
        <v>1.8664</v>
      </c>
      <c r="J37" s="52">
        <f>LOG(0.492)</f>
        <v>-0.30803489723263966</v>
      </c>
      <c r="K37" s="53">
        <v>389</v>
      </c>
      <c r="L37" s="57"/>
    </row>
    <row r="38" spans="1:12" s="24" customFormat="1" ht="25.5">
      <c r="A38" s="37"/>
      <c r="B38" s="37"/>
      <c r="C38" s="37" t="s">
        <v>79</v>
      </c>
      <c r="D38" s="37">
        <v>205</v>
      </c>
      <c r="E38" s="49">
        <v>0</v>
      </c>
      <c r="F38" s="50">
        <f>E38+D38</f>
        <v>205</v>
      </c>
      <c r="G38" s="37" t="s">
        <v>83</v>
      </c>
      <c r="H38" s="38">
        <v>0.3404</v>
      </c>
      <c r="I38" s="51">
        <v>1.976</v>
      </c>
      <c r="J38" s="52">
        <f>LOG(0.423)</f>
        <v>-0.37365963262495766</v>
      </c>
      <c r="K38" s="53"/>
      <c r="L38" s="57"/>
    </row>
    <row r="39" spans="1:12" s="24" customFormat="1" ht="25.5">
      <c r="A39" s="37"/>
      <c r="B39" s="37"/>
      <c r="C39" s="37"/>
      <c r="D39" s="37"/>
      <c r="E39" s="49"/>
      <c r="F39" s="50"/>
      <c r="G39" s="37"/>
      <c r="H39" s="38"/>
      <c r="I39" s="51"/>
      <c r="J39" s="52"/>
      <c r="K39" s="53"/>
      <c r="L39" s="57"/>
    </row>
    <row r="40" spans="1:12" s="24" customFormat="1" ht="25.5">
      <c r="A40" s="37">
        <f>+A37+1</f>
        <v>13</v>
      </c>
      <c r="B40" s="37" t="s">
        <v>46</v>
      </c>
      <c r="C40" s="37">
        <v>2011</v>
      </c>
      <c r="D40" s="37">
        <v>36</v>
      </c>
      <c r="E40" s="49">
        <v>0</v>
      </c>
      <c r="F40" s="50">
        <f>E40+D40</f>
        <v>36</v>
      </c>
      <c r="G40" s="36" t="s">
        <v>84</v>
      </c>
      <c r="H40" s="38">
        <v>0.7464</v>
      </c>
      <c r="I40" s="51">
        <v>1.6036</v>
      </c>
      <c r="J40" s="52">
        <f>LOG(2.4898)</f>
        <v>0.396164462603818</v>
      </c>
      <c r="K40" s="53">
        <v>493</v>
      </c>
      <c r="L40" s="57"/>
    </row>
    <row r="41" spans="1:12" s="24" customFormat="1" ht="25.5">
      <c r="A41" s="37"/>
      <c r="B41" s="37"/>
      <c r="C41" s="37" t="s">
        <v>85</v>
      </c>
      <c r="D41" s="37">
        <v>211</v>
      </c>
      <c r="E41" s="49">
        <v>0</v>
      </c>
      <c r="F41" s="50">
        <f>E41+D41</f>
        <v>211</v>
      </c>
      <c r="G41" s="37" t="s">
        <v>86</v>
      </c>
      <c r="H41" s="38">
        <v>0.3975</v>
      </c>
      <c r="I41" s="51">
        <v>1.3448</v>
      </c>
      <c r="J41" s="52">
        <f>LOG(2.1787)</f>
        <v>0.3381974334062819</v>
      </c>
      <c r="K41" s="53"/>
      <c r="L41" s="57"/>
    </row>
    <row r="42" spans="1:12" s="24" customFormat="1" ht="25.5">
      <c r="A42" s="37"/>
      <c r="B42" s="37"/>
      <c r="C42" s="37"/>
      <c r="D42" s="37"/>
      <c r="E42" s="49"/>
      <c r="F42" s="50"/>
      <c r="G42" s="37"/>
      <c r="H42" s="38"/>
      <c r="I42" s="51"/>
      <c r="J42" s="52"/>
      <c r="K42" s="53"/>
      <c r="L42" s="57"/>
    </row>
    <row r="43" spans="1:12" s="24" customFormat="1" ht="25.5">
      <c r="A43" s="37">
        <v>14</v>
      </c>
      <c r="B43" s="37" t="s">
        <v>47</v>
      </c>
      <c r="C43" s="101">
        <v>2011</v>
      </c>
      <c r="D43" s="37">
        <v>36</v>
      </c>
      <c r="E43" s="49">
        <v>0</v>
      </c>
      <c r="F43" s="50">
        <f>E43+D43</f>
        <v>36</v>
      </c>
      <c r="G43" s="36" t="s">
        <v>87</v>
      </c>
      <c r="H43" s="38">
        <v>0.8572</v>
      </c>
      <c r="I43" s="51">
        <v>1.6194</v>
      </c>
      <c r="J43" s="52">
        <f>LOG(0.8824)</f>
        <v>-0.05433450056786583</v>
      </c>
      <c r="K43" s="53">
        <v>3478</v>
      </c>
      <c r="L43" s="57"/>
    </row>
    <row r="44" spans="1:12" s="24" customFormat="1" ht="25.5">
      <c r="A44" s="37"/>
      <c r="B44" s="37"/>
      <c r="C44" s="37" t="s">
        <v>64</v>
      </c>
      <c r="D44" s="37">
        <v>160</v>
      </c>
      <c r="E44" s="49"/>
      <c r="F44" s="50">
        <v>160</v>
      </c>
      <c r="G44" s="102" t="s">
        <v>111</v>
      </c>
      <c r="H44" s="38">
        <v>0.8692</v>
      </c>
      <c r="I44" s="51">
        <v>1.6176</v>
      </c>
      <c r="J44" s="52">
        <f>LOG(9541)</f>
        <v>3.9795938958489305</v>
      </c>
      <c r="K44" s="53"/>
      <c r="L44" s="57"/>
    </row>
    <row r="45" spans="1:12" s="24" customFormat="1" ht="25.5">
      <c r="A45" s="37"/>
      <c r="B45" s="37"/>
      <c r="C45" s="37"/>
      <c r="D45" s="37"/>
      <c r="E45" s="49"/>
      <c r="F45" s="50"/>
      <c r="G45" s="37"/>
      <c r="H45" s="38"/>
      <c r="I45" s="51"/>
      <c r="J45" s="52"/>
      <c r="K45" s="53"/>
      <c r="L45" s="57"/>
    </row>
    <row r="46" spans="1:12" s="24" customFormat="1" ht="25.5">
      <c r="A46" s="37">
        <v>15</v>
      </c>
      <c r="B46" s="37" t="s">
        <v>16</v>
      </c>
      <c r="C46" s="101">
        <v>2011</v>
      </c>
      <c r="D46" s="37">
        <v>36</v>
      </c>
      <c r="E46" s="49">
        <v>0</v>
      </c>
      <c r="F46" s="50">
        <f>E46+D46</f>
        <v>36</v>
      </c>
      <c r="G46" s="36" t="s">
        <v>116</v>
      </c>
      <c r="H46" s="38">
        <v>0.9569</v>
      </c>
      <c r="I46" s="51">
        <v>1.8585</v>
      </c>
      <c r="J46" s="52">
        <f>LOG(0.1407)</f>
        <v>-0.8517059025652544</v>
      </c>
      <c r="K46" s="53">
        <v>8924</v>
      </c>
      <c r="L46" s="57"/>
    </row>
    <row r="47" spans="1:12" s="24" customFormat="1" ht="25.5">
      <c r="A47" s="37"/>
      <c r="B47" s="37"/>
      <c r="C47" s="37" t="s">
        <v>64</v>
      </c>
      <c r="D47" s="37">
        <v>152</v>
      </c>
      <c r="E47" s="49"/>
      <c r="F47" s="50">
        <v>152</v>
      </c>
      <c r="G47" s="102" t="s">
        <v>112</v>
      </c>
      <c r="H47" s="38">
        <v>0.8821</v>
      </c>
      <c r="I47" s="51">
        <v>1.5805</v>
      </c>
      <c r="J47" s="52">
        <f>LOG(0.6924)</f>
        <v>-0.15964294079664373</v>
      </c>
      <c r="K47" s="53"/>
      <c r="L47" s="57"/>
    </row>
    <row r="48" spans="1:12" s="24" customFormat="1" ht="25.5">
      <c r="A48" s="37"/>
      <c r="B48" s="37"/>
      <c r="C48" s="37"/>
      <c r="D48" s="37"/>
      <c r="E48" s="49"/>
      <c r="F48" s="50"/>
      <c r="G48" s="37"/>
      <c r="H48" s="38"/>
      <c r="I48" s="51"/>
      <c r="J48" s="52"/>
      <c r="K48" s="53"/>
      <c r="L48" s="57"/>
    </row>
    <row r="49" spans="1:12" s="24" customFormat="1" ht="25.5">
      <c r="A49" s="37">
        <f>+A46+1</f>
        <v>16</v>
      </c>
      <c r="B49" s="37" t="s">
        <v>25</v>
      </c>
      <c r="C49" s="37">
        <v>2011</v>
      </c>
      <c r="D49" s="37">
        <v>36</v>
      </c>
      <c r="E49" s="49">
        <v>0</v>
      </c>
      <c r="F49" s="50">
        <f>E49+D49</f>
        <v>36</v>
      </c>
      <c r="G49" s="36" t="s">
        <v>88</v>
      </c>
      <c r="H49" s="38">
        <v>0.6958</v>
      </c>
      <c r="I49" s="51">
        <v>1.7311</v>
      </c>
      <c r="J49" s="52">
        <f>LOG(0.2061)</f>
        <v>-0.6859220082207871</v>
      </c>
      <c r="K49" s="53">
        <v>1392</v>
      </c>
      <c r="L49" s="57"/>
    </row>
    <row r="50" spans="1:12" s="24" customFormat="1" ht="25.5">
      <c r="A50" s="37"/>
      <c r="B50" s="37"/>
      <c r="C50" s="37" t="s">
        <v>71</v>
      </c>
      <c r="D50" s="37">
        <v>295</v>
      </c>
      <c r="E50" s="49">
        <v>0</v>
      </c>
      <c r="F50" s="50">
        <f>E50+D50</f>
        <v>295</v>
      </c>
      <c r="G50" s="37" t="s">
        <v>89</v>
      </c>
      <c r="H50" s="38">
        <v>0.2954</v>
      </c>
      <c r="I50" s="51">
        <v>0.9958</v>
      </c>
      <c r="J50" s="52">
        <f>LOG(2.7317)</f>
        <v>0.4364330026600973</v>
      </c>
      <c r="K50" s="53"/>
      <c r="L50" s="57"/>
    </row>
    <row r="51" spans="1:12" s="24" customFormat="1" ht="25.5">
      <c r="A51" s="37"/>
      <c r="B51" s="37"/>
      <c r="C51" s="37"/>
      <c r="D51" s="37"/>
      <c r="E51" s="49"/>
      <c r="F51" s="50"/>
      <c r="G51" s="37"/>
      <c r="H51" s="38"/>
      <c r="I51" s="51"/>
      <c r="J51" s="52"/>
      <c r="K51" s="53"/>
      <c r="L51" s="57"/>
    </row>
    <row r="52" spans="1:12" s="24" customFormat="1" ht="25.5">
      <c r="A52" s="37">
        <f>+A49+1</f>
        <v>17</v>
      </c>
      <c r="B52" s="37" t="s">
        <v>17</v>
      </c>
      <c r="C52" s="37">
        <v>2011</v>
      </c>
      <c r="D52" s="37">
        <v>36</v>
      </c>
      <c r="E52" s="49">
        <v>0</v>
      </c>
      <c r="F52" s="50">
        <f>E52+D52</f>
        <v>36</v>
      </c>
      <c r="G52" s="36" t="s">
        <v>108</v>
      </c>
      <c r="H52" s="38">
        <v>0.9421</v>
      </c>
      <c r="I52" s="51">
        <v>2.1176</v>
      </c>
      <c r="J52" s="52">
        <f>LOG(0.3881)</f>
        <v>-0.4110563572599851</v>
      </c>
      <c r="K52" s="53">
        <v>726</v>
      </c>
      <c r="L52" s="57"/>
    </row>
    <row r="53" spans="1:12" s="24" customFormat="1" ht="25.5">
      <c r="A53" s="37"/>
      <c r="B53" s="37"/>
      <c r="C53" s="37" t="s">
        <v>90</v>
      </c>
      <c r="D53" s="37">
        <v>409</v>
      </c>
      <c r="E53" s="49">
        <v>0</v>
      </c>
      <c r="F53" s="50">
        <f>E53+D53</f>
        <v>409</v>
      </c>
      <c r="G53" s="37" t="s">
        <v>91</v>
      </c>
      <c r="H53" s="38">
        <v>0.8802</v>
      </c>
      <c r="I53" s="51">
        <v>1.5669</v>
      </c>
      <c r="J53" s="52">
        <f>LOG(3.0641)</f>
        <v>0.4863029348311605</v>
      </c>
      <c r="K53" s="53"/>
      <c r="L53" s="57"/>
    </row>
    <row r="54" spans="1:12" s="24" customFormat="1" ht="25.5">
      <c r="A54" s="37"/>
      <c r="B54" s="37"/>
      <c r="C54" s="37"/>
      <c r="D54" s="37"/>
      <c r="E54" s="49"/>
      <c r="F54" s="50"/>
      <c r="G54" s="37"/>
      <c r="H54" s="38"/>
      <c r="I54" s="51"/>
      <c r="J54" s="52"/>
      <c r="K54" s="53"/>
      <c r="L54" s="57"/>
    </row>
    <row r="55" spans="1:12" s="24" customFormat="1" ht="25.5">
      <c r="A55" s="37">
        <f>+A52+1</f>
        <v>18</v>
      </c>
      <c r="B55" s="37" t="s">
        <v>18</v>
      </c>
      <c r="C55" s="37">
        <v>2011</v>
      </c>
      <c r="D55" s="37">
        <v>36</v>
      </c>
      <c r="E55" s="49">
        <v>0</v>
      </c>
      <c r="F55" s="50">
        <f>E55+D55</f>
        <v>36</v>
      </c>
      <c r="G55" s="36" t="s">
        <v>92</v>
      </c>
      <c r="H55" s="38">
        <v>0.8409</v>
      </c>
      <c r="I55" s="51">
        <v>1.4828</v>
      </c>
      <c r="J55" s="52">
        <f>LOG(1.2715)</f>
        <v>0.10431636451172771</v>
      </c>
      <c r="K55" s="53">
        <v>3367</v>
      </c>
      <c r="L55" s="54"/>
    </row>
    <row r="56" spans="1:12" s="24" customFormat="1" ht="25.5">
      <c r="A56" s="37"/>
      <c r="B56" s="37"/>
      <c r="C56" s="37" t="s">
        <v>93</v>
      </c>
      <c r="D56" s="37">
        <v>348</v>
      </c>
      <c r="E56" s="49">
        <v>0</v>
      </c>
      <c r="F56" s="50">
        <f>E56+D56</f>
        <v>348</v>
      </c>
      <c r="G56" s="37" t="s">
        <v>94</v>
      </c>
      <c r="H56" s="38">
        <v>0.4591</v>
      </c>
      <c r="I56" s="51">
        <v>1.1372</v>
      </c>
      <c r="J56" s="52">
        <f>LOG(2.9538)</f>
        <v>0.4703810861563993</v>
      </c>
      <c r="K56" s="53"/>
      <c r="L56" s="54"/>
    </row>
    <row r="57" spans="1:12" s="24" customFormat="1" ht="25.5">
      <c r="A57" s="37"/>
      <c r="B57" s="37"/>
      <c r="C57" s="37"/>
      <c r="D57" s="37"/>
      <c r="E57" s="49"/>
      <c r="F57" s="50"/>
      <c r="G57" s="37"/>
      <c r="H57" s="38"/>
      <c r="I57" s="51"/>
      <c r="J57" s="52"/>
      <c r="K57" s="53"/>
      <c r="L57" s="54"/>
    </row>
    <row r="58" spans="1:12" s="28" customFormat="1" ht="22.5" customHeight="1">
      <c r="A58" s="37">
        <v>19</v>
      </c>
      <c r="B58" s="37" t="s">
        <v>95</v>
      </c>
      <c r="C58" s="37">
        <v>2011</v>
      </c>
      <c r="D58" s="37">
        <v>36</v>
      </c>
      <c r="E58" s="49">
        <v>0</v>
      </c>
      <c r="F58" s="50">
        <f>E58+D58</f>
        <v>36</v>
      </c>
      <c r="G58" s="36" t="s">
        <v>107</v>
      </c>
      <c r="H58" s="38">
        <v>0.9386</v>
      </c>
      <c r="I58" s="51">
        <v>1.2852</v>
      </c>
      <c r="J58" s="52">
        <f>LOG(91.03)</f>
        <v>1.9591845427311916</v>
      </c>
      <c r="K58" s="53">
        <v>762</v>
      </c>
      <c r="L58" s="54"/>
    </row>
    <row r="59" spans="1:12" s="28" customFormat="1" ht="22.5" customHeight="1">
      <c r="A59" s="37"/>
      <c r="B59" s="37"/>
      <c r="C59" s="37" t="s">
        <v>104</v>
      </c>
      <c r="D59" s="37">
        <v>101</v>
      </c>
      <c r="E59" s="49">
        <v>0</v>
      </c>
      <c r="F59" s="50">
        <f>E59+D59</f>
        <v>101</v>
      </c>
      <c r="G59" s="37" t="s">
        <v>96</v>
      </c>
      <c r="H59" s="38">
        <v>0.8679</v>
      </c>
      <c r="I59" s="51">
        <v>1.4133</v>
      </c>
      <c r="J59" s="52">
        <f>LOG(109.38)</f>
        <v>2.03893791903862</v>
      </c>
      <c r="K59" s="53"/>
      <c r="L59" s="65"/>
    </row>
    <row r="60" spans="1:12" s="28" customFormat="1" ht="22.5" customHeight="1">
      <c r="A60" s="37"/>
      <c r="B60" s="37"/>
      <c r="C60" s="37"/>
      <c r="D60" s="37"/>
      <c r="E60" s="49"/>
      <c r="F60" s="50"/>
      <c r="G60" s="37"/>
      <c r="H60" s="38"/>
      <c r="I60" s="51"/>
      <c r="J60" s="52"/>
      <c r="K60" s="53"/>
      <c r="L60" s="65"/>
    </row>
    <row r="61" spans="1:12" s="28" customFormat="1" ht="22.5" customHeight="1">
      <c r="A61" s="58">
        <v>20</v>
      </c>
      <c r="B61" s="58" t="s">
        <v>19</v>
      </c>
      <c r="C61" s="58">
        <v>2011</v>
      </c>
      <c r="D61" s="58">
        <v>35</v>
      </c>
      <c r="E61" s="59">
        <v>0</v>
      </c>
      <c r="F61" s="60">
        <f>E61+D61</f>
        <v>35</v>
      </c>
      <c r="G61" s="39" t="s">
        <v>97</v>
      </c>
      <c r="H61" s="61">
        <v>0.9085</v>
      </c>
      <c r="I61" s="62">
        <v>1.7145</v>
      </c>
      <c r="J61" s="63">
        <f>LOG(0.5083)</f>
        <v>-0.29387989029729644</v>
      </c>
      <c r="K61" s="64">
        <v>7624</v>
      </c>
      <c r="L61" s="65"/>
    </row>
    <row r="62" spans="1:12" s="28" customFormat="1" ht="22.5" customHeight="1">
      <c r="A62" s="58"/>
      <c r="B62" s="58"/>
      <c r="C62" s="58" t="s">
        <v>98</v>
      </c>
      <c r="D62" s="58">
        <v>416</v>
      </c>
      <c r="E62" s="59">
        <v>0</v>
      </c>
      <c r="F62" s="60">
        <f>E62+D62</f>
        <v>416</v>
      </c>
      <c r="G62" s="58" t="s">
        <v>99</v>
      </c>
      <c r="H62" s="61">
        <v>0.3464</v>
      </c>
      <c r="I62" s="62">
        <v>1.3268</v>
      </c>
      <c r="J62" s="63">
        <f>LOG(1.0984)</f>
        <v>0.04076052422869871</v>
      </c>
      <c r="K62" s="64"/>
      <c r="L62" s="65"/>
    </row>
    <row r="63" spans="1:12" s="28" customFormat="1" ht="22.5" customHeight="1">
      <c r="A63" s="58"/>
      <c r="B63" s="58"/>
      <c r="C63" s="58"/>
      <c r="D63" s="58"/>
      <c r="E63" s="59"/>
      <c r="F63" s="60"/>
      <c r="G63" s="58"/>
      <c r="H63" s="61"/>
      <c r="I63" s="62"/>
      <c r="J63" s="63"/>
      <c r="K63" s="64"/>
      <c r="L63" s="66"/>
    </row>
    <row r="64" spans="1:12" s="28" customFormat="1" ht="22.5" customHeight="1">
      <c r="A64" s="58">
        <v>21</v>
      </c>
      <c r="B64" s="58" t="s">
        <v>48</v>
      </c>
      <c r="C64" s="58">
        <v>2011</v>
      </c>
      <c r="D64" s="58">
        <v>36</v>
      </c>
      <c r="E64" s="59">
        <v>0</v>
      </c>
      <c r="F64" s="60">
        <f>E64+D64</f>
        <v>36</v>
      </c>
      <c r="G64" s="39" t="s">
        <v>55</v>
      </c>
      <c r="H64" s="61">
        <v>0.9784</v>
      </c>
      <c r="I64" s="62">
        <v>0.85</v>
      </c>
      <c r="J64" s="63">
        <f>LOG(50.1)</f>
        <v>1.6998377258672457</v>
      </c>
      <c r="K64" s="64">
        <v>5410</v>
      </c>
      <c r="L64" s="74"/>
    </row>
    <row r="65" spans="1:12" s="28" customFormat="1" ht="22.5" customHeight="1">
      <c r="A65" s="58"/>
      <c r="B65" s="58"/>
      <c r="C65" s="58" t="s">
        <v>79</v>
      </c>
      <c r="D65" s="58">
        <v>177</v>
      </c>
      <c r="E65" s="59">
        <v>0</v>
      </c>
      <c r="F65" s="60">
        <f>E65+D65</f>
        <v>177</v>
      </c>
      <c r="G65" s="58" t="s">
        <v>100</v>
      </c>
      <c r="H65" s="61">
        <v>0.8591</v>
      </c>
      <c r="I65" s="62">
        <v>1.7575</v>
      </c>
      <c r="J65" s="63">
        <f>LOG(0.5937)</f>
        <v>-0.2264329510739413</v>
      </c>
      <c r="K65" s="64"/>
      <c r="L65" s="74"/>
    </row>
    <row r="66" spans="1:12" s="28" customFormat="1" ht="22.5" customHeight="1">
      <c r="A66" s="67"/>
      <c r="B66" s="67"/>
      <c r="C66" s="67"/>
      <c r="D66" s="67"/>
      <c r="E66" s="68"/>
      <c r="F66" s="69"/>
      <c r="G66" s="67"/>
      <c r="H66" s="70"/>
      <c r="I66" s="71"/>
      <c r="J66" s="72"/>
      <c r="K66" s="73"/>
      <c r="L66" s="74"/>
    </row>
    <row r="67" spans="1:12" s="28" customFormat="1" ht="22.5" customHeight="1">
      <c r="A67" s="58">
        <f>+A64+1</f>
        <v>22</v>
      </c>
      <c r="B67" s="58" t="s">
        <v>59</v>
      </c>
      <c r="C67" s="58">
        <v>2011</v>
      </c>
      <c r="D67" s="58">
        <v>36</v>
      </c>
      <c r="E67" s="59">
        <v>0</v>
      </c>
      <c r="F67" s="60">
        <f>E67+D67</f>
        <v>36</v>
      </c>
      <c r="G67" s="39" t="s">
        <v>117</v>
      </c>
      <c r="H67" s="61">
        <v>0.8866</v>
      </c>
      <c r="I67" s="62">
        <v>1.5964</v>
      </c>
      <c r="J67" s="63">
        <f>LOG(3.5301)</f>
        <v>0.5477870081733902</v>
      </c>
      <c r="K67" s="64">
        <v>324.57</v>
      </c>
      <c r="L67" s="82"/>
    </row>
    <row r="68" spans="1:12" s="28" customFormat="1" ht="22.5" customHeight="1">
      <c r="A68" s="67"/>
      <c r="B68" s="67"/>
      <c r="C68" s="67"/>
      <c r="D68" s="67"/>
      <c r="E68" s="68"/>
      <c r="F68" s="69"/>
      <c r="G68" s="103" t="s">
        <v>113</v>
      </c>
      <c r="H68" s="61">
        <v>0.851</v>
      </c>
      <c r="I68" s="62">
        <v>1.4577</v>
      </c>
      <c r="J68" s="63">
        <f>LOG(4.5505)</f>
        <v>0.658059118703411</v>
      </c>
      <c r="K68" s="73"/>
      <c r="L68" s="82"/>
    </row>
    <row r="69" spans="1:12" s="28" customFormat="1" ht="22.5" customHeight="1">
      <c r="A69" s="67"/>
      <c r="B69" s="67"/>
      <c r="C69" s="67"/>
      <c r="D69" s="67"/>
      <c r="E69" s="68"/>
      <c r="F69" s="69"/>
      <c r="G69" s="67"/>
      <c r="H69" s="70"/>
      <c r="I69" s="71"/>
      <c r="J69" s="72"/>
      <c r="K69" s="73"/>
      <c r="L69" s="65"/>
    </row>
    <row r="70" spans="1:12" s="28" customFormat="1" ht="22.5" customHeight="1">
      <c r="A70" s="75">
        <v>23</v>
      </c>
      <c r="B70" s="75" t="s">
        <v>49</v>
      </c>
      <c r="C70" s="75">
        <v>2011</v>
      </c>
      <c r="D70" s="75">
        <v>36</v>
      </c>
      <c r="E70" s="76">
        <v>0</v>
      </c>
      <c r="F70" s="77">
        <f>E70+D70</f>
        <v>36</v>
      </c>
      <c r="G70" s="40" t="s">
        <v>101</v>
      </c>
      <c r="H70" s="78">
        <v>0.9452</v>
      </c>
      <c r="I70" s="79">
        <v>1.5776</v>
      </c>
      <c r="J70" s="80">
        <f>LOG(0.817)</f>
        <v>-0.08777794346758454</v>
      </c>
      <c r="K70" s="81">
        <v>10360</v>
      </c>
      <c r="L70" s="65"/>
    </row>
    <row r="71" spans="1:12" s="28" customFormat="1" ht="22.5" customHeight="1">
      <c r="A71" s="75"/>
      <c r="B71" s="75"/>
      <c r="C71" s="75" t="s">
        <v>105</v>
      </c>
      <c r="D71" s="75">
        <v>171</v>
      </c>
      <c r="E71" s="76"/>
      <c r="F71" s="77">
        <v>171</v>
      </c>
      <c r="G71" s="104" t="s">
        <v>114</v>
      </c>
      <c r="H71" s="78">
        <v>0.7791</v>
      </c>
      <c r="I71" s="79">
        <v>1.5896</v>
      </c>
      <c r="J71" s="80">
        <f>LOG(0.6218)</f>
        <v>-0.20634928229282698</v>
      </c>
      <c r="K71" s="81"/>
      <c r="L71" s="65"/>
    </row>
    <row r="72" spans="1:12" s="28" customFormat="1" ht="22.5" customHeight="1">
      <c r="A72" s="58"/>
      <c r="B72" s="58"/>
      <c r="C72" s="58"/>
      <c r="D72" s="58"/>
      <c r="E72" s="59"/>
      <c r="F72" s="60"/>
      <c r="G72" s="58"/>
      <c r="H72" s="61"/>
      <c r="I72" s="62"/>
      <c r="J72" s="63"/>
      <c r="K72" s="64"/>
      <c r="L72" s="65"/>
    </row>
    <row r="73" spans="1:12" s="28" customFormat="1" ht="22.5" customHeight="1">
      <c r="A73" s="58">
        <v>24</v>
      </c>
      <c r="B73" s="58" t="s">
        <v>50</v>
      </c>
      <c r="C73" s="58">
        <v>2011</v>
      </c>
      <c r="D73" s="58">
        <v>36</v>
      </c>
      <c r="E73" s="59">
        <v>0</v>
      </c>
      <c r="F73" s="60">
        <f>E73+D73</f>
        <v>36</v>
      </c>
      <c r="G73" s="39" t="s">
        <v>56</v>
      </c>
      <c r="H73" s="61">
        <v>0.976</v>
      </c>
      <c r="I73" s="62">
        <v>1.9816</v>
      </c>
      <c r="J73" s="63">
        <f>LOG(0.127)</f>
        <v>-0.8961962790440431</v>
      </c>
      <c r="K73" s="64">
        <v>4560</v>
      </c>
      <c r="L73" s="65"/>
    </row>
    <row r="74" spans="1:12" s="28" customFormat="1" ht="22.5" customHeight="1">
      <c r="A74" s="58"/>
      <c r="B74" s="58"/>
      <c r="C74" s="58" t="s">
        <v>79</v>
      </c>
      <c r="D74" s="58">
        <v>170</v>
      </c>
      <c r="E74" s="59">
        <v>0</v>
      </c>
      <c r="F74" s="60">
        <f>E74+D74</f>
        <v>170</v>
      </c>
      <c r="G74" s="58" t="s">
        <v>102</v>
      </c>
      <c r="H74" s="61">
        <v>0.8751</v>
      </c>
      <c r="I74" s="62">
        <v>1.9314</v>
      </c>
      <c r="J74" s="63">
        <f>LOG(0.1361)</f>
        <v>-0.8661418747966653</v>
      </c>
      <c r="K74" s="64"/>
      <c r="L74" s="65"/>
    </row>
    <row r="75" spans="1:12" s="28" customFormat="1" ht="22.5" customHeight="1">
      <c r="A75" s="58"/>
      <c r="B75" s="58"/>
      <c r="C75" s="58"/>
      <c r="D75" s="58"/>
      <c r="E75" s="59"/>
      <c r="F75" s="60"/>
      <c r="G75" s="58"/>
      <c r="H75" s="61"/>
      <c r="I75" s="62"/>
      <c r="J75" s="63"/>
      <c r="K75" s="64"/>
      <c r="L75" s="65"/>
    </row>
    <row r="76" spans="1:12" s="28" customFormat="1" ht="22.5" customHeight="1">
      <c r="A76" s="58">
        <v>25</v>
      </c>
      <c r="B76" s="58" t="s">
        <v>51</v>
      </c>
      <c r="C76" s="58">
        <v>2011</v>
      </c>
      <c r="D76" s="58">
        <v>36</v>
      </c>
      <c r="E76" s="59">
        <v>0</v>
      </c>
      <c r="F76" s="60">
        <f>E76+D76</f>
        <v>36</v>
      </c>
      <c r="G76" s="39" t="s">
        <v>106</v>
      </c>
      <c r="H76" s="61">
        <v>0.8619</v>
      </c>
      <c r="I76" s="62">
        <v>2.4097</v>
      </c>
      <c r="J76" s="63">
        <f>LOG(0.014)</f>
        <v>-1.853871964321762</v>
      </c>
      <c r="K76" s="64">
        <v>3476</v>
      </c>
      <c r="L76" s="65"/>
    </row>
    <row r="77" spans="1:12" s="28" customFormat="1" ht="22.5" customHeight="1">
      <c r="A77" s="58"/>
      <c r="B77" s="58"/>
      <c r="C77" s="58" t="s">
        <v>64</v>
      </c>
      <c r="D77" s="58">
        <v>166</v>
      </c>
      <c r="E77" s="59"/>
      <c r="F77" s="60">
        <v>166</v>
      </c>
      <c r="G77" s="103" t="s">
        <v>115</v>
      </c>
      <c r="H77" s="61">
        <v>0.7923</v>
      </c>
      <c r="I77" s="62">
        <v>1.9181</v>
      </c>
      <c r="J77" s="63">
        <f>LOG(0.2112)</f>
        <v>-0.6753060861382254</v>
      </c>
      <c r="K77" s="64"/>
      <c r="L77" s="65"/>
    </row>
    <row r="78" spans="1:12" s="28" customFormat="1" ht="22.5" customHeight="1">
      <c r="A78" s="58"/>
      <c r="B78" s="58"/>
      <c r="C78" s="58"/>
      <c r="D78" s="58"/>
      <c r="E78" s="59"/>
      <c r="F78" s="60"/>
      <c r="G78" s="58"/>
      <c r="H78" s="61"/>
      <c r="I78" s="62"/>
      <c r="J78" s="63"/>
      <c r="K78" s="64"/>
      <c r="L78" s="65"/>
    </row>
    <row r="79" spans="1:12" s="28" customFormat="1" ht="22.5" customHeight="1">
      <c r="A79" s="100">
        <v>26</v>
      </c>
      <c r="B79" s="58" t="s">
        <v>28</v>
      </c>
      <c r="C79" s="58">
        <v>2011</v>
      </c>
      <c r="D79" s="58">
        <v>30</v>
      </c>
      <c r="E79" s="59">
        <v>0</v>
      </c>
      <c r="F79" s="60">
        <f>E79+D79</f>
        <v>30</v>
      </c>
      <c r="G79" s="39" t="s">
        <v>57</v>
      </c>
      <c r="H79" s="61">
        <v>0.924</v>
      </c>
      <c r="I79" s="62">
        <v>1.5577</v>
      </c>
      <c r="J79" s="63">
        <f>LOG(3.9963)</f>
        <v>0.6016580830209397</v>
      </c>
      <c r="K79" s="64">
        <v>2934</v>
      </c>
      <c r="L79" s="65"/>
    </row>
    <row r="80" spans="1:12" s="24" customFormat="1" ht="25.5">
      <c r="A80" s="58"/>
      <c r="B80" s="58"/>
      <c r="C80" s="58" t="s">
        <v>98</v>
      </c>
      <c r="D80" s="58">
        <v>411</v>
      </c>
      <c r="E80" s="59">
        <v>0</v>
      </c>
      <c r="F80" s="60">
        <f>E80+D80</f>
        <v>411</v>
      </c>
      <c r="G80" s="58" t="s">
        <v>103</v>
      </c>
      <c r="H80" s="61">
        <v>0.9314</v>
      </c>
      <c r="I80" s="62">
        <v>1.4976</v>
      </c>
      <c r="J80" s="63">
        <f>LOG(3.6178)</f>
        <v>0.5584445544261685</v>
      </c>
      <c r="K80" s="83"/>
      <c r="L80" s="65"/>
    </row>
    <row r="81" spans="1:12" s="24" customFormat="1" ht="23.2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65"/>
    </row>
    <row r="82" spans="1:14" s="24" customFormat="1" ht="25.5">
      <c r="A82" s="58">
        <v>27</v>
      </c>
      <c r="B82" s="58" t="s">
        <v>52</v>
      </c>
      <c r="C82" s="58">
        <v>2011</v>
      </c>
      <c r="D82" s="58">
        <v>30</v>
      </c>
      <c r="E82" s="59">
        <v>0</v>
      </c>
      <c r="F82" s="60">
        <f>E82+D82</f>
        <v>30</v>
      </c>
      <c r="G82" s="39" t="s">
        <v>119</v>
      </c>
      <c r="H82" s="61">
        <v>0.6707</v>
      </c>
      <c r="I82" s="62">
        <v>2.6586</v>
      </c>
      <c r="J82" s="63">
        <f>LOG(0.218)</f>
        <v>-0.6615435063953952</v>
      </c>
      <c r="K82" s="64">
        <v>382</v>
      </c>
      <c r="L82" s="54"/>
      <c r="N82" s="132"/>
    </row>
    <row r="83" spans="1:12" s="24" customFormat="1" ht="25.5">
      <c r="A83" s="58"/>
      <c r="B83" s="58"/>
      <c r="C83" s="58" t="s">
        <v>79</v>
      </c>
      <c r="D83" s="58">
        <v>154</v>
      </c>
      <c r="E83" s="59">
        <v>0</v>
      </c>
      <c r="F83" s="60">
        <f>E83+D83</f>
        <v>154</v>
      </c>
      <c r="G83" s="58" t="s">
        <v>120</v>
      </c>
      <c r="H83" s="61">
        <v>0.064</v>
      </c>
      <c r="I83" s="62">
        <v>1.813</v>
      </c>
      <c r="J83" s="63">
        <f>LOG(1.5465)</f>
        <v>0.18934992433919778</v>
      </c>
      <c r="K83" s="83"/>
      <c r="L83" s="106"/>
    </row>
    <row r="84" spans="1:12" s="24" customFormat="1" ht="23.2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7"/>
    </row>
    <row r="85" spans="1:12" s="24" customFormat="1" ht="26.25">
      <c r="A85" s="37"/>
      <c r="B85" s="37"/>
      <c r="C85" s="37"/>
      <c r="D85" s="37"/>
      <c r="E85" s="49"/>
      <c r="F85" s="50"/>
      <c r="G85" s="37"/>
      <c r="H85" s="38"/>
      <c r="I85" s="51"/>
      <c r="J85" s="52"/>
      <c r="K85" s="37"/>
      <c r="L85" s="108"/>
    </row>
    <row r="86" spans="1:12" s="24" customFormat="1" ht="26.25">
      <c r="A86" s="109"/>
      <c r="B86" s="109"/>
      <c r="C86" s="109" t="s">
        <v>9</v>
      </c>
      <c r="D86" s="110">
        <f>SUM(D4:D85)</f>
        <v>7332</v>
      </c>
      <c r="E86" s="111">
        <f>SUM(E4:E85)</f>
        <v>0</v>
      </c>
      <c r="F86" s="112">
        <f>SUM(F4:F85)</f>
        <v>7332</v>
      </c>
      <c r="G86" s="113"/>
      <c r="H86" s="114"/>
      <c r="I86" s="113"/>
      <c r="J86" s="115"/>
      <c r="K86" s="116"/>
      <c r="L86" s="108"/>
    </row>
    <row r="87" spans="1:12" s="24" customFormat="1" ht="26.25">
      <c r="A87" s="117" t="s">
        <v>58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8"/>
    </row>
    <row r="88" spans="1:12" s="24" customFormat="1" ht="29.25">
      <c r="A88" s="29"/>
      <c r="B88" s="29"/>
      <c r="C88" s="29"/>
      <c r="D88" s="29"/>
      <c r="E88" s="29"/>
      <c r="F88" s="34"/>
      <c r="G88" s="22"/>
      <c r="H88" s="30"/>
      <c r="I88" s="22"/>
      <c r="J88" s="31"/>
      <c r="K88" s="22"/>
      <c r="L88" s="32"/>
    </row>
  </sheetData>
  <sheetProtection/>
  <mergeCells count="10"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8">
      <pane xSplit="2" topLeftCell="C1" activePane="topRight" state="frozen"/>
      <selection pane="topLeft" activeCell="A1" sqref="A1"/>
      <selection pane="topRight" activeCell="B16" sqref="B16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130" t="s">
        <v>7</v>
      </c>
      <c r="B2" s="130" t="s">
        <v>0</v>
      </c>
      <c r="C2" s="131" t="s">
        <v>3</v>
      </c>
    </row>
    <row r="3" spans="1:3" s="3" customFormat="1" ht="23.25">
      <c r="A3" s="130"/>
      <c r="B3" s="130"/>
      <c r="C3" s="131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36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37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38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39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40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28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29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30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31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34</v>
      </c>
      <c r="B49" s="14"/>
      <c r="C49" s="14"/>
    </row>
  </sheetData>
  <sheetProtection/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noom</cp:lastModifiedBy>
  <cp:lastPrinted>2009-06-05T04:40:08Z</cp:lastPrinted>
  <dcterms:created xsi:type="dcterms:W3CDTF">2001-05-01T08:12:27Z</dcterms:created>
  <dcterms:modified xsi:type="dcterms:W3CDTF">2013-04-10T03:55:51Z</dcterms:modified>
  <cp:category/>
  <cp:version/>
  <cp:contentType/>
  <cp:contentStatus/>
</cp:coreProperties>
</file>