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<sst xmlns="http://schemas.openxmlformats.org/spreadsheetml/2006/main" count="151" uniqueCount="119">
  <si>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</si>
  <si>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</si>
  <si>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</si>
  <si>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</si>
  <si>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</si>
  <si>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</si>
  <si>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</si>
  <si>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</si>
  <si>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</si>
  <si>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</si>
  <si>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</si>
  <si>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</si>
  <si>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</si>
  <si>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</si>
  <si>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</si>
  <si>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</si>
  <si>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</si>
  <si>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</si>
  <si>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</si>
  <si>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</si>
  <si>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</si>
  <si>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</si>
  <si>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</si>
  <si>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</si>
  <si>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</si>
  <si>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</si>
  <si>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</si>
  <si>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</si>
  <si>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</si>
  <si>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</si>
  <si>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</si>
  <si>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</si>
  <si>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</si>
  <si>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</si>
  <si>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</si>
  <si>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</si>
  <si>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</si>
  <si>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</si>
  <si>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</si>
  <si>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</si>
  <si>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</si>
  <si>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</si>
  <si>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</si>
  <si>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</si>
  <si>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</si>
  <si>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</si>
  <si>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</si>
  <si>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</si>
  <si>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</si>
  <si>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</si>
  <si>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</si>
  <si>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</si>
  <si>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</si>
  <si>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</si>
  <si>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Y=50.1X</t>
    </r>
    <r>
      <rPr>
        <vertAlign val="superscript"/>
        <sz val="16"/>
        <color indexed="10"/>
        <rFont val="Angsana New"/>
        <family val="1"/>
      </rPr>
      <t>0.85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</si>
  <si>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</si>
  <si>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</si>
  <si>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</si>
  <si>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t>W.25</t>
  </si>
  <si>
    <r>
      <t>Y=0.8268X</t>
    </r>
    <r>
      <rPr>
        <vertAlign val="superscript"/>
        <sz val="16"/>
        <color indexed="10"/>
        <rFont val="Angsana New"/>
        <family val="1"/>
      </rPr>
      <t>1.545</t>
    </r>
  </si>
  <si>
    <t>1993 - 2012</t>
  </si>
  <si>
    <r>
      <t>Y=1.4062X</t>
    </r>
    <r>
      <rPr>
        <vertAlign val="superscript"/>
        <sz val="16"/>
        <color indexed="8"/>
        <rFont val="Angsana New"/>
        <family val="1"/>
      </rPr>
      <t>1.5262</t>
    </r>
  </si>
  <si>
    <t>2007-2012</t>
  </si>
  <si>
    <r>
      <t>Y=1.3353X</t>
    </r>
    <r>
      <rPr>
        <vertAlign val="superscript"/>
        <sz val="16"/>
        <color indexed="10"/>
        <rFont val="Angsana New"/>
        <family val="1"/>
      </rPr>
      <t>1.7824</t>
    </r>
  </si>
  <si>
    <r>
      <t>Y=0.8309X</t>
    </r>
    <r>
      <rPr>
        <vertAlign val="superscript"/>
        <sz val="16"/>
        <color indexed="10"/>
        <rFont val="Angsana New"/>
        <family val="1"/>
      </rPr>
      <t>1.5589</t>
    </r>
  </si>
  <si>
    <t>2001 - 2012</t>
  </si>
  <si>
    <r>
      <t>Y=5.5231X</t>
    </r>
    <r>
      <rPr>
        <vertAlign val="superscript"/>
        <sz val="16"/>
        <color indexed="10"/>
        <rFont val="Angsana New"/>
        <family val="1"/>
      </rPr>
      <t>1.3405</t>
    </r>
  </si>
  <si>
    <t>2000 - 2012</t>
  </si>
  <si>
    <r>
      <t>Y=5.1205X</t>
    </r>
    <r>
      <rPr>
        <vertAlign val="superscript"/>
        <sz val="16"/>
        <color indexed="8"/>
        <rFont val="Angsana New"/>
        <family val="1"/>
      </rPr>
      <t>1.1943</t>
    </r>
  </si>
  <si>
    <r>
      <t>Y=2.699X</t>
    </r>
    <r>
      <rPr>
        <vertAlign val="superscript"/>
        <sz val="16"/>
        <color indexed="10"/>
        <rFont val="Angsana New"/>
        <family val="1"/>
      </rPr>
      <t>1.4899</t>
    </r>
  </si>
  <si>
    <r>
      <t>Y=0.8035X</t>
    </r>
    <r>
      <rPr>
        <vertAlign val="superscript"/>
        <sz val="16"/>
        <color indexed="10"/>
        <rFont val="Angsana New"/>
        <family val="1"/>
      </rPr>
      <t>1.7046</t>
    </r>
  </si>
  <si>
    <r>
      <t>Y=0.9434X</t>
    </r>
    <r>
      <rPr>
        <vertAlign val="superscript"/>
        <sz val="16"/>
        <color indexed="8"/>
        <rFont val="Angsana New"/>
        <family val="1"/>
      </rPr>
      <t>1.667</t>
    </r>
  </si>
  <si>
    <r>
      <t>Y=2.4596X</t>
    </r>
    <r>
      <rPr>
        <vertAlign val="superscript"/>
        <sz val="16"/>
        <color indexed="8"/>
        <rFont val="Angsana New"/>
        <family val="1"/>
      </rPr>
      <t>1.4403</t>
    </r>
  </si>
  <si>
    <r>
      <t>Y=1.5083X</t>
    </r>
    <r>
      <rPr>
        <vertAlign val="superscript"/>
        <sz val="16"/>
        <color indexed="10"/>
        <rFont val="Angsana New"/>
        <family val="1"/>
      </rPr>
      <t>1.6914</t>
    </r>
  </si>
  <si>
    <r>
      <t>Y=2.0958X</t>
    </r>
    <r>
      <rPr>
        <vertAlign val="superscript"/>
        <sz val="16"/>
        <color indexed="8"/>
        <rFont val="Angsana New"/>
        <family val="1"/>
      </rPr>
      <t>1.1893</t>
    </r>
  </si>
  <si>
    <t>2006 - 2012</t>
  </si>
  <si>
    <r>
      <t>Y=1.4579X</t>
    </r>
    <r>
      <rPr>
        <vertAlign val="superscript"/>
        <sz val="16"/>
        <color indexed="8"/>
        <rFont val="Angsana New"/>
        <family val="1"/>
      </rPr>
      <t>1.5517</t>
    </r>
  </si>
  <si>
    <r>
      <t>Y=1.004X</t>
    </r>
    <r>
      <rPr>
        <vertAlign val="superscript"/>
        <sz val="16"/>
        <color indexed="10"/>
        <rFont val="Angsana New"/>
        <family val="1"/>
      </rPr>
      <t>1.4829</t>
    </r>
  </si>
  <si>
    <r>
      <t>Y=1.7815X</t>
    </r>
    <r>
      <rPr>
        <vertAlign val="superscript"/>
        <sz val="16"/>
        <color indexed="8"/>
        <rFont val="Angsana New"/>
        <family val="1"/>
      </rPr>
      <t>1.5284</t>
    </r>
  </si>
  <si>
    <r>
      <t>Y=0.2328X</t>
    </r>
    <r>
      <rPr>
        <vertAlign val="superscript"/>
        <sz val="16"/>
        <color indexed="10"/>
        <rFont val="Angsana New"/>
        <family val="1"/>
      </rPr>
      <t>2.0653</t>
    </r>
  </si>
  <si>
    <r>
      <t>Y=1.001X</t>
    </r>
    <r>
      <rPr>
        <vertAlign val="superscript"/>
        <sz val="16"/>
        <color indexed="8"/>
        <rFont val="Angsana New"/>
        <family val="1"/>
      </rPr>
      <t>1.7507</t>
    </r>
  </si>
  <si>
    <r>
      <t>Y=2.0033X</t>
    </r>
    <r>
      <rPr>
        <vertAlign val="superscript"/>
        <sz val="16"/>
        <color indexed="10"/>
        <rFont val="Angsana New"/>
        <family val="1"/>
      </rPr>
      <t>1.4403</t>
    </r>
  </si>
  <si>
    <t>2005 - 2012</t>
  </si>
  <si>
    <r>
      <t>Y=2.144X</t>
    </r>
    <r>
      <rPr>
        <vertAlign val="superscript"/>
        <sz val="16"/>
        <color indexed="8"/>
        <rFont val="Angsana New"/>
        <family val="1"/>
      </rPr>
      <t>1.3557</t>
    </r>
  </si>
  <si>
    <r>
      <t>Y=0.5607X</t>
    </r>
    <r>
      <rPr>
        <vertAlign val="superscript"/>
        <sz val="16"/>
        <color indexed="10"/>
        <rFont val="Angsana New"/>
        <family val="1"/>
      </rPr>
      <t>1.8214</t>
    </r>
  </si>
  <si>
    <r>
      <t>Y=0.8861X</t>
    </r>
    <r>
      <rPr>
        <vertAlign val="superscript"/>
        <sz val="16"/>
        <rFont val="Angsana New"/>
        <family val="1"/>
      </rPr>
      <t>1.6448</t>
    </r>
  </si>
  <si>
    <r>
      <t>Y=01263X</t>
    </r>
    <r>
      <rPr>
        <vertAlign val="superscript"/>
        <sz val="16"/>
        <color indexed="10"/>
        <rFont val="Angsana New"/>
        <family val="1"/>
      </rPr>
      <t>1.9157</t>
    </r>
  </si>
  <si>
    <r>
      <t>Y=0.5493X</t>
    </r>
    <r>
      <rPr>
        <vertAlign val="superscript"/>
        <sz val="16"/>
        <rFont val="Angsana New"/>
        <family val="1"/>
      </rPr>
      <t>1.6177</t>
    </r>
  </si>
  <si>
    <r>
      <t>Y=0.7508X</t>
    </r>
    <r>
      <rPr>
        <vertAlign val="superscript"/>
        <sz val="16"/>
        <color indexed="10"/>
        <rFont val="Angsana New"/>
        <family val="1"/>
      </rPr>
      <t>1.0332</t>
    </r>
  </si>
  <si>
    <r>
      <t>Y=2.3477X</t>
    </r>
    <r>
      <rPr>
        <vertAlign val="superscript"/>
        <sz val="16"/>
        <color indexed="8"/>
        <rFont val="Angsana New"/>
        <family val="1"/>
      </rPr>
      <t>1.0044</t>
    </r>
  </si>
  <si>
    <t>1996 - 2012</t>
  </si>
  <si>
    <r>
      <t>Y=2.9036X</t>
    </r>
    <r>
      <rPr>
        <vertAlign val="superscript"/>
        <sz val="16"/>
        <color indexed="8"/>
        <rFont val="Angsana New"/>
        <family val="1"/>
      </rPr>
      <t>1.5731</t>
    </r>
  </si>
  <si>
    <r>
      <t>Y=61.442X</t>
    </r>
    <r>
      <rPr>
        <vertAlign val="superscript"/>
        <sz val="16"/>
        <color indexed="10"/>
        <rFont val="Angsana New"/>
        <family val="1"/>
      </rPr>
      <t>1.2773</t>
    </r>
  </si>
  <si>
    <t>2009 - 2012</t>
  </si>
  <si>
    <r>
      <t>Y=97.378X</t>
    </r>
    <r>
      <rPr>
        <vertAlign val="superscript"/>
        <sz val="16"/>
        <color indexed="8"/>
        <rFont val="Angsana New"/>
        <family val="1"/>
      </rPr>
      <t>1.3886</t>
    </r>
  </si>
  <si>
    <r>
      <t>Y=5.2886X</t>
    </r>
    <r>
      <rPr>
        <vertAlign val="superscript"/>
        <sz val="16"/>
        <color indexed="10"/>
        <rFont val="Angsana New"/>
        <family val="1"/>
      </rPr>
      <t>1.303</t>
    </r>
  </si>
  <si>
    <t>1997 - 2012</t>
  </si>
  <si>
    <r>
      <t>Y=0.7283X</t>
    </r>
    <r>
      <rPr>
        <vertAlign val="superscript"/>
        <sz val="16"/>
        <color indexed="8"/>
        <rFont val="Angsana New"/>
        <family val="1"/>
      </rPr>
      <t>1.7223</t>
    </r>
  </si>
  <si>
    <r>
      <t>Y=3.0762X</t>
    </r>
    <r>
      <rPr>
        <vertAlign val="superscript"/>
        <sz val="16"/>
        <color indexed="10"/>
        <rFont val="Angsana New"/>
        <family val="1"/>
      </rPr>
      <t>1.2972</t>
    </r>
  </si>
  <si>
    <t>2008-2012</t>
  </si>
  <si>
    <r>
      <t>Y=0.7842X</t>
    </r>
    <r>
      <rPr>
        <vertAlign val="superscript"/>
        <sz val="16"/>
        <rFont val="Angsana New"/>
        <family val="1"/>
      </rPr>
      <t>1.5472</t>
    </r>
  </si>
  <si>
    <r>
      <t>Y=0.1253X</t>
    </r>
    <r>
      <rPr>
        <vertAlign val="superscript"/>
        <sz val="16"/>
        <color indexed="8"/>
        <rFont val="Angsana New"/>
        <family val="1"/>
      </rPr>
      <t>1.9533</t>
    </r>
  </si>
  <si>
    <r>
      <t>Y=0.1083X</t>
    </r>
    <r>
      <rPr>
        <vertAlign val="superscript"/>
        <sz val="16"/>
        <color indexed="10"/>
        <rFont val="Angsana New"/>
        <family val="1"/>
      </rPr>
      <t>2.0676</t>
    </r>
  </si>
  <si>
    <r>
      <t>Y=0.1886X</t>
    </r>
    <r>
      <rPr>
        <vertAlign val="superscript"/>
        <sz val="16"/>
        <rFont val="Angsana New"/>
        <family val="1"/>
      </rPr>
      <t>1.9424</t>
    </r>
  </si>
  <si>
    <r>
      <t>Y=3.5045X</t>
    </r>
    <r>
      <rPr>
        <vertAlign val="superscript"/>
        <sz val="16"/>
        <color indexed="8"/>
        <rFont val="Angsana New"/>
        <family val="1"/>
      </rPr>
      <t>1.5065</t>
    </r>
  </si>
  <si>
    <r>
      <t>Y=0.2263X</t>
    </r>
    <r>
      <rPr>
        <vertAlign val="superscript"/>
        <sz val="16"/>
        <color indexed="10"/>
        <rFont val="Angsana New"/>
        <family val="1"/>
      </rPr>
      <t>2.7474</t>
    </r>
  </si>
  <si>
    <r>
      <t>Y=1.1406X</t>
    </r>
    <r>
      <rPr>
        <vertAlign val="superscript"/>
        <sz val="16"/>
        <color indexed="8"/>
        <rFont val="Angsana New"/>
        <family val="1"/>
      </rPr>
      <t>1.9287</t>
    </r>
  </si>
  <si>
    <r>
      <t>Y=2.7673X</t>
    </r>
    <r>
      <rPr>
        <vertAlign val="superscript"/>
        <sz val="16"/>
        <color indexed="8"/>
        <rFont val="Angsana New"/>
        <family val="1"/>
      </rPr>
      <t>1.2481</t>
    </r>
  </si>
  <si>
    <t>N.65</t>
  </si>
  <si>
    <r>
      <t>Y=0.6361X</t>
    </r>
    <r>
      <rPr>
        <vertAlign val="superscript"/>
        <sz val="16"/>
        <rFont val="Angsana New"/>
        <family val="1"/>
      </rPr>
      <t>1.7359</t>
    </r>
  </si>
  <si>
    <r>
      <t>Y=2.5054X</t>
    </r>
    <r>
      <rPr>
        <vertAlign val="superscript"/>
        <sz val="16"/>
        <rFont val="Angsana New"/>
        <family val="1"/>
      </rPr>
      <t>1.5809</t>
    </r>
  </si>
  <si>
    <r>
      <t>Y=1.2044X</t>
    </r>
    <r>
      <rPr>
        <vertAlign val="superscript"/>
        <sz val="16"/>
        <color indexed="8"/>
        <rFont val="Angsana New"/>
        <family val="1"/>
      </rPr>
      <t>1.3866</t>
    </r>
  </si>
  <si>
    <r>
      <t>Y=15.893X</t>
    </r>
    <r>
      <rPr>
        <vertAlign val="superscript"/>
        <sz val="16"/>
        <color indexed="10"/>
        <rFont val="Angsana New"/>
        <family val="1"/>
      </rPr>
      <t>0.9440</t>
    </r>
  </si>
  <si>
    <r>
      <t>Y=3.6495X</t>
    </r>
    <r>
      <rPr>
        <vertAlign val="superscript"/>
        <sz val="16"/>
        <color indexed="8"/>
        <rFont val="Angsana New"/>
        <family val="1"/>
      </rPr>
      <t>1.3759</t>
    </r>
  </si>
  <si>
    <r>
      <t>Y=111.2X</t>
    </r>
    <r>
      <rPr>
        <vertAlign val="superscript"/>
        <sz val="16"/>
        <color indexed="8"/>
        <rFont val="Angsana New"/>
        <family val="1"/>
      </rPr>
      <t>1.391</t>
    </r>
  </si>
  <si>
    <r>
      <t>Y=1.208X</t>
    </r>
    <r>
      <rPr>
        <vertAlign val="superscript"/>
        <sz val="16"/>
        <color indexed="8"/>
        <rFont val="Angsana New"/>
        <family val="1"/>
      </rPr>
      <t>1.3324</t>
    </r>
  </si>
  <si>
    <r>
      <t>Y=1.1207X</t>
    </r>
    <r>
      <rPr>
        <vertAlign val="superscript"/>
        <sz val="16"/>
        <color indexed="10"/>
        <rFont val="Angsana New"/>
        <family val="1"/>
      </rPr>
      <t>1.7469</t>
    </r>
  </si>
  <si>
    <r>
      <t>Y=0.4166X</t>
    </r>
    <r>
      <rPr>
        <vertAlign val="superscript"/>
        <sz val="16"/>
        <color indexed="10"/>
        <rFont val="Angsana New"/>
        <family val="1"/>
      </rPr>
      <t>1.7978</t>
    </r>
  </si>
  <si>
    <r>
      <t>Y=2.7673X</t>
    </r>
    <r>
      <rPr>
        <vertAlign val="superscript"/>
        <sz val="16"/>
        <color indexed="10"/>
        <rFont val="Angsana New"/>
        <family val="1"/>
      </rPr>
      <t>1.2481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</si>
</sst>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2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/>
    </xf>
    <xf numFmtId="196" fontId="17" fillId="0" borderId="1" xfId="0" applyNumberFormat="1" applyFont="1" applyFill="1" applyBorder="1" applyAlignment="1">
      <alignment/>
    </xf>
    <xf numFmtId="3" fontId="17" fillId="0" borderId="1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/>
    </xf>
    <xf numFmtId="196" fontId="17" fillId="0" borderId="2" xfId="0" applyNumberFormat="1" applyFont="1" applyFill="1" applyBorder="1" applyAlignment="1">
      <alignment/>
    </xf>
    <xf numFmtId="3" fontId="17" fillId="0" borderId="2" xfId="15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vertical="center"/>
    </xf>
    <xf numFmtId="196" fontId="17" fillId="0" borderId="2" xfId="0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left" vertical="justify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7" fillId="0" borderId="2" xfId="0" applyFont="1" applyBorder="1" applyAlignment="1">
      <alignment horizontal="left"/>
    </xf>
    <xf numFmtId="196" fontId="14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92" fontId="17" fillId="0" borderId="2" xfId="15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92" fontId="18" fillId="0" borderId="2" xfId="15" applyNumberFormat="1" applyFont="1" applyBorder="1" applyAlignment="1">
      <alignment horizontal="center"/>
    </xf>
    <xf numFmtId="196" fontId="14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196" fontId="14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192" fontId="17" fillId="0" borderId="18" xfId="15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92" fontId="18" fillId="0" borderId="18" xfId="15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189" fontId="17" fillId="0" borderId="18" xfId="0" applyNumberFormat="1" applyFont="1" applyBorder="1" applyAlignment="1">
      <alignment horizontal="center"/>
    </xf>
    <xf numFmtId="196" fontId="17" fillId="0" borderId="18" xfId="0" applyNumberFormat="1" applyFont="1" applyBorder="1" applyAlignment="1">
      <alignment/>
    </xf>
    <xf numFmtId="41" fontId="17" fillId="0" borderId="18" xfId="15" applyNumberFormat="1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7" fillId="0" borderId="7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96" fontId="17" fillId="0" borderId="7" xfId="0" applyNumberFormat="1" applyFont="1" applyFill="1" applyBorder="1" applyAlignment="1">
      <alignment/>
    </xf>
    <xf numFmtId="196" fontId="14" fillId="0" borderId="7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3" fillId="2" borderId="2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89" fontId="13" fillId="2" borderId="20" xfId="0" applyNumberFormat="1" applyFont="1" applyFill="1" applyBorder="1" applyAlignment="1">
      <alignment horizontal="center" vertic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19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96" fontId="13" fillId="2" borderId="2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96" fontId="5" fillId="2" borderId="2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41">
      <selection activeCell="L84" sqref="L84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6.7109375" style="22" customWidth="1"/>
    <col min="12" max="12" width="18.57421875" style="32" bestFit="1" customWidth="1"/>
    <col min="13" max="16384" width="9.140625" style="22" customWidth="1"/>
  </cols>
  <sheetData>
    <row r="1" spans="1:12" ht="29.25">
      <c r="A1" s="104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s="24" customFormat="1" ht="23.25">
      <c r="A2" s="100" t="s">
        <v>7</v>
      </c>
      <c r="B2" s="100" t="s">
        <v>0</v>
      </c>
      <c r="C2" s="100" t="s">
        <v>6</v>
      </c>
      <c r="D2" s="107" t="s">
        <v>5</v>
      </c>
      <c r="E2" s="108"/>
      <c r="F2" s="108"/>
      <c r="G2" s="110" t="s">
        <v>1</v>
      </c>
      <c r="H2" s="103" t="s">
        <v>4</v>
      </c>
      <c r="I2" s="100" t="s">
        <v>2</v>
      </c>
      <c r="J2" s="109" t="s">
        <v>3</v>
      </c>
      <c r="K2" s="23" t="s">
        <v>31</v>
      </c>
      <c r="L2" s="101" t="s">
        <v>34</v>
      </c>
    </row>
    <row r="3" spans="1:12" s="24" customFormat="1" ht="25.5">
      <c r="A3" s="100"/>
      <c r="B3" s="100"/>
      <c r="C3" s="100"/>
      <c r="D3" s="25" t="s">
        <v>8</v>
      </c>
      <c r="E3" s="26" t="s">
        <v>10</v>
      </c>
      <c r="F3" s="33" t="s">
        <v>9</v>
      </c>
      <c r="G3" s="110"/>
      <c r="H3" s="103"/>
      <c r="I3" s="100"/>
      <c r="J3" s="109"/>
      <c r="K3" s="27" t="s">
        <v>32</v>
      </c>
      <c r="L3" s="102"/>
    </row>
    <row r="4" spans="1:12" s="24" customFormat="1" ht="25.5">
      <c r="A4" s="40">
        <v>1</v>
      </c>
      <c r="B4" s="40" t="s">
        <v>11</v>
      </c>
      <c r="C4" s="40">
        <v>2012</v>
      </c>
      <c r="D4" s="40">
        <v>39</v>
      </c>
      <c r="E4" s="41">
        <v>0</v>
      </c>
      <c r="F4" s="42">
        <f>E4+D4</f>
        <v>39</v>
      </c>
      <c r="G4" s="35" t="s">
        <v>59</v>
      </c>
      <c r="H4" s="43">
        <v>0.8141</v>
      </c>
      <c r="I4" s="44">
        <v>1.545</v>
      </c>
      <c r="J4" s="45">
        <f>LOG(0.8268)</f>
        <v>-0.08259953204474937</v>
      </c>
      <c r="K4" s="46">
        <v>6355</v>
      </c>
      <c r="L4" s="47"/>
    </row>
    <row r="5" spans="1:12" s="24" customFormat="1" ht="25.5">
      <c r="A5" s="37"/>
      <c r="B5" s="37"/>
      <c r="C5" s="37" t="s">
        <v>60</v>
      </c>
      <c r="D5" s="37">
        <v>570</v>
      </c>
      <c r="E5" s="48">
        <v>0</v>
      </c>
      <c r="F5" s="54">
        <f>E5+D5</f>
        <v>570</v>
      </c>
      <c r="G5" s="37" t="s">
        <v>61</v>
      </c>
      <c r="H5" s="38">
        <v>0.8639</v>
      </c>
      <c r="I5" s="50">
        <v>1.5262</v>
      </c>
      <c r="J5" s="51">
        <f>LOG(1.4062)</f>
        <v>0.14804709359933538</v>
      </c>
      <c r="K5" s="52"/>
      <c r="L5" s="53"/>
    </row>
    <row r="6" spans="1:12" s="24" customFormat="1" ht="25.5">
      <c r="A6" s="37"/>
      <c r="B6" s="37"/>
      <c r="C6" s="37"/>
      <c r="D6" s="37"/>
      <c r="E6" s="48"/>
      <c r="F6" s="49"/>
      <c r="G6" s="37"/>
      <c r="H6" s="38"/>
      <c r="I6" s="50"/>
      <c r="J6" s="51"/>
      <c r="K6" s="52"/>
      <c r="L6" s="53"/>
    </row>
    <row r="7" spans="1:12" s="24" customFormat="1" ht="25.5">
      <c r="A7" s="37">
        <f>+A4+1</f>
        <v>2</v>
      </c>
      <c r="B7" s="37" t="s">
        <v>12</v>
      </c>
      <c r="C7" s="37">
        <v>2012</v>
      </c>
      <c r="D7" s="37">
        <v>36</v>
      </c>
      <c r="E7" s="48">
        <v>0</v>
      </c>
      <c r="F7" s="54">
        <f>E7+D7</f>
        <v>36</v>
      </c>
      <c r="G7" s="36" t="s">
        <v>63</v>
      </c>
      <c r="H7" s="38">
        <v>0.9075</v>
      </c>
      <c r="I7" s="50">
        <v>1.7824</v>
      </c>
      <c r="J7" s="51">
        <f>LOG(1.3353)</f>
        <v>0.12557884900218494</v>
      </c>
      <c r="K7" s="52">
        <v>1902</v>
      </c>
      <c r="L7" s="53"/>
    </row>
    <row r="8" spans="1:12" s="24" customFormat="1" ht="25.5">
      <c r="A8" s="37"/>
      <c r="B8" s="37"/>
      <c r="C8" s="37" t="s">
        <v>62</v>
      </c>
      <c r="D8" s="37">
        <v>183</v>
      </c>
      <c r="E8" s="37"/>
      <c r="F8" s="37">
        <v>183</v>
      </c>
      <c r="G8" s="70" t="s">
        <v>110</v>
      </c>
      <c r="H8" s="38">
        <v>0.8891</v>
      </c>
      <c r="I8" s="50">
        <v>1.5809</v>
      </c>
      <c r="J8" s="51">
        <f>LOG(2.5054)</f>
        <v>0.3988770730873178</v>
      </c>
      <c r="K8" s="52"/>
      <c r="L8" s="53"/>
    </row>
    <row r="9" spans="1:12" s="24" customFormat="1" ht="25.5">
      <c r="A9" s="37"/>
      <c r="B9" s="37"/>
      <c r="C9" s="37"/>
      <c r="D9" s="37"/>
      <c r="E9" s="48"/>
      <c r="F9" s="49"/>
      <c r="G9" s="36"/>
      <c r="H9" s="38"/>
      <c r="I9" s="50"/>
      <c r="J9" s="51"/>
      <c r="K9" s="52"/>
      <c r="L9" s="53"/>
    </row>
    <row r="10" spans="1:12" s="24" customFormat="1" ht="25.5">
      <c r="A10" s="37">
        <f>+A7+1</f>
        <v>3</v>
      </c>
      <c r="B10" s="37" t="s">
        <v>40</v>
      </c>
      <c r="C10" s="37">
        <v>2012</v>
      </c>
      <c r="D10" s="37">
        <v>39</v>
      </c>
      <c r="E10" s="48">
        <v>0</v>
      </c>
      <c r="F10" s="49">
        <f>E10+D10</f>
        <v>39</v>
      </c>
      <c r="G10" s="36" t="s">
        <v>64</v>
      </c>
      <c r="H10" s="38">
        <v>0.814</v>
      </c>
      <c r="I10" s="50">
        <v>1.5589</v>
      </c>
      <c r="J10" s="51">
        <f>LOG(0.8309)</f>
        <v>-0.08045124103115196</v>
      </c>
      <c r="K10" s="52">
        <v>1569</v>
      </c>
      <c r="L10" s="53"/>
    </row>
    <row r="11" spans="1:12" s="24" customFormat="1" ht="25.5">
      <c r="A11" s="37"/>
      <c r="B11" s="37"/>
      <c r="C11" s="37" t="s">
        <v>62</v>
      </c>
      <c r="D11" s="37">
        <v>195</v>
      </c>
      <c r="E11" s="37"/>
      <c r="F11" s="37">
        <v>195</v>
      </c>
      <c r="G11" s="37" t="s">
        <v>111</v>
      </c>
      <c r="H11" s="38">
        <v>0.8578</v>
      </c>
      <c r="I11" s="50">
        <v>1.3866</v>
      </c>
      <c r="J11" s="51">
        <f>LOG(1.2044)</f>
        <v>0.08077074684072168</v>
      </c>
      <c r="K11" s="52"/>
      <c r="L11" s="53"/>
    </row>
    <row r="12" spans="1:12" s="24" customFormat="1" ht="25.5">
      <c r="A12" s="37"/>
      <c r="B12" s="37"/>
      <c r="C12" s="37"/>
      <c r="D12" s="37"/>
      <c r="E12" s="48"/>
      <c r="F12" s="49"/>
      <c r="G12" s="37"/>
      <c r="H12" s="38"/>
      <c r="I12" s="50"/>
      <c r="J12" s="51"/>
      <c r="K12" s="52"/>
      <c r="L12" s="53"/>
    </row>
    <row r="13" spans="1:12" s="24" customFormat="1" ht="25.5">
      <c r="A13" s="37">
        <f>+A10+1</f>
        <v>4</v>
      </c>
      <c r="B13" s="37" t="s">
        <v>35</v>
      </c>
      <c r="C13" s="37">
        <v>2012</v>
      </c>
      <c r="D13" s="37">
        <v>39</v>
      </c>
      <c r="E13" s="48">
        <v>0</v>
      </c>
      <c r="F13" s="49">
        <f>E13+D13</f>
        <v>39</v>
      </c>
      <c r="G13" s="36" t="s">
        <v>112</v>
      </c>
      <c r="H13" s="38">
        <v>0.954</v>
      </c>
      <c r="I13" s="50">
        <v>0.944</v>
      </c>
      <c r="J13" s="51">
        <f>LOG(15.893)</f>
        <v>1.2012058833917914</v>
      </c>
      <c r="K13" s="52">
        <v>515</v>
      </c>
      <c r="L13" s="53"/>
    </row>
    <row r="14" spans="1:12" s="24" customFormat="1" ht="25.5">
      <c r="A14" s="37"/>
      <c r="B14" s="37"/>
      <c r="C14" s="37" t="s">
        <v>65</v>
      </c>
      <c r="D14" s="37">
        <v>340</v>
      </c>
      <c r="E14" s="48">
        <v>0</v>
      </c>
      <c r="F14" s="49">
        <f>E14+D14</f>
        <v>340</v>
      </c>
      <c r="G14" s="37" t="s">
        <v>113</v>
      </c>
      <c r="H14" s="38">
        <v>0.5702</v>
      </c>
      <c r="I14" s="50">
        <v>1.3759</v>
      </c>
      <c r="J14" s="51">
        <f>LOG(3.6495)</f>
        <v>0.5622333679864997</v>
      </c>
      <c r="K14" s="52"/>
      <c r="L14" s="53"/>
    </row>
    <row r="15" spans="1:12" s="24" customFormat="1" ht="25.5">
      <c r="A15" s="37"/>
      <c r="B15" s="37"/>
      <c r="C15" s="37"/>
      <c r="D15" s="37"/>
      <c r="E15" s="48"/>
      <c r="F15" s="49"/>
      <c r="G15" s="37"/>
      <c r="H15" s="38"/>
      <c r="I15" s="50"/>
      <c r="J15" s="51"/>
      <c r="K15" s="52"/>
      <c r="L15" s="53"/>
    </row>
    <row r="16" spans="1:12" s="24" customFormat="1" ht="25.5">
      <c r="A16" s="37">
        <f>+A13+1</f>
        <v>5</v>
      </c>
      <c r="B16" s="37" t="s">
        <v>22</v>
      </c>
      <c r="C16" s="37">
        <v>2012</v>
      </c>
      <c r="D16" s="37">
        <v>36</v>
      </c>
      <c r="E16" s="48">
        <v>0</v>
      </c>
      <c r="F16" s="49">
        <f>E16+D16</f>
        <v>36</v>
      </c>
      <c r="G16" s="36" t="s">
        <v>66</v>
      </c>
      <c r="H16" s="38">
        <v>0.8411</v>
      </c>
      <c r="I16" s="50">
        <v>1.3405</v>
      </c>
      <c r="J16" s="51">
        <f>LOG(5.5231)</f>
        <v>0.742182906532572</v>
      </c>
      <c r="K16" s="52">
        <v>539</v>
      </c>
      <c r="L16" s="53"/>
    </row>
    <row r="17" spans="1:12" s="24" customFormat="1" ht="25.5">
      <c r="A17" s="37"/>
      <c r="B17" s="37"/>
      <c r="C17" s="37" t="s">
        <v>67</v>
      </c>
      <c r="D17" s="37">
        <v>346</v>
      </c>
      <c r="E17" s="48">
        <v>0</v>
      </c>
      <c r="F17" s="49">
        <f>E17+D17</f>
        <v>346</v>
      </c>
      <c r="G17" s="37" t="s">
        <v>68</v>
      </c>
      <c r="H17" s="38">
        <v>0.5577</v>
      </c>
      <c r="I17" s="50">
        <v>1.1943</v>
      </c>
      <c r="J17" s="51">
        <f>LOG(5.1205)</f>
        <v>0.7093123704755865</v>
      </c>
      <c r="K17" s="52"/>
      <c r="L17" s="53"/>
    </row>
    <row r="18" spans="1:12" s="24" customFormat="1" ht="25.5">
      <c r="A18" s="37"/>
      <c r="B18" s="37"/>
      <c r="C18" s="37"/>
      <c r="D18" s="37"/>
      <c r="E18" s="48"/>
      <c r="F18" s="49"/>
      <c r="G18" s="37"/>
      <c r="H18" s="38"/>
      <c r="I18" s="50"/>
      <c r="J18" s="51"/>
      <c r="K18" s="52"/>
      <c r="L18" s="53"/>
    </row>
    <row r="19" spans="1:12" s="24" customFormat="1" ht="25.5">
      <c r="A19" s="37">
        <f>+A16+1</f>
        <v>6</v>
      </c>
      <c r="B19" s="37" t="s">
        <v>41</v>
      </c>
      <c r="C19" s="37">
        <v>2012</v>
      </c>
      <c r="D19" s="80">
        <v>36</v>
      </c>
      <c r="E19" s="48">
        <v>0</v>
      </c>
      <c r="F19" s="49">
        <v>36</v>
      </c>
      <c r="G19" s="36" t="s">
        <v>69</v>
      </c>
      <c r="H19" s="38">
        <v>0.8905</v>
      </c>
      <c r="I19" s="50">
        <v>1.4899</v>
      </c>
      <c r="J19" s="51">
        <f>LOG(2.699)</f>
        <v>0.4312028845565166</v>
      </c>
      <c r="K19" s="52">
        <v>5289</v>
      </c>
      <c r="L19" s="53"/>
    </row>
    <row r="20" spans="1:12" s="24" customFormat="1" ht="25.5">
      <c r="A20" s="37"/>
      <c r="B20" s="37"/>
      <c r="C20" s="37" t="s">
        <v>62</v>
      </c>
      <c r="D20" s="37">
        <v>206</v>
      </c>
      <c r="E20" s="48"/>
      <c r="F20" s="49">
        <v>206</v>
      </c>
      <c r="G20" s="37" t="s">
        <v>114</v>
      </c>
      <c r="H20" s="38">
        <v>0.8942</v>
      </c>
      <c r="I20" s="50">
        <v>1.391</v>
      </c>
      <c r="J20" s="51">
        <f>LOG(111.2)</f>
        <v>2.0461047872460387</v>
      </c>
      <c r="K20" s="52"/>
      <c r="L20" s="53"/>
    </row>
    <row r="21" spans="1:12" s="24" customFormat="1" ht="25.5">
      <c r="A21" s="37"/>
      <c r="B21" s="37"/>
      <c r="C21" s="37"/>
      <c r="D21" s="37"/>
      <c r="E21" s="48"/>
      <c r="F21" s="49"/>
      <c r="G21" s="37"/>
      <c r="H21" s="38"/>
      <c r="I21" s="50"/>
      <c r="J21" s="51"/>
      <c r="K21" s="52"/>
      <c r="L21" s="53"/>
    </row>
    <row r="22" spans="1:12" s="24" customFormat="1" ht="25.5">
      <c r="A22" s="37">
        <v>7</v>
      </c>
      <c r="B22" s="37" t="s">
        <v>38</v>
      </c>
      <c r="C22" s="37">
        <v>2012</v>
      </c>
      <c r="D22" s="37">
        <v>36</v>
      </c>
      <c r="E22" s="48">
        <v>0</v>
      </c>
      <c r="F22" s="49">
        <f>E22+D22</f>
        <v>36</v>
      </c>
      <c r="G22" s="36" t="s">
        <v>70</v>
      </c>
      <c r="H22" s="38">
        <v>0.5307</v>
      </c>
      <c r="I22" s="50">
        <v>1.7046</v>
      </c>
      <c r="J22" s="51">
        <f>LOG(0.8035)</f>
        <v>-0.09501411890063666</v>
      </c>
      <c r="K22" s="52">
        <v>3090</v>
      </c>
      <c r="L22" s="53"/>
    </row>
    <row r="23" spans="1:12" s="24" customFormat="1" ht="25.5">
      <c r="A23" s="37"/>
      <c r="B23" s="37"/>
      <c r="C23" s="37" t="s">
        <v>65</v>
      </c>
      <c r="D23" s="37">
        <v>330</v>
      </c>
      <c r="E23" s="48">
        <v>0</v>
      </c>
      <c r="F23" s="49">
        <f>E23+D23</f>
        <v>330</v>
      </c>
      <c r="G23" s="37" t="s">
        <v>71</v>
      </c>
      <c r="H23" s="38">
        <v>0.4328</v>
      </c>
      <c r="I23" s="50">
        <v>1.667</v>
      </c>
      <c r="J23" s="51">
        <f>LOG(0.9434)</f>
        <v>-0.025304128090316968</v>
      </c>
      <c r="K23" s="52"/>
      <c r="L23" s="53"/>
    </row>
    <row r="24" spans="1:12" s="24" customFormat="1" ht="25.5">
      <c r="A24" s="37"/>
      <c r="B24" s="37"/>
      <c r="C24" s="37"/>
      <c r="D24" s="37"/>
      <c r="E24" s="48"/>
      <c r="F24" s="49"/>
      <c r="G24" s="37"/>
      <c r="H24" s="38"/>
      <c r="I24" s="50"/>
      <c r="J24" s="51"/>
      <c r="K24" s="52"/>
      <c r="L24" s="53"/>
    </row>
    <row r="25" spans="1:12" s="24" customFormat="1" ht="25.5">
      <c r="A25" s="37">
        <f>+A22+1</f>
        <v>8</v>
      </c>
      <c r="B25" s="37" t="s">
        <v>39</v>
      </c>
      <c r="C25" s="37">
        <v>2012</v>
      </c>
      <c r="D25" s="37">
        <v>40</v>
      </c>
      <c r="E25" s="48">
        <v>0</v>
      </c>
      <c r="F25" s="49">
        <f>E25+D25</f>
        <v>40</v>
      </c>
      <c r="G25" s="36" t="s">
        <v>53</v>
      </c>
      <c r="H25" s="38">
        <v>0.953</v>
      </c>
      <c r="I25" s="50">
        <v>1.0968</v>
      </c>
      <c r="J25" s="51">
        <f>LOG(6.605)</f>
        <v>0.819872821950546</v>
      </c>
      <c r="K25" s="52">
        <v>1541</v>
      </c>
      <c r="L25" s="55"/>
    </row>
    <row r="26" spans="1:12" s="24" customFormat="1" ht="25.5">
      <c r="A26" s="37"/>
      <c r="B26" s="37"/>
      <c r="C26" s="37" t="s">
        <v>65</v>
      </c>
      <c r="D26" s="37">
        <v>315</v>
      </c>
      <c r="E26" s="48">
        <v>0</v>
      </c>
      <c r="F26" s="49">
        <f>E26+D26</f>
        <v>315</v>
      </c>
      <c r="G26" s="37" t="s">
        <v>72</v>
      </c>
      <c r="H26" s="38">
        <v>0.8527</v>
      </c>
      <c r="I26" s="50">
        <v>1.4403</v>
      </c>
      <c r="J26" s="51">
        <f>LOG(2.4596)</f>
        <v>0.39086448437261073</v>
      </c>
      <c r="K26" s="52"/>
      <c r="L26" s="55"/>
    </row>
    <row r="27" spans="1:12" s="24" customFormat="1" ht="25.5">
      <c r="A27" s="37"/>
      <c r="B27" s="37"/>
      <c r="C27" s="37"/>
      <c r="D27" s="37"/>
      <c r="E27" s="48"/>
      <c r="F27" s="49"/>
      <c r="G27" s="37"/>
      <c r="H27" s="38"/>
      <c r="I27" s="50"/>
      <c r="J27" s="51"/>
      <c r="K27" s="52"/>
      <c r="L27" s="55"/>
    </row>
    <row r="28" spans="1:12" s="24" customFormat="1" ht="25.5">
      <c r="A28" s="37">
        <f>+A25+1</f>
        <v>9</v>
      </c>
      <c r="B28" s="37" t="s">
        <v>23</v>
      </c>
      <c r="C28" s="37">
        <v>2012</v>
      </c>
      <c r="D28" s="37">
        <v>39</v>
      </c>
      <c r="E28" s="48">
        <v>0</v>
      </c>
      <c r="F28" s="49">
        <f>E28+D28</f>
        <v>39</v>
      </c>
      <c r="G28" s="36" t="s">
        <v>73</v>
      </c>
      <c r="H28" s="38">
        <v>0.882</v>
      </c>
      <c r="I28" s="50">
        <v>1.6914</v>
      </c>
      <c r="J28" s="51">
        <f>LOG(1.5083)</f>
        <v>0.17848773104739818</v>
      </c>
      <c r="K28" s="52">
        <v>547</v>
      </c>
      <c r="L28" s="55"/>
    </row>
    <row r="29" spans="1:12" s="24" customFormat="1" ht="25.5">
      <c r="A29" s="37"/>
      <c r="B29" s="37"/>
      <c r="C29" s="37" t="s">
        <v>67</v>
      </c>
      <c r="D29" s="37">
        <v>338</v>
      </c>
      <c r="E29" s="48">
        <v>0</v>
      </c>
      <c r="F29" s="49">
        <f>E29+D29</f>
        <v>338</v>
      </c>
      <c r="G29" s="37" t="s">
        <v>74</v>
      </c>
      <c r="H29" s="38">
        <v>0.5748</v>
      </c>
      <c r="I29" s="50">
        <v>1.1893</v>
      </c>
      <c r="J29" s="51">
        <f>LOG(2.0958)</f>
        <v>0.3213498360212904</v>
      </c>
      <c r="K29" s="52"/>
      <c r="L29" s="55"/>
    </row>
    <row r="30" spans="1:12" s="24" customFormat="1" ht="25.5">
      <c r="A30" s="37"/>
      <c r="B30" s="37"/>
      <c r="C30" s="37"/>
      <c r="D30" s="37"/>
      <c r="E30" s="48"/>
      <c r="F30" s="49"/>
      <c r="G30" s="37"/>
      <c r="H30" s="38"/>
      <c r="I30" s="50"/>
      <c r="J30" s="51"/>
      <c r="K30" s="52"/>
      <c r="L30" s="55"/>
    </row>
    <row r="31" spans="1:12" s="24" customFormat="1" ht="25.5">
      <c r="A31" s="37">
        <f>+A28+1</f>
        <v>10</v>
      </c>
      <c r="B31" s="37" t="s">
        <v>42</v>
      </c>
      <c r="C31" s="37">
        <v>2012</v>
      </c>
      <c r="D31" s="37">
        <v>36</v>
      </c>
      <c r="E31" s="48">
        <v>0</v>
      </c>
      <c r="F31" s="49">
        <f>E31+D31</f>
        <v>36</v>
      </c>
      <c r="G31" s="36" t="s">
        <v>53</v>
      </c>
      <c r="H31" s="38">
        <v>0.953</v>
      </c>
      <c r="I31" s="50">
        <v>1.0968</v>
      </c>
      <c r="J31" s="51">
        <f>LOG(6.605)</f>
        <v>0.819872821950546</v>
      </c>
      <c r="K31" s="52">
        <v>134</v>
      </c>
      <c r="L31" s="55"/>
    </row>
    <row r="32" spans="1:12" s="24" customFormat="1" ht="25.5">
      <c r="A32" s="37"/>
      <c r="B32" s="37"/>
      <c r="C32" s="37" t="s">
        <v>75</v>
      </c>
      <c r="D32" s="37">
        <v>197</v>
      </c>
      <c r="E32" s="48">
        <v>0</v>
      </c>
      <c r="F32" s="49">
        <f>E32+D32</f>
        <v>197</v>
      </c>
      <c r="G32" s="37" t="s">
        <v>76</v>
      </c>
      <c r="H32" s="38">
        <v>0.6394</v>
      </c>
      <c r="I32" s="50">
        <v>1.5517</v>
      </c>
      <c r="J32" s="51">
        <f>LOG(1.4579)</f>
        <v>0.16372773595890472</v>
      </c>
      <c r="K32" s="52"/>
      <c r="L32" s="68"/>
    </row>
    <row r="33" spans="1:12" s="24" customFormat="1" ht="25.5">
      <c r="A33" s="37"/>
      <c r="B33" s="37"/>
      <c r="C33" s="37"/>
      <c r="D33" s="37"/>
      <c r="E33" s="48"/>
      <c r="F33" s="49"/>
      <c r="G33" s="37"/>
      <c r="H33" s="38"/>
      <c r="I33" s="50"/>
      <c r="J33" s="51"/>
      <c r="K33" s="52"/>
      <c r="L33" s="55"/>
    </row>
    <row r="34" spans="1:12" s="24" customFormat="1" ht="25.5">
      <c r="A34" s="37">
        <f>+A31+1</f>
        <v>11</v>
      </c>
      <c r="B34" s="37" t="s">
        <v>43</v>
      </c>
      <c r="C34" s="37">
        <v>2012</v>
      </c>
      <c r="D34" s="37">
        <v>36</v>
      </c>
      <c r="E34" s="48">
        <v>0</v>
      </c>
      <c r="F34" s="49">
        <f>E34+D34</f>
        <v>36</v>
      </c>
      <c r="G34" s="36" t="s">
        <v>77</v>
      </c>
      <c r="H34" s="38">
        <v>0.581</v>
      </c>
      <c r="I34" s="50">
        <v>1.4829</v>
      </c>
      <c r="J34" s="51">
        <f>LOG(1.004)</f>
        <v>0.0017337128090005314</v>
      </c>
      <c r="K34" s="52">
        <v>129</v>
      </c>
      <c r="L34" s="69"/>
    </row>
    <row r="35" spans="1:12" s="24" customFormat="1" ht="25.5">
      <c r="A35" s="37"/>
      <c r="B35" s="37"/>
      <c r="C35" s="37" t="s">
        <v>75</v>
      </c>
      <c r="D35" s="37">
        <v>196</v>
      </c>
      <c r="E35" s="48">
        <v>0</v>
      </c>
      <c r="F35" s="49">
        <f>E35+D35</f>
        <v>196</v>
      </c>
      <c r="G35" s="37" t="s">
        <v>78</v>
      </c>
      <c r="H35" s="38">
        <v>0.6991</v>
      </c>
      <c r="I35" s="50">
        <v>1.5284</v>
      </c>
      <c r="J35" s="51">
        <f>LOG(1.7815)</f>
        <v>0.2507858266870344</v>
      </c>
      <c r="K35" s="52"/>
      <c r="L35" s="55"/>
    </row>
    <row r="36" spans="1:12" s="24" customFormat="1" ht="25.5">
      <c r="A36" s="37"/>
      <c r="B36" s="37"/>
      <c r="C36" s="37"/>
      <c r="D36" s="37"/>
      <c r="E36" s="48"/>
      <c r="F36" s="49"/>
      <c r="G36" s="37"/>
      <c r="H36" s="38"/>
      <c r="I36" s="50"/>
      <c r="J36" s="51"/>
      <c r="K36" s="52"/>
      <c r="L36" s="55"/>
    </row>
    <row r="37" spans="1:12" s="24" customFormat="1" ht="25.5">
      <c r="A37" s="37">
        <f>+A34+1</f>
        <v>12</v>
      </c>
      <c r="B37" s="37" t="s">
        <v>44</v>
      </c>
      <c r="C37" s="37">
        <v>2012</v>
      </c>
      <c r="D37" s="37">
        <v>39</v>
      </c>
      <c r="E37" s="48">
        <v>0</v>
      </c>
      <c r="F37" s="49">
        <f>E37+D37</f>
        <v>39</v>
      </c>
      <c r="G37" s="36" t="s">
        <v>79</v>
      </c>
      <c r="H37" s="38">
        <v>0.7202</v>
      </c>
      <c r="I37" s="50">
        <v>2.0653</v>
      </c>
      <c r="J37" s="51">
        <f>LOG(0.2328)</f>
        <v>-0.6330170240221491</v>
      </c>
      <c r="K37" s="52">
        <v>389</v>
      </c>
      <c r="L37" s="55"/>
    </row>
    <row r="38" spans="1:12" s="24" customFormat="1" ht="25.5">
      <c r="A38" s="37"/>
      <c r="B38" s="37"/>
      <c r="C38" s="37" t="s">
        <v>75</v>
      </c>
      <c r="D38" s="37">
        <v>224</v>
      </c>
      <c r="E38" s="48">
        <v>0</v>
      </c>
      <c r="F38" s="49">
        <f>E38+D38</f>
        <v>224</v>
      </c>
      <c r="G38" s="37" t="s">
        <v>80</v>
      </c>
      <c r="H38" s="38">
        <v>0.5115</v>
      </c>
      <c r="I38" s="50">
        <v>1.7507</v>
      </c>
      <c r="J38" s="51">
        <f>LOG(1.001)</f>
        <v>0.0004340774793185929</v>
      </c>
      <c r="K38" s="52"/>
      <c r="L38" s="55"/>
    </row>
    <row r="39" spans="1:12" s="24" customFormat="1" ht="25.5">
      <c r="A39" s="37"/>
      <c r="B39" s="37"/>
      <c r="C39" s="37"/>
      <c r="D39" s="37"/>
      <c r="E39" s="48"/>
      <c r="F39" s="49"/>
      <c r="G39" s="37"/>
      <c r="H39" s="38"/>
      <c r="I39" s="50"/>
      <c r="J39" s="51"/>
      <c r="K39" s="52"/>
      <c r="L39" s="55"/>
    </row>
    <row r="40" spans="1:12" s="24" customFormat="1" ht="25.5">
      <c r="A40" s="37">
        <f>+A37+1</f>
        <v>13</v>
      </c>
      <c r="B40" s="37" t="s">
        <v>45</v>
      </c>
      <c r="C40" s="37">
        <v>2012</v>
      </c>
      <c r="D40" s="37">
        <v>38</v>
      </c>
      <c r="E40" s="48">
        <v>0</v>
      </c>
      <c r="F40" s="49">
        <f>E40+D40</f>
        <v>38</v>
      </c>
      <c r="G40" s="36" t="s">
        <v>81</v>
      </c>
      <c r="H40" s="38">
        <v>0.8639</v>
      </c>
      <c r="I40" s="50">
        <v>1.4403</v>
      </c>
      <c r="J40" s="51">
        <f>LOG(2.0033)</f>
        <v>0.30174599102525607</v>
      </c>
      <c r="K40" s="52">
        <v>493</v>
      </c>
      <c r="L40" s="55"/>
    </row>
    <row r="41" spans="1:12" s="24" customFormat="1" ht="25.5">
      <c r="A41" s="37"/>
      <c r="B41" s="37"/>
      <c r="C41" s="37" t="s">
        <v>82</v>
      </c>
      <c r="D41" s="37">
        <v>249</v>
      </c>
      <c r="E41" s="48">
        <v>0</v>
      </c>
      <c r="F41" s="49">
        <f>E41+D41</f>
        <v>249</v>
      </c>
      <c r="G41" s="37" t="s">
        <v>83</v>
      </c>
      <c r="H41" s="38">
        <v>0.4268</v>
      </c>
      <c r="I41" s="50">
        <v>1.3557</v>
      </c>
      <c r="J41" s="51">
        <f>LOG(2.144)</f>
        <v>0.33122478102073244</v>
      </c>
      <c r="K41" s="52"/>
      <c r="L41" s="55"/>
    </row>
    <row r="42" spans="1:12" s="24" customFormat="1" ht="25.5">
      <c r="A42" s="37"/>
      <c r="B42" s="37"/>
      <c r="C42" s="37"/>
      <c r="D42" s="37"/>
      <c r="E42" s="48"/>
      <c r="F42" s="49"/>
      <c r="G42" s="37"/>
      <c r="H42" s="38"/>
      <c r="I42" s="50"/>
      <c r="J42" s="51"/>
      <c r="K42" s="52"/>
      <c r="L42" s="55"/>
    </row>
    <row r="43" spans="1:12" s="24" customFormat="1" ht="25.5">
      <c r="A43" s="37">
        <v>14</v>
      </c>
      <c r="B43" s="37" t="s">
        <v>46</v>
      </c>
      <c r="C43" s="80">
        <v>2012</v>
      </c>
      <c r="D43" s="37">
        <v>36</v>
      </c>
      <c r="E43" s="48">
        <v>0</v>
      </c>
      <c r="F43" s="49">
        <f>E43+D43</f>
        <v>36</v>
      </c>
      <c r="G43" s="36" t="s">
        <v>84</v>
      </c>
      <c r="H43" s="38">
        <v>0.8687</v>
      </c>
      <c r="I43" s="50">
        <v>1.8214</v>
      </c>
      <c r="J43" s="51">
        <f>LOG(0.5607)</f>
        <v>-0.2512694439015055</v>
      </c>
      <c r="K43" s="52">
        <v>3478</v>
      </c>
      <c r="L43" s="55"/>
    </row>
    <row r="44" spans="1:12" s="24" customFormat="1" ht="25.5">
      <c r="A44" s="37"/>
      <c r="B44" s="37"/>
      <c r="C44" s="37" t="s">
        <v>62</v>
      </c>
      <c r="D44" s="37">
        <v>160</v>
      </c>
      <c r="E44" s="48"/>
      <c r="F44" s="49">
        <v>160</v>
      </c>
      <c r="G44" s="70" t="s">
        <v>85</v>
      </c>
      <c r="H44" s="38">
        <v>0.8676</v>
      </c>
      <c r="I44" s="50">
        <v>1.6448</v>
      </c>
      <c r="J44" s="51">
        <f>LOG(8861)</f>
        <v>3.9474827365569185</v>
      </c>
      <c r="K44" s="52"/>
      <c r="L44" s="55"/>
    </row>
    <row r="45" spans="1:12" s="24" customFormat="1" ht="25.5">
      <c r="A45" s="37"/>
      <c r="B45" s="37"/>
      <c r="C45" s="37"/>
      <c r="D45" s="37"/>
      <c r="E45" s="48"/>
      <c r="F45" s="49"/>
      <c r="G45" s="37"/>
      <c r="H45" s="38"/>
      <c r="I45" s="50"/>
      <c r="J45" s="51"/>
      <c r="K45" s="52"/>
      <c r="L45" s="55"/>
    </row>
    <row r="46" spans="1:12" s="24" customFormat="1" ht="25.5">
      <c r="A46" s="37">
        <v>15</v>
      </c>
      <c r="B46" s="37" t="s">
        <v>16</v>
      </c>
      <c r="C46" s="80">
        <v>2012</v>
      </c>
      <c r="D46" s="37">
        <v>36</v>
      </c>
      <c r="E46" s="48">
        <v>0</v>
      </c>
      <c r="F46" s="49">
        <f>E46+D46</f>
        <v>36</v>
      </c>
      <c r="G46" s="36" t="s">
        <v>86</v>
      </c>
      <c r="H46" s="38">
        <v>0.9202</v>
      </c>
      <c r="I46" s="50">
        <v>1.9157</v>
      </c>
      <c r="J46" s="51">
        <f>LOG(0.1263)</f>
        <v>-0.8985966494446692</v>
      </c>
      <c r="K46" s="52">
        <v>8924</v>
      </c>
      <c r="L46" s="55"/>
    </row>
    <row r="47" spans="1:12" s="24" customFormat="1" ht="25.5">
      <c r="A47" s="37"/>
      <c r="B47" s="37"/>
      <c r="C47" s="37" t="s">
        <v>62</v>
      </c>
      <c r="D47" s="37">
        <v>152</v>
      </c>
      <c r="E47" s="48"/>
      <c r="F47" s="49">
        <v>152</v>
      </c>
      <c r="G47" s="70" t="s">
        <v>87</v>
      </c>
      <c r="H47" s="38">
        <v>0.8785</v>
      </c>
      <c r="I47" s="50">
        <v>1.6177</v>
      </c>
      <c r="J47" s="51">
        <f>LOG(0.6924)</f>
        <v>-0.15964294079664373</v>
      </c>
      <c r="K47" s="52"/>
      <c r="L47" s="55"/>
    </row>
    <row r="48" spans="1:12" s="24" customFormat="1" ht="25.5">
      <c r="A48" s="37"/>
      <c r="B48" s="37"/>
      <c r="C48" s="37"/>
      <c r="D48" s="37"/>
      <c r="E48" s="48"/>
      <c r="F48" s="49"/>
      <c r="G48" s="37"/>
      <c r="H48" s="38"/>
      <c r="I48" s="50"/>
      <c r="J48" s="51"/>
      <c r="K48" s="52"/>
      <c r="L48" s="55"/>
    </row>
    <row r="49" spans="1:12" s="24" customFormat="1" ht="25.5">
      <c r="A49" s="37">
        <f>+A46+1</f>
        <v>16</v>
      </c>
      <c r="B49" s="37" t="s">
        <v>24</v>
      </c>
      <c r="C49" s="37">
        <v>2012</v>
      </c>
      <c r="D49" s="37">
        <v>36</v>
      </c>
      <c r="E49" s="48">
        <v>0</v>
      </c>
      <c r="F49" s="49">
        <f>E49+D49</f>
        <v>36</v>
      </c>
      <c r="G49" s="36" t="s">
        <v>88</v>
      </c>
      <c r="H49" s="38">
        <v>0.1795</v>
      </c>
      <c r="I49" s="50">
        <v>1.0332</v>
      </c>
      <c r="J49" s="51">
        <f>LOG(0.7508)</f>
        <v>-0.12447573605069127</v>
      </c>
      <c r="K49" s="52">
        <v>1392</v>
      </c>
      <c r="L49" s="55"/>
    </row>
    <row r="50" spans="1:12" s="24" customFormat="1" ht="25.5">
      <c r="A50" s="37"/>
      <c r="B50" s="37"/>
      <c r="C50" s="37" t="s">
        <v>67</v>
      </c>
      <c r="D50" s="37">
        <v>295</v>
      </c>
      <c r="E50" s="48">
        <v>0</v>
      </c>
      <c r="F50" s="49">
        <f>E50+D50</f>
        <v>295</v>
      </c>
      <c r="G50" s="37" t="s">
        <v>89</v>
      </c>
      <c r="H50" s="38">
        <v>0.2897</v>
      </c>
      <c r="I50" s="50">
        <v>1.0044</v>
      </c>
      <c r="J50" s="51">
        <f>LOG(2.3477)</f>
        <v>0.37064259995690524</v>
      </c>
      <c r="K50" s="52"/>
      <c r="L50" s="55"/>
    </row>
    <row r="51" spans="1:12" s="24" customFormat="1" ht="25.5">
      <c r="A51" s="37"/>
      <c r="B51" s="37"/>
      <c r="C51" s="37"/>
      <c r="D51" s="37"/>
      <c r="E51" s="48"/>
      <c r="F51" s="49"/>
      <c r="G51" s="37"/>
      <c r="H51" s="38"/>
      <c r="I51" s="50"/>
      <c r="J51" s="51"/>
      <c r="K51" s="52"/>
      <c r="L51" s="55"/>
    </row>
    <row r="52" spans="1:12" s="24" customFormat="1" ht="25.5">
      <c r="A52" s="37">
        <f>+A49+1</f>
        <v>17</v>
      </c>
      <c r="B52" s="37" t="s">
        <v>17</v>
      </c>
      <c r="C52" s="37">
        <v>2012</v>
      </c>
      <c r="D52" s="37">
        <v>36</v>
      </c>
      <c r="E52" s="48">
        <v>0</v>
      </c>
      <c r="F52" s="49">
        <f>E52+D52</f>
        <v>36</v>
      </c>
      <c r="G52" s="36" t="s">
        <v>116</v>
      </c>
      <c r="H52" s="38">
        <v>0.8501</v>
      </c>
      <c r="I52" s="50">
        <v>1.7469</v>
      </c>
      <c r="J52" s="51">
        <f>LOG(1.1207)</f>
        <v>0.04948937193355658</v>
      </c>
      <c r="K52" s="52">
        <v>726</v>
      </c>
      <c r="L52" s="55"/>
    </row>
    <row r="53" spans="1:12" s="24" customFormat="1" ht="25.5">
      <c r="A53" s="37"/>
      <c r="B53" s="37"/>
      <c r="C53" s="37" t="s">
        <v>90</v>
      </c>
      <c r="D53" s="37">
        <v>409</v>
      </c>
      <c r="E53" s="48">
        <v>0</v>
      </c>
      <c r="F53" s="49">
        <f>E53+D53</f>
        <v>409</v>
      </c>
      <c r="G53" s="37" t="s">
        <v>91</v>
      </c>
      <c r="H53" s="38">
        <v>0.8724</v>
      </c>
      <c r="I53" s="50">
        <v>1.5731</v>
      </c>
      <c r="J53" s="51">
        <f>LOG(2.9036)</f>
        <v>0.4629367877312602</v>
      </c>
      <c r="K53" s="52"/>
      <c r="L53" s="55"/>
    </row>
    <row r="54" spans="1:12" s="24" customFormat="1" ht="25.5">
      <c r="A54" s="37"/>
      <c r="B54" s="37"/>
      <c r="C54" s="37"/>
      <c r="D54" s="37"/>
      <c r="E54" s="48"/>
      <c r="F54" s="49"/>
      <c r="G54" s="37"/>
      <c r="H54" s="38"/>
      <c r="I54" s="50"/>
      <c r="J54" s="51"/>
      <c r="K54" s="52"/>
      <c r="L54" s="55"/>
    </row>
    <row r="55" spans="1:12" s="24" customFormat="1" ht="25.5">
      <c r="A55" s="37">
        <f>+A52+1</f>
        <v>18</v>
      </c>
      <c r="B55" s="37" t="s">
        <v>58</v>
      </c>
      <c r="C55" s="37">
        <v>2012</v>
      </c>
      <c r="D55" s="37">
        <v>36</v>
      </c>
      <c r="E55" s="48">
        <v>0</v>
      </c>
      <c r="F55" s="49">
        <f>E55+D55</f>
        <v>36</v>
      </c>
      <c r="G55" s="36" t="s">
        <v>92</v>
      </c>
      <c r="H55" s="38">
        <v>0.8839</v>
      </c>
      <c r="I55" s="50">
        <v>1.2773</v>
      </c>
      <c r="J55" s="51">
        <f>LOG(61.442)</f>
        <v>1.7884653439835292</v>
      </c>
      <c r="K55" s="52">
        <v>762</v>
      </c>
      <c r="L55" s="53"/>
    </row>
    <row r="56" spans="1:12" s="24" customFormat="1" ht="25.5">
      <c r="A56" s="37"/>
      <c r="B56" s="37"/>
      <c r="C56" s="37" t="s">
        <v>93</v>
      </c>
      <c r="D56" s="37">
        <v>137</v>
      </c>
      <c r="E56" s="48">
        <v>0</v>
      </c>
      <c r="F56" s="49">
        <f>E56+D56</f>
        <v>137</v>
      </c>
      <c r="G56" s="37" t="s">
        <v>94</v>
      </c>
      <c r="H56" s="38">
        <v>0.8691</v>
      </c>
      <c r="I56" s="50">
        <v>1.3886</v>
      </c>
      <c r="J56" s="51">
        <f>LOG(97.378)</f>
        <v>1.9884608505355736</v>
      </c>
      <c r="K56" s="52"/>
      <c r="L56" s="53"/>
    </row>
    <row r="57" spans="1:12" s="24" customFormat="1" ht="25.5">
      <c r="A57" s="37"/>
      <c r="B57" s="37"/>
      <c r="C57" s="37"/>
      <c r="D57" s="37"/>
      <c r="E57" s="48"/>
      <c r="F57" s="49"/>
      <c r="G57" s="37"/>
      <c r="H57" s="38"/>
      <c r="I57" s="50"/>
      <c r="J57" s="51"/>
      <c r="K57" s="52"/>
      <c r="L57" s="53"/>
    </row>
    <row r="58" spans="1:12" s="28" customFormat="1" ht="22.5" customHeight="1">
      <c r="A58" s="37">
        <v>19</v>
      </c>
      <c r="B58" s="56" t="s">
        <v>18</v>
      </c>
      <c r="C58" s="56">
        <v>2012</v>
      </c>
      <c r="D58" s="56">
        <v>36</v>
      </c>
      <c r="E58" s="57">
        <v>0</v>
      </c>
      <c r="F58" s="58">
        <f>E58+D58</f>
        <v>36</v>
      </c>
      <c r="G58" s="39" t="s">
        <v>95</v>
      </c>
      <c r="H58" s="59">
        <v>0.874</v>
      </c>
      <c r="I58" s="60">
        <v>1.303</v>
      </c>
      <c r="J58" s="61">
        <f>LOG(5.2886)</f>
        <v>0.7233407206657769</v>
      </c>
      <c r="K58" s="62">
        <v>7624</v>
      </c>
      <c r="L58" s="53"/>
    </row>
    <row r="59" spans="1:12" s="28" customFormat="1" ht="22.5" customHeight="1">
      <c r="A59" s="37"/>
      <c r="B59" s="56"/>
      <c r="C59" s="56" t="s">
        <v>96</v>
      </c>
      <c r="D59" s="56">
        <v>451</v>
      </c>
      <c r="E59" s="57">
        <v>0</v>
      </c>
      <c r="F59" s="58">
        <f>E59+D59</f>
        <v>451</v>
      </c>
      <c r="G59" s="56" t="s">
        <v>115</v>
      </c>
      <c r="H59" s="59">
        <v>0.359</v>
      </c>
      <c r="I59" s="60">
        <v>1.3324</v>
      </c>
      <c r="J59" s="61">
        <f>LOG(1.208)</f>
        <v>0.08206693428511301</v>
      </c>
      <c r="K59" s="62"/>
      <c r="L59" s="63"/>
    </row>
    <row r="60" spans="1:12" s="28" customFormat="1" ht="22.5" customHeight="1">
      <c r="A60" s="37"/>
      <c r="B60" s="37"/>
      <c r="C60" s="37"/>
      <c r="D60" s="37"/>
      <c r="E60" s="48"/>
      <c r="F60" s="49"/>
      <c r="G60" s="37"/>
      <c r="H60" s="38"/>
      <c r="I60" s="50"/>
      <c r="J60" s="51"/>
      <c r="K60" s="52"/>
      <c r="L60" s="63"/>
    </row>
    <row r="61" spans="1:12" s="28" customFormat="1" ht="22.5" customHeight="1">
      <c r="A61" s="56">
        <v>20</v>
      </c>
      <c r="B61" s="56" t="s">
        <v>47</v>
      </c>
      <c r="C61" s="56">
        <v>2012</v>
      </c>
      <c r="D61" s="56">
        <v>36</v>
      </c>
      <c r="E61" s="57">
        <v>0</v>
      </c>
      <c r="F61" s="58">
        <f>E61+D61</f>
        <v>36</v>
      </c>
      <c r="G61" s="39" t="s">
        <v>54</v>
      </c>
      <c r="H61" s="59">
        <v>0.9784</v>
      </c>
      <c r="I61" s="60">
        <v>0.85</v>
      </c>
      <c r="J61" s="61">
        <f>LOG(50.1)</f>
        <v>1.6998377258672457</v>
      </c>
      <c r="K61" s="62">
        <v>5410</v>
      </c>
      <c r="L61" s="63"/>
    </row>
    <row r="62" spans="1:12" s="28" customFormat="1" ht="22.5" customHeight="1">
      <c r="A62" s="56"/>
      <c r="B62" s="56"/>
      <c r="C62" s="56" t="s">
        <v>75</v>
      </c>
      <c r="D62" s="56">
        <v>177</v>
      </c>
      <c r="E62" s="57">
        <v>0</v>
      </c>
      <c r="F62" s="58">
        <f>E62+D62</f>
        <v>177</v>
      </c>
      <c r="G62" s="56" t="s">
        <v>97</v>
      </c>
      <c r="H62" s="59">
        <v>0.8355</v>
      </c>
      <c r="I62" s="60">
        <v>1.7223</v>
      </c>
      <c r="J62" s="61">
        <f>LOG(0.7283)</f>
        <v>-0.13768969004572962</v>
      </c>
      <c r="K62" s="62"/>
      <c r="L62" s="63"/>
    </row>
    <row r="63" spans="1:12" s="28" customFormat="1" ht="22.5" customHeight="1">
      <c r="A63" s="56"/>
      <c r="B63" s="56"/>
      <c r="C63" s="56"/>
      <c r="D63" s="56"/>
      <c r="E63" s="57"/>
      <c r="F63" s="58"/>
      <c r="G63" s="56"/>
      <c r="H63" s="59"/>
      <c r="I63" s="60"/>
      <c r="J63" s="61"/>
      <c r="K63" s="62"/>
      <c r="L63" s="64"/>
    </row>
    <row r="64" spans="1:12" s="28" customFormat="1" ht="22.5" customHeight="1">
      <c r="A64" s="56">
        <v>21</v>
      </c>
      <c r="B64" s="56" t="s">
        <v>48</v>
      </c>
      <c r="C64" s="56">
        <v>2011</v>
      </c>
      <c r="D64" s="56">
        <v>36</v>
      </c>
      <c r="E64" s="57">
        <v>0</v>
      </c>
      <c r="F64" s="58">
        <f>E64+D64</f>
        <v>36</v>
      </c>
      <c r="G64" s="39" t="s">
        <v>98</v>
      </c>
      <c r="H64" s="59">
        <v>0.8088</v>
      </c>
      <c r="I64" s="60">
        <v>1.2972</v>
      </c>
      <c r="J64" s="61">
        <f>LOG(3.0762)</f>
        <v>0.4880145678240429</v>
      </c>
      <c r="K64" s="62">
        <v>10360</v>
      </c>
      <c r="L64" s="65"/>
    </row>
    <row r="65" spans="1:12" s="28" customFormat="1" ht="22.5" customHeight="1">
      <c r="A65" s="56"/>
      <c r="B65" s="56"/>
      <c r="C65" s="56" t="s">
        <v>99</v>
      </c>
      <c r="D65" s="56">
        <v>171</v>
      </c>
      <c r="E65" s="57"/>
      <c r="F65" s="58">
        <v>171</v>
      </c>
      <c r="G65" s="71" t="s">
        <v>100</v>
      </c>
      <c r="H65" s="59">
        <v>0.7789</v>
      </c>
      <c r="I65" s="60">
        <v>1.5472</v>
      </c>
      <c r="J65" s="61">
        <f>LOG(0.7842)</f>
        <v>-0.10557316203581206</v>
      </c>
      <c r="K65" s="62"/>
      <c r="L65" s="65"/>
    </row>
    <row r="66" spans="1:12" s="28" customFormat="1" ht="22.5" customHeight="1">
      <c r="A66" s="56"/>
      <c r="B66" s="56"/>
      <c r="C66" s="56"/>
      <c r="D66" s="56"/>
      <c r="E66" s="57"/>
      <c r="F66" s="58"/>
      <c r="G66" s="56"/>
      <c r="H66" s="59"/>
      <c r="I66" s="60"/>
      <c r="J66" s="61"/>
      <c r="K66" s="62"/>
      <c r="L66" s="65"/>
    </row>
    <row r="67" spans="1:12" s="28" customFormat="1" ht="22.5" customHeight="1">
      <c r="A67" s="56">
        <f>+A64+1</f>
        <v>22</v>
      </c>
      <c r="B67" s="56" t="s">
        <v>49</v>
      </c>
      <c r="C67" s="56">
        <v>2012</v>
      </c>
      <c r="D67" s="56">
        <v>36</v>
      </c>
      <c r="E67" s="57">
        <v>0</v>
      </c>
      <c r="F67" s="58">
        <f>E67+D67</f>
        <v>36</v>
      </c>
      <c r="G67" s="39" t="s">
        <v>55</v>
      </c>
      <c r="H67" s="59">
        <v>0.976</v>
      </c>
      <c r="I67" s="60">
        <v>1.9816</v>
      </c>
      <c r="J67" s="61">
        <f>LOG(0.127)</f>
        <v>-0.8961962790440431</v>
      </c>
      <c r="K67" s="62">
        <v>4560</v>
      </c>
      <c r="L67" s="66"/>
    </row>
    <row r="68" spans="1:12" s="28" customFormat="1" ht="22.5" customHeight="1">
      <c r="A68" s="56"/>
      <c r="B68" s="56"/>
      <c r="C68" s="56" t="s">
        <v>75</v>
      </c>
      <c r="D68" s="56">
        <v>170</v>
      </c>
      <c r="E68" s="57">
        <v>0</v>
      </c>
      <c r="F68" s="58">
        <f>E68+D68</f>
        <v>170</v>
      </c>
      <c r="G68" s="56" t="s">
        <v>101</v>
      </c>
      <c r="H68" s="59">
        <v>0.8649</v>
      </c>
      <c r="I68" s="60">
        <v>1.9533</v>
      </c>
      <c r="J68" s="61">
        <f>LOG(0.1253)</f>
        <v>-0.90204892900585</v>
      </c>
      <c r="K68" s="62"/>
      <c r="L68" s="66"/>
    </row>
    <row r="69" spans="1:12" s="28" customFormat="1" ht="22.5" customHeight="1">
      <c r="A69" s="56"/>
      <c r="B69" s="56"/>
      <c r="C69" s="56"/>
      <c r="D69" s="56"/>
      <c r="E69" s="57"/>
      <c r="F69" s="58"/>
      <c r="G69" s="56"/>
      <c r="H69" s="59"/>
      <c r="I69" s="60"/>
      <c r="J69" s="61"/>
      <c r="K69" s="62"/>
      <c r="L69" s="63"/>
    </row>
    <row r="70" spans="1:12" s="28" customFormat="1" ht="22.5" customHeight="1">
      <c r="A70" s="56">
        <v>23</v>
      </c>
      <c r="B70" s="56" t="s">
        <v>50</v>
      </c>
      <c r="C70" s="56">
        <v>2012</v>
      </c>
      <c r="D70" s="56">
        <v>36</v>
      </c>
      <c r="E70" s="57">
        <v>0</v>
      </c>
      <c r="F70" s="58">
        <f>E70+D70</f>
        <v>36</v>
      </c>
      <c r="G70" s="39" t="s">
        <v>102</v>
      </c>
      <c r="H70" s="59">
        <v>0.8328</v>
      </c>
      <c r="I70" s="60">
        <v>2.0676</v>
      </c>
      <c r="J70" s="61">
        <f>LOG(0.1083)</f>
        <v>-0.9653715433746797</v>
      </c>
      <c r="K70" s="62">
        <v>3476</v>
      </c>
      <c r="L70" s="63"/>
    </row>
    <row r="71" spans="1:12" s="28" customFormat="1" ht="22.5" customHeight="1">
      <c r="A71" s="56"/>
      <c r="B71" s="56"/>
      <c r="C71" s="56" t="s">
        <v>62</v>
      </c>
      <c r="D71" s="56">
        <v>166</v>
      </c>
      <c r="E71" s="57"/>
      <c r="F71" s="58">
        <v>166</v>
      </c>
      <c r="G71" s="71" t="s">
        <v>103</v>
      </c>
      <c r="H71" s="59">
        <v>0.7988</v>
      </c>
      <c r="I71" s="60">
        <v>1.9424</v>
      </c>
      <c r="J71" s="61">
        <f>LOG(0.1886)</f>
        <v>-0.7244583115986905</v>
      </c>
      <c r="K71" s="62"/>
      <c r="L71" s="63"/>
    </row>
    <row r="72" spans="1:12" s="28" customFormat="1" ht="22.5" customHeight="1">
      <c r="A72" s="56"/>
      <c r="B72" s="56"/>
      <c r="C72" s="56"/>
      <c r="D72" s="56"/>
      <c r="E72" s="57"/>
      <c r="F72" s="58"/>
      <c r="G72" s="56"/>
      <c r="H72" s="59"/>
      <c r="I72" s="60"/>
      <c r="J72" s="61"/>
      <c r="K72" s="62"/>
      <c r="L72" s="63"/>
    </row>
    <row r="73" spans="1:12" s="28" customFormat="1" ht="22.5" customHeight="1">
      <c r="A73" s="56">
        <v>24</v>
      </c>
      <c r="B73" s="56" t="s">
        <v>108</v>
      </c>
      <c r="C73" s="56">
        <v>2012</v>
      </c>
      <c r="D73" s="56">
        <v>28</v>
      </c>
      <c r="E73" s="57">
        <v>0</v>
      </c>
      <c r="F73" s="58">
        <f>E73+D73</f>
        <v>28</v>
      </c>
      <c r="G73" s="39" t="s">
        <v>117</v>
      </c>
      <c r="H73" s="59">
        <v>0.821</v>
      </c>
      <c r="I73" s="60">
        <v>1.7978</v>
      </c>
      <c r="J73" s="61">
        <f>LOG(0.4166)</f>
        <v>-0.3802807343882729</v>
      </c>
      <c r="K73" s="62">
        <v>621</v>
      </c>
      <c r="L73" s="63"/>
    </row>
    <row r="74" spans="1:12" s="28" customFormat="1" ht="22.5" customHeight="1">
      <c r="A74" s="56"/>
      <c r="B74" s="56"/>
      <c r="C74" s="56" t="s">
        <v>62</v>
      </c>
      <c r="D74" s="56">
        <v>98</v>
      </c>
      <c r="E74" s="57"/>
      <c r="F74" s="58">
        <v>98</v>
      </c>
      <c r="G74" s="71" t="s">
        <v>109</v>
      </c>
      <c r="H74" s="59">
        <v>0.6834</v>
      </c>
      <c r="I74" s="60">
        <v>1.7359</v>
      </c>
      <c r="J74" s="61">
        <f>LOG(0.6361)</f>
        <v>-0.19647460442346762</v>
      </c>
      <c r="K74" s="62"/>
      <c r="L74" s="63"/>
    </row>
    <row r="75" spans="1:12" s="28" customFormat="1" ht="22.5" customHeight="1">
      <c r="A75" s="56"/>
      <c r="B75" s="56"/>
      <c r="C75" s="56"/>
      <c r="D75" s="56"/>
      <c r="E75" s="57"/>
      <c r="F75" s="58"/>
      <c r="G75" s="56"/>
      <c r="H75" s="59"/>
      <c r="I75" s="60"/>
      <c r="J75" s="61"/>
      <c r="K75" s="62"/>
      <c r="L75" s="63"/>
    </row>
    <row r="76" spans="1:12" s="28" customFormat="1" ht="22.5" customHeight="1">
      <c r="A76" s="56">
        <v>25</v>
      </c>
      <c r="B76" s="56" t="s">
        <v>27</v>
      </c>
      <c r="C76" s="56">
        <v>2012</v>
      </c>
      <c r="D76" s="56">
        <v>37</v>
      </c>
      <c r="E76" s="57">
        <v>0</v>
      </c>
      <c r="F76" s="58">
        <f>E76+D76</f>
        <v>37</v>
      </c>
      <c r="G76" s="39" t="s">
        <v>56</v>
      </c>
      <c r="H76" s="59">
        <v>0.924</v>
      </c>
      <c r="I76" s="60">
        <v>1.5577</v>
      </c>
      <c r="J76" s="61">
        <f>LOG(3.9963)</f>
        <v>0.6016580830209397</v>
      </c>
      <c r="K76" s="62">
        <v>2934</v>
      </c>
      <c r="L76" s="63"/>
    </row>
    <row r="77" spans="1:12" s="28" customFormat="1" ht="22.5" customHeight="1">
      <c r="A77" s="56"/>
      <c r="B77" s="56"/>
      <c r="C77" s="56" t="s">
        <v>96</v>
      </c>
      <c r="D77" s="56">
        <v>444</v>
      </c>
      <c r="E77" s="57">
        <v>0</v>
      </c>
      <c r="F77" s="58">
        <f>E77+D77</f>
        <v>444</v>
      </c>
      <c r="G77" s="56" t="s">
        <v>104</v>
      </c>
      <c r="H77" s="59">
        <v>0.929</v>
      </c>
      <c r="I77" s="60">
        <v>1.5065</v>
      </c>
      <c r="J77" s="61">
        <f>LOG(3.5045)</f>
        <v>0.5446260643195632</v>
      </c>
      <c r="K77" s="67"/>
      <c r="L77" s="63"/>
    </row>
    <row r="78" spans="1:12" s="28" customFormat="1" ht="22.5" customHeight="1">
      <c r="A78" s="56"/>
      <c r="B78" s="56"/>
      <c r="C78" s="56"/>
      <c r="D78" s="56"/>
      <c r="E78" s="57"/>
      <c r="F78" s="58"/>
      <c r="G78" s="56"/>
      <c r="H78" s="59"/>
      <c r="I78" s="60"/>
      <c r="J78" s="61"/>
      <c r="K78" s="62"/>
      <c r="L78" s="63"/>
    </row>
    <row r="79" spans="1:12" s="28" customFormat="1" ht="22.5" customHeight="1">
      <c r="A79" s="81">
        <v>26</v>
      </c>
      <c r="B79" s="56" t="s">
        <v>51</v>
      </c>
      <c r="C79" s="56">
        <v>2012</v>
      </c>
      <c r="D79" s="56">
        <v>37</v>
      </c>
      <c r="E79" s="57">
        <v>0</v>
      </c>
      <c r="F79" s="58">
        <f>E79+D79</f>
        <v>37</v>
      </c>
      <c r="G79" s="39" t="s">
        <v>105</v>
      </c>
      <c r="H79" s="59">
        <v>0.6258</v>
      </c>
      <c r="I79" s="60">
        <v>2.7474</v>
      </c>
      <c r="J79" s="61">
        <f>LOG(0.2263)</f>
        <v>-0.6453154460452715</v>
      </c>
      <c r="K79" s="62">
        <v>382</v>
      </c>
      <c r="L79" s="63"/>
    </row>
    <row r="80" spans="1:12" s="24" customFormat="1" ht="25.5">
      <c r="A80" s="56"/>
      <c r="B80" s="56"/>
      <c r="C80" s="56" t="s">
        <v>75</v>
      </c>
      <c r="D80" s="56">
        <v>190</v>
      </c>
      <c r="E80" s="57">
        <v>0</v>
      </c>
      <c r="F80" s="58">
        <f>E80+D80</f>
        <v>190</v>
      </c>
      <c r="G80" s="56" t="s">
        <v>106</v>
      </c>
      <c r="H80" s="59">
        <v>0.6011</v>
      </c>
      <c r="I80" s="60">
        <v>1.9287</v>
      </c>
      <c r="J80" s="61">
        <f>LOG(1.1406)</f>
        <v>0.05713336724908679</v>
      </c>
      <c r="K80" s="67"/>
      <c r="L80" s="63"/>
    </row>
    <row r="81" spans="1:12" s="24" customFormat="1" ht="23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63"/>
    </row>
    <row r="82" spans="1:14" s="24" customFormat="1" ht="25.5">
      <c r="A82" s="56">
        <v>27</v>
      </c>
      <c r="B82" s="72" t="s">
        <v>30</v>
      </c>
      <c r="C82" s="56">
        <v>2012</v>
      </c>
      <c r="D82" s="56">
        <v>30</v>
      </c>
      <c r="E82" s="57">
        <v>0</v>
      </c>
      <c r="F82" s="58">
        <f>E82+D82</f>
        <v>30</v>
      </c>
      <c r="G82" s="39" t="s">
        <v>118</v>
      </c>
      <c r="H82" s="59">
        <v>0.888</v>
      </c>
      <c r="I82" s="60">
        <v>1.2481</v>
      </c>
      <c r="J82" s="61">
        <f>LOG(2.7673)</f>
        <v>0.4420562430882258</v>
      </c>
      <c r="K82" s="72">
        <v>6155</v>
      </c>
      <c r="L82" s="53"/>
      <c r="N82" s="56"/>
    </row>
    <row r="83" spans="1:12" s="24" customFormat="1" ht="25.5">
      <c r="A83" s="56"/>
      <c r="B83" s="72"/>
      <c r="C83" s="56">
        <v>2012</v>
      </c>
      <c r="D83" s="56">
        <v>30</v>
      </c>
      <c r="E83" s="57">
        <v>0</v>
      </c>
      <c r="F83" s="58">
        <f>E83+D83</f>
        <v>30</v>
      </c>
      <c r="G83" s="56" t="s">
        <v>107</v>
      </c>
      <c r="H83" s="59">
        <v>0.888</v>
      </c>
      <c r="I83" s="60">
        <v>1.2481</v>
      </c>
      <c r="J83" s="61">
        <f>LOG(2.7673)</f>
        <v>0.4420562430882258</v>
      </c>
      <c r="K83" s="72"/>
      <c r="L83" s="73"/>
    </row>
    <row r="84" spans="1:12" s="24" customFormat="1" ht="23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4"/>
    </row>
    <row r="85" spans="1:12" s="24" customFormat="1" ht="25.5">
      <c r="A85" s="75"/>
      <c r="B85" s="75"/>
      <c r="C85" s="75" t="s">
        <v>9</v>
      </c>
      <c r="D85" s="76">
        <f>SUM(D1:D84)</f>
        <v>7720</v>
      </c>
      <c r="E85" s="77">
        <f>SUM(E1:E84)</f>
        <v>0</v>
      </c>
      <c r="F85" s="78">
        <f>SUM(F1:F84)</f>
        <v>7720</v>
      </c>
      <c r="G85" s="72"/>
      <c r="H85" s="72"/>
      <c r="I85" s="72"/>
      <c r="J85" s="72"/>
      <c r="K85" s="72"/>
      <c r="L85" s="74"/>
    </row>
    <row r="86" spans="1:12" s="24" customFormat="1" ht="23.25">
      <c r="A86" s="79"/>
      <c r="B86" s="79"/>
      <c r="C86" s="79"/>
      <c r="D86" s="79"/>
      <c r="E86" s="79"/>
      <c r="F86" s="79"/>
      <c r="G86" s="82"/>
      <c r="H86" s="82"/>
      <c r="I86" s="82"/>
      <c r="J86" s="82"/>
      <c r="K86" s="82"/>
      <c r="L86" s="79"/>
    </row>
    <row r="87" spans="1:12" s="24" customFormat="1" ht="26.25">
      <c r="A87" s="94"/>
      <c r="B87" s="94"/>
      <c r="C87" s="94"/>
      <c r="D87" s="94"/>
      <c r="E87" s="95"/>
      <c r="F87" s="96"/>
      <c r="G87" s="98" t="s">
        <v>57</v>
      </c>
      <c r="H87" s="98"/>
      <c r="I87" s="98"/>
      <c r="J87" s="97"/>
      <c r="K87" s="94"/>
      <c r="L87" s="99"/>
    </row>
    <row r="88" spans="1:12" s="24" customFormat="1" ht="26.25">
      <c r="A88" s="85"/>
      <c r="B88" s="85"/>
      <c r="C88" s="85"/>
      <c r="D88" s="86"/>
      <c r="E88" s="87"/>
      <c r="F88" s="88"/>
      <c r="G88" s="89"/>
      <c r="H88" s="90"/>
      <c r="I88" s="89"/>
      <c r="J88" s="91"/>
      <c r="K88" s="92"/>
      <c r="L88" s="93"/>
    </row>
    <row r="89" spans="1:12" s="24" customFormat="1" ht="26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4"/>
    </row>
    <row r="90" spans="1:12" s="24" customFormat="1" ht="29.25">
      <c r="A90" s="29"/>
      <c r="B90" s="29"/>
      <c r="C90" s="29"/>
      <c r="D90" s="29"/>
      <c r="E90" s="29"/>
      <c r="F90" s="34"/>
      <c r="G90" s="22"/>
      <c r="H90" s="30"/>
      <c r="I90" s="22"/>
      <c r="J90" s="31"/>
      <c r="K90" s="22"/>
      <c r="L90" s="32"/>
    </row>
  </sheetData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111" t="s">
        <v>7</v>
      </c>
      <c r="B2" s="111" t="s">
        <v>0</v>
      </c>
      <c r="C2" s="112" t="s">
        <v>3</v>
      </c>
    </row>
    <row r="3" spans="1:3" s="3" customFormat="1" ht="23.25">
      <c r="A3" s="111"/>
      <c r="B3" s="111"/>
      <c r="C3" s="112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Home Used Only</cp:lastModifiedBy>
  <cp:lastPrinted>2009-06-05T04:40:08Z</cp:lastPrinted>
  <dcterms:created xsi:type="dcterms:W3CDTF">2001-05-01T08:12:27Z</dcterms:created>
  <dcterms:modified xsi:type="dcterms:W3CDTF">2013-07-10T02:30:34Z</dcterms:modified>
  <cp:category/>
  <cp:version/>
  <cp:contentType/>
  <cp:contentStatus/>
</cp:coreProperties>
</file>