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6450" activeTab="0"/>
  </bookViews>
  <sheets>
    <sheet name="EQU2015" sheetId="1" r:id="rId1"/>
  </sheets>
  <definedNames>
    <definedName name="_xlnm.Print_Titles" localSheetId="0">'EQU2015'!$1:$3</definedName>
  </definedNames>
  <calcPr fullCalcOnLoad="1"/>
</workbook>
</file>

<file path=xl/sharedStrings.xml><?xml version="1.0" encoding="utf-8"?>
<sst xmlns="http://schemas.openxmlformats.org/spreadsheetml/2006/main" count="142" uniqueCount="121">
  <si>
    <t>CODE</t>
  </si>
  <si>
    <t>EQUATION</t>
  </si>
  <si>
    <t>b</t>
  </si>
  <si>
    <t>Log(a)</t>
  </si>
  <si>
    <t>R-Square</t>
  </si>
  <si>
    <t>No. of Samples</t>
  </si>
  <si>
    <t>Water year</t>
  </si>
  <si>
    <t>ที่</t>
  </si>
  <si>
    <t>Good</t>
  </si>
  <si>
    <t>Total</t>
  </si>
  <si>
    <t>N/A</t>
  </si>
  <si>
    <t>P.1</t>
  </si>
  <si>
    <t>P.4A</t>
  </si>
  <si>
    <t>W.3A</t>
  </si>
  <si>
    <t>W.17</t>
  </si>
  <si>
    <t>Y.1C</t>
  </si>
  <si>
    <t>P.56A</t>
  </si>
  <si>
    <t>P.77</t>
  </si>
  <si>
    <t>W.16A</t>
  </si>
  <si>
    <t>G.8</t>
  </si>
  <si>
    <t>I.14</t>
  </si>
  <si>
    <t>DA.</t>
  </si>
  <si>
    <t>sq.km.</t>
  </si>
  <si>
    <t xml:space="preserve">Date of N/A sample </t>
  </si>
  <si>
    <t>P.21</t>
  </si>
  <si>
    <t>P.73</t>
  </si>
  <si>
    <t>P.75</t>
  </si>
  <si>
    <t>P.76</t>
  </si>
  <si>
    <t>P.5</t>
  </si>
  <si>
    <t>P.67</t>
  </si>
  <si>
    <t>P.79</t>
  </si>
  <si>
    <t>P.80</t>
  </si>
  <si>
    <t>P.82</t>
  </si>
  <si>
    <t>P.84</t>
  </si>
  <si>
    <t>W.1C</t>
  </si>
  <si>
    <t>Y.20</t>
  </si>
  <si>
    <t>Y.37</t>
  </si>
  <si>
    <t>N.1</t>
  </si>
  <si>
    <t>N.64</t>
  </si>
  <si>
    <t>G.9</t>
  </si>
  <si>
    <r>
      <t xml:space="preserve">สมการประเมินตะกอนแขวนลอย  </t>
    </r>
    <r>
      <rPr>
        <b/>
        <sz val="18"/>
        <color indexed="10"/>
        <rFont val="Angsana New"/>
        <family val="1"/>
      </rPr>
      <t>Y=aX</t>
    </r>
    <r>
      <rPr>
        <b/>
        <vertAlign val="superscript"/>
        <sz val="18"/>
        <color indexed="10"/>
        <rFont val="Angsana New"/>
        <family val="1"/>
      </rPr>
      <t>b</t>
    </r>
  </si>
  <si>
    <t>W.25</t>
  </si>
  <si>
    <t>N.65</t>
  </si>
  <si>
    <t>Accept  Equations are shown in red</t>
  </si>
  <si>
    <t xml:space="preserve"> </t>
  </si>
  <si>
    <t>P.73A</t>
  </si>
  <si>
    <t>P92</t>
  </si>
  <si>
    <t>P92 A</t>
  </si>
  <si>
    <t>1993 - 2015</t>
  </si>
  <si>
    <r>
      <t>Y=1.304X</t>
    </r>
    <r>
      <rPr>
        <vertAlign val="superscript"/>
        <sz val="16"/>
        <color indexed="8"/>
        <rFont val="Angsana New"/>
        <family val="1"/>
      </rPr>
      <t>1.5232</t>
    </r>
  </si>
  <si>
    <r>
      <t>Y=1.510X</t>
    </r>
    <r>
      <rPr>
        <vertAlign val="superscript"/>
        <sz val="16"/>
        <color indexed="10"/>
        <rFont val="Angsana New"/>
        <family val="1"/>
      </rPr>
      <t>1.530</t>
    </r>
  </si>
  <si>
    <r>
      <t>Y=3.798X</t>
    </r>
    <r>
      <rPr>
        <vertAlign val="superscript"/>
        <sz val="16"/>
        <color indexed="10"/>
        <rFont val="Angsana New"/>
        <family val="1"/>
      </rPr>
      <t>1.732</t>
    </r>
  </si>
  <si>
    <r>
      <t>Y=2.285X</t>
    </r>
    <r>
      <rPr>
        <vertAlign val="superscript"/>
        <sz val="16"/>
        <rFont val="Angsana New"/>
        <family val="1"/>
      </rPr>
      <t>1.629</t>
    </r>
  </si>
  <si>
    <r>
      <t>Y=0.974X</t>
    </r>
    <r>
      <rPr>
        <vertAlign val="superscript"/>
        <sz val="16"/>
        <color indexed="10"/>
        <rFont val="Angsana New"/>
        <family val="1"/>
      </rPr>
      <t>0.153</t>
    </r>
  </si>
  <si>
    <t>2007-2015</t>
  </si>
  <si>
    <r>
      <t>Y=1.041X</t>
    </r>
    <r>
      <rPr>
        <vertAlign val="superscript"/>
        <sz val="16"/>
        <color indexed="8"/>
        <rFont val="Angsana New"/>
        <family val="1"/>
      </rPr>
      <t>1.409</t>
    </r>
  </si>
  <si>
    <r>
      <t>Y=5.111x</t>
    </r>
    <r>
      <rPr>
        <vertAlign val="superscript"/>
        <sz val="16"/>
        <color indexed="10"/>
        <rFont val="Angsana New"/>
        <family val="1"/>
      </rPr>
      <t>1.261</t>
    </r>
  </si>
  <si>
    <t>2001 - 2015</t>
  </si>
  <si>
    <r>
      <t>Y=4.272X</t>
    </r>
    <r>
      <rPr>
        <vertAlign val="superscript"/>
        <sz val="16"/>
        <color indexed="8"/>
        <rFont val="Angsana New"/>
        <family val="1"/>
      </rPr>
      <t>1.336</t>
    </r>
  </si>
  <si>
    <t>2000 - 2015</t>
  </si>
  <si>
    <r>
      <t>Y=7.642X</t>
    </r>
    <r>
      <rPr>
        <vertAlign val="superscript"/>
        <sz val="16"/>
        <color indexed="10"/>
        <rFont val="Angsana New"/>
        <family val="1"/>
      </rPr>
      <t>1.114</t>
    </r>
  </si>
  <si>
    <r>
      <t>Y=5.068X</t>
    </r>
    <r>
      <rPr>
        <vertAlign val="superscript"/>
        <sz val="16"/>
        <color indexed="8"/>
        <rFont val="Angsana New"/>
        <family val="1"/>
      </rPr>
      <t>1.215</t>
    </r>
  </si>
  <si>
    <r>
      <t>Y=2.405X</t>
    </r>
    <r>
      <rPr>
        <vertAlign val="superscript"/>
        <sz val="16"/>
        <color indexed="10"/>
        <rFont val="Angsana New"/>
        <family val="1"/>
      </rPr>
      <t>1.410</t>
    </r>
  </si>
  <si>
    <r>
      <t>Y=89.23X</t>
    </r>
    <r>
      <rPr>
        <vertAlign val="superscript"/>
        <sz val="16"/>
        <color indexed="8"/>
        <rFont val="Angsana New"/>
        <family val="1"/>
      </rPr>
      <t>1.516</t>
    </r>
  </si>
  <si>
    <r>
      <t>Y=1.903X</t>
    </r>
    <r>
      <rPr>
        <vertAlign val="superscript"/>
        <sz val="16"/>
        <color indexed="10"/>
        <rFont val="Angsana New"/>
        <family val="1"/>
      </rPr>
      <t>1.156</t>
    </r>
  </si>
  <si>
    <r>
      <t>Y=1.404X</t>
    </r>
    <r>
      <rPr>
        <vertAlign val="superscript"/>
        <sz val="16"/>
        <color indexed="8"/>
        <rFont val="Angsana New"/>
        <family val="1"/>
      </rPr>
      <t>1.344</t>
    </r>
  </si>
  <si>
    <t>2013 - 2015</t>
  </si>
  <si>
    <r>
      <t>Y=1.485X</t>
    </r>
    <r>
      <rPr>
        <vertAlign val="superscript"/>
        <sz val="16"/>
        <color indexed="8"/>
        <rFont val="Angsana New"/>
        <family val="1"/>
      </rPr>
      <t>1.250</t>
    </r>
  </si>
  <si>
    <r>
      <t>Y=1.010X</t>
    </r>
    <r>
      <rPr>
        <vertAlign val="superscript"/>
        <sz val="16"/>
        <color indexed="10"/>
        <rFont val="Angsana New"/>
        <family val="1"/>
      </rPr>
      <t>1.521</t>
    </r>
  </si>
  <si>
    <r>
      <t>Y=0.888X</t>
    </r>
    <r>
      <rPr>
        <vertAlign val="superscript"/>
        <sz val="16"/>
        <color indexed="8"/>
        <rFont val="Angsana New"/>
        <family val="1"/>
      </rPr>
      <t>1.601</t>
    </r>
  </si>
  <si>
    <r>
      <t>Y=2.181X</t>
    </r>
    <r>
      <rPr>
        <vertAlign val="superscript"/>
        <sz val="16"/>
        <color indexed="10"/>
        <rFont val="Angsana New"/>
        <family val="1"/>
      </rPr>
      <t>1.076</t>
    </r>
  </si>
  <si>
    <r>
      <t>Y=2.270X</t>
    </r>
    <r>
      <rPr>
        <vertAlign val="superscript"/>
        <sz val="16"/>
        <color indexed="8"/>
        <rFont val="Angsana New"/>
        <family val="1"/>
      </rPr>
      <t>1.436</t>
    </r>
  </si>
  <si>
    <r>
      <t>Y=3.999X</t>
    </r>
    <r>
      <rPr>
        <vertAlign val="superscript"/>
        <sz val="16"/>
        <color indexed="10"/>
        <rFont val="Angsana New"/>
        <family val="1"/>
      </rPr>
      <t>1.201</t>
    </r>
  </si>
  <si>
    <r>
      <t>Y=2.060X</t>
    </r>
    <r>
      <rPr>
        <vertAlign val="superscript"/>
        <sz val="16"/>
        <color indexed="8"/>
        <rFont val="Angsana New"/>
        <family val="1"/>
      </rPr>
      <t>1.204</t>
    </r>
  </si>
  <si>
    <t>2006 - 2015</t>
  </si>
  <si>
    <r>
      <t>Y=1.731X</t>
    </r>
    <r>
      <rPr>
        <vertAlign val="superscript"/>
        <sz val="16"/>
        <color indexed="10"/>
        <rFont val="Angsana New"/>
        <family val="1"/>
      </rPr>
      <t>1.616</t>
    </r>
  </si>
  <si>
    <r>
      <t>Y=1.504X</t>
    </r>
    <r>
      <rPr>
        <vertAlign val="superscript"/>
        <sz val="16"/>
        <color indexed="8"/>
        <rFont val="Angsana New"/>
        <family val="1"/>
      </rPr>
      <t>1.568</t>
    </r>
  </si>
  <si>
    <r>
      <t>Y=2.603X</t>
    </r>
    <r>
      <rPr>
        <vertAlign val="superscript"/>
        <sz val="16"/>
        <color indexed="10"/>
        <rFont val="Angsana New"/>
        <family val="1"/>
      </rPr>
      <t>1.897</t>
    </r>
  </si>
  <si>
    <r>
      <t>Y=1.866X</t>
    </r>
    <r>
      <rPr>
        <vertAlign val="superscript"/>
        <sz val="16"/>
        <color indexed="8"/>
        <rFont val="Angsana New"/>
        <family val="1"/>
      </rPr>
      <t>1.502</t>
    </r>
  </si>
  <si>
    <t>2005 - 2015</t>
  </si>
  <si>
    <r>
      <t>Y=4.778X</t>
    </r>
    <r>
      <rPr>
        <vertAlign val="superscript"/>
        <sz val="16"/>
        <color indexed="10"/>
        <rFont val="Angsana New"/>
        <family val="1"/>
      </rPr>
      <t>1.362</t>
    </r>
  </si>
  <si>
    <r>
      <t>Y=2.560X</t>
    </r>
    <r>
      <rPr>
        <vertAlign val="superscript"/>
        <sz val="16"/>
        <color indexed="8"/>
        <rFont val="Angsana New"/>
        <family val="1"/>
      </rPr>
      <t>1.295</t>
    </r>
  </si>
  <si>
    <r>
      <t>Y=0.301X</t>
    </r>
    <r>
      <rPr>
        <vertAlign val="superscript"/>
        <sz val="16"/>
        <color indexed="10"/>
        <rFont val="Angsana New"/>
        <family val="1"/>
      </rPr>
      <t>2.474</t>
    </r>
  </si>
  <si>
    <r>
      <t>Y=0.417X</t>
    </r>
    <r>
      <rPr>
        <vertAlign val="superscript"/>
        <sz val="16"/>
        <color indexed="8"/>
        <rFont val="Angsana New"/>
        <family val="1"/>
      </rPr>
      <t>2.181</t>
    </r>
  </si>
  <si>
    <r>
      <t>Y=0.239X</t>
    </r>
    <r>
      <rPr>
        <vertAlign val="superscript"/>
        <sz val="16"/>
        <color indexed="8"/>
        <rFont val="Angsana New"/>
        <family val="1"/>
      </rPr>
      <t>2.287</t>
    </r>
  </si>
  <si>
    <r>
      <t>Y=2.289X</t>
    </r>
    <r>
      <rPr>
        <vertAlign val="superscript"/>
        <sz val="16"/>
        <color indexed="10"/>
        <rFont val="Angsana New"/>
        <family val="1"/>
      </rPr>
      <t>0.849</t>
    </r>
  </si>
  <si>
    <r>
      <t>Y=0.899X</t>
    </r>
    <r>
      <rPr>
        <vertAlign val="superscript"/>
        <sz val="16"/>
        <rFont val="Angsana New"/>
        <family val="1"/>
      </rPr>
      <t>1.629</t>
    </r>
  </si>
  <si>
    <r>
      <t>Y=0.408X</t>
    </r>
    <r>
      <rPr>
        <vertAlign val="superscript"/>
        <sz val="16"/>
        <rFont val="Angsana New"/>
        <family val="1"/>
      </rPr>
      <t>1.680</t>
    </r>
  </si>
  <si>
    <r>
      <t>Y=1.397X</t>
    </r>
    <r>
      <rPr>
        <vertAlign val="superscript"/>
        <sz val="16"/>
        <color indexed="10"/>
        <rFont val="Angsana New"/>
        <family val="1"/>
      </rPr>
      <t>1.260</t>
    </r>
  </si>
  <si>
    <r>
      <t>Y=1.857X</t>
    </r>
    <r>
      <rPr>
        <vertAlign val="superscript"/>
        <sz val="16"/>
        <color indexed="8"/>
        <rFont val="Angsana New"/>
        <family val="1"/>
      </rPr>
      <t>1.026</t>
    </r>
  </si>
  <si>
    <t>1996 - 2015</t>
  </si>
  <si>
    <r>
      <t>Y=1.918X</t>
    </r>
    <r>
      <rPr>
        <vertAlign val="superscript"/>
        <sz val="16"/>
        <color indexed="10"/>
        <rFont val="Angsana New"/>
        <family val="1"/>
      </rPr>
      <t>1.031</t>
    </r>
  </si>
  <si>
    <r>
      <t>Y=5.440X</t>
    </r>
    <r>
      <rPr>
        <vertAlign val="superscript"/>
        <sz val="16"/>
        <rFont val="Angsana New"/>
        <family val="1"/>
      </rPr>
      <t>1.182</t>
    </r>
  </si>
  <si>
    <t>2009 - 2015</t>
  </si>
  <si>
    <t>1997 - 2015</t>
  </si>
  <si>
    <r>
      <t>Y=1.650X</t>
    </r>
    <r>
      <rPr>
        <vertAlign val="superscript"/>
        <sz val="16"/>
        <color indexed="10"/>
        <rFont val="Angsana New"/>
        <family val="1"/>
      </rPr>
      <t>1.438</t>
    </r>
  </si>
  <si>
    <r>
      <t>Y=1.297X</t>
    </r>
    <r>
      <rPr>
        <vertAlign val="superscript"/>
        <sz val="16"/>
        <color indexed="8"/>
        <rFont val="Angsana New"/>
        <family val="1"/>
      </rPr>
      <t>1.142</t>
    </r>
  </si>
  <si>
    <r>
      <t>Y=1.017X</t>
    </r>
    <r>
      <rPr>
        <vertAlign val="superscript"/>
        <sz val="16"/>
        <color indexed="10"/>
        <rFont val="Angsana New"/>
        <family val="1"/>
      </rPr>
      <t>1.836</t>
    </r>
  </si>
  <si>
    <r>
      <t>Y=0.869X</t>
    </r>
    <r>
      <rPr>
        <vertAlign val="superscript"/>
        <sz val="16"/>
        <color indexed="8"/>
        <rFont val="Angsana New"/>
        <family val="1"/>
      </rPr>
      <t>1.680</t>
    </r>
  </si>
  <si>
    <t>2008-2015</t>
  </si>
  <si>
    <r>
      <t>Y=1.044X</t>
    </r>
    <r>
      <rPr>
        <vertAlign val="superscript"/>
        <sz val="16"/>
        <color indexed="10"/>
        <rFont val="Angsana New"/>
        <family val="1"/>
      </rPr>
      <t>1.432</t>
    </r>
  </si>
  <si>
    <r>
      <t>Y=0.837X</t>
    </r>
    <r>
      <rPr>
        <vertAlign val="superscript"/>
        <sz val="16"/>
        <color indexed="8"/>
        <rFont val="Angsana New"/>
        <family val="1"/>
      </rPr>
      <t>1.540</t>
    </r>
  </si>
  <si>
    <r>
      <t>Y=0.096X</t>
    </r>
    <r>
      <rPr>
        <vertAlign val="superscript"/>
        <sz val="16"/>
        <color indexed="10"/>
        <rFont val="Angsana New"/>
        <family val="1"/>
      </rPr>
      <t>2.054</t>
    </r>
  </si>
  <si>
    <r>
      <t>Y=0.147X</t>
    </r>
    <r>
      <rPr>
        <vertAlign val="superscript"/>
        <sz val="16"/>
        <rFont val="Angsana New"/>
        <family val="1"/>
      </rPr>
      <t>1.930</t>
    </r>
  </si>
  <si>
    <r>
      <t>Y=0.454X</t>
    </r>
    <r>
      <rPr>
        <vertAlign val="superscript"/>
        <sz val="16"/>
        <color indexed="10"/>
        <rFont val="Angsana New"/>
        <family val="1"/>
      </rPr>
      <t>1.766</t>
    </r>
  </si>
  <si>
    <r>
      <t>Y=0.245X</t>
    </r>
    <r>
      <rPr>
        <vertAlign val="superscript"/>
        <sz val="16"/>
        <rFont val="Angsana New"/>
        <family val="1"/>
      </rPr>
      <t>1.878</t>
    </r>
  </si>
  <si>
    <r>
      <t>Y=0.833X</t>
    </r>
    <r>
      <rPr>
        <vertAlign val="superscript"/>
        <sz val="16"/>
        <color indexed="10"/>
        <rFont val="Angsana New"/>
        <family val="1"/>
      </rPr>
      <t>1.476</t>
    </r>
  </si>
  <si>
    <r>
      <t>Y=0.637X</t>
    </r>
    <r>
      <rPr>
        <vertAlign val="superscript"/>
        <sz val="16"/>
        <color indexed="8"/>
        <rFont val="Angsana New"/>
        <family val="1"/>
      </rPr>
      <t>1.696</t>
    </r>
  </si>
  <si>
    <r>
      <t>Y=2.246X</t>
    </r>
    <r>
      <rPr>
        <vertAlign val="superscript"/>
        <sz val="16"/>
        <color indexed="10"/>
        <rFont val="Angsana New"/>
        <family val="1"/>
      </rPr>
      <t>1.487</t>
    </r>
  </si>
  <si>
    <r>
      <t>Y=3.306X</t>
    </r>
    <r>
      <rPr>
        <vertAlign val="superscript"/>
        <sz val="16"/>
        <rFont val="Angsana New"/>
        <family val="1"/>
      </rPr>
      <t>1.520</t>
    </r>
  </si>
  <si>
    <r>
      <t>Y=1.027X</t>
    </r>
    <r>
      <rPr>
        <vertAlign val="superscript"/>
        <sz val="16"/>
        <color indexed="10"/>
        <rFont val="Angsana New"/>
        <family val="1"/>
      </rPr>
      <t>2.235</t>
    </r>
  </si>
  <si>
    <r>
      <t>Y=1.155X</t>
    </r>
    <r>
      <rPr>
        <vertAlign val="superscript"/>
        <sz val="16"/>
        <rFont val="Angsana New"/>
        <family val="1"/>
      </rPr>
      <t>1.940</t>
    </r>
  </si>
  <si>
    <r>
      <t>Y=1.840X</t>
    </r>
    <r>
      <rPr>
        <vertAlign val="superscript"/>
        <sz val="16"/>
        <color indexed="10"/>
        <rFont val="Angsana New"/>
        <family val="1"/>
      </rPr>
      <t>1.367</t>
    </r>
  </si>
  <si>
    <r>
      <t>Y=3.445X</t>
    </r>
    <r>
      <rPr>
        <vertAlign val="superscript"/>
        <sz val="16"/>
        <color indexed="8"/>
        <rFont val="Angsana New"/>
        <family val="1"/>
      </rPr>
      <t>1.18</t>
    </r>
  </si>
  <si>
    <r>
      <t>Y=1.968X</t>
    </r>
    <r>
      <rPr>
        <vertAlign val="superscript"/>
        <sz val="16"/>
        <color indexed="10"/>
        <rFont val="Angsana New"/>
        <family val="1"/>
      </rPr>
      <t>1.161</t>
    </r>
  </si>
  <si>
    <r>
      <t>Y=0.214X</t>
    </r>
    <r>
      <rPr>
        <vertAlign val="superscript"/>
        <sz val="16"/>
        <color indexed="10"/>
        <rFont val="Angsana New"/>
        <family val="1"/>
      </rPr>
      <t>2.558</t>
    </r>
  </si>
  <si>
    <r>
      <t>Y=0.274X</t>
    </r>
    <r>
      <rPr>
        <vertAlign val="superscript"/>
        <sz val="16"/>
        <color indexed="10"/>
        <rFont val="Angsana New"/>
        <family val="1"/>
      </rPr>
      <t>1.638</t>
    </r>
  </si>
  <si>
    <r>
      <t>Y=55.986X</t>
    </r>
    <r>
      <rPr>
        <vertAlign val="superscript"/>
        <sz val="16"/>
        <color indexed="10"/>
        <rFont val="Angsana New"/>
        <family val="1"/>
      </rPr>
      <t>1.2724</t>
    </r>
  </si>
  <si>
    <r>
      <t>Y=97.928X</t>
    </r>
    <r>
      <rPr>
        <vertAlign val="superscript"/>
        <sz val="16"/>
        <color indexed="8"/>
        <rFont val="Angsana New"/>
        <family val="1"/>
      </rPr>
      <t>1.3848</t>
    </r>
  </si>
  <si>
    <r>
      <t>Y=2.463X</t>
    </r>
    <r>
      <rPr>
        <vertAlign val="superscript"/>
        <sz val="16"/>
        <color indexed="10"/>
        <rFont val="Angsana New"/>
        <family val="1"/>
      </rPr>
      <t>1.1689</t>
    </r>
  </si>
  <si>
    <r>
      <t>Y=1.2193X</t>
    </r>
    <r>
      <rPr>
        <vertAlign val="superscript"/>
        <sz val="16"/>
        <color indexed="8"/>
        <rFont val="Angsana New"/>
        <family val="1"/>
      </rPr>
      <t>1.6573</t>
    </r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</si>
</sst>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00"/>
    <numFmt numFmtId="192" formatCode="0.000000"/>
    <numFmt numFmtId="193" formatCode="0.0000"/>
    <numFmt numFmtId="194" formatCode="0.000"/>
    <numFmt numFmtId="195" formatCode="_-* #,##0.0_-;\-* #,##0.0_-;_-* &quot;-&quot;??_-;_-@_-"/>
    <numFmt numFmtId="196" formatCode="_-* #,##0_-;\-* #,##0_-;_-* &quot;-&quot;??_-;_-@_-"/>
    <numFmt numFmtId="197" formatCode="0.0000000"/>
    <numFmt numFmtId="198" formatCode="0.00000000"/>
    <numFmt numFmtId="199" formatCode="0.000000000"/>
    <numFmt numFmtId="200" formatCode="0.0000000000"/>
    <numFmt numFmtId="201" formatCode="0.00000000000"/>
    <numFmt numFmtId="202" formatCode="0.000000000000"/>
    <numFmt numFmtId="203" formatCode="0.0000000000000"/>
    <numFmt numFmtId="204" formatCode="0.0"/>
  </numFmts>
  <fonts count="50">
    <font>
      <sz val="14"/>
      <name val="Cordia New"/>
      <family val="0"/>
    </font>
    <font>
      <sz val="8"/>
      <name val="Cordia New"/>
      <family val="2"/>
    </font>
    <font>
      <b/>
      <sz val="18"/>
      <color indexed="48"/>
      <name val="Angsana New"/>
      <family val="1"/>
    </font>
    <font>
      <b/>
      <sz val="18"/>
      <color indexed="10"/>
      <name val="Angsana New"/>
      <family val="1"/>
    </font>
    <font>
      <b/>
      <vertAlign val="superscript"/>
      <sz val="18"/>
      <color indexed="10"/>
      <name val="Angsana New"/>
      <family val="1"/>
    </font>
    <font>
      <sz val="18"/>
      <name val="Angsana New"/>
      <family val="1"/>
    </font>
    <font>
      <sz val="16"/>
      <color indexed="12"/>
      <name val="Angsana New"/>
      <family val="1"/>
    </font>
    <font>
      <sz val="16"/>
      <name val="Angsana New"/>
      <family val="1"/>
    </font>
    <font>
      <sz val="16"/>
      <color indexed="10"/>
      <name val="Angsana New"/>
      <family val="1"/>
    </font>
    <font>
      <vertAlign val="superscript"/>
      <sz val="16"/>
      <color indexed="10"/>
      <name val="Angsana New"/>
      <family val="1"/>
    </font>
    <font>
      <sz val="16"/>
      <color indexed="8"/>
      <name val="Angsana New"/>
      <family val="1"/>
    </font>
    <font>
      <vertAlign val="superscript"/>
      <sz val="16"/>
      <color indexed="8"/>
      <name val="Angsana New"/>
      <family val="1"/>
    </font>
    <font>
      <vertAlign val="superscript"/>
      <sz val="16"/>
      <color indexed="12"/>
      <name val="Angsana New"/>
      <family val="1"/>
    </font>
    <font>
      <vertAlign val="superscript"/>
      <sz val="18"/>
      <name val="Angsana New"/>
      <family val="1"/>
    </font>
    <font>
      <vertAlign val="superscript"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193" fontId="5" fillId="0" borderId="0" xfId="0" applyNumberFormat="1" applyFont="1" applyAlignment="1">
      <alignment horizontal="center"/>
    </xf>
    <xf numFmtId="200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12" fillId="33" borderId="1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193" fontId="10" fillId="0" borderId="16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193" fontId="10" fillId="0" borderId="15" xfId="0" applyNumberFormat="1" applyFont="1" applyFill="1" applyBorder="1" applyAlignment="1">
      <alignment horizontal="center"/>
    </xf>
    <xf numFmtId="193" fontId="10" fillId="0" borderId="15" xfId="0" applyNumberFormat="1" applyFont="1" applyFill="1" applyBorder="1" applyAlignment="1">
      <alignment/>
    </xf>
    <xf numFmtId="200" fontId="10" fillId="0" borderId="15" xfId="0" applyNumberFormat="1" applyFont="1" applyFill="1" applyBorder="1" applyAlignment="1">
      <alignment/>
    </xf>
    <xf numFmtId="3" fontId="10" fillId="0" borderId="15" xfId="33" applyNumberFormat="1" applyFont="1" applyFill="1" applyBorder="1" applyAlignment="1">
      <alignment horizontal="right"/>
    </xf>
    <xf numFmtId="0" fontId="10" fillId="0" borderId="15" xfId="0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193" fontId="10" fillId="0" borderId="16" xfId="0" applyNumberFormat="1" applyFont="1" applyFill="1" applyBorder="1" applyAlignment="1">
      <alignment/>
    </xf>
    <xf numFmtId="200" fontId="10" fillId="0" borderId="16" xfId="0" applyNumberFormat="1" applyFont="1" applyFill="1" applyBorder="1" applyAlignment="1">
      <alignment/>
    </xf>
    <xf numFmtId="3" fontId="10" fillId="0" borderId="16" xfId="33" applyNumberFormat="1" applyFont="1" applyFill="1" applyBorder="1" applyAlignment="1">
      <alignment horizontal="right"/>
    </xf>
    <xf numFmtId="0" fontId="10" fillId="0" borderId="16" xfId="0" applyFont="1" applyFill="1" applyBorder="1" applyAlignment="1">
      <alignment horizontal="left"/>
    </xf>
    <xf numFmtId="200" fontId="10" fillId="0" borderId="18" xfId="0" applyNumberFormat="1" applyFont="1" applyFill="1" applyBorder="1" applyAlignment="1">
      <alignment/>
    </xf>
    <xf numFmtId="1" fontId="11" fillId="0" borderId="16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left" vertical="justify"/>
    </xf>
    <xf numFmtId="0" fontId="10" fillId="0" borderId="16" xfId="0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193" fontId="10" fillId="0" borderId="16" xfId="0" applyNumberFormat="1" applyFont="1" applyFill="1" applyBorder="1" applyAlignment="1">
      <alignment horizontal="center" vertical="center"/>
    </xf>
    <xf numFmtId="193" fontId="10" fillId="0" borderId="16" xfId="0" applyNumberFormat="1" applyFont="1" applyFill="1" applyBorder="1" applyAlignment="1">
      <alignment vertical="center"/>
    </xf>
    <xf numFmtId="200" fontId="10" fillId="0" borderId="16" xfId="0" applyNumberFormat="1" applyFont="1" applyFill="1" applyBorder="1" applyAlignment="1">
      <alignment vertical="center"/>
    </xf>
    <xf numFmtId="3" fontId="10" fillId="0" borderId="16" xfId="33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1" fontId="10" fillId="0" borderId="20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193" fontId="10" fillId="0" borderId="20" xfId="0" applyNumberFormat="1" applyFont="1" applyFill="1" applyBorder="1" applyAlignment="1">
      <alignment horizontal="center" vertical="center"/>
    </xf>
    <xf numFmtId="193" fontId="10" fillId="0" borderId="20" xfId="0" applyNumberFormat="1" applyFont="1" applyFill="1" applyBorder="1" applyAlignment="1">
      <alignment vertical="center"/>
    </xf>
    <xf numFmtId="200" fontId="10" fillId="0" borderId="20" xfId="0" applyNumberFormat="1" applyFont="1" applyFill="1" applyBorder="1" applyAlignment="1">
      <alignment vertical="center"/>
    </xf>
    <xf numFmtId="3" fontId="10" fillId="0" borderId="20" xfId="33" applyNumberFormat="1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193" fontId="10" fillId="0" borderId="17" xfId="0" applyNumberFormat="1" applyFont="1" applyFill="1" applyBorder="1" applyAlignment="1">
      <alignment horizontal="center" vertical="center"/>
    </xf>
    <xf numFmtId="193" fontId="10" fillId="0" borderId="17" xfId="0" applyNumberFormat="1" applyFont="1" applyFill="1" applyBorder="1" applyAlignment="1">
      <alignment vertical="center"/>
    </xf>
    <xf numFmtId="200" fontId="10" fillId="0" borderId="17" xfId="0" applyNumberFormat="1" applyFont="1" applyFill="1" applyBorder="1" applyAlignment="1">
      <alignment vertical="center"/>
    </xf>
    <xf numFmtId="3" fontId="10" fillId="0" borderId="17" xfId="33" applyNumberFormat="1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left" vertical="center"/>
    </xf>
    <xf numFmtId="3" fontId="10" fillId="0" borderId="16" xfId="0" applyNumberFormat="1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center"/>
    </xf>
    <xf numFmtId="1" fontId="10" fillId="0" borderId="18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193" fontId="10" fillId="0" borderId="18" xfId="0" applyNumberFormat="1" applyFont="1" applyFill="1" applyBorder="1" applyAlignment="1">
      <alignment horizontal="center"/>
    </xf>
    <xf numFmtId="193" fontId="10" fillId="0" borderId="18" xfId="0" applyNumberFormat="1" applyFont="1" applyFill="1" applyBorder="1" applyAlignment="1">
      <alignment/>
    </xf>
    <xf numFmtId="3" fontId="10" fillId="0" borderId="18" xfId="33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left" vertical="justify"/>
    </xf>
    <xf numFmtId="0" fontId="10" fillId="0" borderId="17" xfId="0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193" fontId="10" fillId="0" borderId="17" xfId="0" applyNumberFormat="1" applyFont="1" applyFill="1" applyBorder="1" applyAlignment="1">
      <alignment horizontal="center"/>
    </xf>
    <xf numFmtId="193" fontId="10" fillId="0" borderId="17" xfId="0" applyNumberFormat="1" applyFont="1" applyFill="1" applyBorder="1" applyAlignment="1">
      <alignment/>
    </xf>
    <xf numFmtId="200" fontId="10" fillId="0" borderId="17" xfId="0" applyNumberFormat="1" applyFont="1" applyFill="1" applyBorder="1" applyAlignment="1">
      <alignment/>
    </xf>
    <xf numFmtId="3" fontId="10" fillId="0" borderId="17" xfId="33" applyNumberFormat="1" applyFont="1" applyFill="1" applyBorder="1" applyAlignment="1">
      <alignment horizontal="right"/>
    </xf>
    <xf numFmtId="0" fontId="10" fillId="0" borderId="17" xfId="0" applyFont="1" applyFill="1" applyBorder="1" applyAlignment="1">
      <alignment horizontal="left" vertical="justify"/>
    </xf>
    <xf numFmtId="0" fontId="8" fillId="0" borderId="17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10" fillId="0" borderId="18" xfId="0" applyFont="1" applyFill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193" fontId="10" fillId="0" borderId="18" xfId="0" applyNumberFormat="1" applyFont="1" applyFill="1" applyBorder="1" applyAlignment="1">
      <alignment horizontal="center" vertical="center"/>
    </xf>
    <xf numFmtId="193" fontId="10" fillId="0" borderId="18" xfId="0" applyNumberFormat="1" applyFont="1" applyFill="1" applyBorder="1" applyAlignment="1">
      <alignment vertical="center"/>
    </xf>
    <xf numFmtId="200" fontId="10" fillId="0" borderId="18" xfId="0" applyNumberFormat="1" applyFont="1" applyFill="1" applyBorder="1" applyAlignment="1">
      <alignment vertical="center"/>
    </xf>
    <xf numFmtId="3" fontId="10" fillId="0" borderId="18" xfId="0" applyNumberFormat="1" applyFont="1" applyFill="1" applyBorder="1" applyAlignment="1">
      <alignment horizontal="right" vertical="center"/>
    </xf>
    <xf numFmtId="0" fontId="10" fillId="0" borderId="18" xfId="0" applyFont="1" applyBorder="1" applyAlignment="1">
      <alignment horizontal="left"/>
    </xf>
    <xf numFmtId="0" fontId="7" fillId="0" borderId="21" xfId="0" applyFont="1" applyBorder="1" applyAlignment="1">
      <alignment/>
    </xf>
    <xf numFmtId="200" fontId="7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0" fontId="7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93" fontId="10" fillId="0" borderId="0" xfId="0" applyNumberFormat="1" applyFont="1" applyFill="1" applyBorder="1" applyAlignment="1">
      <alignment horizontal="center"/>
    </xf>
    <xf numFmtId="193" fontId="10" fillId="0" borderId="0" xfId="0" applyNumberFormat="1" applyFont="1" applyFill="1" applyBorder="1" applyAlignment="1">
      <alignment/>
    </xf>
    <xf numFmtId="200" fontId="10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96" fontId="10" fillId="0" borderId="0" xfId="33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96" fontId="11" fillId="0" borderId="0" xfId="33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193" fontId="10" fillId="0" borderId="0" xfId="0" applyNumberFormat="1" applyFont="1" applyBorder="1" applyAlignment="1">
      <alignment horizontal="center"/>
    </xf>
    <xf numFmtId="200" fontId="10" fillId="0" borderId="0" xfId="0" applyNumberFormat="1" applyFont="1" applyBorder="1" applyAlignment="1">
      <alignment/>
    </xf>
    <xf numFmtId="41" fontId="10" fillId="0" borderId="0" xfId="33" applyNumberFormat="1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93" fontId="7" fillId="0" borderId="16" xfId="0" applyNumberFormat="1" applyFont="1" applyFill="1" applyBorder="1" applyAlignment="1">
      <alignment horizontal="center"/>
    </xf>
    <xf numFmtId="193" fontId="7" fillId="0" borderId="16" xfId="0" applyNumberFormat="1" applyFont="1" applyFill="1" applyBorder="1" applyAlignment="1">
      <alignment/>
    </xf>
    <xf numFmtId="0" fontId="49" fillId="0" borderId="16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0" fontId="10" fillId="34" borderId="18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10" fillId="34" borderId="16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/>
    </xf>
    <xf numFmtId="0" fontId="10" fillId="34" borderId="18" xfId="0" applyFont="1" applyFill="1" applyBorder="1" applyAlignment="1">
      <alignment horizontal="center" vertical="center"/>
    </xf>
    <xf numFmtId="0" fontId="49" fillId="35" borderId="16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93" fontId="6" fillId="33" borderId="22" xfId="0" applyNumberFormat="1" applyFont="1" applyFill="1" applyBorder="1" applyAlignment="1">
      <alignment horizontal="center" vertical="center"/>
    </xf>
    <xf numFmtId="200" fontId="2" fillId="33" borderId="23" xfId="0" applyNumberFormat="1" applyFont="1" applyFill="1" applyBorder="1" applyAlignment="1">
      <alignment horizontal="center" vertical="center"/>
    </xf>
    <xf numFmtId="200" fontId="2" fillId="33" borderId="24" xfId="0" applyNumberFormat="1" applyFont="1" applyFill="1" applyBorder="1" applyAlignment="1">
      <alignment horizontal="center" vertical="center"/>
    </xf>
    <xf numFmtId="200" fontId="2" fillId="33" borderId="2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200" fontId="6" fillId="33" borderId="22" xfId="0" applyNumberFormat="1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tabSelected="1" zoomScalePageLayoutView="0" workbookViewId="0" topLeftCell="A34">
      <selection activeCell="T40" sqref="T40"/>
    </sheetView>
  </sheetViews>
  <sheetFormatPr defaultColWidth="9.140625" defaultRowHeight="21.75"/>
  <cols>
    <col min="1" max="1" width="5.140625" style="8" customWidth="1"/>
    <col min="2" max="2" width="6.140625" style="8" customWidth="1"/>
    <col min="3" max="3" width="11.7109375" style="8" customWidth="1"/>
    <col min="4" max="4" width="6.7109375" style="8" customWidth="1"/>
    <col min="5" max="5" width="4.7109375" style="8" customWidth="1"/>
    <col min="6" max="6" width="6.7109375" style="13" customWidth="1"/>
    <col min="7" max="7" width="14.7109375" style="1" customWidth="1"/>
    <col min="8" max="8" width="8.7109375" style="9" customWidth="1"/>
    <col min="9" max="9" width="6.7109375" style="1" customWidth="1"/>
    <col min="10" max="10" width="13.7109375" style="10" customWidth="1"/>
    <col min="11" max="11" width="6.421875" style="1" bestFit="1" customWidth="1"/>
    <col min="12" max="12" width="18.57421875" style="11" bestFit="1" customWidth="1"/>
    <col min="13" max="14" width="9.140625" style="1" customWidth="1"/>
    <col min="15" max="15" width="12.28125" style="1" bestFit="1" customWidth="1"/>
    <col min="16" max="16384" width="9.140625" style="1" customWidth="1"/>
  </cols>
  <sheetData>
    <row r="1" spans="1:12" ht="29.25">
      <c r="A1" s="132" t="s">
        <v>40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4"/>
    </row>
    <row r="2" spans="1:12" s="3" customFormat="1" ht="23.25">
      <c r="A2" s="128" t="s">
        <v>7</v>
      </c>
      <c r="B2" s="128" t="s">
        <v>0</v>
      </c>
      <c r="C2" s="128" t="s">
        <v>6</v>
      </c>
      <c r="D2" s="135" t="s">
        <v>5</v>
      </c>
      <c r="E2" s="136"/>
      <c r="F2" s="136"/>
      <c r="G2" s="138" t="s">
        <v>1</v>
      </c>
      <c r="H2" s="131" t="s">
        <v>4</v>
      </c>
      <c r="I2" s="128" t="s">
        <v>2</v>
      </c>
      <c r="J2" s="137" t="s">
        <v>3</v>
      </c>
      <c r="K2" s="2" t="s">
        <v>21</v>
      </c>
      <c r="L2" s="129" t="s">
        <v>23</v>
      </c>
    </row>
    <row r="3" spans="1:12" s="3" customFormat="1" ht="25.5">
      <c r="A3" s="128"/>
      <c r="B3" s="128"/>
      <c r="C3" s="128"/>
      <c r="D3" s="4" t="s">
        <v>8</v>
      </c>
      <c r="E3" s="5" t="s">
        <v>10</v>
      </c>
      <c r="F3" s="12" t="s">
        <v>9</v>
      </c>
      <c r="G3" s="138"/>
      <c r="H3" s="131"/>
      <c r="I3" s="128"/>
      <c r="J3" s="137"/>
      <c r="K3" s="6" t="s">
        <v>22</v>
      </c>
      <c r="L3" s="130"/>
    </row>
    <row r="4" spans="1:12" s="3" customFormat="1" ht="25.5">
      <c r="A4" s="20">
        <v>1</v>
      </c>
      <c r="B4" s="117" t="s">
        <v>11</v>
      </c>
      <c r="C4" s="20">
        <v>2015</v>
      </c>
      <c r="D4" s="20">
        <v>30</v>
      </c>
      <c r="E4" s="21">
        <v>0</v>
      </c>
      <c r="F4" s="22">
        <f>E4+D4</f>
        <v>30</v>
      </c>
      <c r="G4" s="14" t="s">
        <v>50</v>
      </c>
      <c r="H4" s="23">
        <v>0.851</v>
      </c>
      <c r="I4" s="24">
        <v>1.198</v>
      </c>
      <c r="J4" s="25">
        <f>LOG(1.51)</f>
        <v>0.17897694729316943</v>
      </c>
      <c r="K4" s="26">
        <v>6355</v>
      </c>
      <c r="L4" s="27"/>
    </row>
    <row r="5" spans="1:17" s="3" customFormat="1" ht="25.5">
      <c r="A5" s="16"/>
      <c r="B5" s="118"/>
      <c r="C5" s="16" t="s">
        <v>48</v>
      </c>
      <c r="D5" s="16">
        <v>672</v>
      </c>
      <c r="E5" s="28">
        <v>0</v>
      </c>
      <c r="F5" s="35">
        <f>E5+D5</f>
        <v>672</v>
      </c>
      <c r="G5" s="16" t="s">
        <v>49</v>
      </c>
      <c r="H5" s="17">
        <v>0.867</v>
      </c>
      <c r="I5" s="30">
        <v>1.53</v>
      </c>
      <c r="J5" s="31">
        <f>LOG(1.304)</f>
        <v>0.11527759139590141</v>
      </c>
      <c r="K5" s="32"/>
      <c r="L5" s="33"/>
      <c r="Q5" s="113"/>
    </row>
    <row r="6" spans="1:12" s="3" customFormat="1" ht="25.5">
      <c r="A6" s="16"/>
      <c r="B6" s="118"/>
      <c r="C6" s="16"/>
      <c r="D6" s="16"/>
      <c r="E6" s="28"/>
      <c r="F6" s="29"/>
      <c r="G6" s="16"/>
      <c r="H6" s="17"/>
      <c r="I6" s="30"/>
      <c r="J6" s="34"/>
      <c r="K6" s="32"/>
      <c r="L6" s="33"/>
    </row>
    <row r="7" spans="1:17" s="3" customFormat="1" ht="25.5">
      <c r="A7" s="16">
        <f>+A4+1</f>
        <v>2</v>
      </c>
      <c r="B7" s="118" t="s">
        <v>12</v>
      </c>
      <c r="C7" s="16">
        <v>2015</v>
      </c>
      <c r="D7" s="16">
        <v>29</v>
      </c>
      <c r="E7" s="28">
        <v>0</v>
      </c>
      <c r="F7" s="35">
        <f>E7+D7</f>
        <v>29</v>
      </c>
      <c r="G7" s="15" t="s">
        <v>51</v>
      </c>
      <c r="H7" s="17">
        <v>0.872</v>
      </c>
      <c r="I7" s="30">
        <v>1.732</v>
      </c>
      <c r="J7" s="31">
        <f>LOG(3.798)</f>
        <v>0.5795549604009987</v>
      </c>
      <c r="K7" s="32">
        <v>1902</v>
      </c>
      <c r="L7" s="33"/>
      <c r="Q7" s="113"/>
    </row>
    <row r="8" spans="1:12" s="3" customFormat="1" ht="25.5">
      <c r="A8" s="16"/>
      <c r="B8" s="118"/>
      <c r="C8" s="16" t="s">
        <v>54</v>
      </c>
      <c r="D8" s="16">
        <v>281</v>
      </c>
      <c r="E8" s="16"/>
      <c r="F8" s="16">
        <v>251</v>
      </c>
      <c r="G8" s="81" t="s">
        <v>52</v>
      </c>
      <c r="H8" s="17">
        <v>0.886</v>
      </c>
      <c r="I8" s="30">
        <v>1.629</v>
      </c>
      <c r="J8" s="31">
        <f>LOG(2.285)</f>
        <v>0.35888620440586905</v>
      </c>
      <c r="K8" s="32"/>
      <c r="L8" s="33"/>
    </row>
    <row r="9" spans="1:12" s="3" customFormat="1" ht="25.5">
      <c r="A9" s="16"/>
      <c r="B9" s="118"/>
      <c r="C9" s="16"/>
      <c r="D9" s="16"/>
      <c r="E9" s="28"/>
      <c r="F9" s="29"/>
      <c r="G9" s="15"/>
      <c r="H9" s="17"/>
      <c r="I9" s="30"/>
      <c r="J9" s="31"/>
      <c r="K9" s="32"/>
      <c r="L9" s="33"/>
    </row>
    <row r="10" spans="1:12" s="3" customFormat="1" ht="25.5">
      <c r="A10" s="16">
        <f>+A7+1</f>
        <v>3</v>
      </c>
      <c r="B10" s="127" t="s">
        <v>28</v>
      </c>
      <c r="C10" s="16">
        <v>2015</v>
      </c>
      <c r="D10" s="16">
        <v>8</v>
      </c>
      <c r="E10" s="28">
        <v>0</v>
      </c>
      <c r="F10" s="29">
        <f>E10+D10</f>
        <v>8</v>
      </c>
      <c r="G10" s="15" t="s">
        <v>53</v>
      </c>
      <c r="H10" s="17">
        <v>0.007</v>
      </c>
      <c r="I10" s="30">
        <v>0.153</v>
      </c>
      <c r="J10" s="31">
        <f>LOG(0.974)</f>
        <v>-0.011441043121384482</v>
      </c>
      <c r="K10" s="32">
        <v>1569</v>
      </c>
      <c r="L10" s="33"/>
    </row>
    <row r="11" spans="1:12" s="3" customFormat="1" ht="25.5">
      <c r="A11" s="16"/>
      <c r="B11" s="118"/>
      <c r="C11" s="16" t="s">
        <v>54</v>
      </c>
      <c r="D11" s="16">
        <v>247</v>
      </c>
      <c r="E11" s="16"/>
      <c r="F11" s="16">
        <v>239</v>
      </c>
      <c r="G11" s="16" t="s">
        <v>55</v>
      </c>
      <c r="H11" s="17">
        <v>0.851</v>
      </c>
      <c r="I11" s="30">
        <v>1.409</v>
      </c>
      <c r="J11" s="31">
        <f>LOG(1.041)</f>
        <v>0.017450729510536125</v>
      </c>
      <c r="K11" s="32"/>
      <c r="L11" s="33"/>
    </row>
    <row r="12" spans="1:12" s="3" customFormat="1" ht="25.5">
      <c r="A12" s="16"/>
      <c r="B12" s="118"/>
      <c r="C12" s="16"/>
      <c r="D12" s="16"/>
      <c r="E12" s="28"/>
      <c r="F12" s="29"/>
      <c r="G12" s="16"/>
      <c r="H12" s="17"/>
      <c r="I12" s="30"/>
      <c r="J12" s="31"/>
      <c r="K12" s="32"/>
      <c r="L12" s="33"/>
    </row>
    <row r="13" spans="1:12" s="3" customFormat="1" ht="25.5">
      <c r="A13" s="16">
        <f>+A10+1</f>
        <v>4</v>
      </c>
      <c r="B13" s="118" t="s">
        <v>24</v>
      </c>
      <c r="C13" s="16">
        <v>2015</v>
      </c>
      <c r="D13" s="16">
        <v>29</v>
      </c>
      <c r="E13" s="28">
        <v>0</v>
      </c>
      <c r="F13" s="29">
        <f>E13+D13</f>
        <v>29</v>
      </c>
      <c r="G13" s="15" t="s">
        <v>56</v>
      </c>
      <c r="H13" s="17">
        <v>0.859</v>
      </c>
      <c r="I13" s="30">
        <v>1.261</v>
      </c>
      <c r="J13" s="31">
        <f>LOG(5.111)</f>
        <v>0.7085058809552369</v>
      </c>
      <c r="K13" s="32">
        <v>515</v>
      </c>
      <c r="L13" s="33"/>
    </row>
    <row r="14" spans="1:12" s="3" customFormat="1" ht="25.5">
      <c r="A14" s="16"/>
      <c r="B14" s="118"/>
      <c r="C14" s="16" t="s">
        <v>57</v>
      </c>
      <c r="D14" s="16">
        <v>436</v>
      </c>
      <c r="E14" s="28">
        <v>0</v>
      </c>
      <c r="F14" s="29">
        <f>E14+D14</f>
        <v>436</v>
      </c>
      <c r="G14" s="16" t="s">
        <v>58</v>
      </c>
      <c r="H14" s="17">
        <v>0.708</v>
      </c>
      <c r="I14" s="30">
        <v>1.336</v>
      </c>
      <c r="J14" s="31">
        <f>LOG(4.272)</f>
        <v>0.6306312440205001</v>
      </c>
      <c r="K14" s="32"/>
      <c r="L14" s="33"/>
    </row>
    <row r="15" spans="1:12" s="3" customFormat="1" ht="25.5">
      <c r="A15" s="16"/>
      <c r="B15" s="118"/>
      <c r="C15" s="16"/>
      <c r="D15" s="16"/>
      <c r="E15" s="28"/>
      <c r="F15" s="29"/>
      <c r="G15" s="16"/>
      <c r="H15" s="17"/>
      <c r="I15" s="30"/>
      <c r="J15" s="31"/>
      <c r="K15" s="32"/>
      <c r="L15" s="33"/>
    </row>
    <row r="16" spans="1:12" s="3" customFormat="1" ht="25.5">
      <c r="A16" s="16">
        <f>+A13+1</f>
        <v>5</v>
      </c>
      <c r="B16" s="118" t="s">
        <v>16</v>
      </c>
      <c r="C16" s="16">
        <v>2015</v>
      </c>
      <c r="D16" s="16">
        <v>29</v>
      </c>
      <c r="E16" s="28">
        <v>0</v>
      </c>
      <c r="F16" s="29">
        <f>E16+D16</f>
        <v>29</v>
      </c>
      <c r="G16" s="15" t="s">
        <v>60</v>
      </c>
      <c r="H16" s="17">
        <v>0.839</v>
      </c>
      <c r="I16" s="30">
        <v>1.114</v>
      </c>
      <c r="J16" s="31">
        <f>LOG(7.642)</f>
        <v>0.88320703335239</v>
      </c>
      <c r="K16" s="32">
        <v>539</v>
      </c>
      <c r="L16" s="33"/>
    </row>
    <row r="17" spans="1:12" s="3" customFormat="1" ht="25.5">
      <c r="A17" s="16"/>
      <c r="B17" s="118"/>
      <c r="C17" s="16" t="s">
        <v>59</v>
      </c>
      <c r="D17" s="16">
        <v>442</v>
      </c>
      <c r="E17" s="28">
        <v>0</v>
      </c>
      <c r="F17" s="29">
        <v>413</v>
      </c>
      <c r="G17" s="16" t="s">
        <v>61</v>
      </c>
      <c r="H17" s="17">
        <v>0.614</v>
      </c>
      <c r="I17" s="30">
        <v>1.215</v>
      </c>
      <c r="J17" s="31">
        <f>LOG(5.068)</f>
        <v>0.7048366062114036</v>
      </c>
      <c r="K17" s="32"/>
      <c r="L17" s="33"/>
    </row>
    <row r="18" spans="1:12" s="3" customFormat="1" ht="25.5">
      <c r="A18" s="16"/>
      <c r="B18" s="118"/>
      <c r="C18" s="16"/>
      <c r="D18" s="16"/>
      <c r="E18" s="28"/>
      <c r="F18" s="29"/>
      <c r="G18" s="16"/>
      <c r="H18" s="17"/>
      <c r="I18" s="30"/>
      <c r="J18" s="31"/>
      <c r="K18" s="32"/>
      <c r="L18" s="33"/>
    </row>
    <row r="19" spans="1:12" s="3" customFormat="1" ht="25.5">
      <c r="A19" s="16">
        <f>+A16+1</f>
        <v>6</v>
      </c>
      <c r="B19" s="118" t="s">
        <v>29</v>
      </c>
      <c r="C19" s="16">
        <v>2015</v>
      </c>
      <c r="D19" s="80">
        <v>30</v>
      </c>
      <c r="E19" s="28">
        <v>0</v>
      </c>
      <c r="F19" s="29">
        <v>30</v>
      </c>
      <c r="G19" s="15" t="s">
        <v>62</v>
      </c>
      <c r="H19" s="17">
        <v>0.788</v>
      </c>
      <c r="I19" s="30">
        <v>1.41</v>
      </c>
      <c r="J19" s="31">
        <f>LOG(2.405)</f>
        <v>0.38111508070985056</v>
      </c>
      <c r="K19" s="32">
        <v>5289</v>
      </c>
      <c r="L19" s="33"/>
    </row>
    <row r="20" spans="1:12" s="3" customFormat="1" ht="25.5">
      <c r="A20" s="16"/>
      <c r="B20" s="118"/>
      <c r="C20" s="16" t="s">
        <v>54</v>
      </c>
      <c r="D20" s="16">
        <v>305</v>
      </c>
      <c r="E20" s="28"/>
      <c r="F20" s="29">
        <v>275</v>
      </c>
      <c r="G20" s="16" t="s">
        <v>63</v>
      </c>
      <c r="H20" s="17">
        <v>0.89</v>
      </c>
      <c r="I20" s="30">
        <v>1.516</v>
      </c>
      <c r="J20" s="31">
        <f>LOG(89.23)</f>
        <v>1.9505108929859967</v>
      </c>
      <c r="K20" s="32"/>
      <c r="L20" s="33"/>
    </row>
    <row r="21" spans="1:12" s="3" customFormat="1" ht="25.5">
      <c r="A21" s="16"/>
      <c r="B21" s="118"/>
      <c r="C21" s="16"/>
      <c r="D21" s="16"/>
      <c r="E21" s="28"/>
      <c r="F21" s="29"/>
      <c r="G21" s="16"/>
      <c r="H21" s="17"/>
      <c r="I21" s="30"/>
      <c r="J21" s="31"/>
      <c r="K21" s="32"/>
      <c r="L21" s="33"/>
    </row>
    <row r="22" spans="1:12" s="3" customFormat="1" ht="25.5">
      <c r="A22" s="16">
        <v>7</v>
      </c>
      <c r="B22" s="118" t="s">
        <v>25</v>
      </c>
      <c r="C22" s="16">
        <v>2015</v>
      </c>
      <c r="D22" s="16">
        <v>22</v>
      </c>
      <c r="E22" s="28">
        <v>0</v>
      </c>
      <c r="F22" s="29">
        <v>22</v>
      </c>
      <c r="G22" s="15" t="s">
        <v>64</v>
      </c>
      <c r="H22" s="17">
        <v>0.756</v>
      </c>
      <c r="I22" s="30">
        <v>1.156</v>
      </c>
      <c r="J22" s="31">
        <f>LOG(1.903)</f>
        <v>0.27943878828702046</v>
      </c>
      <c r="K22" s="32">
        <v>14814</v>
      </c>
      <c r="L22" s="33"/>
    </row>
    <row r="23" spans="1:12" s="3" customFormat="1" ht="25.5">
      <c r="A23" s="16"/>
      <c r="B23" s="118"/>
      <c r="C23" s="16" t="s">
        <v>57</v>
      </c>
      <c r="D23" s="16">
        <v>262</v>
      </c>
      <c r="E23" s="28">
        <v>0</v>
      </c>
      <c r="F23" s="29">
        <v>240</v>
      </c>
      <c r="G23" s="16" t="s">
        <v>65</v>
      </c>
      <c r="H23" s="17">
        <v>0.894</v>
      </c>
      <c r="I23" s="30">
        <v>1.344</v>
      </c>
      <c r="J23" s="31">
        <f>LOG(1.404)</f>
        <v>0.14736710779378645</v>
      </c>
      <c r="K23" s="32"/>
      <c r="L23" s="33"/>
    </row>
    <row r="24" spans="1:12" s="3" customFormat="1" ht="25.5">
      <c r="A24" s="16"/>
      <c r="B24" s="118"/>
      <c r="C24" s="16"/>
      <c r="D24" s="16"/>
      <c r="E24" s="28"/>
      <c r="F24" s="29"/>
      <c r="G24" s="16"/>
      <c r="H24" s="17"/>
      <c r="I24" s="30"/>
      <c r="J24" s="31"/>
      <c r="K24" s="32"/>
      <c r="L24" s="33"/>
    </row>
    <row r="25" spans="1:12" s="3" customFormat="1" ht="25.5">
      <c r="A25" s="16">
        <v>8</v>
      </c>
      <c r="B25" s="118" t="s">
        <v>45</v>
      </c>
      <c r="C25" s="16">
        <v>2015</v>
      </c>
      <c r="D25" s="16">
        <v>22</v>
      </c>
      <c r="E25" s="28">
        <v>0</v>
      </c>
      <c r="F25" s="29">
        <v>22</v>
      </c>
      <c r="G25" s="116" t="s">
        <v>114</v>
      </c>
      <c r="H25" s="17">
        <v>0.895</v>
      </c>
      <c r="I25" s="30">
        <v>1.161</v>
      </c>
      <c r="J25" s="31">
        <f>LOG(1.968)</f>
        <v>0.2940250940953227</v>
      </c>
      <c r="K25" s="32">
        <v>14814</v>
      </c>
      <c r="L25" s="33"/>
    </row>
    <row r="26" spans="1:12" s="3" customFormat="1" ht="25.5">
      <c r="A26" s="16"/>
      <c r="B26" s="118"/>
      <c r="C26" s="16" t="s">
        <v>66</v>
      </c>
      <c r="D26" s="16">
        <v>56</v>
      </c>
      <c r="E26" s="28">
        <v>0</v>
      </c>
      <c r="F26" s="29">
        <v>34</v>
      </c>
      <c r="G26" s="16" t="s">
        <v>67</v>
      </c>
      <c r="H26" s="17">
        <v>0.919</v>
      </c>
      <c r="I26" s="30">
        <v>1.25</v>
      </c>
      <c r="J26" s="31">
        <f>LOG(1.485)</f>
        <v>0.1717264536532312</v>
      </c>
      <c r="K26" s="32"/>
      <c r="L26" s="33"/>
    </row>
    <row r="27" spans="1:12" s="3" customFormat="1" ht="25.5">
      <c r="A27" s="16"/>
      <c r="B27" s="118"/>
      <c r="C27" s="16"/>
      <c r="D27" s="16"/>
      <c r="E27" s="28"/>
      <c r="F27" s="29"/>
      <c r="G27" s="16"/>
      <c r="H27" s="17"/>
      <c r="I27" s="30"/>
      <c r="J27" s="31"/>
      <c r="K27" s="32"/>
      <c r="L27" s="33"/>
    </row>
    <row r="28" spans="1:12" s="3" customFormat="1" ht="25.5">
      <c r="A28" s="16">
        <v>9</v>
      </c>
      <c r="B28" s="118" t="s">
        <v>26</v>
      </c>
      <c r="C28" s="16">
        <v>2015</v>
      </c>
      <c r="D28" s="16">
        <v>32</v>
      </c>
      <c r="E28" s="28">
        <v>0</v>
      </c>
      <c r="F28" s="29">
        <f>E28+D28</f>
        <v>32</v>
      </c>
      <c r="G28" s="15" t="s">
        <v>68</v>
      </c>
      <c r="H28" s="17">
        <v>0.697</v>
      </c>
      <c r="I28" s="30">
        <v>1.521</v>
      </c>
      <c r="J28" s="31">
        <f>LOG(1.01)</f>
        <v>0.004321373782642578</v>
      </c>
      <c r="K28" s="32">
        <v>3090</v>
      </c>
      <c r="L28" s="33"/>
    </row>
    <row r="29" spans="1:14" s="3" customFormat="1" ht="25.5">
      <c r="A29" s="16"/>
      <c r="B29" s="118"/>
      <c r="C29" s="16" t="s">
        <v>57</v>
      </c>
      <c r="D29" s="16">
        <v>429</v>
      </c>
      <c r="E29" s="28">
        <v>0</v>
      </c>
      <c r="F29" s="29">
        <f>E29+D29</f>
        <v>429</v>
      </c>
      <c r="G29" s="16" t="s">
        <v>69</v>
      </c>
      <c r="H29" s="17">
        <v>0.527</v>
      </c>
      <c r="I29" s="30">
        <v>1.601</v>
      </c>
      <c r="J29" s="31">
        <f>LOG(0.888)</f>
        <v>-0.05158703422139897</v>
      </c>
      <c r="K29" s="32"/>
      <c r="L29" s="33"/>
      <c r="N29" s="3" t="s">
        <v>44</v>
      </c>
    </row>
    <row r="30" spans="1:12" s="3" customFormat="1" ht="25.5">
      <c r="A30" s="16"/>
      <c r="B30" s="118"/>
      <c r="C30" s="16"/>
      <c r="D30" s="16"/>
      <c r="E30" s="28"/>
      <c r="F30" s="29"/>
      <c r="G30" s="16"/>
      <c r="H30" s="17"/>
      <c r="I30" s="30"/>
      <c r="J30" s="31"/>
      <c r="K30" s="32"/>
      <c r="L30" s="33"/>
    </row>
    <row r="31" spans="1:12" s="3" customFormat="1" ht="25.5">
      <c r="A31" s="16">
        <v>10</v>
      </c>
      <c r="B31" s="118" t="s">
        <v>27</v>
      </c>
      <c r="C31" s="16">
        <v>2015</v>
      </c>
      <c r="D31" s="16">
        <v>28</v>
      </c>
      <c r="E31" s="28">
        <v>0</v>
      </c>
      <c r="F31" s="29">
        <f>E31+D31</f>
        <v>28</v>
      </c>
      <c r="G31" s="15" t="s">
        <v>70</v>
      </c>
      <c r="H31" s="17">
        <v>0.737</v>
      </c>
      <c r="I31" s="30">
        <v>1.076</v>
      </c>
      <c r="J31" s="31">
        <f>LOG(2.181)</f>
        <v>0.3386556655787003</v>
      </c>
      <c r="K31" s="32">
        <v>1541</v>
      </c>
      <c r="L31" s="36"/>
    </row>
    <row r="32" spans="1:12" s="3" customFormat="1" ht="25.5">
      <c r="A32" s="16"/>
      <c r="B32" s="118"/>
      <c r="C32" s="16" t="s">
        <v>57</v>
      </c>
      <c r="D32" s="16">
        <v>410</v>
      </c>
      <c r="E32" s="28">
        <v>0</v>
      </c>
      <c r="F32" s="29">
        <f>E32+D32</f>
        <v>410</v>
      </c>
      <c r="G32" s="16" t="s">
        <v>71</v>
      </c>
      <c r="H32" s="17">
        <v>0.845</v>
      </c>
      <c r="I32" s="30">
        <v>1.436</v>
      </c>
      <c r="J32" s="31">
        <f>LOG(2.27)</f>
        <v>0.35602585719312274</v>
      </c>
      <c r="K32" s="32"/>
      <c r="L32" s="36"/>
    </row>
    <row r="33" spans="1:12" s="3" customFormat="1" ht="25.5">
      <c r="A33" s="16"/>
      <c r="B33" s="118"/>
      <c r="C33" s="16"/>
      <c r="D33" s="16"/>
      <c r="E33" s="28"/>
      <c r="F33" s="29"/>
      <c r="G33" s="16"/>
      <c r="H33" s="17"/>
      <c r="I33" s="30"/>
      <c r="J33" s="31"/>
      <c r="K33" s="32"/>
      <c r="L33" s="36"/>
    </row>
    <row r="34" spans="1:12" s="3" customFormat="1" ht="25.5">
      <c r="A34" s="16">
        <v>11</v>
      </c>
      <c r="B34" s="127" t="s">
        <v>17</v>
      </c>
      <c r="C34" s="16">
        <v>2015</v>
      </c>
      <c r="D34" s="16">
        <v>16</v>
      </c>
      <c r="E34" s="28">
        <v>0</v>
      </c>
      <c r="F34" s="29">
        <f>E34+D34</f>
        <v>16</v>
      </c>
      <c r="G34" s="15" t="s">
        <v>72</v>
      </c>
      <c r="H34" s="17">
        <v>0.903</v>
      </c>
      <c r="I34" s="30">
        <v>1.201</v>
      </c>
      <c r="J34" s="31">
        <f>LOG(3.999)</f>
        <v>0.6019514041335217</v>
      </c>
      <c r="K34" s="32">
        <v>547</v>
      </c>
      <c r="L34" s="36"/>
    </row>
    <row r="35" spans="1:12" s="3" customFormat="1" ht="25.5">
      <c r="A35" s="16"/>
      <c r="B35" s="118"/>
      <c r="C35" s="16" t="s">
        <v>59</v>
      </c>
      <c r="D35" s="16">
        <v>418</v>
      </c>
      <c r="E35" s="28">
        <v>0</v>
      </c>
      <c r="F35" s="29">
        <f>E35+D35</f>
        <v>418</v>
      </c>
      <c r="G35" s="16" t="s">
        <v>73</v>
      </c>
      <c r="H35" s="17">
        <v>0.599</v>
      </c>
      <c r="I35" s="30">
        <v>1.204</v>
      </c>
      <c r="J35" s="31">
        <f>LOG(2.06)</f>
        <v>0.31386722036915343</v>
      </c>
      <c r="K35" s="32"/>
      <c r="L35" s="36"/>
    </row>
    <row r="36" spans="1:12" s="3" customFormat="1" ht="25.5">
      <c r="A36" s="16"/>
      <c r="B36" s="118"/>
      <c r="C36" s="16"/>
      <c r="D36" s="16"/>
      <c r="E36" s="28"/>
      <c r="F36" s="29"/>
      <c r="G36" s="16"/>
      <c r="H36" s="17"/>
      <c r="I36" s="30"/>
      <c r="J36" s="31"/>
      <c r="K36" s="32"/>
      <c r="L36" s="36"/>
    </row>
    <row r="37" spans="1:12" s="3" customFormat="1" ht="25.5">
      <c r="A37" s="16">
        <f>+A34+1</f>
        <v>12</v>
      </c>
      <c r="B37" s="118" t="s">
        <v>30</v>
      </c>
      <c r="C37" s="16">
        <v>2015</v>
      </c>
      <c r="D37" s="16">
        <v>30</v>
      </c>
      <c r="E37" s="28">
        <v>0</v>
      </c>
      <c r="F37" s="29">
        <f>E37+D37</f>
        <v>30</v>
      </c>
      <c r="G37" s="15" t="s">
        <v>75</v>
      </c>
      <c r="H37" s="17">
        <v>0.68</v>
      </c>
      <c r="I37" s="30">
        <v>1.616</v>
      </c>
      <c r="J37" s="31">
        <f>LOG(1.731)</f>
        <v>0.2382970678753939</v>
      </c>
      <c r="K37" s="32">
        <v>134</v>
      </c>
      <c r="L37" s="36"/>
    </row>
    <row r="38" spans="1:12" s="3" customFormat="1" ht="25.5">
      <c r="A38" s="63"/>
      <c r="B38" s="119"/>
      <c r="C38" s="63" t="s">
        <v>74</v>
      </c>
      <c r="D38" s="63">
        <v>295</v>
      </c>
      <c r="E38" s="64">
        <v>0</v>
      </c>
      <c r="F38" s="65">
        <f>E38+D38</f>
        <v>295</v>
      </c>
      <c r="G38" s="63" t="s">
        <v>76</v>
      </c>
      <c r="H38" s="66">
        <v>0.674</v>
      </c>
      <c r="I38" s="67">
        <v>1.568</v>
      </c>
      <c r="J38" s="34">
        <f>LOG(1.504)</f>
        <v>0.17724783625562343</v>
      </c>
      <c r="K38" s="68"/>
      <c r="L38" s="69"/>
    </row>
    <row r="39" spans="1:12" s="3" customFormat="1" ht="25.5">
      <c r="A39" s="16"/>
      <c r="B39" s="118"/>
      <c r="C39" s="16"/>
      <c r="D39" s="16"/>
      <c r="E39" s="28"/>
      <c r="F39" s="29"/>
      <c r="G39" s="16"/>
      <c r="H39" s="17"/>
      <c r="I39" s="30"/>
      <c r="J39" s="31"/>
      <c r="K39" s="32"/>
      <c r="L39" s="36"/>
    </row>
    <row r="40" spans="1:12" s="3" customFormat="1" ht="25.5">
      <c r="A40" s="70">
        <f>+A37+1</f>
        <v>13</v>
      </c>
      <c r="B40" s="120" t="s">
        <v>31</v>
      </c>
      <c r="C40" s="70">
        <v>2015</v>
      </c>
      <c r="D40" s="70">
        <v>30</v>
      </c>
      <c r="E40" s="71">
        <v>0</v>
      </c>
      <c r="F40" s="72">
        <f>E40+D40</f>
        <v>30</v>
      </c>
      <c r="G40" s="78" t="s">
        <v>77</v>
      </c>
      <c r="H40" s="73">
        <v>0.665</v>
      </c>
      <c r="I40" s="74">
        <v>1.897</v>
      </c>
      <c r="J40" s="75">
        <f>LOG(2.603)</f>
        <v>0.41547416810923576</v>
      </c>
      <c r="K40" s="76">
        <v>129</v>
      </c>
      <c r="L40" s="77"/>
    </row>
    <row r="41" spans="1:12" s="3" customFormat="1" ht="25.5">
      <c r="A41" s="16"/>
      <c r="B41" s="118"/>
      <c r="C41" s="16" t="s">
        <v>74</v>
      </c>
      <c r="D41" s="16">
        <v>294</v>
      </c>
      <c r="E41" s="28">
        <v>0</v>
      </c>
      <c r="F41" s="29">
        <f>E41+D41</f>
        <v>294</v>
      </c>
      <c r="G41" s="16" t="s">
        <v>78</v>
      </c>
      <c r="H41" s="17">
        <v>0.723</v>
      </c>
      <c r="I41" s="30">
        <v>1.502</v>
      </c>
      <c r="J41" s="31">
        <f>LOG(1.866)</f>
        <v>0.2709116394104812</v>
      </c>
      <c r="K41" s="32"/>
      <c r="L41" s="36"/>
    </row>
    <row r="42" spans="1:12" s="3" customFormat="1" ht="25.5">
      <c r="A42" s="16"/>
      <c r="B42" s="118"/>
      <c r="C42" s="16"/>
      <c r="D42" s="16"/>
      <c r="E42" s="28"/>
      <c r="F42" s="29"/>
      <c r="G42" s="16"/>
      <c r="H42" s="17"/>
      <c r="I42" s="30"/>
      <c r="J42" s="31"/>
      <c r="K42" s="32"/>
      <c r="L42" s="36"/>
    </row>
    <row r="43" spans="1:12" s="3" customFormat="1" ht="25.5">
      <c r="A43" s="16">
        <f>+A40+1</f>
        <v>14</v>
      </c>
      <c r="B43" s="118" t="s">
        <v>32</v>
      </c>
      <c r="C43" s="16">
        <v>2015</v>
      </c>
      <c r="D43" s="16">
        <v>30</v>
      </c>
      <c r="E43" s="28">
        <v>0</v>
      </c>
      <c r="F43" s="29">
        <f>E43+D43</f>
        <v>30</v>
      </c>
      <c r="G43" s="15" t="s">
        <v>119</v>
      </c>
      <c r="H43" s="17">
        <v>0.5188</v>
      </c>
      <c r="I43" s="30">
        <v>1.1689</v>
      </c>
      <c r="J43" s="31">
        <f>LOG(2.463)</f>
        <v>0.39146441183910324</v>
      </c>
      <c r="K43" s="32">
        <v>389</v>
      </c>
      <c r="L43" s="36"/>
    </row>
    <row r="44" spans="1:12" s="3" customFormat="1" ht="25.5">
      <c r="A44" s="16"/>
      <c r="B44" s="118"/>
      <c r="C44" s="16" t="s">
        <v>74</v>
      </c>
      <c r="D44" s="16">
        <v>344</v>
      </c>
      <c r="E44" s="28">
        <v>0</v>
      </c>
      <c r="F44" s="29">
        <f>E44+D44</f>
        <v>344</v>
      </c>
      <c r="G44" s="16" t="s">
        <v>120</v>
      </c>
      <c r="H44" s="17">
        <v>0.5511</v>
      </c>
      <c r="I44" s="30">
        <v>1.6573</v>
      </c>
      <c r="J44" s="31">
        <f>LOG(1.2193)</f>
        <v>0.08611057380131958</v>
      </c>
      <c r="K44" s="32"/>
      <c r="L44" s="36"/>
    </row>
    <row r="45" spans="1:12" s="3" customFormat="1" ht="25.5">
      <c r="A45" s="16"/>
      <c r="B45" s="118"/>
      <c r="C45" s="16"/>
      <c r="D45" s="16"/>
      <c r="E45" s="28"/>
      <c r="F45" s="29"/>
      <c r="G45" s="16"/>
      <c r="H45" s="17"/>
      <c r="I45" s="30"/>
      <c r="J45" s="31"/>
      <c r="K45" s="32"/>
      <c r="L45" s="36"/>
    </row>
    <row r="46" spans="1:12" s="3" customFormat="1" ht="25.5">
      <c r="A46" s="16">
        <f>+A43+1</f>
        <v>15</v>
      </c>
      <c r="B46" s="118" t="s">
        <v>33</v>
      </c>
      <c r="C46" s="16">
        <v>2015</v>
      </c>
      <c r="D46" s="16">
        <v>31</v>
      </c>
      <c r="E46" s="28">
        <v>0</v>
      </c>
      <c r="F46" s="29">
        <f>E46+D46</f>
        <v>31</v>
      </c>
      <c r="G46" s="15" t="s">
        <v>80</v>
      </c>
      <c r="H46" s="17">
        <v>0.755</v>
      </c>
      <c r="I46" s="30">
        <v>1.362</v>
      </c>
      <c r="J46" s="31">
        <f>LOG(4.778)</f>
        <v>0.6792461454138591</v>
      </c>
      <c r="K46" s="32">
        <v>493</v>
      </c>
      <c r="L46" s="36"/>
    </row>
    <row r="47" spans="1:12" s="3" customFormat="1" ht="25.5">
      <c r="A47" s="16"/>
      <c r="B47" s="118"/>
      <c r="C47" s="16" t="s">
        <v>79</v>
      </c>
      <c r="D47" s="16">
        <v>351</v>
      </c>
      <c r="E47" s="28">
        <v>0</v>
      </c>
      <c r="F47" s="29">
        <f>E47+D47</f>
        <v>351</v>
      </c>
      <c r="G47" s="16" t="s">
        <v>81</v>
      </c>
      <c r="H47" s="17">
        <v>0.474</v>
      </c>
      <c r="I47" s="30">
        <v>1.295</v>
      </c>
      <c r="J47" s="31">
        <f>LOG(2.56)</f>
        <v>0.4082399653118496</v>
      </c>
      <c r="K47" s="32"/>
      <c r="L47" s="36"/>
    </row>
    <row r="48" spans="1:12" s="3" customFormat="1" ht="25.5">
      <c r="A48" s="16"/>
      <c r="B48" s="118"/>
      <c r="C48" s="16"/>
      <c r="D48" s="16"/>
      <c r="E48" s="28"/>
      <c r="F48" s="29"/>
      <c r="G48" s="16"/>
      <c r="H48" s="17"/>
      <c r="I48" s="30"/>
      <c r="J48" s="31"/>
      <c r="K48" s="32"/>
      <c r="L48" s="36"/>
    </row>
    <row r="49" spans="1:12" s="3" customFormat="1" ht="25.5">
      <c r="A49" s="16">
        <v>16</v>
      </c>
      <c r="B49" s="118" t="s">
        <v>46</v>
      </c>
      <c r="C49" s="16">
        <v>2015</v>
      </c>
      <c r="D49" s="16">
        <v>29</v>
      </c>
      <c r="E49" s="28">
        <v>0</v>
      </c>
      <c r="F49" s="29">
        <f>E49+D49</f>
        <v>29</v>
      </c>
      <c r="G49" s="15" t="s">
        <v>82</v>
      </c>
      <c r="H49" s="17">
        <v>0.845</v>
      </c>
      <c r="I49" s="30">
        <v>2.474</v>
      </c>
      <c r="J49" s="31">
        <f>LOG(0.301)</f>
        <v>-0.5214335044061567</v>
      </c>
      <c r="K49" s="32">
        <v>1653</v>
      </c>
      <c r="L49" s="36"/>
    </row>
    <row r="50" spans="1:12" s="3" customFormat="1" ht="25.5">
      <c r="A50" s="16"/>
      <c r="B50" s="118"/>
      <c r="C50" s="16" t="s">
        <v>66</v>
      </c>
      <c r="D50" s="16">
        <v>73</v>
      </c>
      <c r="E50" s="28">
        <v>0</v>
      </c>
      <c r="F50" s="29">
        <f>E50+D50</f>
        <v>73</v>
      </c>
      <c r="G50" s="16" t="s">
        <v>83</v>
      </c>
      <c r="H50" s="17">
        <v>0.828</v>
      </c>
      <c r="I50" s="30">
        <v>2.181</v>
      </c>
      <c r="J50" s="31">
        <f>LOG(0.417)</f>
        <v>-0.3798639450262425</v>
      </c>
      <c r="K50" s="32"/>
      <c r="L50" s="36"/>
    </row>
    <row r="51" spans="1:12" s="3" customFormat="1" ht="25.5">
      <c r="A51" s="16"/>
      <c r="B51" s="121"/>
      <c r="C51" s="16"/>
      <c r="D51" s="16"/>
      <c r="E51" s="28"/>
      <c r="F51" s="29"/>
      <c r="G51" s="16"/>
      <c r="H51" s="17"/>
      <c r="I51" s="30"/>
      <c r="J51" s="31"/>
      <c r="K51" s="32"/>
      <c r="L51" s="36"/>
    </row>
    <row r="52" spans="1:12" s="3" customFormat="1" ht="25.5">
      <c r="A52" s="16">
        <v>17</v>
      </c>
      <c r="B52" s="118" t="s">
        <v>47</v>
      </c>
      <c r="C52" s="16">
        <v>2015</v>
      </c>
      <c r="D52" s="16">
        <v>29</v>
      </c>
      <c r="E52" s="28">
        <v>0</v>
      </c>
      <c r="F52" s="29">
        <v>29</v>
      </c>
      <c r="G52" s="116" t="s">
        <v>115</v>
      </c>
      <c r="H52" s="17">
        <v>0.812</v>
      </c>
      <c r="I52" s="30">
        <v>2.558</v>
      </c>
      <c r="J52" s="31">
        <f>LOG(0.214)</f>
        <v>-0.6695862266508091</v>
      </c>
      <c r="K52" s="32">
        <v>1653</v>
      </c>
      <c r="L52" s="36"/>
    </row>
    <row r="53" spans="1:12" s="3" customFormat="1" ht="25.5">
      <c r="A53" s="16"/>
      <c r="B53" s="118"/>
      <c r="C53" s="16" t="s">
        <v>66</v>
      </c>
      <c r="D53" s="16">
        <v>21</v>
      </c>
      <c r="E53" s="28">
        <v>0</v>
      </c>
      <c r="F53" s="29">
        <v>44</v>
      </c>
      <c r="G53" s="16" t="s">
        <v>84</v>
      </c>
      <c r="H53" s="17">
        <v>0.709</v>
      </c>
      <c r="I53" s="30">
        <v>2.287</v>
      </c>
      <c r="J53" s="31">
        <f>LOG(0.239)</f>
        <v>-0.6216020990518624</v>
      </c>
      <c r="K53" s="32"/>
      <c r="L53" s="36"/>
    </row>
    <row r="54" spans="1:12" s="3" customFormat="1" ht="25.5">
      <c r="A54" s="16"/>
      <c r="B54" s="118"/>
      <c r="C54" s="16"/>
      <c r="D54" s="16"/>
      <c r="E54" s="28"/>
      <c r="F54" s="29"/>
      <c r="G54" s="16"/>
      <c r="H54" s="17"/>
      <c r="I54" s="30"/>
      <c r="J54" s="31"/>
      <c r="K54" s="32"/>
      <c r="L54" s="36"/>
    </row>
    <row r="55" spans="1:12" s="3" customFormat="1" ht="25.5">
      <c r="A55" s="16">
        <v>18</v>
      </c>
      <c r="B55" s="127" t="s">
        <v>34</v>
      </c>
      <c r="C55" s="80">
        <v>2015</v>
      </c>
      <c r="D55" s="16">
        <v>16</v>
      </c>
      <c r="E55" s="28">
        <v>0</v>
      </c>
      <c r="F55" s="29">
        <f>E55+D55</f>
        <v>16</v>
      </c>
      <c r="G55" s="15" t="s">
        <v>85</v>
      </c>
      <c r="H55" s="17">
        <v>0.361</v>
      </c>
      <c r="I55" s="30">
        <v>0.849</v>
      </c>
      <c r="J55" s="31">
        <f>LOG(2.289)</f>
        <v>0.35964579267454294</v>
      </c>
      <c r="K55" s="32">
        <v>3478</v>
      </c>
      <c r="L55" s="36"/>
    </row>
    <row r="56" spans="1:12" s="3" customFormat="1" ht="25.5">
      <c r="A56" s="16"/>
      <c r="B56" s="118"/>
      <c r="C56" s="16" t="s">
        <v>54</v>
      </c>
      <c r="D56" s="16">
        <v>281</v>
      </c>
      <c r="E56" s="28"/>
      <c r="F56" s="29">
        <v>265</v>
      </c>
      <c r="G56" s="81" t="s">
        <v>86</v>
      </c>
      <c r="H56" s="17">
        <v>0.852</v>
      </c>
      <c r="I56" s="30">
        <v>1.629</v>
      </c>
      <c r="J56" s="31">
        <f>LOG(0.899)</f>
        <v>-0.046240308266771224</v>
      </c>
      <c r="K56" s="32"/>
      <c r="L56" s="36"/>
    </row>
    <row r="57" spans="1:12" s="3" customFormat="1" ht="25.5">
      <c r="A57" s="16"/>
      <c r="B57" s="118"/>
      <c r="C57" s="16"/>
      <c r="D57" s="16"/>
      <c r="E57" s="28"/>
      <c r="F57" s="29"/>
      <c r="G57" s="16"/>
      <c r="H57" s="17"/>
      <c r="I57" s="30"/>
      <c r="J57" s="31"/>
      <c r="K57" s="32"/>
      <c r="L57" s="36"/>
    </row>
    <row r="58" spans="1:12" s="3" customFormat="1" ht="25.5">
      <c r="A58" s="16">
        <f>+A55+1</f>
        <v>19</v>
      </c>
      <c r="B58" s="127" t="s">
        <v>13</v>
      </c>
      <c r="C58" s="80">
        <v>2015</v>
      </c>
      <c r="D58" s="16">
        <v>18</v>
      </c>
      <c r="E58" s="28">
        <v>0</v>
      </c>
      <c r="F58" s="29">
        <f>E58+D58</f>
        <v>18</v>
      </c>
      <c r="G58" s="15" t="s">
        <v>116</v>
      </c>
      <c r="H58" s="17">
        <v>0.641</v>
      </c>
      <c r="I58" s="30">
        <v>1.638</v>
      </c>
      <c r="J58" s="31">
        <f>LOG(0.274)</f>
        <v>-0.562249437179612</v>
      </c>
      <c r="K58" s="32">
        <v>8924</v>
      </c>
      <c r="L58" s="36"/>
    </row>
    <row r="59" spans="1:12" s="3" customFormat="1" ht="25.5">
      <c r="A59" s="16"/>
      <c r="B59" s="118"/>
      <c r="C59" s="16" t="s">
        <v>54</v>
      </c>
      <c r="D59" s="16">
        <v>274</v>
      </c>
      <c r="E59" s="28"/>
      <c r="F59" s="29">
        <v>256</v>
      </c>
      <c r="G59" s="81" t="s">
        <v>87</v>
      </c>
      <c r="H59" s="17">
        <v>0.84</v>
      </c>
      <c r="I59" s="30">
        <v>1.68</v>
      </c>
      <c r="J59" s="31">
        <f>LOG(0.408)</f>
        <v>-0.3893398369101201</v>
      </c>
      <c r="K59" s="32"/>
      <c r="L59" s="36"/>
    </row>
    <row r="60" spans="1:12" s="3" customFormat="1" ht="25.5">
      <c r="A60" s="16"/>
      <c r="B60" s="118"/>
      <c r="C60" s="16"/>
      <c r="D60" s="16"/>
      <c r="E60" s="28"/>
      <c r="F60" s="29"/>
      <c r="G60" s="16"/>
      <c r="H60" s="17"/>
      <c r="I60" s="30"/>
      <c r="J60" s="31"/>
      <c r="K60" s="32"/>
      <c r="L60" s="36"/>
    </row>
    <row r="61" spans="1:12" s="3" customFormat="1" ht="25.5">
      <c r="A61" s="16">
        <f>+A58+1</f>
        <v>20</v>
      </c>
      <c r="B61" s="127" t="s">
        <v>18</v>
      </c>
      <c r="C61" s="16">
        <v>2015</v>
      </c>
      <c r="D61" s="16">
        <v>14</v>
      </c>
      <c r="E61" s="28">
        <v>0</v>
      </c>
      <c r="F61" s="29">
        <f>E61+D61</f>
        <v>14</v>
      </c>
      <c r="G61" s="15" t="s">
        <v>88</v>
      </c>
      <c r="H61" s="17">
        <v>0.624</v>
      </c>
      <c r="I61" s="30">
        <v>1.26</v>
      </c>
      <c r="J61" s="31">
        <f>LOG(1.397)</f>
        <v>0.14519640611418191</v>
      </c>
      <c r="K61" s="32">
        <v>1392</v>
      </c>
      <c r="L61" s="36"/>
    </row>
    <row r="62" spans="1:12" s="3" customFormat="1" ht="25.5">
      <c r="A62" s="16"/>
      <c r="B62" s="118"/>
      <c r="C62" s="16" t="s">
        <v>59</v>
      </c>
      <c r="D62" s="16">
        <v>414</v>
      </c>
      <c r="E62" s="28">
        <v>0</v>
      </c>
      <c r="F62" s="29">
        <f>E62+D62</f>
        <v>414</v>
      </c>
      <c r="G62" s="16" t="s">
        <v>89</v>
      </c>
      <c r="H62" s="17">
        <v>0.292</v>
      </c>
      <c r="I62" s="30">
        <v>1.026</v>
      </c>
      <c r="J62" s="31">
        <f>LOG(1.857)</f>
        <v>0.2688119037397804</v>
      </c>
      <c r="K62" s="32"/>
      <c r="L62" s="36"/>
    </row>
    <row r="63" spans="1:12" s="3" customFormat="1" ht="25.5">
      <c r="A63" s="16"/>
      <c r="B63" s="118"/>
      <c r="C63" s="16"/>
      <c r="D63" s="16"/>
      <c r="E63" s="28"/>
      <c r="F63" s="29"/>
      <c r="G63" s="16"/>
      <c r="H63" s="17"/>
      <c r="I63" s="30"/>
      <c r="J63" s="31"/>
      <c r="K63" s="32"/>
      <c r="L63" s="36"/>
    </row>
    <row r="64" spans="1:12" s="3" customFormat="1" ht="25.5">
      <c r="A64" s="16">
        <v>21</v>
      </c>
      <c r="B64" s="118" t="s">
        <v>14</v>
      </c>
      <c r="C64" s="16">
        <v>2015</v>
      </c>
      <c r="D64" s="16">
        <v>26</v>
      </c>
      <c r="E64" s="28">
        <v>0</v>
      </c>
      <c r="F64" s="29">
        <f>E64+D64</f>
        <v>26</v>
      </c>
      <c r="G64" s="15" t="s">
        <v>91</v>
      </c>
      <c r="H64" s="17">
        <v>0.627</v>
      </c>
      <c r="I64" s="30">
        <v>1.031</v>
      </c>
      <c r="J64" s="31">
        <f>LOG(1.918)</f>
        <v>0.2828486028346448</v>
      </c>
      <c r="K64" s="32">
        <v>726</v>
      </c>
      <c r="L64" s="36"/>
    </row>
    <row r="65" spans="1:12" s="3" customFormat="1" ht="25.5">
      <c r="A65" s="16"/>
      <c r="B65" s="118"/>
      <c r="C65" s="16" t="s">
        <v>90</v>
      </c>
      <c r="D65" s="16">
        <v>540</v>
      </c>
      <c r="E65" s="28">
        <v>0</v>
      </c>
      <c r="F65" s="29">
        <f>E65+D65</f>
        <v>540</v>
      </c>
      <c r="G65" s="81" t="s">
        <v>92</v>
      </c>
      <c r="H65" s="114">
        <v>0.494</v>
      </c>
      <c r="I65" s="115">
        <v>1.182</v>
      </c>
      <c r="J65" s="31">
        <f>LOG(5.44)</f>
        <v>0.7355988996981799</v>
      </c>
      <c r="K65" s="32"/>
      <c r="L65" s="36"/>
    </row>
    <row r="66" spans="1:12" s="3" customFormat="1" ht="25.5">
      <c r="A66" s="16"/>
      <c r="B66" s="118"/>
      <c r="C66" s="16"/>
      <c r="D66" s="16"/>
      <c r="E66" s="28"/>
      <c r="F66" s="29"/>
      <c r="G66" s="16"/>
      <c r="H66" s="17"/>
      <c r="I66" s="30"/>
      <c r="J66" s="31"/>
      <c r="K66" s="32"/>
      <c r="L66" s="36"/>
    </row>
    <row r="67" spans="1:12" s="3" customFormat="1" ht="25.5">
      <c r="A67" s="37">
        <v>22</v>
      </c>
      <c r="B67" s="127" t="s">
        <v>41</v>
      </c>
      <c r="C67" s="16">
        <v>2015</v>
      </c>
      <c r="D67" s="16">
        <v>11</v>
      </c>
      <c r="E67" s="28">
        <v>0</v>
      </c>
      <c r="F67" s="29">
        <v>11</v>
      </c>
      <c r="G67" s="15" t="s">
        <v>117</v>
      </c>
      <c r="H67" s="17">
        <v>0.9194</v>
      </c>
      <c r="I67" s="30">
        <v>1.4405</v>
      </c>
      <c r="J67" s="31">
        <f>LOG(55.986)</f>
        <v>1.7480794398117596</v>
      </c>
      <c r="K67" s="32">
        <v>762</v>
      </c>
      <c r="L67" s="33"/>
    </row>
    <row r="68" spans="1:12" s="3" customFormat="1" ht="25.5">
      <c r="A68" s="37"/>
      <c r="B68" s="118"/>
      <c r="C68" s="16" t="s">
        <v>93</v>
      </c>
      <c r="D68" s="16">
        <v>206</v>
      </c>
      <c r="E68" s="28">
        <v>0</v>
      </c>
      <c r="F68" s="29">
        <v>195</v>
      </c>
      <c r="G68" s="16" t="s">
        <v>118</v>
      </c>
      <c r="H68" s="17">
        <v>0.8735</v>
      </c>
      <c r="I68" s="30">
        <v>1.3858</v>
      </c>
      <c r="J68" s="31">
        <f>LOG(97.928)</f>
        <v>1.9909068849274731</v>
      </c>
      <c r="K68" s="32"/>
      <c r="L68" s="33"/>
    </row>
    <row r="69" spans="1:12" s="3" customFormat="1" ht="25.5">
      <c r="A69" s="37"/>
      <c r="B69" s="118"/>
      <c r="C69" s="16"/>
      <c r="D69" s="16"/>
      <c r="E69" s="28"/>
      <c r="F69" s="29"/>
      <c r="G69" s="16"/>
      <c r="H69" s="17"/>
      <c r="I69" s="30"/>
      <c r="J69" s="31"/>
      <c r="K69" s="32"/>
      <c r="L69" s="33"/>
    </row>
    <row r="70" spans="1:12" s="7" customFormat="1" ht="22.5" customHeight="1">
      <c r="A70" s="37">
        <v>23</v>
      </c>
      <c r="B70" s="118" t="s">
        <v>15</v>
      </c>
      <c r="C70" s="16">
        <v>2015</v>
      </c>
      <c r="D70" s="16">
        <v>36</v>
      </c>
      <c r="E70" s="28">
        <v>0</v>
      </c>
      <c r="F70" s="29">
        <v>36</v>
      </c>
      <c r="G70" s="15" t="s">
        <v>95</v>
      </c>
      <c r="H70" s="17">
        <v>0.954</v>
      </c>
      <c r="I70" s="30">
        <v>1.438</v>
      </c>
      <c r="J70" s="31">
        <f>LOG(1.65)</f>
        <v>0.21748394421390627</v>
      </c>
      <c r="K70" s="32">
        <v>7624</v>
      </c>
      <c r="L70" s="33"/>
    </row>
    <row r="71" spans="1:12" s="7" customFormat="1" ht="22.5" customHeight="1">
      <c r="A71" s="37"/>
      <c r="B71" s="118"/>
      <c r="C71" s="16" t="s">
        <v>94</v>
      </c>
      <c r="D71" s="16">
        <v>556</v>
      </c>
      <c r="E71" s="28">
        <v>0</v>
      </c>
      <c r="F71" s="29">
        <v>520</v>
      </c>
      <c r="G71" s="16" t="s">
        <v>96</v>
      </c>
      <c r="H71" s="17">
        <v>0.411</v>
      </c>
      <c r="I71" s="30">
        <v>1.142</v>
      </c>
      <c r="J71" s="31">
        <f>LOG(1.297)</f>
        <v>0.11293997608408006</v>
      </c>
      <c r="K71" s="32"/>
      <c r="L71" s="44"/>
    </row>
    <row r="72" spans="1:12" s="7" customFormat="1" ht="22.5" customHeight="1">
      <c r="A72" s="46"/>
      <c r="B72" s="118"/>
      <c r="C72" s="16"/>
      <c r="D72" s="16"/>
      <c r="E72" s="28"/>
      <c r="F72" s="29"/>
      <c r="G72" s="16"/>
      <c r="H72" s="17"/>
      <c r="I72" s="30"/>
      <c r="J72" s="31"/>
      <c r="K72" s="32"/>
      <c r="L72" s="44"/>
    </row>
    <row r="73" spans="1:12" s="7" customFormat="1" ht="22.5" customHeight="1">
      <c r="A73" s="37">
        <v>24</v>
      </c>
      <c r="B73" s="122" t="s">
        <v>35</v>
      </c>
      <c r="C73" s="37">
        <v>2015</v>
      </c>
      <c r="D73" s="37">
        <v>31</v>
      </c>
      <c r="E73" s="38">
        <v>0</v>
      </c>
      <c r="F73" s="39">
        <v>31</v>
      </c>
      <c r="G73" s="18" t="s">
        <v>97</v>
      </c>
      <c r="H73" s="40">
        <v>0.951</v>
      </c>
      <c r="I73" s="41">
        <v>1.836</v>
      </c>
      <c r="J73" s="42">
        <f>LOG(1.017)</f>
        <v>0.0073209529227445565</v>
      </c>
      <c r="K73" s="43">
        <v>5410</v>
      </c>
      <c r="L73" s="44"/>
    </row>
    <row r="74" spans="1:12" s="7" customFormat="1" ht="22.5" customHeight="1">
      <c r="A74" s="46"/>
      <c r="B74" s="122"/>
      <c r="C74" s="37" t="s">
        <v>74</v>
      </c>
      <c r="D74" s="37">
        <v>308</v>
      </c>
      <c r="E74" s="38">
        <v>0</v>
      </c>
      <c r="F74" s="39">
        <v>277</v>
      </c>
      <c r="G74" s="37" t="s">
        <v>98</v>
      </c>
      <c r="H74" s="40">
        <v>0.837</v>
      </c>
      <c r="I74" s="41">
        <v>1.68</v>
      </c>
      <c r="J74" s="42">
        <f>LOG(0.869)</f>
        <v>-0.060980223551333534</v>
      </c>
      <c r="K74" s="43"/>
      <c r="L74" s="44"/>
    </row>
    <row r="75" spans="1:12" s="7" customFormat="1" ht="22.5" customHeight="1">
      <c r="A75" s="46"/>
      <c r="B75" s="122"/>
      <c r="C75" s="37"/>
      <c r="D75" s="37"/>
      <c r="E75" s="38"/>
      <c r="F75" s="39"/>
      <c r="G75" s="37"/>
      <c r="H75" s="40"/>
      <c r="I75" s="41"/>
      <c r="J75" s="42"/>
      <c r="K75" s="43"/>
      <c r="L75" s="45"/>
    </row>
    <row r="76" spans="1:12" s="7" customFormat="1" ht="22.5" customHeight="1">
      <c r="A76" s="54">
        <v>25</v>
      </c>
      <c r="B76" s="122" t="s">
        <v>36</v>
      </c>
      <c r="C76" s="37">
        <v>2015</v>
      </c>
      <c r="D76" s="37">
        <v>21</v>
      </c>
      <c r="E76" s="38">
        <v>0</v>
      </c>
      <c r="F76" s="39">
        <v>21</v>
      </c>
      <c r="G76" s="18" t="s">
        <v>100</v>
      </c>
      <c r="H76" s="40">
        <v>0.905</v>
      </c>
      <c r="I76" s="41">
        <v>1.432</v>
      </c>
      <c r="J76" s="42">
        <f>LOG(1.044)</f>
        <v>0.01870049866624337</v>
      </c>
      <c r="K76" s="43">
        <v>10360</v>
      </c>
      <c r="L76" s="53"/>
    </row>
    <row r="77" spans="1:12" s="7" customFormat="1" ht="22.5" customHeight="1">
      <c r="A77" s="54"/>
      <c r="B77" s="122"/>
      <c r="C77" s="37" t="s">
        <v>99</v>
      </c>
      <c r="D77" s="37">
        <v>281</v>
      </c>
      <c r="E77" s="38"/>
      <c r="F77" s="39">
        <v>260</v>
      </c>
      <c r="G77" s="37" t="s">
        <v>101</v>
      </c>
      <c r="H77" s="40">
        <v>0.795</v>
      </c>
      <c r="I77" s="41">
        <v>1.54</v>
      </c>
      <c r="J77" s="42">
        <f>LOG(0.837)</f>
        <v>-0.07727454200674003</v>
      </c>
      <c r="K77" s="43"/>
      <c r="L77" s="53"/>
    </row>
    <row r="78" spans="1:12" s="7" customFormat="1" ht="22.5" customHeight="1">
      <c r="A78" s="37"/>
      <c r="B78" s="123"/>
      <c r="C78" s="46"/>
      <c r="D78" s="46"/>
      <c r="E78" s="47"/>
      <c r="F78" s="48"/>
      <c r="G78" s="46"/>
      <c r="H78" s="49"/>
      <c r="I78" s="50"/>
      <c r="J78" s="51"/>
      <c r="K78" s="52"/>
      <c r="L78" s="53"/>
    </row>
    <row r="79" spans="1:12" s="7" customFormat="1" ht="22.5" customHeight="1">
      <c r="A79" s="37">
        <v>26</v>
      </c>
      <c r="B79" s="122" t="s">
        <v>37</v>
      </c>
      <c r="C79" s="37">
        <v>2015</v>
      </c>
      <c r="D79" s="37">
        <v>34</v>
      </c>
      <c r="E79" s="38">
        <v>0</v>
      </c>
      <c r="F79" s="39">
        <v>34</v>
      </c>
      <c r="G79" s="18" t="s">
        <v>102</v>
      </c>
      <c r="H79" s="40">
        <v>0.838</v>
      </c>
      <c r="I79" s="41">
        <v>2.054</v>
      </c>
      <c r="J79" s="42">
        <f>LOG(0.096)</f>
        <v>-1.0177287669604316</v>
      </c>
      <c r="K79" s="43">
        <v>4560</v>
      </c>
      <c r="L79" s="61"/>
    </row>
    <row r="80" spans="1:12" s="7" customFormat="1" ht="22.5" customHeight="1">
      <c r="A80" s="37"/>
      <c r="B80" s="123"/>
      <c r="C80" s="46" t="s">
        <v>74</v>
      </c>
      <c r="D80" s="46">
        <v>308</v>
      </c>
      <c r="E80" s="47">
        <v>0</v>
      </c>
      <c r="F80" s="48">
        <v>274</v>
      </c>
      <c r="G80" s="82" t="s">
        <v>103</v>
      </c>
      <c r="H80" s="40">
        <v>0.839</v>
      </c>
      <c r="I80" s="41">
        <v>1.93</v>
      </c>
      <c r="J80" s="42">
        <f>LOG(0.147)</f>
        <v>-0.8326826652518239</v>
      </c>
      <c r="K80" s="52"/>
      <c r="L80" s="61"/>
    </row>
    <row r="81" spans="1:12" s="7" customFormat="1" ht="22.5" customHeight="1">
      <c r="A81" s="37"/>
      <c r="B81" s="123"/>
      <c r="C81" s="46"/>
      <c r="D81" s="46"/>
      <c r="E81" s="47"/>
      <c r="F81" s="48"/>
      <c r="G81" s="46"/>
      <c r="H81" s="49"/>
      <c r="I81" s="50"/>
      <c r="J81" s="51"/>
      <c r="K81" s="52"/>
      <c r="L81" s="44"/>
    </row>
    <row r="82" spans="1:12" s="7" customFormat="1" ht="22.5" customHeight="1">
      <c r="A82" s="37">
        <v>27</v>
      </c>
      <c r="B82" s="124" t="s">
        <v>38</v>
      </c>
      <c r="C82" s="54">
        <v>2015</v>
      </c>
      <c r="D82" s="54">
        <v>29</v>
      </c>
      <c r="E82" s="55">
        <v>0</v>
      </c>
      <c r="F82" s="56">
        <v>29</v>
      </c>
      <c r="G82" s="19" t="s">
        <v>104</v>
      </c>
      <c r="H82" s="57">
        <v>0.735</v>
      </c>
      <c r="I82" s="58">
        <v>1.766</v>
      </c>
      <c r="J82" s="59">
        <f>LOG(0.454)</f>
        <v>-0.34294414714289606</v>
      </c>
      <c r="K82" s="60">
        <v>3476</v>
      </c>
      <c r="L82" s="44"/>
    </row>
    <row r="83" spans="1:12" s="7" customFormat="1" ht="22.5" customHeight="1">
      <c r="A83" s="37"/>
      <c r="B83" s="124"/>
      <c r="C83" s="54" t="s">
        <v>54</v>
      </c>
      <c r="D83" s="54">
        <v>298</v>
      </c>
      <c r="E83" s="55"/>
      <c r="F83" s="56">
        <v>269</v>
      </c>
      <c r="G83" s="83" t="s">
        <v>105</v>
      </c>
      <c r="H83" s="57">
        <v>0.793</v>
      </c>
      <c r="I83" s="58">
        <v>1.878</v>
      </c>
      <c r="J83" s="59">
        <f>LOG(0.245)</f>
        <v>-0.6108339156354675</v>
      </c>
      <c r="K83" s="60"/>
      <c r="L83" s="44"/>
    </row>
    <row r="84" spans="1:12" s="7" customFormat="1" ht="22.5" customHeight="1">
      <c r="A84" s="37"/>
      <c r="B84" s="122"/>
      <c r="C84" s="37"/>
      <c r="D84" s="37"/>
      <c r="E84" s="38"/>
      <c r="F84" s="39"/>
      <c r="G84" s="37"/>
      <c r="H84" s="40"/>
      <c r="I84" s="41"/>
      <c r="J84" s="42"/>
      <c r="K84" s="43"/>
      <c r="L84" s="44"/>
    </row>
    <row r="85" spans="1:12" s="7" customFormat="1" ht="22.5" customHeight="1">
      <c r="A85" s="37">
        <v>28</v>
      </c>
      <c r="B85" s="122" t="s">
        <v>42</v>
      </c>
      <c r="C85" s="37">
        <v>2015</v>
      </c>
      <c r="D85" s="37">
        <v>34</v>
      </c>
      <c r="E85" s="38">
        <v>0</v>
      </c>
      <c r="F85" s="39">
        <v>34</v>
      </c>
      <c r="G85" s="18" t="s">
        <v>106</v>
      </c>
      <c r="H85" s="40">
        <v>0.74</v>
      </c>
      <c r="I85" s="41">
        <v>1.476</v>
      </c>
      <c r="J85" s="42">
        <f>LOG(0.833)</f>
        <v>-0.07935499859321243</v>
      </c>
      <c r="K85" s="43">
        <v>620.7</v>
      </c>
      <c r="L85" s="44"/>
    </row>
    <row r="86" spans="1:12" s="7" customFormat="1" ht="22.5" customHeight="1">
      <c r="A86" s="37"/>
      <c r="B86" s="122"/>
      <c r="C86" s="37" t="s">
        <v>54</v>
      </c>
      <c r="D86" s="37">
        <v>263</v>
      </c>
      <c r="E86" s="38"/>
      <c r="F86" s="39">
        <v>229</v>
      </c>
      <c r="G86" s="37" t="s">
        <v>107</v>
      </c>
      <c r="H86" s="40">
        <v>0.742</v>
      </c>
      <c r="I86" s="41">
        <v>1.696</v>
      </c>
      <c r="J86" s="42">
        <f>LOG(0.637)</f>
        <v>-0.19586056766464957</v>
      </c>
      <c r="K86" s="43"/>
      <c r="L86" s="44"/>
    </row>
    <row r="87" spans="1:12" s="7" customFormat="1" ht="22.5" customHeight="1">
      <c r="A87" s="37"/>
      <c r="B87" s="122"/>
      <c r="C87" s="37"/>
      <c r="D87" s="37"/>
      <c r="E87" s="38"/>
      <c r="F87" s="39"/>
      <c r="G87" s="37"/>
      <c r="H87" s="40"/>
      <c r="I87" s="41"/>
      <c r="J87" s="42"/>
      <c r="K87" s="43"/>
      <c r="L87" s="44"/>
    </row>
    <row r="88" spans="1:12" s="7" customFormat="1" ht="22.5" customHeight="1">
      <c r="A88" s="79">
        <v>29</v>
      </c>
      <c r="B88" s="122" t="s">
        <v>19</v>
      </c>
      <c r="C88" s="37">
        <v>2015</v>
      </c>
      <c r="D88" s="37">
        <v>35</v>
      </c>
      <c r="E88" s="38">
        <v>0</v>
      </c>
      <c r="F88" s="39">
        <v>35</v>
      </c>
      <c r="G88" s="18" t="s">
        <v>108</v>
      </c>
      <c r="H88" s="40">
        <v>0.936</v>
      </c>
      <c r="I88" s="41">
        <v>1.487</v>
      </c>
      <c r="J88" s="42">
        <f>LOG(2.246)</f>
        <v>0.351409751925439</v>
      </c>
      <c r="K88" s="43">
        <v>2934</v>
      </c>
      <c r="L88" s="44"/>
    </row>
    <row r="89" spans="2:12" s="7" customFormat="1" ht="22.5" customHeight="1">
      <c r="B89" s="122"/>
      <c r="C89" s="37" t="s">
        <v>94</v>
      </c>
      <c r="D89" s="37">
        <v>547</v>
      </c>
      <c r="E89" s="38">
        <v>0</v>
      </c>
      <c r="F89" s="39">
        <v>515</v>
      </c>
      <c r="G89" s="82" t="s">
        <v>109</v>
      </c>
      <c r="H89" s="40">
        <v>0.934</v>
      </c>
      <c r="I89" s="41">
        <v>1.52</v>
      </c>
      <c r="J89" s="42">
        <f>LOG(3.306)</f>
        <v>0.5193028492354287</v>
      </c>
      <c r="K89" s="43"/>
      <c r="L89" s="44"/>
    </row>
    <row r="90" spans="2:12" s="7" customFormat="1" ht="22.5" customHeight="1">
      <c r="B90" s="122"/>
      <c r="C90" s="37"/>
      <c r="D90" s="37"/>
      <c r="E90" s="38"/>
      <c r="F90" s="39"/>
      <c r="G90" s="82"/>
      <c r="H90" s="40"/>
      <c r="I90" s="41"/>
      <c r="J90" s="42"/>
      <c r="K90" s="43"/>
      <c r="L90" s="44"/>
    </row>
    <row r="91" spans="1:12" s="7" customFormat="1" ht="22.5" customHeight="1">
      <c r="A91" s="79">
        <v>30</v>
      </c>
      <c r="B91" s="122" t="s">
        <v>39</v>
      </c>
      <c r="C91" s="37">
        <v>2015</v>
      </c>
      <c r="D91" s="37">
        <v>25</v>
      </c>
      <c r="E91" s="38">
        <v>0</v>
      </c>
      <c r="F91" s="39">
        <v>25</v>
      </c>
      <c r="G91" s="18" t="s">
        <v>110</v>
      </c>
      <c r="H91" s="40">
        <v>0.672</v>
      </c>
      <c r="I91" s="41">
        <v>2.235</v>
      </c>
      <c r="J91" s="42">
        <f>LOG(1.027)</f>
        <v>0.01157044359727816</v>
      </c>
      <c r="K91" s="43">
        <v>382</v>
      </c>
      <c r="L91" s="44"/>
    </row>
    <row r="92" spans="1:12" s="7" customFormat="1" ht="22.5" customHeight="1">
      <c r="A92" s="79"/>
      <c r="B92" s="122"/>
      <c r="C92" s="37" t="s">
        <v>74</v>
      </c>
      <c r="D92" s="37">
        <v>292</v>
      </c>
      <c r="E92" s="38">
        <v>0</v>
      </c>
      <c r="F92" s="39">
        <v>260</v>
      </c>
      <c r="G92" s="82" t="s">
        <v>111</v>
      </c>
      <c r="H92" s="40">
        <v>0.652</v>
      </c>
      <c r="I92" s="41">
        <v>1.94</v>
      </c>
      <c r="J92" s="42">
        <f>LOG(1.155)</f>
        <v>0.06258198422816312</v>
      </c>
      <c r="K92" s="43"/>
      <c r="L92" s="44"/>
    </row>
    <row r="93" spans="1:12" s="7" customFormat="1" ht="22.5" customHeight="1">
      <c r="A93" s="79"/>
      <c r="B93" s="122"/>
      <c r="C93" s="37"/>
      <c r="D93" s="37"/>
      <c r="E93" s="38"/>
      <c r="F93" s="39"/>
      <c r="G93" s="37"/>
      <c r="H93" s="40"/>
      <c r="I93" s="41"/>
      <c r="J93" s="42"/>
      <c r="K93" s="43"/>
      <c r="L93" s="44"/>
    </row>
    <row r="94" spans="1:12" s="7" customFormat="1" ht="22.5" customHeight="1">
      <c r="A94" s="79">
        <v>31</v>
      </c>
      <c r="B94" s="125" t="s">
        <v>20</v>
      </c>
      <c r="C94" s="37">
        <v>2015</v>
      </c>
      <c r="D94" s="37">
        <v>27</v>
      </c>
      <c r="E94" s="38">
        <v>0</v>
      </c>
      <c r="F94" s="39">
        <v>27</v>
      </c>
      <c r="G94" s="18" t="s">
        <v>112</v>
      </c>
      <c r="H94" s="40">
        <v>0.924</v>
      </c>
      <c r="I94" s="41">
        <v>1.367</v>
      </c>
      <c r="J94" s="42">
        <f>LOG(1.84)</f>
        <v>0.2648178230095365</v>
      </c>
      <c r="K94" s="43">
        <v>6155</v>
      </c>
      <c r="L94" s="44"/>
    </row>
    <row r="95" spans="1:12" s="3" customFormat="1" ht="25.5">
      <c r="A95" s="37"/>
      <c r="B95" s="122"/>
      <c r="C95" s="37" t="s">
        <v>74</v>
      </c>
      <c r="D95" s="37">
        <v>103</v>
      </c>
      <c r="E95" s="38">
        <v>0</v>
      </c>
      <c r="F95" s="39">
        <v>75</v>
      </c>
      <c r="G95" s="37" t="s">
        <v>113</v>
      </c>
      <c r="H95" s="40">
        <v>0.93</v>
      </c>
      <c r="I95" s="41">
        <v>1.18</v>
      </c>
      <c r="J95" s="42">
        <f>LOG(3.445)</f>
        <v>0.5371892262436446</v>
      </c>
      <c r="K95" s="62"/>
      <c r="L95" s="44"/>
    </row>
    <row r="96" spans="1:12" s="3" customFormat="1" ht="23.25">
      <c r="A96" s="84"/>
      <c r="B96" s="125"/>
      <c r="C96" s="84"/>
      <c r="D96" s="84"/>
      <c r="E96" s="84"/>
      <c r="F96" s="84"/>
      <c r="G96" s="84"/>
      <c r="H96" s="84"/>
      <c r="I96" s="84"/>
      <c r="J96" s="84"/>
      <c r="K96" s="84"/>
      <c r="L96" s="44"/>
    </row>
    <row r="97" spans="1:12" s="3" customFormat="1" ht="25.5">
      <c r="A97" s="37"/>
      <c r="B97" s="122"/>
      <c r="C97" s="37" t="s">
        <v>9</v>
      </c>
      <c r="D97" s="37">
        <v>8933</v>
      </c>
      <c r="E97" s="38">
        <v>0</v>
      </c>
      <c r="F97" s="39">
        <v>8596</v>
      </c>
      <c r="G97" s="18"/>
      <c r="H97" s="40"/>
      <c r="I97" s="41"/>
      <c r="J97" s="42"/>
      <c r="K97" s="43"/>
      <c r="L97" s="33"/>
    </row>
    <row r="98" spans="1:12" s="3" customFormat="1" ht="25.5">
      <c r="A98" s="85" t="s">
        <v>43</v>
      </c>
      <c r="B98" s="126"/>
      <c r="C98" s="112"/>
      <c r="D98" s="85"/>
      <c r="E98" s="86"/>
      <c r="F98" s="87"/>
      <c r="G98" s="85"/>
      <c r="H98" s="88"/>
      <c r="I98" s="89"/>
      <c r="J98" s="90"/>
      <c r="K98" s="91"/>
      <c r="L98" s="92"/>
    </row>
    <row r="99" spans="1:12" s="3" customFormat="1" ht="23.25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4"/>
    </row>
    <row r="100" spans="1:12" s="3" customFormat="1" ht="23.25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6"/>
    </row>
    <row r="101" spans="1:12" s="3" customFormat="1" ht="23.25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6"/>
    </row>
    <row r="102" spans="1:12" s="3" customFormat="1" ht="26.25">
      <c r="A102" s="97"/>
      <c r="B102" s="97"/>
      <c r="C102" s="97"/>
      <c r="D102" s="97"/>
      <c r="E102" s="98"/>
      <c r="F102" s="99"/>
      <c r="G102" s="97"/>
      <c r="H102" s="100"/>
      <c r="I102" s="101"/>
      <c r="J102" s="102"/>
      <c r="K102" s="97"/>
      <c r="L102" s="103"/>
    </row>
    <row r="103" spans="1:12" s="3" customFormat="1" ht="26.25">
      <c r="A103" s="104"/>
      <c r="B103" s="104"/>
      <c r="C103" s="104"/>
      <c r="D103" s="105"/>
      <c r="E103" s="106"/>
      <c r="F103" s="107"/>
      <c r="G103" s="108"/>
      <c r="H103" s="109"/>
      <c r="I103" s="108"/>
      <c r="J103" s="110"/>
      <c r="K103" s="111"/>
      <c r="L103" s="103"/>
    </row>
    <row r="104" spans="1:12" s="3" customFormat="1" ht="26.25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103"/>
    </row>
    <row r="105" spans="1:12" s="3" customFormat="1" ht="29.25">
      <c r="A105" s="8"/>
      <c r="B105" s="8"/>
      <c r="C105" s="8"/>
      <c r="D105" s="8"/>
      <c r="E105" s="8"/>
      <c r="F105" s="13"/>
      <c r="G105" s="1"/>
      <c r="H105" s="9"/>
      <c r="I105" s="1"/>
      <c r="J105" s="10"/>
      <c r="K105" s="1"/>
      <c r="L105" s="11"/>
    </row>
  </sheetData>
  <sheetProtection/>
  <mergeCells count="10">
    <mergeCell ref="C2:C3"/>
    <mergeCell ref="L2:L3"/>
    <mergeCell ref="H2:H3"/>
    <mergeCell ref="A1:L1"/>
    <mergeCell ref="D2:F2"/>
    <mergeCell ref="A2:A3"/>
    <mergeCell ref="B2:B3"/>
    <mergeCell ref="J2:J3"/>
    <mergeCell ref="I2:I3"/>
    <mergeCell ref="G2:G3"/>
  </mergeCells>
  <printOptions horizontalCentered="1"/>
  <pageMargins left="0.13" right="0" top="0.7874015748031497" bottom="0.5905511811023623" header="0.5118110236220472" footer="0.5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 Organize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 User</dc:creator>
  <cp:keywords/>
  <dc:description/>
  <cp:lastModifiedBy>noom</cp:lastModifiedBy>
  <cp:lastPrinted>2009-06-05T04:40:08Z</cp:lastPrinted>
  <dcterms:created xsi:type="dcterms:W3CDTF">2001-05-01T08:12:27Z</dcterms:created>
  <dcterms:modified xsi:type="dcterms:W3CDTF">2017-06-15T03:41:48Z</dcterms:modified>
  <cp:category/>
  <cp:version/>
  <cp:contentType/>
  <cp:contentStatus/>
</cp:coreProperties>
</file>