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6450" activeTab="0"/>
  </bookViews>
  <sheets>
    <sheet name="EQU2008" sheetId="1" r:id="rId1"/>
    <sheet name="EQU2008 (2)" sheetId="2" r:id="rId2"/>
  </sheets>
  <definedNames>
    <definedName name="_xlnm.Print_Titles" localSheetId="0">'EQU2008'!$1:$3</definedName>
    <definedName name="_xlnm.Print_Titles" localSheetId="1">'EQU2008 (2)'!$1:$3</definedName>
  </definedNames>
  <calcPr fullCalcOnLoad="1"/>
</workbook>
</file>

<file path=xl/sharedStrings.xml><?xml version="1.0" encoding="utf-8"?>
<sst xmlns="http://schemas.openxmlformats.org/spreadsheetml/2006/main" count="171" uniqueCount="135">
  <si>
    <t>CODE</t>
  </si>
  <si>
    <t>EQUATION</t>
  </si>
  <si>
    <t>b</t>
  </si>
  <si>
    <t>Log(a)</t>
  </si>
  <si>
    <t>R-Square</t>
  </si>
  <si>
    <t>No. of Samples</t>
  </si>
  <si>
    <t>Water year</t>
  </si>
  <si>
    <t>ที่</t>
  </si>
  <si>
    <t>Good</t>
  </si>
  <si>
    <t>Total</t>
  </si>
  <si>
    <t>N/A</t>
  </si>
  <si>
    <t>P.1</t>
  </si>
  <si>
    <t>P.4A</t>
  </si>
  <si>
    <t>P.24A</t>
  </si>
  <si>
    <t>P.64</t>
  </si>
  <si>
    <t>P.65</t>
  </si>
  <si>
    <t>W.3A</t>
  </si>
  <si>
    <t>W.17</t>
  </si>
  <si>
    <t>Y.1C</t>
  </si>
  <si>
    <t>Y.34</t>
  </si>
  <si>
    <r>
      <t xml:space="preserve">สมการประเมินตะกอนแขวนลอย  </t>
    </r>
    <r>
      <rPr>
        <b/>
        <sz val="18"/>
        <color indexed="10"/>
        <rFont val="DilleniaUPC"/>
        <family val="1"/>
      </rPr>
      <t>Y=aX</t>
    </r>
    <r>
      <rPr>
        <b/>
        <vertAlign val="superscript"/>
        <sz val="18"/>
        <color indexed="10"/>
        <rFont val="DilleniaUPC"/>
        <family val="1"/>
      </rPr>
      <t>b</t>
    </r>
  </si>
  <si>
    <t>P.14</t>
  </si>
  <si>
    <t>P.56A</t>
  </si>
  <si>
    <t>P.77</t>
  </si>
  <si>
    <t>W.16A</t>
  </si>
  <si>
    <t>W.20</t>
  </si>
  <si>
    <t>Y.36</t>
  </si>
  <si>
    <t>G.8</t>
  </si>
  <si>
    <t>KH.72</t>
  </si>
  <si>
    <t>KH.89</t>
  </si>
  <si>
    <t>I.14</t>
  </si>
  <si>
    <t>DA.</t>
  </si>
  <si>
    <t>sq.km.</t>
  </si>
  <si>
    <r>
      <t xml:space="preserve">Accept  Equations are shown in </t>
    </r>
    <r>
      <rPr>
        <sz val="16"/>
        <color indexed="10"/>
        <rFont val="DilleniaUPC"/>
        <family val="1"/>
      </rPr>
      <t>red</t>
    </r>
  </si>
  <si>
    <t xml:space="preserve">Date of N/A sample </t>
  </si>
  <si>
    <t>P.21</t>
  </si>
  <si>
    <t>P.71</t>
  </si>
  <si>
    <t>P.73</t>
  </si>
  <si>
    <t>P.75</t>
  </si>
  <si>
    <t>P.76</t>
  </si>
  <si>
    <t>P.5</t>
  </si>
  <si>
    <t>P.67</t>
  </si>
  <si>
    <t>P.79</t>
  </si>
  <si>
    <t>P.80</t>
  </si>
  <si>
    <t>P.82</t>
  </si>
  <si>
    <t>P.84</t>
  </si>
  <si>
    <t>W.1C</t>
  </si>
  <si>
    <t>Y.20</t>
  </si>
  <si>
    <t>Y.37</t>
  </si>
  <si>
    <t>N.1</t>
  </si>
  <si>
    <t>N.64</t>
  </si>
  <si>
    <t>G.9</t>
  </si>
  <si>
    <r>
      <t xml:space="preserve">สมการประเมินตะกอนแขวนลอย  </t>
    </r>
    <r>
      <rPr>
        <b/>
        <sz val="18"/>
        <color indexed="10"/>
        <rFont val="Angsana New"/>
        <family val="1"/>
      </rPr>
      <t>Y=aX</t>
    </r>
    <r>
      <rPr>
        <b/>
        <vertAlign val="superscript"/>
        <sz val="18"/>
        <color indexed="10"/>
        <rFont val="Angsana New"/>
        <family val="1"/>
      </rPr>
      <t>b</t>
    </r>
  </si>
  <si>
    <t>W.25</t>
  </si>
  <si>
    <t>N.65</t>
  </si>
  <si>
    <t>Accept  Equations are shown in red</t>
  </si>
  <si>
    <t xml:space="preserve"> </t>
  </si>
  <si>
    <t>P.73A</t>
  </si>
  <si>
    <t>P92</t>
  </si>
  <si>
    <t>P92 A</t>
  </si>
  <si>
    <t>Y.24</t>
  </si>
  <si>
    <t>1993 - 2016</t>
  </si>
  <si>
    <r>
      <t>Y=3.219X</t>
    </r>
    <r>
      <rPr>
        <vertAlign val="superscript"/>
        <sz val="16"/>
        <color indexed="10"/>
        <rFont val="Angsana New"/>
        <family val="1"/>
      </rPr>
      <t>1.315</t>
    </r>
  </si>
  <si>
    <r>
      <t>Y=1.1.526X</t>
    </r>
    <r>
      <rPr>
        <vertAlign val="superscript"/>
        <sz val="16"/>
        <color indexed="8"/>
        <rFont val="Angsana New"/>
        <family val="1"/>
      </rPr>
      <t>1.487</t>
    </r>
  </si>
  <si>
    <t>2007-2016</t>
  </si>
  <si>
    <r>
      <t>Y=5.495X</t>
    </r>
    <r>
      <rPr>
        <vertAlign val="superscript"/>
        <sz val="16"/>
        <color indexed="10"/>
        <rFont val="Angsana New"/>
        <family val="1"/>
      </rPr>
      <t>1.636</t>
    </r>
  </si>
  <si>
    <r>
      <t>Y=2.542X</t>
    </r>
    <r>
      <rPr>
        <vertAlign val="superscript"/>
        <sz val="16"/>
        <rFont val="Angsana New"/>
        <family val="1"/>
      </rPr>
      <t>1.614</t>
    </r>
  </si>
  <si>
    <r>
      <t>Y=1.147X</t>
    </r>
    <r>
      <rPr>
        <vertAlign val="superscript"/>
        <sz val="16"/>
        <color indexed="8"/>
        <rFont val="Angsana New"/>
        <family val="1"/>
      </rPr>
      <t>1.381</t>
    </r>
  </si>
  <si>
    <r>
      <t>Y=2.198X</t>
    </r>
    <r>
      <rPr>
        <vertAlign val="superscript"/>
        <sz val="16"/>
        <color indexed="10"/>
        <rFont val="Angsana New"/>
        <family val="1"/>
      </rPr>
      <t>1.190</t>
    </r>
  </si>
  <si>
    <t>2001 - 2016</t>
  </si>
  <si>
    <r>
      <t>Y=5.408x</t>
    </r>
    <r>
      <rPr>
        <vertAlign val="superscript"/>
        <sz val="16"/>
        <color indexed="10"/>
        <rFont val="Angsana New"/>
        <family val="1"/>
      </rPr>
      <t>1.408</t>
    </r>
  </si>
  <si>
    <r>
      <t>Y=4.342X</t>
    </r>
    <r>
      <rPr>
        <vertAlign val="superscript"/>
        <sz val="16"/>
        <color indexed="8"/>
        <rFont val="Angsana New"/>
        <family val="1"/>
      </rPr>
      <t>1.339</t>
    </r>
  </si>
  <si>
    <t>2000 - 2016</t>
  </si>
  <si>
    <r>
      <t>Y=7.894X</t>
    </r>
    <r>
      <rPr>
        <vertAlign val="superscript"/>
        <sz val="16"/>
        <color indexed="10"/>
        <rFont val="Angsana New"/>
        <family val="1"/>
      </rPr>
      <t>1.207</t>
    </r>
  </si>
  <si>
    <r>
      <t>Y=5.655X</t>
    </r>
    <r>
      <rPr>
        <vertAlign val="superscript"/>
        <sz val="16"/>
        <color indexed="8"/>
        <rFont val="Angsana New"/>
        <family val="1"/>
      </rPr>
      <t>1.298</t>
    </r>
  </si>
  <si>
    <r>
      <t>Y=3.661X</t>
    </r>
    <r>
      <rPr>
        <vertAlign val="superscript"/>
        <sz val="16"/>
        <color indexed="10"/>
        <rFont val="Angsana New"/>
        <family val="1"/>
      </rPr>
      <t>1.410</t>
    </r>
  </si>
  <si>
    <r>
      <t>Y=92.13X</t>
    </r>
    <r>
      <rPr>
        <vertAlign val="superscript"/>
        <sz val="16"/>
        <color indexed="8"/>
        <rFont val="Angsana New"/>
        <family val="1"/>
      </rPr>
      <t>1.495</t>
    </r>
  </si>
  <si>
    <r>
      <t>Y=1.369X</t>
    </r>
    <r>
      <rPr>
        <vertAlign val="superscript"/>
        <sz val="16"/>
        <color indexed="10"/>
        <rFont val="Angsana New"/>
        <family val="1"/>
      </rPr>
      <t>1.499</t>
    </r>
  </si>
  <si>
    <r>
      <t>Y=1.426X</t>
    </r>
    <r>
      <rPr>
        <vertAlign val="superscript"/>
        <sz val="16"/>
        <color indexed="8"/>
        <rFont val="Angsana New"/>
        <family val="1"/>
      </rPr>
      <t>1.354</t>
    </r>
  </si>
  <si>
    <t>2013 - 2016</t>
  </si>
  <si>
    <r>
      <t>Y=2.255X</t>
    </r>
    <r>
      <rPr>
        <vertAlign val="superscript"/>
        <sz val="16"/>
        <color indexed="10"/>
        <rFont val="Angsana New"/>
        <family val="1"/>
      </rPr>
      <t>1.397</t>
    </r>
  </si>
  <si>
    <r>
      <t>Y=1.534X</t>
    </r>
    <r>
      <rPr>
        <vertAlign val="superscript"/>
        <sz val="16"/>
        <color indexed="8"/>
        <rFont val="Angsana New"/>
        <family val="1"/>
      </rPr>
      <t>1.338</t>
    </r>
  </si>
  <si>
    <r>
      <t>Y=1.667X</t>
    </r>
    <r>
      <rPr>
        <vertAlign val="superscript"/>
        <sz val="16"/>
        <color indexed="10"/>
        <rFont val="Angsana New"/>
        <family val="1"/>
      </rPr>
      <t>1.599</t>
    </r>
  </si>
  <si>
    <r>
      <t>Y=0.976X</t>
    </r>
    <r>
      <rPr>
        <vertAlign val="superscript"/>
        <sz val="16"/>
        <color indexed="8"/>
        <rFont val="Angsana New"/>
        <family val="1"/>
      </rPr>
      <t>1.583</t>
    </r>
  </si>
  <si>
    <r>
      <t>Y=2.489X</t>
    </r>
    <r>
      <rPr>
        <vertAlign val="superscript"/>
        <sz val="16"/>
        <color indexed="10"/>
        <rFont val="Angsana New"/>
        <family val="1"/>
      </rPr>
      <t>1.451</t>
    </r>
  </si>
  <si>
    <r>
      <t>Y=2.282X</t>
    </r>
    <r>
      <rPr>
        <vertAlign val="superscript"/>
        <sz val="16"/>
        <color indexed="8"/>
        <rFont val="Angsana New"/>
        <family val="1"/>
      </rPr>
      <t>1.436</t>
    </r>
  </si>
  <si>
    <r>
      <t>Y=2.831X</t>
    </r>
    <r>
      <rPr>
        <vertAlign val="superscript"/>
        <sz val="16"/>
        <color indexed="10"/>
        <rFont val="Angsana New"/>
        <family val="1"/>
      </rPr>
      <t>1.255</t>
    </r>
  </si>
  <si>
    <r>
      <t>Y=2.102X</t>
    </r>
    <r>
      <rPr>
        <vertAlign val="superscript"/>
        <sz val="16"/>
        <color indexed="8"/>
        <rFont val="Angsana New"/>
        <family val="1"/>
      </rPr>
      <t>1.207</t>
    </r>
  </si>
  <si>
    <t>2006 - 2016</t>
  </si>
  <si>
    <r>
      <t>Y=2.082X</t>
    </r>
    <r>
      <rPr>
        <vertAlign val="superscript"/>
        <sz val="16"/>
        <color indexed="10"/>
        <rFont val="Angsana New"/>
        <family val="1"/>
      </rPr>
      <t>1.529</t>
    </r>
  </si>
  <si>
    <r>
      <t>Y=1.887X</t>
    </r>
    <r>
      <rPr>
        <vertAlign val="superscript"/>
        <sz val="16"/>
        <color indexed="8"/>
        <rFont val="Angsana New"/>
        <family val="1"/>
      </rPr>
      <t>1.506</t>
    </r>
  </si>
  <si>
    <r>
      <t>Y=2.960X</t>
    </r>
    <r>
      <rPr>
        <vertAlign val="superscript"/>
        <sz val="16"/>
        <color indexed="10"/>
        <rFont val="Angsana New"/>
        <family val="1"/>
      </rPr>
      <t>1.287</t>
    </r>
  </si>
  <si>
    <r>
      <t>Y=1.378X</t>
    </r>
    <r>
      <rPr>
        <vertAlign val="superscript"/>
        <sz val="16"/>
        <color indexed="8"/>
        <rFont val="Angsana New"/>
        <family val="1"/>
      </rPr>
      <t>1.607</t>
    </r>
  </si>
  <si>
    <t>2005 - 2016</t>
  </si>
  <si>
    <r>
      <t>Y=7.662X</t>
    </r>
    <r>
      <rPr>
        <vertAlign val="superscript"/>
        <sz val="16"/>
        <color indexed="10"/>
        <rFont val="Angsana New"/>
        <family val="1"/>
      </rPr>
      <t>1.396</t>
    </r>
  </si>
  <si>
    <r>
      <t>Y=2.795X</t>
    </r>
    <r>
      <rPr>
        <vertAlign val="superscript"/>
        <sz val="16"/>
        <color indexed="8"/>
        <rFont val="Angsana New"/>
        <family val="1"/>
      </rPr>
      <t>1.277</t>
    </r>
  </si>
  <si>
    <r>
      <t>Y=0.504X</t>
    </r>
    <r>
      <rPr>
        <vertAlign val="superscript"/>
        <sz val="16"/>
        <color indexed="10"/>
        <rFont val="Angsana New"/>
        <family val="1"/>
      </rPr>
      <t>2.305</t>
    </r>
  </si>
  <si>
    <r>
      <t>Y=0.407X</t>
    </r>
    <r>
      <rPr>
        <vertAlign val="superscript"/>
        <sz val="16"/>
        <color indexed="8"/>
        <rFont val="Angsana New"/>
        <family val="1"/>
      </rPr>
      <t>2.263</t>
    </r>
  </si>
  <si>
    <r>
      <t>Y=0.471X</t>
    </r>
    <r>
      <rPr>
        <vertAlign val="superscript"/>
        <sz val="16"/>
        <color indexed="10"/>
        <rFont val="Angsana New"/>
        <family val="1"/>
      </rPr>
      <t>2.304</t>
    </r>
  </si>
  <si>
    <r>
      <t>Y=0.277X</t>
    </r>
    <r>
      <rPr>
        <vertAlign val="superscript"/>
        <sz val="16"/>
        <color indexed="8"/>
        <rFont val="Angsana New"/>
        <family val="1"/>
      </rPr>
      <t>2.333</t>
    </r>
  </si>
  <si>
    <r>
      <t>Y=0.954X</t>
    </r>
    <r>
      <rPr>
        <vertAlign val="superscript"/>
        <sz val="16"/>
        <rFont val="Angsana New"/>
        <family val="1"/>
      </rPr>
      <t>1.596</t>
    </r>
  </si>
  <si>
    <r>
      <t>Y=1.736X</t>
    </r>
    <r>
      <rPr>
        <vertAlign val="superscript"/>
        <sz val="16"/>
        <color indexed="10"/>
        <rFont val="Angsana New"/>
        <family val="1"/>
      </rPr>
      <t>1.280</t>
    </r>
  </si>
  <si>
    <r>
      <t>Y=0.446X</t>
    </r>
    <r>
      <rPr>
        <vertAlign val="superscript"/>
        <sz val="16"/>
        <rFont val="Angsana New"/>
        <family val="1"/>
      </rPr>
      <t>1.667</t>
    </r>
  </si>
  <si>
    <r>
      <t>Y=0.838X</t>
    </r>
    <r>
      <rPr>
        <vertAlign val="superscript"/>
        <sz val="16"/>
        <color indexed="10"/>
        <rFont val="Angsana New"/>
        <family val="1"/>
      </rPr>
      <t>1.605</t>
    </r>
  </si>
  <si>
    <r>
      <t>Y=1.809X</t>
    </r>
    <r>
      <rPr>
        <vertAlign val="superscript"/>
        <sz val="16"/>
        <color indexed="8"/>
        <rFont val="Angsana New"/>
        <family val="1"/>
      </rPr>
      <t>1.048</t>
    </r>
  </si>
  <si>
    <t>1996 - 2016</t>
  </si>
  <si>
    <r>
      <t>Y=3.217X</t>
    </r>
    <r>
      <rPr>
        <vertAlign val="superscript"/>
        <sz val="16"/>
        <color indexed="10"/>
        <rFont val="Angsana New"/>
        <family val="1"/>
      </rPr>
      <t>1.363</t>
    </r>
  </si>
  <si>
    <r>
      <t>Y=2.477X</t>
    </r>
    <r>
      <rPr>
        <vertAlign val="superscript"/>
        <sz val="16"/>
        <rFont val="Angsana New"/>
        <family val="1"/>
      </rPr>
      <t>1.547</t>
    </r>
  </si>
  <si>
    <t>2009 - 2016</t>
  </si>
  <si>
    <r>
      <t>Y=266.8X</t>
    </r>
    <r>
      <rPr>
        <vertAlign val="superscript"/>
        <sz val="16"/>
        <color indexed="10"/>
        <rFont val="Angsana New"/>
        <family val="1"/>
      </rPr>
      <t>1.492</t>
    </r>
  </si>
  <si>
    <r>
      <t>Y=119.6X</t>
    </r>
    <r>
      <rPr>
        <vertAlign val="superscript"/>
        <sz val="16"/>
        <color indexed="8"/>
        <rFont val="Angsana New"/>
        <family val="1"/>
      </rPr>
      <t>1.421</t>
    </r>
  </si>
  <si>
    <t>1997 - 2016</t>
  </si>
  <si>
    <r>
      <t>Y=1.661X</t>
    </r>
    <r>
      <rPr>
        <vertAlign val="superscript"/>
        <sz val="16"/>
        <color indexed="10"/>
        <rFont val="Angsana New"/>
        <family val="1"/>
      </rPr>
      <t>1.385</t>
    </r>
  </si>
  <si>
    <r>
      <t>Y=1.782X</t>
    </r>
    <r>
      <rPr>
        <vertAlign val="superscript"/>
        <sz val="16"/>
        <color indexed="8"/>
        <rFont val="Angsana New"/>
        <family val="1"/>
      </rPr>
      <t>1.1486</t>
    </r>
  </si>
  <si>
    <r>
      <t>Y=3.006X</t>
    </r>
    <r>
      <rPr>
        <vertAlign val="superscript"/>
        <sz val="16"/>
        <color indexed="10"/>
        <rFont val="Angsana New"/>
        <family val="1"/>
      </rPr>
      <t>1.11</t>
    </r>
  </si>
  <si>
    <t>Y=0.162X2.043</t>
  </si>
  <si>
    <r>
      <t>Y=0.793X</t>
    </r>
    <r>
      <rPr>
        <vertAlign val="superscript"/>
        <sz val="16"/>
        <color indexed="8"/>
        <rFont val="Angsana New"/>
        <family val="1"/>
      </rPr>
      <t>1.702</t>
    </r>
  </si>
  <si>
    <t>Y=6.186X1.263</t>
  </si>
  <si>
    <t>2008-2016</t>
  </si>
  <si>
    <r>
      <t>Y=0.362X</t>
    </r>
    <r>
      <rPr>
        <vertAlign val="superscript"/>
        <sz val="16"/>
        <color indexed="10"/>
        <rFont val="Angsana New"/>
        <family val="1"/>
      </rPr>
      <t>1.714</t>
    </r>
  </si>
  <si>
    <r>
      <t>Y=0.789X</t>
    </r>
    <r>
      <rPr>
        <vertAlign val="superscript"/>
        <sz val="16"/>
        <color indexed="8"/>
        <rFont val="Angsana New"/>
        <family val="1"/>
      </rPr>
      <t>1.552</t>
    </r>
  </si>
  <si>
    <r>
      <t>Y=0.151X</t>
    </r>
    <r>
      <rPr>
        <vertAlign val="superscript"/>
        <sz val="16"/>
        <rFont val="Angsana New"/>
        <family val="1"/>
      </rPr>
      <t>1.927</t>
    </r>
  </si>
  <si>
    <r>
      <t>Y=0.231X</t>
    </r>
    <r>
      <rPr>
        <vertAlign val="superscript"/>
        <sz val="16"/>
        <rFont val="Angsana New"/>
        <family val="1"/>
      </rPr>
      <t>1.889</t>
    </r>
  </si>
  <si>
    <r>
      <t>Y=0.104X</t>
    </r>
    <r>
      <rPr>
        <vertAlign val="superscript"/>
        <sz val="16"/>
        <color indexed="10"/>
        <rFont val="Angsana New"/>
        <family val="1"/>
      </rPr>
      <t>2.020</t>
    </r>
  </si>
  <si>
    <r>
      <t>Y=0.230X</t>
    </r>
    <r>
      <rPr>
        <vertAlign val="superscript"/>
        <sz val="16"/>
        <color indexed="10"/>
        <rFont val="Angsana New"/>
        <family val="1"/>
      </rPr>
      <t>1.885</t>
    </r>
  </si>
  <si>
    <r>
      <t>Y=0.557X</t>
    </r>
    <r>
      <rPr>
        <vertAlign val="superscript"/>
        <sz val="16"/>
        <color indexed="10"/>
        <rFont val="Angsana New"/>
        <family val="1"/>
      </rPr>
      <t>1.678</t>
    </r>
  </si>
  <si>
    <r>
      <t>Y=0.632X</t>
    </r>
    <r>
      <rPr>
        <vertAlign val="superscript"/>
        <sz val="16"/>
        <color indexed="8"/>
        <rFont val="Angsana New"/>
        <family val="1"/>
      </rPr>
      <t>1.691</t>
    </r>
  </si>
  <si>
    <r>
      <t>Y=3.824X</t>
    </r>
    <r>
      <rPr>
        <vertAlign val="superscript"/>
        <sz val="16"/>
        <color indexed="10"/>
        <rFont val="Angsana New"/>
        <family val="1"/>
      </rPr>
      <t>1.540</t>
    </r>
  </si>
  <si>
    <r>
      <t>Y=3.34X</t>
    </r>
    <r>
      <rPr>
        <vertAlign val="superscript"/>
        <sz val="16"/>
        <rFont val="Angsana New"/>
        <family val="1"/>
      </rPr>
      <t>1.520</t>
    </r>
  </si>
  <si>
    <r>
      <t>Y=1.238X</t>
    </r>
    <r>
      <rPr>
        <vertAlign val="superscript"/>
        <sz val="16"/>
        <rFont val="Angsana New"/>
        <family val="1"/>
      </rPr>
      <t>1.898</t>
    </r>
  </si>
  <si>
    <r>
      <t>Y=1.066X</t>
    </r>
    <r>
      <rPr>
        <vertAlign val="superscript"/>
        <sz val="16"/>
        <color indexed="10"/>
        <rFont val="Angsana New"/>
        <family val="1"/>
      </rPr>
      <t>1.352</t>
    </r>
  </si>
  <si>
    <r>
      <t>Y=2.992X</t>
    </r>
    <r>
      <rPr>
        <vertAlign val="superscript"/>
        <sz val="16"/>
        <color indexed="8"/>
        <rFont val="Angsana New"/>
        <family val="1"/>
      </rPr>
      <t>1.193</t>
    </r>
  </si>
  <si>
    <r>
      <t>Y=1.986X</t>
    </r>
    <r>
      <rPr>
        <vertAlign val="superscript"/>
        <sz val="16"/>
        <color indexed="10"/>
        <rFont val="Angsana New"/>
        <family val="1"/>
      </rPr>
      <t>1.580</t>
    </r>
  </si>
  <si>
    <r>
      <t>Y=2.373X</t>
    </r>
    <r>
      <rPr>
        <vertAlign val="superscript"/>
        <sz val="16"/>
        <color indexed="8"/>
        <rFont val="Angsana New"/>
        <family val="1"/>
      </rPr>
      <t>1.599</t>
    </r>
  </si>
  <si>
    <r>
      <t>Y=130.2X</t>
    </r>
    <r>
      <rPr>
        <vertAlign val="superscript"/>
        <sz val="16"/>
        <color indexed="10"/>
        <rFont val="Angsana New"/>
        <family val="1"/>
      </rPr>
      <t>2.564</t>
    </r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</si>
</sst>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"/>
    <numFmt numFmtId="188" formatCode="0.000000"/>
    <numFmt numFmtId="189" formatCode="0.0000"/>
    <numFmt numFmtId="190" formatCode="0.000"/>
    <numFmt numFmtId="191" formatCode="_-* #,##0.0_-;\-* #,##0.0_-;_-* &quot;-&quot;??_-;_-@_-"/>
    <numFmt numFmtId="192" formatCode="_-* #,##0_-;\-* #,##0_-;_-* &quot;-&quot;??_-;_-@_-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"/>
  </numFmts>
  <fonts count="57">
    <font>
      <sz val="14"/>
      <name val="Cordia New"/>
      <family val="0"/>
    </font>
    <font>
      <b/>
      <sz val="18"/>
      <color indexed="48"/>
      <name val="DilleniaUPC"/>
      <family val="1"/>
    </font>
    <font>
      <b/>
      <sz val="18"/>
      <color indexed="10"/>
      <name val="DilleniaUPC"/>
      <family val="1"/>
    </font>
    <font>
      <b/>
      <vertAlign val="superscript"/>
      <sz val="18"/>
      <color indexed="10"/>
      <name val="DilleniaUPC"/>
      <family val="1"/>
    </font>
    <font>
      <sz val="18"/>
      <name val="DilleniaUPC"/>
      <family val="1"/>
    </font>
    <font>
      <sz val="16"/>
      <color indexed="12"/>
      <name val="DilleniaUPC"/>
      <family val="1"/>
    </font>
    <font>
      <sz val="16"/>
      <name val="DilleniaUPC"/>
      <family val="1"/>
    </font>
    <font>
      <sz val="16"/>
      <color indexed="10"/>
      <name val="DilleniaUPC"/>
      <family val="1"/>
    </font>
    <font>
      <sz val="8"/>
      <name val="Cordia New"/>
      <family val="2"/>
    </font>
    <font>
      <b/>
      <sz val="18"/>
      <color indexed="48"/>
      <name val="Angsana New"/>
      <family val="1"/>
    </font>
    <font>
      <b/>
      <sz val="18"/>
      <color indexed="10"/>
      <name val="Angsana New"/>
      <family val="1"/>
    </font>
    <font>
      <b/>
      <vertAlign val="superscript"/>
      <sz val="18"/>
      <color indexed="10"/>
      <name val="Angsana New"/>
      <family val="1"/>
    </font>
    <font>
      <sz val="18"/>
      <name val="Angsana New"/>
      <family val="1"/>
    </font>
    <font>
      <sz val="16"/>
      <color indexed="12"/>
      <name val="Angsana New"/>
      <family val="1"/>
    </font>
    <font>
      <sz val="16"/>
      <name val="Angsana New"/>
      <family val="1"/>
    </font>
    <font>
      <sz val="16"/>
      <color indexed="10"/>
      <name val="Angsana New"/>
      <family val="1"/>
    </font>
    <font>
      <vertAlign val="superscript"/>
      <sz val="16"/>
      <color indexed="10"/>
      <name val="Angsana New"/>
      <family val="1"/>
    </font>
    <font>
      <sz val="16"/>
      <color indexed="8"/>
      <name val="Angsana New"/>
      <family val="1"/>
    </font>
    <font>
      <vertAlign val="superscript"/>
      <sz val="16"/>
      <color indexed="8"/>
      <name val="Angsana New"/>
      <family val="1"/>
    </font>
    <font>
      <vertAlign val="superscript"/>
      <sz val="16"/>
      <color indexed="12"/>
      <name val="Angsana New"/>
      <family val="1"/>
    </font>
    <font>
      <vertAlign val="superscript"/>
      <sz val="18"/>
      <name val="Angsana New"/>
      <family val="1"/>
    </font>
    <font>
      <vertAlign val="superscript"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96" fontId="6" fillId="0" borderId="13" xfId="0" applyNumberFormat="1" applyFont="1" applyBorder="1" applyAlignment="1">
      <alignment/>
    </xf>
    <xf numFmtId="196" fontId="4" fillId="0" borderId="0" xfId="0" applyNumberFormat="1" applyFont="1" applyAlignment="1">
      <alignment/>
    </xf>
    <xf numFmtId="196" fontId="6" fillId="0" borderId="15" xfId="0" applyNumberFormat="1" applyFont="1" applyBorder="1" applyAlignment="1">
      <alignment/>
    </xf>
    <xf numFmtId="196" fontId="1" fillId="33" borderId="16" xfId="0" applyNumberFormat="1" applyFont="1" applyFill="1" applyBorder="1" applyAlignment="1">
      <alignment horizontal="center" vertical="center"/>
    </xf>
    <xf numFmtId="199" fontId="6" fillId="0" borderId="10" xfId="0" applyNumberFormat="1" applyFont="1" applyBorder="1" applyAlignment="1">
      <alignment/>
    </xf>
    <xf numFmtId="199" fontId="6" fillId="0" borderId="11" xfId="0" applyNumberFormat="1" applyFont="1" applyBorder="1" applyAlignment="1">
      <alignment/>
    </xf>
    <xf numFmtId="199" fontId="6" fillId="0" borderId="12" xfId="0" applyNumberFormat="1" applyFont="1" applyBorder="1" applyAlignment="1">
      <alignment/>
    </xf>
    <xf numFmtId="199" fontId="6" fillId="0" borderId="14" xfId="0" applyNumberFormat="1" applyFont="1" applyBorder="1" applyAlignment="1">
      <alignment/>
    </xf>
    <xf numFmtId="196" fontId="1" fillId="33" borderId="17" xfId="0" applyNumberFormat="1" applyFont="1" applyFill="1" applyBorder="1" applyAlignment="1">
      <alignment horizontal="left" vertical="center"/>
    </xf>
    <xf numFmtId="196" fontId="6" fillId="0" borderId="18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13" fillId="33" borderId="19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3" fillId="33" borderId="20" xfId="0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13" fillId="33" borderId="22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189" fontId="12" fillId="0" borderId="0" xfId="0" applyNumberFormat="1" applyFont="1" applyAlignment="1">
      <alignment horizontal="center"/>
    </xf>
    <xf numFmtId="196" fontId="12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9" fillId="33" borderId="2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189" fontId="17" fillId="0" borderId="11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1" fontId="17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89" fontId="17" fillId="0" borderId="10" xfId="0" applyNumberFormat="1" applyFont="1" applyFill="1" applyBorder="1" applyAlignment="1">
      <alignment horizontal="center"/>
    </xf>
    <xf numFmtId="189" fontId="17" fillId="0" borderId="10" xfId="0" applyNumberFormat="1" applyFont="1" applyFill="1" applyBorder="1" applyAlignment="1">
      <alignment/>
    </xf>
    <xf numFmtId="196" fontId="17" fillId="0" borderId="10" xfId="0" applyNumberFormat="1" applyFont="1" applyFill="1" applyBorder="1" applyAlignment="1">
      <alignment/>
    </xf>
    <xf numFmtId="3" fontId="17" fillId="0" borderId="10" xfId="36" applyNumberFormat="1" applyFont="1" applyFill="1" applyBorder="1" applyAlignment="1">
      <alignment horizontal="right"/>
    </xf>
    <xf numFmtId="0" fontId="17" fillId="0" borderId="10" xfId="0" applyFont="1" applyFill="1" applyBorder="1" applyAlignment="1">
      <alignment horizontal="left"/>
    </xf>
    <xf numFmtId="1" fontId="17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189" fontId="17" fillId="0" borderId="11" xfId="0" applyNumberFormat="1" applyFont="1" applyFill="1" applyBorder="1" applyAlignment="1">
      <alignment/>
    </xf>
    <xf numFmtId="196" fontId="17" fillId="0" borderId="11" xfId="0" applyNumberFormat="1" applyFont="1" applyFill="1" applyBorder="1" applyAlignment="1">
      <alignment/>
    </xf>
    <xf numFmtId="3" fontId="17" fillId="0" borderId="11" xfId="36" applyNumberFormat="1" applyFont="1" applyFill="1" applyBorder="1" applyAlignment="1">
      <alignment horizontal="right"/>
    </xf>
    <xf numFmtId="0" fontId="17" fillId="0" borderId="11" xfId="0" applyFont="1" applyFill="1" applyBorder="1" applyAlignment="1">
      <alignment horizontal="left"/>
    </xf>
    <xf numFmtId="196" fontId="17" fillId="0" borderId="24" xfId="0" applyNumberFormat="1" applyFont="1" applyFill="1" applyBorder="1" applyAlignment="1">
      <alignment/>
    </xf>
    <xf numFmtId="1" fontId="18" fillId="0" borderId="11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left" vertical="justify"/>
    </xf>
    <xf numFmtId="0" fontId="17" fillId="0" borderId="11" xfId="0" applyFont="1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189" fontId="17" fillId="0" borderId="11" xfId="0" applyNumberFormat="1" applyFont="1" applyFill="1" applyBorder="1" applyAlignment="1">
      <alignment horizontal="center" vertical="center"/>
    </xf>
    <xf numFmtId="189" fontId="17" fillId="0" borderId="11" xfId="0" applyNumberFormat="1" applyFont="1" applyFill="1" applyBorder="1" applyAlignment="1">
      <alignment vertical="center"/>
    </xf>
    <xf numFmtId="196" fontId="17" fillId="0" borderId="11" xfId="0" applyNumberFormat="1" applyFont="1" applyFill="1" applyBorder="1" applyAlignment="1">
      <alignment vertical="center"/>
    </xf>
    <xf numFmtId="3" fontId="17" fillId="0" borderId="11" xfId="36" applyNumberFormat="1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25" xfId="0" applyFont="1" applyFill="1" applyBorder="1" applyAlignment="1">
      <alignment horizontal="center" vertical="center"/>
    </xf>
    <xf numFmtId="1" fontId="17" fillId="0" borderId="25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189" fontId="17" fillId="0" borderId="25" xfId="0" applyNumberFormat="1" applyFont="1" applyFill="1" applyBorder="1" applyAlignment="1">
      <alignment horizontal="center" vertical="center"/>
    </xf>
    <xf numFmtId="189" fontId="17" fillId="0" borderId="25" xfId="0" applyNumberFormat="1" applyFont="1" applyFill="1" applyBorder="1" applyAlignment="1">
      <alignment vertical="center"/>
    </xf>
    <xf numFmtId="196" fontId="17" fillId="0" borderId="25" xfId="0" applyNumberFormat="1" applyFont="1" applyFill="1" applyBorder="1" applyAlignment="1">
      <alignment vertical="center"/>
    </xf>
    <xf numFmtId="3" fontId="17" fillId="0" borderId="25" xfId="36" applyNumberFormat="1" applyFont="1" applyFill="1" applyBorder="1" applyAlignment="1">
      <alignment horizontal="right" vertical="center"/>
    </xf>
    <xf numFmtId="0" fontId="17" fillId="0" borderId="25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center"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189" fontId="17" fillId="0" borderId="14" xfId="0" applyNumberFormat="1" applyFont="1" applyFill="1" applyBorder="1" applyAlignment="1">
      <alignment horizontal="center" vertical="center"/>
    </xf>
    <xf numFmtId="189" fontId="17" fillId="0" borderId="14" xfId="0" applyNumberFormat="1" applyFont="1" applyFill="1" applyBorder="1" applyAlignment="1">
      <alignment vertical="center"/>
    </xf>
    <xf numFmtId="196" fontId="17" fillId="0" borderId="14" xfId="0" applyNumberFormat="1" applyFont="1" applyFill="1" applyBorder="1" applyAlignment="1">
      <alignment vertical="center"/>
    </xf>
    <xf numFmtId="3" fontId="17" fillId="0" borderId="14" xfId="36" applyNumberFormat="1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left" vertical="center"/>
    </xf>
    <xf numFmtId="3" fontId="17" fillId="0" borderId="11" xfId="0" applyNumberFormat="1" applyFont="1" applyFill="1" applyBorder="1" applyAlignment="1">
      <alignment horizontal="right" vertical="center"/>
    </xf>
    <xf numFmtId="0" fontId="17" fillId="0" borderId="24" xfId="0" applyFont="1" applyFill="1" applyBorder="1" applyAlignment="1">
      <alignment horizontal="center"/>
    </xf>
    <xf numFmtId="1" fontId="17" fillId="0" borderId="24" xfId="0" applyNumberFormat="1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189" fontId="17" fillId="0" borderId="24" xfId="0" applyNumberFormat="1" applyFont="1" applyFill="1" applyBorder="1" applyAlignment="1">
      <alignment horizontal="center"/>
    </xf>
    <xf numFmtId="189" fontId="17" fillId="0" borderId="24" xfId="0" applyNumberFormat="1" applyFont="1" applyFill="1" applyBorder="1" applyAlignment="1">
      <alignment/>
    </xf>
    <xf numFmtId="3" fontId="17" fillId="0" borderId="24" xfId="36" applyNumberFormat="1" applyFont="1" applyFill="1" applyBorder="1" applyAlignment="1">
      <alignment horizontal="right"/>
    </xf>
    <xf numFmtId="0" fontId="17" fillId="0" borderId="24" xfId="0" applyFont="1" applyFill="1" applyBorder="1" applyAlignment="1">
      <alignment horizontal="left" vertical="justify"/>
    </xf>
    <xf numFmtId="0" fontId="17" fillId="0" borderId="14" xfId="0" applyFont="1" applyFill="1" applyBorder="1" applyAlignment="1">
      <alignment horizontal="center"/>
    </xf>
    <xf numFmtId="1" fontId="17" fillId="0" borderId="14" xfId="0" applyNumberFormat="1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189" fontId="17" fillId="0" borderId="14" xfId="0" applyNumberFormat="1" applyFont="1" applyFill="1" applyBorder="1" applyAlignment="1">
      <alignment horizontal="center"/>
    </xf>
    <xf numFmtId="189" fontId="17" fillId="0" borderId="14" xfId="0" applyNumberFormat="1" applyFont="1" applyFill="1" applyBorder="1" applyAlignment="1">
      <alignment/>
    </xf>
    <xf numFmtId="196" fontId="17" fillId="0" borderId="14" xfId="0" applyNumberFormat="1" applyFont="1" applyFill="1" applyBorder="1" applyAlignment="1">
      <alignment/>
    </xf>
    <xf numFmtId="3" fontId="17" fillId="0" borderId="14" xfId="36" applyNumberFormat="1" applyFont="1" applyFill="1" applyBorder="1" applyAlignment="1">
      <alignment horizontal="right"/>
    </xf>
    <xf numFmtId="0" fontId="17" fillId="0" borderId="14" xfId="0" applyFont="1" applyFill="1" applyBorder="1" applyAlignment="1">
      <alignment horizontal="left" vertical="justify"/>
    </xf>
    <xf numFmtId="0" fontId="15" fillId="0" borderId="14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1" xfId="0" applyFont="1" applyBorder="1" applyAlignment="1">
      <alignment/>
    </xf>
    <xf numFmtId="0" fontId="17" fillId="0" borderId="24" xfId="0" applyFont="1" applyFill="1" applyBorder="1" applyAlignment="1">
      <alignment horizontal="center" vertical="center"/>
    </xf>
    <xf numFmtId="1" fontId="17" fillId="0" borderId="24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189" fontId="17" fillId="0" borderId="24" xfId="0" applyNumberFormat="1" applyFont="1" applyFill="1" applyBorder="1" applyAlignment="1">
      <alignment horizontal="center" vertical="center"/>
    </xf>
    <xf numFmtId="189" fontId="17" fillId="0" borderId="24" xfId="0" applyNumberFormat="1" applyFont="1" applyFill="1" applyBorder="1" applyAlignment="1">
      <alignment vertical="center"/>
    </xf>
    <xf numFmtId="196" fontId="17" fillId="0" borderId="24" xfId="0" applyNumberFormat="1" applyFont="1" applyFill="1" applyBorder="1" applyAlignment="1">
      <alignment vertical="center"/>
    </xf>
    <xf numFmtId="3" fontId="17" fillId="0" borderId="24" xfId="0" applyNumberFormat="1" applyFont="1" applyFill="1" applyBorder="1" applyAlignment="1">
      <alignment horizontal="right" vertical="center"/>
    </xf>
    <xf numFmtId="0" fontId="17" fillId="0" borderId="24" xfId="0" applyFont="1" applyBorder="1" applyAlignment="1">
      <alignment horizontal="left"/>
    </xf>
    <xf numFmtId="0" fontId="14" fillId="0" borderId="26" xfId="0" applyFont="1" applyBorder="1" applyAlignment="1">
      <alignment/>
    </xf>
    <xf numFmtId="196" fontId="14" fillId="0" borderId="26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96" fontId="14" fillId="0" borderId="0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89" fontId="17" fillId="0" borderId="0" xfId="0" applyNumberFormat="1" applyFont="1" applyFill="1" applyBorder="1" applyAlignment="1">
      <alignment horizontal="center"/>
    </xf>
    <xf numFmtId="189" fontId="17" fillId="0" borderId="0" xfId="0" applyNumberFormat="1" applyFont="1" applyFill="1" applyBorder="1" applyAlignment="1">
      <alignment/>
    </xf>
    <xf numFmtId="196" fontId="17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192" fontId="17" fillId="0" borderId="0" xfId="36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192" fontId="18" fillId="0" borderId="0" xfId="36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89" fontId="17" fillId="0" borderId="0" xfId="0" applyNumberFormat="1" applyFont="1" applyBorder="1" applyAlignment="1">
      <alignment horizontal="center"/>
    </xf>
    <xf numFmtId="196" fontId="17" fillId="0" borderId="0" xfId="0" applyNumberFormat="1" applyFont="1" applyBorder="1" applyAlignment="1">
      <alignment/>
    </xf>
    <xf numFmtId="41" fontId="17" fillId="0" borderId="0" xfId="36" applyNumberFormat="1" applyFont="1" applyBorder="1" applyAlignment="1">
      <alignment horizontal="center"/>
    </xf>
    <xf numFmtId="0" fontId="15" fillId="0" borderId="24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7" fillId="34" borderId="10" xfId="0" applyFont="1" applyFill="1" applyBorder="1" applyAlignment="1">
      <alignment horizontal="center"/>
    </xf>
    <xf numFmtId="0" fontId="17" fillId="34" borderId="11" xfId="0" applyFont="1" applyFill="1" applyBorder="1" applyAlignment="1">
      <alignment horizontal="center"/>
    </xf>
    <xf numFmtId="0" fontId="17" fillId="34" borderId="14" xfId="0" applyFont="1" applyFill="1" applyBorder="1" applyAlignment="1">
      <alignment horizontal="center"/>
    </xf>
    <xf numFmtId="0" fontId="17" fillId="34" borderId="14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/>
    </xf>
    <xf numFmtId="189" fontId="14" fillId="0" borderId="11" xfId="0" applyNumberFormat="1" applyFont="1" applyFill="1" applyBorder="1" applyAlignment="1">
      <alignment horizontal="center"/>
    </xf>
    <xf numFmtId="189" fontId="14" fillId="0" borderId="11" xfId="0" applyNumberFormat="1" applyFont="1" applyFill="1" applyBorder="1" applyAlignment="1">
      <alignment/>
    </xf>
    <xf numFmtId="0" fontId="56" fillId="0" borderId="11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left" vertical="center"/>
    </xf>
    <xf numFmtId="0" fontId="14" fillId="34" borderId="11" xfId="0" applyFont="1" applyFill="1" applyBorder="1" applyAlignment="1">
      <alignment horizontal="center"/>
    </xf>
    <xf numFmtId="0" fontId="17" fillId="35" borderId="11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189" fontId="13" fillId="33" borderId="27" xfId="0" applyNumberFormat="1" applyFont="1" applyFill="1" applyBorder="1" applyAlignment="1">
      <alignment horizontal="center" vertical="center"/>
    </xf>
    <xf numFmtId="196" fontId="9" fillId="33" borderId="17" xfId="0" applyNumberFormat="1" applyFont="1" applyFill="1" applyBorder="1" applyAlignment="1">
      <alignment horizontal="center" vertical="center"/>
    </xf>
    <xf numFmtId="196" fontId="9" fillId="33" borderId="16" xfId="0" applyNumberFormat="1" applyFont="1" applyFill="1" applyBorder="1" applyAlignment="1">
      <alignment horizontal="center" vertical="center"/>
    </xf>
    <xf numFmtId="196" fontId="9" fillId="33" borderId="28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196" fontId="13" fillId="33" borderId="27" xfId="0" applyNumberFormat="1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196" fontId="5" fillId="33" borderId="27" xfId="0" applyNumberFormat="1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8"/>
  <sheetViews>
    <sheetView tabSelected="1" zoomScalePageLayoutView="0" workbookViewId="0" topLeftCell="A34">
      <selection activeCell="N39" sqref="N39"/>
    </sheetView>
  </sheetViews>
  <sheetFormatPr defaultColWidth="9.140625" defaultRowHeight="21.75"/>
  <cols>
    <col min="1" max="1" width="5.140625" style="29" customWidth="1"/>
    <col min="2" max="2" width="6.140625" style="29" customWidth="1"/>
    <col min="3" max="3" width="11.7109375" style="29" customWidth="1"/>
    <col min="4" max="4" width="6.7109375" style="29" customWidth="1"/>
    <col min="5" max="5" width="4.7109375" style="29" customWidth="1"/>
    <col min="6" max="6" width="6.7109375" style="34" customWidth="1"/>
    <col min="7" max="7" width="14.7109375" style="22" customWidth="1"/>
    <col min="8" max="8" width="8.7109375" style="30" customWidth="1"/>
    <col min="9" max="9" width="6.7109375" style="22" customWidth="1"/>
    <col min="10" max="10" width="13.7109375" style="31" customWidth="1"/>
    <col min="11" max="11" width="6.421875" style="22" bestFit="1" customWidth="1"/>
    <col min="12" max="12" width="18.57421875" style="32" bestFit="1" customWidth="1"/>
    <col min="13" max="14" width="9.140625" style="22" customWidth="1"/>
    <col min="15" max="15" width="12.28125" style="22" bestFit="1" customWidth="1"/>
    <col min="16" max="16384" width="9.140625" style="22" customWidth="1"/>
  </cols>
  <sheetData>
    <row r="1" spans="1:12" ht="29.25">
      <c r="A1" s="151" t="s">
        <v>52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3"/>
    </row>
    <row r="2" spans="1:12" s="24" customFormat="1" ht="23.25">
      <c r="A2" s="147" t="s">
        <v>7</v>
      </c>
      <c r="B2" s="147" t="s">
        <v>0</v>
      </c>
      <c r="C2" s="147" t="s">
        <v>6</v>
      </c>
      <c r="D2" s="154" t="s">
        <v>5</v>
      </c>
      <c r="E2" s="155"/>
      <c r="F2" s="155"/>
      <c r="G2" s="157" t="s">
        <v>1</v>
      </c>
      <c r="H2" s="150" t="s">
        <v>4</v>
      </c>
      <c r="I2" s="147" t="s">
        <v>2</v>
      </c>
      <c r="J2" s="156" t="s">
        <v>3</v>
      </c>
      <c r="K2" s="23" t="s">
        <v>31</v>
      </c>
      <c r="L2" s="148" t="s">
        <v>34</v>
      </c>
    </row>
    <row r="3" spans="1:12" s="24" customFormat="1" ht="25.5">
      <c r="A3" s="147"/>
      <c r="B3" s="147"/>
      <c r="C3" s="147"/>
      <c r="D3" s="25" t="s">
        <v>8</v>
      </c>
      <c r="E3" s="26" t="s">
        <v>10</v>
      </c>
      <c r="F3" s="33" t="s">
        <v>9</v>
      </c>
      <c r="G3" s="157"/>
      <c r="H3" s="150"/>
      <c r="I3" s="147"/>
      <c r="J3" s="156"/>
      <c r="K3" s="27" t="s">
        <v>32</v>
      </c>
      <c r="L3" s="149"/>
    </row>
    <row r="4" spans="1:12" s="24" customFormat="1" ht="25.5">
      <c r="A4" s="41">
        <v>1</v>
      </c>
      <c r="B4" s="135" t="s">
        <v>11</v>
      </c>
      <c r="C4" s="41">
        <v>2016</v>
      </c>
      <c r="D4" s="41">
        <v>34</v>
      </c>
      <c r="E4" s="42">
        <v>0</v>
      </c>
      <c r="F4" s="43">
        <f>E4+D4</f>
        <v>34</v>
      </c>
      <c r="G4" s="35" t="s">
        <v>62</v>
      </c>
      <c r="H4" s="44">
        <v>0.932</v>
      </c>
      <c r="I4" s="45">
        <v>1.315</v>
      </c>
      <c r="J4" s="46">
        <f>LOG(3.219)</f>
        <v>0.5077209766856136</v>
      </c>
      <c r="K4" s="47">
        <v>6355</v>
      </c>
      <c r="L4" s="48"/>
    </row>
    <row r="5" spans="1:17" s="24" customFormat="1" ht="25.5">
      <c r="A5" s="37"/>
      <c r="B5" s="37"/>
      <c r="C5" s="37" t="s">
        <v>61</v>
      </c>
      <c r="D5" s="37">
        <v>705</v>
      </c>
      <c r="E5" s="49">
        <v>0</v>
      </c>
      <c r="F5" s="56">
        <f>E5+D5</f>
        <v>705</v>
      </c>
      <c r="G5" s="37" t="s">
        <v>63</v>
      </c>
      <c r="H5" s="38">
        <v>0.872</v>
      </c>
      <c r="I5" s="51">
        <v>1.487</v>
      </c>
      <c r="J5" s="52">
        <f>LOG(1.526)</f>
        <v>0.18355453361886168</v>
      </c>
      <c r="K5" s="53"/>
      <c r="L5" s="54"/>
      <c r="Q5" s="134"/>
    </row>
    <row r="6" spans="1:12" s="24" customFormat="1" ht="25.5">
      <c r="A6" s="37"/>
      <c r="B6" s="37"/>
      <c r="C6" s="37"/>
      <c r="D6" s="37"/>
      <c r="E6" s="49"/>
      <c r="F6" s="50"/>
      <c r="G6" s="37"/>
      <c r="H6" s="38"/>
      <c r="I6" s="51"/>
      <c r="J6" s="55"/>
      <c r="K6" s="53"/>
      <c r="L6" s="54"/>
    </row>
    <row r="7" spans="1:17" s="24" customFormat="1" ht="25.5">
      <c r="A7" s="37">
        <f>+A4+1</f>
        <v>2</v>
      </c>
      <c r="B7" s="136" t="s">
        <v>12</v>
      </c>
      <c r="C7" s="37">
        <v>2016</v>
      </c>
      <c r="D7" s="37">
        <v>33</v>
      </c>
      <c r="E7" s="49">
        <v>0</v>
      </c>
      <c r="F7" s="56">
        <f>E7+D7</f>
        <v>33</v>
      </c>
      <c r="G7" s="36" t="s">
        <v>65</v>
      </c>
      <c r="H7" s="38">
        <v>0.928</v>
      </c>
      <c r="I7" s="51">
        <v>1.636</v>
      </c>
      <c r="J7" s="52">
        <f>LOG(5.495)</f>
        <v>0.7399676967595094</v>
      </c>
      <c r="K7" s="53">
        <v>1902</v>
      </c>
      <c r="L7" s="54"/>
      <c r="Q7" s="134"/>
    </row>
    <row r="8" spans="1:12" s="24" customFormat="1" ht="25.5">
      <c r="A8" s="37"/>
      <c r="B8" s="37"/>
      <c r="C8" s="37" t="s">
        <v>64</v>
      </c>
      <c r="D8" s="37">
        <v>314</v>
      </c>
      <c r="E8" s="37"/>
      <c r="F8" s="37">
        <v>314</v>
      </c>
      <c r="G8" s="102" t="s">
        <v>66</v>
      </c>
      <c r="H8" s="38">
        <v>0.885</v>
      </c>
      <c r="I8" s="51">
        <v>1.614</v>
      </c>
      <c r="J8" s="52">
        <f>LOG(2.542)</f>
        <v>0.40517554621798935</v>
      </c>
      <c r="K8" s="53"/>
      <c r="L8" s="54"/>
    </row>
    <row r="9" spans="1:12" s="24" customFormat="1" ht="25.5">
      <c r="A9" s="37"/>
      <c r="B9" s="37"/>
      <c r="C9" s="37"/>
      <c r="D9" s="37"/>
      <c r="E9" s="49"/>
      <c r="F9" s="50"/>
      <c r="G9" s="36"/>
      <c r="H9" s="38"/>
      <c r="I9" s="51"/>
      <c r="J9" s="52"/>
      <c r="K9" s="53"/>
      <c r="L9" s="54"/>
    </row>
    <row r="10" spans="1:12" s="24" customFormat="1" ht="25.5">
      <c r="A10" s="37">
        <f>+A7+1</f>
        <v>3</v>
      </c>
      <c r="B10" s="145" t="s">
        <v>40</v>
      </c>
      <c r="C10" s="37">
        <v>2016</v>
      </c>
      <c r="D10" s="37">
        <v>26</v>
      </c>
      <c r="E10" s="49">
        <v>0</v>
      </c>
      <c r="F10" s="50">
        <f>E10+D10</f>
        <v>26</v>
      </c>
      <c r="G10" s="36" t="s">
        <v>68</v>
      </c>
      <c r="H10" s="38">
        <v>0.802</v>
      </c>
      <c r="I10" s="51">
        <v>1.19</v>
      </c>
      <c r="J10" s="52">
        <f>LOG(2.198)</f>
        <v>0.34202768808747175</v>
      </c>
      <c r="K10" s="53">
        <v>1569</v>
      </c>
      <c r="L10" s="54"/>
    </row>
    <row r="11" spans="1:12" s="24" customFormat="1" ht="25.5">
      <c r="A11" s="37"/>
      <c r="B11" s="37"/>
      <c r="C11" s="37" t="s">
        <v>64</v>
      </c>
      <c r="D11" s="37">
        <v>272</v>
      </c>
      <c r="E11" s="37"/>
      <c r="F11" s="37">
        <v>272</v>
      </c>
      <c r="G11" s="37" t="s">
        <v>67</v>
      </c>
      <c r="H11" s="38">
        <v>0.843</v>
      </c>
      <c r="I11" s="51">
        <v>1.318</v>
      </c>
      <c r="J11" s="52">
        <f>LOG(1.147)</f>
        <v>0.059563417901267686</v>
      </c>
      <c r="K11" s="53"/>
      <c r="L11" s="54"/>
    </row>
    <row r="12" spans="1:12" s="24" customFormat="1" ht="25.5">
      <c r="A12" s="37"/>
      <c r="B12" s="37"/>
      <c r="C12" s="37"/>
      <c r="D12" s="37"/>
      <c r="E12" s="49"/>
      <c r="F12" s="50"/>
      <c r="G12" s="37"/>
      <c r="H12" s="38"/>
      <c r="I12" s="51"/>
      <c r="J12" s="52"/>
      <c r="K12" s="53"/>
      <c r="L12" s="54"/>
    </row>
    <row r="13" spans="1:12" s="24" customFormat="1" ht="25.5">
      <c r="A13" s="37">
        <f>+A10+1</f>
        <v>4</v>
      </c>
      <c r="B13" s="136" t="s">
        <v>35</v>
      </c>
      <c r="C13" s="37">
        <v>2016</v>
      </c>
      <c r="D13" s="37">
        <v>33</v>
      </c>
      <c r="E13" s="49">
        <v>0</v>
      </c>
      <c r="F13" s="50">
        <f>E13+D13</f>
        <v>33</v>
      </c>
      <c r="G13" s="36" t="s">
        <v>70</v>
      </c>
      <c r="H13" s="38">
        <v>0.856</v>
      </c>
      <c r="I13" s="51">
        <v>1.408</v>
      </c>
      <c r="J13" s="52">
        <f>LOG(5.408)</f>
        <v>0.7330366829335796</v>
      </c>
      <c r="K13" s="53">
        <v>515</v>
      </c>
      <c r="L13" s="54"/>
    </row>
    <row r="14" spans="1:12" s="24" customFormat="1" ht="25.5">
      <c r="A14" s="37"/>
      <c r="B14" s="37"/>
      <c r="C14" s="37" t="s">
        <v>69</v>
      </c>
      <c r="D14" s="37">
        <v>469</v>
      </c>
      <c r="E14" s="49">
        <v>0</v>
      </c>
      <c r="F14" s="50">
        <f>E14+D14</f>
        <v>469</v>
      </c>
      <c r="G14" s="37" t="s">
        <v>71</v>
      </c>
      <c r="H14" s="38">
        <v>0.72</v>
      </c>
      <c r="I14" s="51">
        <v>1.339</v>
      </c>
      <c r="J14" s="52">
        <f>LOG(4.342)</f>
        <v>0.6376898191184012</v>
      </c>
      <c r="K14" s="53"/>
      <c r="L14" s="54"/>
    </row>
    <row r="15" spans="1:12" s="24" customFormat="1" ht="25.5">
      <c r="A15" s="37"/>
      <c r="B15" s="37"/>
      <c r="C15" s="37"/>
      <c r="D15" s="37"/>
      <c r="E15" s="49"/>
      <c r="F15" s="50"/>
      <c r="G15" s="37"/>
      <c r="H15" s="38"/>
      <c r="I15" s="51"/>
      <c r="J15" s="52"/>
      <c r="K15" s="53"/>
      <c r="L15" s="54"/>
    </row>
    <row r="16" spans="1:12" s="24" customFormat="1" ht="25.5">
      <c r="A16" s="37">
        <f>+A13+1</f>
        <v>5</v>
      </c>
      <c r="B16" s="136" t="s">
        <v>22</v>
      </c>
      <c r="C16" s="37">
        <v>2016</v>
      </c>
      <c r="D16" s="37">
        <v>32</v>
      </c>
      <c r="E16" s="49">
        <v>0</v>
      </c>
      <c r="F16" s="50">
        <f>E16+D16</f>
        <v>32</v>
      </c>
      <c r="G16" s="36" t="s">
        <v>73</v>
      </c>
      <c r="H16" s="38">
        <v>0.947</v>
      </c>
      <c r="I16" s="51">
        <v>1.207</v>
      </c>
      <c r="J16" s="52">
        <f>LOG(7.894)</f>
        <v>0.8972971220594965</v>
      </c>
      <c r="K16" s="53">
        <v>539</v>
      </c>
      <c r="L16" s="54"/>
    </row>
    <row r="17" spans="1:12" s="24" customFormat="1" ht="25.5">
      <c r="A17" s="37"/>
      <c r="B17" s="37"/>
      <c r="C17" s="37" t="s">
        <v>72</v>
      </c>
      <c r="D17" s="37">
        <v>474</v>
      </c>
      <c r="E17" s="49">
        <v>0</v>
      </c>
      <c r="F17" s="50">
        <v>474</v>
      </c>
      <c r="G17" s="37" t="s">
        <v>74</v>
      </c>
      <c r="H17" s="38">
        <v>0.894</v>
      </c>
      <c r="I17" s="51">
        <v>1.298</v>
      </c>
      <c r="J17" s="52">
        <f>LOG(5.655)</f>
        <v>0.7524326092614742</v>
      </c>
      <c r="K17" s="53"/>
      <c r="L17" s="54"/>
    </row>
    <row r="18" spans="1:12" s="24" customFormat="1" ht="25.5">
      <c r="A18" s="37"/>
      <c r="B18" s="37"/>
      <c r="C18" s="37"/>
      <c r="D18" s="37"/>
      <c r="E18" s="49"/>
      <c r="F18" s="50"/>
      <c r="G18" s="37"/>
      <c r="H18" s="38"/>
      <c r="I18" s="51"/>
      <c r="J18" s="52"/>
      <c r="K18" s="53"/>
      <c r="L18" s="54"/>
    </row>
    <row r="19" spans="1:12" s="24" customFormat="1" ht="25.5">
      <c r="A19" s="37">
        <f>+A16+1</f>
        <v>6</v>
      </c>
      <c r="B19" s="136" t="s">
        <v>41</v>
      </c>
      <c r="C19" s="37">
        <v>2016</v>
      </c>
      <c r="D19" s="101">
        <v>33</v>
      </c>
      <c r="E19" s="49">
        <v>0</v>
      </c>
      <c r="F19" s="50">
        <v>33</v>
      </c>
      <c r="G19" s="36" t="s">
        <v>75</v>
      </c>
      <c r="H19" s="38">
        <v>0.885</v>
      </c>
      <c r="I19" s="51">
        <v>1.41</v>
      </c>
      <c r="J19" s="52">
        <f>LOG(3.661)</f>
        <v>0.5635997288815311</v>
      </c>
      <c r="K19" s="53">
        <v>5289</v>
      </c>
      <c r="L19" s="54"/>
    </row>
    <row r="20" spans="1:12" s="24" customFormat="1" ht="25.5">
      <c r="A20" s="37"/>
      <c r="B20" s="37"/>
      <c r="C20" s="37" t="s">
        <v>64</v>
      </c>
      <c r="D20" s="37">
        <v>338</v>
      </c>
      <c r="E20" s="49"/>
      <c r="F20" s="50">
        <v>338</v>
      </c>
      <c r="G20" s="37" t="s">
        <v>76</v>
      </c>
      <c r="H20" s="38">
        <v>0.888</v>
      </c>
      <c r="I20" s="51">
        <v>1.495</v>
      </c>
      <c r="J20" s="52">
        <f>LOG(92.13)</f>
        <v>1.9644010711627313</v>
      </c>
      <c r="K20" s="53"/>
      <c r="L20" s="54"/>
    </row>
    <row r="21" spans="1:12" s="24" customFormat="1" ht="25.5">
      <c r="A21" s="37"/>
      <c r="B21" s="37"/>
      <c r="C21" s="37"/>
      <c r="D21" s="37"/>
      <c r="E21" s="49"/>
      <c r="F21" s="50"/>
      <c r="G21" s="37"/>
      <c r="H21" s="38"/>
      <c r="I21" s="51"/>
      <c r="J21" s="52"/>
      <c r="K21" s="53"/>
      <c r="L21" s="54"/>
    </row>
    <row r="22" spans="1:12" s="24" customFormat="1" ht="25.5">
      <c r="A22" s="37">
        <v>7</v>
      </c>
      <c r="B22" s="136" t="s">
        <v>37</v>
      </c>
      <c r="C22" s="37">
        <v>2016</v>
      </c>
      <c r="D22" s="37">
        <v>29</v>
      </c>
      <c r="E22" s="49">
        <v>0</v>
      </c>
      <c r="F22" s="50">
        <v>29</v>
      </c>
      <c r="G22" s="36" t="s">
        <v>77</v>
      </c>
      <c r="H22" s="38">
        <v>0.917</v>
      </c>
      <c r="I22" s="51">
        <v>1.499</v>
      </c>
      <c r="J22" s="52">
        <f>LOG(1.369)</f>
        <v>0.13640344813399</v>
      </c>
      <c r="K22" s="53">
        <v>14814</v>
      </c>
      <c r="L22" s="54"/>
    </row>
    <row r="23" spans="1:12" s="24" customFormat="1" ht="25.5">
      <c r="A23" s="37"/>
      <c r="B23" s="37"/>
      <c r="C23" s="37" t="s">
        <v>69</v>
      </c>
      <c r="D23" s="37">
        <v>291</v>
      </c>
      <c r="E23" s="49">
        <v>0</v>
      </c>
      <c r="F23" s="50">
        <v>291</v>
      </c>
      <c r="G23" s="37" t="s">
        <v>78</v>
      </c>
      <c r="H23" s="38">
        <v>0.891</v>
      </c>
      <c r="I23" s="51">
        <v>1.354</v>
      </c>
      <c r="J23" s="52">
        <f>LOG(1.426)</f>
        <v>0.15411952551584673</v>
      </c>
      <c r="K23" s="53"/>
      <c r="L23" s="54"/>
    </row>
    <row r="24" spans="1:12" s="24" customFormat="1" ht="25.5">
      <c r="A24" s="37"/>
      <c r="B24" s="37"/>
      <c r="C24" s="37"/>
      <c r="D24" s="37"/>
      <c r="E24" s="49"/>
      <c r="F24" s="50"/>
      <c r="G24" s="37"/>
      <c r="H24" s="38"/>
      <c r="I24" s="51"/>
      <c r="J24" s="52"/>
      <c r="K24" s="53"/>
      <c r="L24" s="54"/>
    </row>
    <row r="25" spans="1:12" s="24" customFormat="1" ht="25.5">
      <c r="A25" s="37">
        <v>8</v>
      </c>
      <c r="B25" s="136" t="s">
        <v>57</v>
      </c>
      <c r="C25" s="37">
        <v>2016</v>
      </c>
      <c r="D25" s="37">
        <v>29</v>
      </c>
      <c r="E25" s="49">
        <v>0</v>
      </c>
      <c r="F25" s="50">
        <v>29</v>
      </c>
      <c r="G25" s="143" t="s">
        <v>80</v>
      </c>
      <c r="H25" s="38">
        <v>0.952</v>
      </c>
      <c r="I25" s="51">
        <v>1.397</v>
      </c>
      <c r="J25" s="52">
        <f>LOG(2.255)</f>
        <v>0.35314654621397934</v>
      </c>
      <c r="K25" s="53">
        <v>14814</v>
      </c>
      <c r="L25" s="54"/>
    </row>
    <row r="26" spans="1:12" s="24" customFormat="1" ht="25.5">
      <c r="A26" s="37"/>
      <c r="B26" s="37"/>
      <c r="C26" s="37" t="s">
        <v>79</v>
      </c>
      <c r="D26" s="37">
        <v>85</v>
      </c>
      <c r="E26" s="49">
        <v>0</v>
      </c>
      <c r="F26" s="50">
        <v>85</v>
      </c>
      <c r="G26" s="37" t="s">
        <v>81</v>
      </c>
      <c r="H26" s="38">
        <v>0.908</v>
      </c>
      <c r="I26" s="51">
        <v>1.338</v>
      </c>
      <c r="J26" s="52">
        <f>LOG(1.534)</f>
        <v>0.18582535961296218</v>
      </c>
      <c r="K26" s="53"/>
      <c r="L26" s="54"/>
    </row>
    <row r="27" spans="1:12" s="24" customFormat="1" ht="25.5">
      <c r="A27" s="37"/>
      <c r="B27" s="37"/>
      <c r="C27" s="37"/>
      <c r="D27" s="37"/>
      <c r="E27" s="49"/>
      <c r="F27" s="50"/>
      <c r="G27" s="37"/>
      <c r="H27" s="38"/>
      <c r="I27" s="51"/>
      <c r="J27" s="52"/>
      <c r="K27" s="53"/>
      <c r="L27" s="54"/>
    </row>
    <row r="28" spans="1:12" s="24" customFormat="1" ht="25.5">
      <c r="A28" s="37">
        <v>9</v>
      </c>
      <c r="B28" s="136" t="s">
        <v>38</v>
      </c>
      <c r="C28" s="37">
        <v>2016</v>
      </c>
      <c r="D28" s="37">
        <v>33</v>
      </c>
      <c r="E28" s="49">
        <v>0</v>
      </c>
      <c r="F28" s="50">
        <f>E28+D28</f>
        <v>33</v>
      </c>
      <c r="G28" s="36" t="s">
        <v>82</v>
      </c>
      <c r="H28" s="38">
        <v>0.799</v>
      </c>
      <c r="I28" s="51">
        <v>1.599</v>
      </c>
      <c r="J28" s="52">
        <f>LOG(1.667)</f>
        <v>0.22193559982800534</v>
      </c>
      <c r="K28" s="53">
        <v>3090</v>
      </c>
      <c r="L28" s="54"/>
    </row>
    <row r="29" spans="1:14" s="24" customFormat="1" ht="25.5">
      <c r="A29" s="37"/>
      <c r="B29" s="37"/>
      <c r="C29" s="37" t="s">
        <v>69</v>
      </c>
      <c r="D29" s="37">
        <v>462</v>
      </c>
      <c r="E29" s="49">
        <v>0</v>
      </c>
      <c r="F29" s="50">
        <f>E29+D29</f>
        <v>462</v>
      </c>
      <c r="G29" s="37" t="s">
        <v>83</v>
      </c>
      <c r="H29" s="38">
        <v>0.542</v>
      </c>
      <c r="I29" s="51">
        <v>1.583</v>
      </c>
      <c r="J29" s="52">
        <f>LOG(0.976)</f>
        <v>-0.010550182333308195</v>
      </c>
      <c r="K29" s="53"/>
      <c r="L29" s="54"/>
      <c r="N29" s="24" t="s">
        <v>56</v>
      </c>
    </row>
    <row r="30" spans="1:12" s="24" customFormat="1" ht="25.5">
      <c r="A30" s="37"/>
      <c r="B30" s="37"/>
      <c r="C30" s="37"/>
      <c r="D30" s="37"/>
      <c r="E30" s="49"/>
      <c r="F30" s="50"/>
      <c r="G30" s="37"/>
      <c r="H30" s="38"/>
      <c r="I30" s="51"/>
      <c r="J30" s="52"/>
      <c r="K30" s="53"/>
      <c r="L30" s="54"/>
    </row>
    <row r="31" spans="1:12" s="24" customFormat="1" ht="25.5">
      <c r="A31" s="37">
        <v>10</v>
      </c>
      <c r="B31" s="136" t="s">
        <v>39</v>
      </c>
      <c r="C31" s="37">
        <v>2016</v>
      </c>
      <c r="D31" s="37">
        <v>24</v>
      </c>
      <c r="E31" s="49">
        <v>0</v>
      </c>
      <c r="F31" s="50">
        <f>E31+D31</f>
        <v>24</v>
      </c>
      <c r="G31" s="36" t="s">
        <v>84</v>
      </c>
      <c r="H31" s="38">
        <v>0.948</v>
      </c>
      <c r="I31" s="51">
        <v>1.451</v>
      </c>
      <c r="J31" s="52">
        <f>LOG(2.489)</f>
        <v>0.3960248966085932</v>
      </c>
      <c r="K31" s="53">
        <v>1541</v>
      </c>
      <c r="L31" s="57"/>
    </row>
    <row r="32" spans="1:12" s="24" customFormat="1" ht="25.5">
      <c r="A32" s="37"/>
      <c r="B32" s="37"/>
      <c r="C32" s="37" t="s">
        <v>69</v>
      </c>
      <c r="D32" s="37">
        <v>434</v>
      </c>
      <c r="E32" s="49">
        <v>0</v>
      </c>
      <c r="F32" s="50">
        <f>E32+D32</f>
        <v>434</v>
      </c>
      <c r="G32" s="37" t="s">
        <v>85</v>
      </c>
      <c r="H32" s="38">
        <v>0.853</v>
      </c>
      <c r="I32" s="51">
        <v>1.436</v>
      </c>
      <c r="J32" s="52">
        <f>LOG(2.282)</f>
        <v>0.35831564008219585</v>
      </c>
      <c r="K32" s="53"/>
      <c r="L32" s="57"/>
    </row>
    <row r="33" spans="1:12" s="24" customFormat="1" ht="25.5">
      <c r="A33" s="37"/>
      <c r="B33" s="37"/>
      <c r="C33" s="37"/>
      <c r="D33" s="37"/>
      <c r="E33" s="49"/>
      <c r="F33" s="50"/>
      <c r="G33" s="37"/>
      <c r="H33" s="38"/>
      <c r="I33" s="51"/>
      <c r="J33" s="52"/>
      <c r="K33" s="53"/>
      <c r="L33" s="57"/>
    </row>
    <row r="34" spans="1:12" s="24" customFormat="1" ht="25.5">
      <c r="A34" s="37">
        <v>11</v>
      </c>
      <c r="B34" s="145" t="s">
        <v>23</v>
      </c>
      <c r="C34" s="37">
        <v>2016</v>
      </c>
      <c r="D34" s="37">
        <v>29</v>
      </c>
      <c r="E34" s="49">
        <v>0</v>
      </c>
      <c r="F34" s="50">
        <f>E34+D34</f>
        <v>29</v>
      </c>
      <c r="G34" s="36" t="s">
        <v>86</v>
      </c>
      <c r="H34" s="38">
        <v>0.858</v>
      </c>
      <c r="I34" s="51">
        <v>1.255</v>
      </c>
      <c r="J34" s="52">
        <f>LOG(2.831)</f>
        <v>0.451939869365103</v>
      </c>
      <c r="K34" s="53">
        <v>547</v>
      </c>
      <c r="L34" s="57"/>
    </row>
    <row r="35" spans="1:12" s="24" customFormat="1" ht="25.5">
      <c r="A35" s="37"/>
      <c r="B35" s="37"/>
      <c r="C35" s="37" t="s">
        <v>72</v>
      </c>
      <c r="D35" s="37">
        <v>447</v>
      </c>
      <c r="E35" s="49">
        <v>0</v>
      </c>
      <c r="F35" s="50">
        <f>E35+D35</f>
        <v>447</v>
      </c>
      <c r="G35" s="37" t="s">
        <v>87</v>
      </c>
      <c r="H35" s="38">
        <v>0.613</v>
      </c>
      <c r="I35" s="51">
        <v>1.207</v>
      </c>
      <c r="J35" s="52">
        <f>LOG(2.102)</f>
        <v>0.3226327116922234</v>
      </c>
      <c r="K35" s="53"/>
      <c r="L35" s="57"/>
    </row>
    <row r="36" spans="1:12" s="24" customFormat="1" ht="25.5">
      <c r="A36" s="37"/>
      <c r="B36" s="37"/>
      <c r="C36" s="37"/>
      <c r="D36" s="37"/>
      <c r="E36" s="49"/>
      <c r="F36" s="50"/>
      <c r="G36" s="37"/>
      <c r="H36" s="38"/>
      <c r="I36" s="51"/>
      <c r="J36" s="52"/>
      <c r="K36" s="53"/>
      <c r="L36" s="57"/>
    </row>
    <row r="37" spans="1:12" s="24" customFormat="1" ht="25.5">
      <c r="A37" s="37">
        <f>+A34+1</f>
        <v>12</v>
      </c>
      <c r="B37" s="136" t="s">
        <v>42</v>
      </c>
      <c r="C37" s="37">
        <v>2016</v>
      </c>
      <c r="D37" s="37">
        <v>33</v>
      </c>
      <c r="E37" s="49">
        <v>0</v>
      </c>
      <c r="F37" s="50">
        <f>E37+D37</f>
        <v>33</v>
      </c>
      <c r="G37" s="36" t="s">
        <v>134</v>
      </c>
      <c r="H37" s="38">
        <v>0.476</v>
      </c>
      <c r="I37" s="51">
        <v>2.564</v>
      </c>
      <c r="J37" s="52">
        <f>LOG(130.2)</f>
        <v>2.114610984232173</v>
      </c>
      <c r="K37" s="53">
        <v>134</v>
      </c>
      <c r="L37" s="57"/>
    </row>
    <row r="38" spans="1:12" s="24" customFormat="1" ht="25.5">
      <c r="A38" s="84"/>
      <c r="B38" s="84"/>
      <c r="C38" s="84" t="s">
        <v>88</v>
      </c>
      <c r="D38" s="84">
        <v>328</v>
      </c>
      <c r="E38" s="85">
        <v>0</v>
      </c>
      <c r="F38" s="86">
        <f>E38+D38</f>
        <v>328</v>
      </c>
      <c r="G38" s="84" t="s">
        <v>133</v>
      </c>
      <c r="H38" s="87">
        <v>0.414</v>
      </c>
      <c r="I38" s="88">
        <v>1.599</v>
      </c>
      <c r="J38" s="55">
        <f>LOG(2.373)</f>
        <v>0.375297738217339</v>
      </c>
      <c r="K38" s="89"/>
      <c r="L38" s="90"/>
    </row>
    <row r="39" spans="1:12" s="24" customFormat="1" ht="25.5">
      <c r="A39" s="37"/>
      <c r="B39" s="37"/>
      <c r="C39" s="37"/>
      <c r="D39" s="37"/>
      <c r="E39" s="49"/>
      <c r="F39" s="50"/>
      <c r="G39" s="37"/>
      <c r="H39" s="38"/>
      <c r="I39" s="51"/>
      <c r="J39" s="52"/>
      <c r="K39" s="53"/>
      <c r="L39" s="57"/>
    </row>
    <row r="40" spans="1:12" s="24" customFormat="1" ht="25.5">
      <c r="A40" s="91">
        <f>+A37+1</f>
        <v>13</v>
      </c>
      <c r="B40" s="137" t="s">
        <v>43</v>
      </c>
      <c r="C40" s="91">
        <v>2016</v>
      </c>
      <c r="D40" s="91">
        <v>33</v>
      </c>
      <c r="E40" s="92">
        <v>0</v>
      </c>
      <c r="F40" s="93">
        <f>E40+D40</f>
        <v>33</v>
      </c>
      <c r="G40" s="99" t="s">
        <v>89</v>
      </c>
      <c r="H40" s="94">
        <v>0.803</v>
      </c>
      <c r="I40" s="95">
        <v>1.529</v>
      </c>
      <c r="J40" s="96">
        <f>LOG(2.082)</f>
        <v>0.3184807251745173</v>
      </c>
      <c r="K40" s="97">
        <v>129</v>
      </c>
      <c r="L40" s="98"/>
    </row>
    <row r="41" spans="1:12" s="24" customFormat="1" ht="25.5">
      <c r="A41" s="37"/>
      <c r="B41" s="37"/>
      <c r="C41" s="37" t="s">
        <v>88</v>
      </c>
      <c r="D41" s="37">
        <v>327</v>
      </c>
      <c r="E41" s="49">
        <v>0</v>
      </c>
      <c r="F41" s="50">
        <f>E41+D41</f>
        <v>327</v>
      </c>
      <c r="G41" s="37" t="s">
        <v>90</v>
      </c>
      <c r="H41" s="38">
        <v>0.731</v>
      </c>
      <c r="I41" s="51">
        <v>1.506</v>
      </c>
      <c r="J41" s="52">
        <f>LOG(1.887)</f>
        <v>0.27577190016493136</v>
      </c>
      <c r="K41" s="53"/>
      <c r="L41" s="57"/>
    </row>
    <row r="42" spans="1:12" s="24" customFormat="1" ht="25.5">
      <c r="A42" s="37"/>
      <c r="B42" s="37"/>
      <c r="C42" s="37"/>
      <c r="D42" s="37"/>
      <c r="E42" s="49"/>
      <c r="F42" s="50"/>
      <c r="G42" s="37"/>
      <c r="H42" s="38"/>
      <c r="I42" s="51"/>
      <c r="J42" s="52"/>
      <c r="K42" s="53"/>
      <c r="L42" s="57"/>
    </row>
    <row r="43" spans="1:12" s="24" customFormat="1" ht="25.5">
      <c r="A43" s="37">
        <f>+A40+1</f>
        <v>14</v>
      </c>
      <c r="B43" s="136" t="s">
        <v>44</v>
      </c>
      <c r="C43" s="37">
        <v>2016</v>
      </c>
      <c r="D43" s="37">
        <v>34</v>
      </c>
      <c r="E43" s="49">
        <v>0</v>
      </c>
      <c r="F43" s="50">
        <f>E43+D43</f>
        <v>34</v>
      </c>
      <c r="G43" s="36" t="s">
        <v>91</v>
      </c>
      <c r="H43" s="38">
        <v>0.648</v>
      </c>
      <c r="I43" s="51">
        <v>1.287</v>
      </c>
      <c r="J43" s="52">
        <f>LOG(2.96)</f>
        <v>0.4712917110589386</v>
      </c>
      <c r="K43" s="53">
        <v>389</v>
      </c>
      <c r="L43" s="57"/>
    </row>
    <row r="44" spans="1:12" s="24" customFormat="1" ht="25.5">
      <c r="A44" s="37"/>
      <c r="B44" s="37"/>
      <c r="C44" s="37" t="s">
        <v>88</v>
      </c>
      <c r="D44" s="37">
        <v>378</v>
      </c>
      <c r="E44" s="49">
        <v>0</v>
      </c>
      <c r="F44" s="50">
        <f>E44+D44</f>
        <v>378</v>
      </c>
      <c r="G44" s="37" t="s">
        <v>92</v>
      </c>
      <c r="H44" s="38">
        <v>0.551</v>
      </c>
      <c r="I44" s="51">
        <v>1.607</v>
      </c>
      <c r="J44" s="52">
        <f>LOG(1.378)</f>
        <v>0.13924921757160696</v>
      </c>
      <c r="K44" s="53"/>
      <c r="L44" s="57"/>
    </row>
    <row r="45" spans="1:12" s="24" customFormat="1" ht="25.5">
      <c r="A45" s="37"/>
      <c r="B45" s="37"/>
      <c r="C45" s="37"/>
      <c r="D45" s="37"/>
      <c r="E45" s="49"/>
      <c r="F45" s="50"/>
      <c r="G45" s="37"/>
      <c r="H45" s="38"/>
      <c r="I45" s="51"/>
      <c r="J45" s="52"/>
      <c r="K45" s="53"/>
      <c r="L45" s="57"/>
    </row>
    <row r="46" spans="1:12" s="24" customFormat="1" ht="25.5">
      <c r="A46" s="37">
        <f>+A43+1</f>
        <v>15</v>
      </c>
      <c r="B46" s="136" t="s">
        <v>45</v>
      </c>
      <c r="C46" s="37">
        <v>2016</v>
      </c>
      <c r="D46" s="37">
        <v>32</v>
      </c>
      <c r="E46" s="49">
        <v>0</v>
      </c>
      <c r="F46" s="50">
        <f>E46+D46</f>
        <v>32</v>
      </c>
      <c r="G46" s="36" t="s">
        <v>94</v>
      </c>
      <c r="H46" s="38">
        <v>0.868</v>
      </c>
      <c r="I46" s="51">
        <v>1.396</v>
      </c>
      <c r="J46" s="52">
        <f>LOG(7.662)</f>
        <v>0.8843421476470589</v>
      </c>
      <c r="K46" s="53">
        <v>493</v>
      </c>
      <c r="L46" s="57"/>
    </row>
    <row r="47" spans="1:12" s="24" customFormat="1" ht="25.5">
      <c r="A47" s="37"/>
      <c r="B47" s="37"/>
      <c r="C47" s="37" t="s">
        <v>93</v>
      </c>
      <c r="D47" s="37">
        <v>383</v>
      </c>
      <c r="E47" s="49">
        <v>0</v>
      </c>
      <c r="F47" s="50">
        <f>E47+D47</f>
        <v>383</v>
      </c>
      <c r="G47" s="37" t="s">
        <v>95</v>
      </c>
      <c r="H47" s="38">
        <v>0.503</v>
      </c>
      <c r="I47" s="51">
        <v>1.277</v>
      </c>
      <c r="J47" s="52">
        <f>LOG(2.795)</f>
        <v>0.4463818122224421</v>
      </c>
      <c r="K47" s="53"/>
      <c r="L47" s="57"/>
    </row>
    <row r="48" spans="1:12" s="24" customFormat="1" ht="25.5">
      <c r="A48" s="37"/>
      <c r="B48" s="37"/>
      <c r="C48" s="37"/>
      <c r="D48" s="37"/>
      <c r="E48" s="49"/>
      <c r="F48" s="50"/>
      <c r="G48" s="37"/>
      <c r="H48" s="38"/>
      <c r="I48" s="51"/>
      <c r="J48" s="52"/>
      <c r="K48" s="53"/>
      <c r="L48" s="57"/>
    </row>
    <row r="49" spans="1:12" s="24" customFormat="1" ht="25.5">
      <c r="A49" s="37">
        <v>16</v>
      </c>
      <c r="B49" s="136" t="s">
        <v>58</v>
      </c>
      <c r="C49" s="37">
        <v>2016</v>
      </c>
      <c r="D49" s="37">
        <v>34</v>
      </c>
      <c r="E49" s="49">
        <v>0</v>
      </c>
      <c r="F49" s="50">
        <f>E49+D49</f>
        <v>34</v>
      </c>
      <c r="G49" s="36" t="s">
        <v>96</v>
      </c>
      <c r="H49" s="38">
        <v>0.886</v>
      </c>
      <c r="I49" s="51">
        <v>2.305</v>
      </c>
      <c r="J49" s="52">
        <f>LOG(0.504)</f>
        <v>-0.2975694635544747</v>
      </c>
      <c r="K49" s="53">
        <v>1653</v>
      </c>
      <c r="L49" s="57"/>
    </row>
    <row r="50" spans="1:12" s="24" customFormat="1" ht="25.5">
      <c r="A50" s="37"/>
      <c r="B50" s="37"/>
      <c r="C50" s="37" t="s">
        <v>79</v>
      </c>
      <c r="D50" s="37">
        <v>107</v>
      </c>
      <c r="E50" s="49">
        <v>0</v>
      </c>
      <c r="F50" s="50">
        <f>E50+D50</f>
        <v>107</v>
      </c>
      <c r="G50" s="37" t="s">
        <v>97</v>
      </c>
      <c r="H50" s="38">
        <v>0.852</v>
      </c>
      <c r="I50" s="51">
        <v>2.263</v>
      </c>
      <c r="J50" s="52">
        <f>LOG(0.407)</f>
        <v>-0.39040559077478</v>
      </c>
      <c r="K50" s="53"/>
      <c r="L50" s="57"/>
    </row>
    <row r="51" spans="1:12" s="24" customFormat="1" ht="25.5">
      <c r="A51" s="37"/>
      <c r="C51" s="37"/>
      <c r="D51" s="37"/>
      <c r="E51" s="49"/>
      <c r="F51" s="50"/>
      <c r="G51" s="37"/>
      <c r="H51" s="38"/>
      <c r="I51" s="51"/>
      <c r="J51" s="52"/>
      <c r="K51" s="53"/>
      <c r="L51" s="57"/>
    </row>
    <row r="52" spans="1:12" s="24" customFormat="1" ht="25.5">
      <c r="A52" s="37">
        <v>17</v>
      </c>
      <c r="B52" s="136" t="s">
        <v>59</v>
      </c>
      <c r="C52" s="37">
        <v>2016</v>
      </c>
      <c r="D52" s="37">
        <v>29</v>
      </c>
      <c r="E52" s="49">
        <v>0</v>
      </c>
      <c r="F52" s="50">
        <v>29</v>
      </c>
      <c r="G52" s="143" t="s">
        <v>98</v>
      </c>
      <c r="H52" s="38">
        <v>0.84</v>
      </c>
      <c r="I52" s="51">
        <v>2.304</v>
      </c>
      <c r="J52" s="52">
        <f>LOG(0.471)</f>
        <v>-0.3269790928711038</v>
      </c>
      <c r="K52" s="53">
        <v>1653</v>
      </c>
      <c r="L52" s="57"/>
    </row>
    <row r="53" spans="1:12" s="24" customFormat="1" ht="25.5">
      <c r="A53" s="37"/>
      <c r="B53" s="37"/>
      <c r="C53" s="37" t="s">
        <v>79</v>
      </c>
      <c r="D53" s="37">
        <v>82</v>
      </c>
      <c r="E53" s="49">
        <v>0</v>
      </c>
      <c r="F53" s="50">
        <v>82</v>
      </c>
      <c r="G53" s="37" t="s">
        <v>99</v>
      </c>
      <c r="H53" s="38">
        <v>0.762</v>
      </c>
      <c r="I53" s="51">
        <v>2.333</v>
      </c>
      <c r="J53" s="52">
        <f>LOG(0.277)</f>
        <v>-0.5575202309355514</v>
      </c>
      <c r="K53" s="53"/>
      <c r="L53" s="57"/>
    </row>
    <row r="54" spans="1:12" s="24" customFormat="1" ht="25.5">
      <c r="A54" s="37"/>
      <c r="B54" s="37"/>
      <c r="C54" s="37"/>
      <c r="D54" s="37"/>
      <c r="E54" s="49"/>
      <c r="F54" s="50"/>
      <c r="G54" s="37"/>
      <c r="H54" s="38"/>
      <c r="I54" s="51"/>
      <c r="J54" s="52"/>
      <c r="K54" s="53"/>
      <c r="L54" s="57"/>
    </row>
    <row r="55" spans="1:12" s="24" customFormat="1" ht="25.5">
      <c r="A55" s="37">
        <v>18</v>
      </c>
      <c r="B55" s="145" t="s">
        <v>46</v>
      </c>
      <c r="C55" s="101">
        <v>2016</v>
      </c>
      <c r="D55" s="37">
        <v>21</v>
      </c>
      <c r="E55" s="49">
        <v>0</v>
      </c>
      <c r="F55" s="50">
        <f>E55+D55</f>
        <v>21</v>
      </c>
      <c r="G55" s="36" t="s">
        <v>114</v>
      </c>
      <c r="H55" s="38">
        <v>0.585</v>
      </c>
      <c r="I55" s="51">
        <v>1.11</v>
      </c>
      <c r="J55" s="52">
        <f>LOG(3.006)</f>
        <v>0.4779889762508893</v>
      </c>
      <c r="K55" s="53">
        <v>3478</v>
      </c>
      <c r="L55" s="57"/>
    </row>
    <row r="56" spans="1:12" s="24" customFormat="1" ht="25.5">
      <c r="A56" s="37"/>
      <c r="B56" s="37"/>
      <c r="C56" s="37" t="s">
        <v>64</v>
      </c>
      <c r="D56" s="37">
        <v>302</v>
      </c>
      <c r="E56" s="49"/>
      <c r="F56" s="50">
        <v>302</v>
      </c>
      <c r="G56" s="102" t="s">
        <v>100</v>
      </c>
      <c r="H56" s="38">
        <v>0.837</v>
      </c>
      <c r="I56" s="51">
        <v>1.596</v>
      </c>
      <c r="J56" s="52">
        <f>LOG(0.954)</f>
        <v>-0.020451625295904902</v>
      </c>
      <c r="K56" s="53"/>
      <c r="L56" s="57"/>
    </row>
    <row r="57" spans="1:12" s="24" customFormat="1" ht="25.5">
      <c r="A57" s="37"/>
      <c r="B57" s="37"/>
      <c r="C57" s="37"/>
      <c r="D57" s="37"/>
      <c r="E57" s="49"/>
      <c r="F57" s="50"/>
      <c r="G57" s="37"/>
      <c r="H57" s="38"/>
      <c r="I57" s="51"/>
      <c r="J57" s="52"/>
      <c r="K57" s="53"/>
      <c r="L57" s="57"/>
    </row>
    <row r="58" spans="1:12" s="24" customFormat="1" ht="25.5">
      <c r="A58" s="37">
        <f>+A55+1</f>
        <v>19</v>
      </c>
      <c r="B58" s="145" t="s">
        <v>16</v>
      </c>
      <c r="C58" s="101">
        <v>2016</v>
      </c>
      <c r="D58" s="37">
        <v>23</v>
      </c>
      <c r="E58" s="49">
        <v>0</v>
      </c>
      <c r="F58" s="50">
        <f>E58+D58</f>
        <v>23</v>
      </c>
      <c r="G58" s="36" t="s">
        <v>101</v>
      </c>
      <c r="H58" s="38">
        <v>0.942</v>
      </c>
      <c r="I58" s="51">
        <v>1.28</v>
      </c>
      <c r="J58" s="52">
        <f>LOG(1.736)</f>
        <v>0.2395497208404731</v>
      </c>
      <c r="K58" s="53">
        <v>8924</v>
      </c>
      <c r="L58" s="57"/>
    </row>
    <row r="59" spans="1:12" s="24" customFormat="1" ht="25.5">
      <c r="A59" s="37"/>
      <c r="B59" s="37"/>
      <c r="C59" s="37" t="s">
        <v>64</v>
      </c>
      <c r="D59" s="37">
        <v>298</v>
      </c>
      <c r="E59" s="49"/>
      <c r="F59" s="50">
        <v>298</v>
      </c>
      <c r="G59" s="102" t="s">
        <v>102</v>
      </c>
      <c r="H59" s="38">
        <v>0.84</v>
      </c>
      <c r="I59" s="51">
        <v>1.667</v>
      </c>
      <c r="J59" s="52">
        <f>LOG(0.446)</f>
        <v>-0.35066514128785814</v>
      </c>
      <c r="K59" s="53"/>
      <c r="L59" s="57"/>
    </row>
    <row r="60" spans="1:12" s="24" customFormat="1" ht="25.5">
      <c r="A60" s="37"/>
      <c r="B60" s="37"/>
      <c r="C60" s="37"/>
      <c r="D60" s="37"/>
      <c r="E60" s="49"/>
      <c r="F60" s="50"/>
      <c r="G60" s="37"/>
      <c r="H60" s="38"/>
      <c r="I60" s="51"/>
      <c r="J60" s="52"/>
      <c r="K60" s="53"/>
      <c r="L60" s="57"/>
    </row>
    <row r="61" spans="1:12" s="24" customFormat="1" ht="25.5">
      <c r="A61" s="37">
        <f>+A58+1</f>
        <v>20</v>
      </c>
      <c r="B61" s="145" t="s">
        <v>24</v>
      </c>
      <c r="C61" s="37">
        <v>2016</v>
      </c>
      <c r="D61" s="37">
        <v>24</v>
      </c>
      <c r="E61" s="49">
        <v>0</v>
      </c>
      <c r="F61" s="50">
        <f>E61+D61</f>
        <v>24</v>
      </c>
      <c r="G61" s="36" t="s">
        <v>103</v>
      </c>
      <c r="H61" s="38">
        <v>0.774</v>
      </c>
      <c r="I61" s="51">
        <v>1.605</v>
      </c>
      <c r="J61" s="52">
        <f>LOG(0.838)</f>
        <v>-0.07675598136972352</v>
      </c>
      <c r="K61" s="53">
        <v>1392</v>
      </c>
      <c r="L61" s="57"/>
    </row>
    <row r="62" spans="1:12" s="24" customFormat="1" ht="25.5">
      <c r="A62" s="37"/>
      <c r="B62" s="37"/>
      <c r="C62" s="37" t="s">
        <v>72</v>
      </c>
      <c r="D62" s="37">
        <v>438</v>
      </c>
      <c r="E62" s="49">
        <v>0</v>
      </c>
      <c r="F62" s="50">
        <f>E62+D62</f>
        <v>438</v>
      </c>
      <c r="G62" s="37" t="s">
        <v>104</v>
      </c>
      <c r="H62" s="38">
        <v>0.306</v>
      </c>
      <c r="I62" s="51">
        <v>1.048</v>
      </c>
      <c r="J62" s="52">
        <f>LOG(1.809)</f>
        <v>0.25743856685981376</v>
      </c>
      <c r="K62" s="53"/>
      <c r="L62" s="57"/>
    </row>
    <row r="63" spans="1:12" s="24" customFormat="1" ht="25.5">
      <c r="A63" s="37"/>
      <c r="B63" s="37"/>
      <c r="C63" s="37"/>
      <c r="D63" s="37"/>
      <c r="E63" s="49"/>
      <c r="F63" s="50"/>
      <c r="G63" s="37"/>
      <c r="H63" s="38"/>
      <c r="I63" s="51"/>
      <c r="J63" s="52"/>
      <c r="K63" s="53"/>
      <c r="L63" s="57"/>
    </row>
    <row r="64" spans="1:12" s="24" customFormat="1" ht="25.5">
      <c r="A64" s="37">
        <v>21</v>
      </c>
      <c r="B64" s="136" t="s">
        <v>17</v>
      </c>
      <c r="C64" s="37">
        <v>2016</v>
      </c>
      <c r="D64" s="37">
        <v>26</v>
      </c>
      <c r="E64" s="49">
        <v>0</v>
      </c>
      <c r="F64" s="50">
        <f>E64+D64</f>
        <v>26</v>
      </c>
      <c r="G64" s="36" t="s">
        <v>106</v>
      </c>
      <c r="H64" s="38">
        <v>0.659</v>
      </c>
      <c r="I64" s="51">
        <v>1.363</v>
      </c>
      <c r="J64" s="52">
        <f>LOG(3.217)</f>
        <v>0.5074510609019698</v>
      </c>
      <c r="K64" s="53">
        <v>726</v>
      </c>
      <c r="L64" s="57"/>
    </row>
    <row r="65" spans="1:12" s="24" customFormat="1" ht="25.5">
      <c r="A65" s="37"/>
      <c r="B65" s="37"/>
      <c r="C65" s="37" t="s">
        <v>105</v>
      </c>
      <c r="D65" s="37">
        <v>566</v>
      </c>
      <c r="E65" s="49">
        <v>0</v>
      </c>
      <c r="F65" s="50">
        <f>E65+D65</f>
        <v>566</v>
      </c>
      <c r="G65" s="102" t="s">
        <v>107</v>
      </c>
      <c r="H65" s="141">
        <v>0.841</v>
      </c>
      <c r="I65" s="142">
        <v>1.547</v>
      </c>
      <c r="J65" s="52">
        <f>LOG(2.477)</f>
        <v>0.393926006585837</v>
      </c>
      <c r="K65" s="53"/>
      <c r="L65" s="57"/>
    </row>
    <row r="66" spans="1:12" s="24" customFormat="1" ht="25.5">
      <c r="A66" s="37"/>
      <c r="B66" s="37"/>
      <c r="C66" s="37"/>
      <c r="D66" s="37"/>
      <c r="E66" s="49"/>
      <c r="F66" s="50"/>
      <c r="G66" s="37"/>
      <c r="H66" s="38"/>
      <c r="I66" s="51"/>
      <c r="J66" s="52"/>
      <c r="K66" s="53"/>
      <c r="L66" s="57"/>
    </row>
    <row r="67" spans="1:12" s="24" customFormat="1" ht="25.5">
      <c r="A67" s="58">
        <v>22</v>
      </c>
      <c r="B67" s="145" t="s">
        <v>53</v>
      </c>
      <c r="C67" s="37">
        <v>2016</v>
      </c>
      <c r="D67" s="37">
        <v>29</v>
      </c>
      <c r="E67" s="49">
        <v>0</v>
      </c>
      <c r="F67" s="50">
        <v>29</v>
      </c>
      <c r="G67" s="36" t="s">
        <v>109</v>
      </c>
      <c r="H67" s="38">
        <v>0.9</v>
      </c>
      <c r="I67" s="51">
        <v>1.492</v>
      </c>
      <c r="J67" s="52">
        <f>LOG(266.8)</f>
        <v>2.426185825244511</v>
      </c>
      <c r="K67" s="53">
        <v>762</v>
      </c>
      <c r="L67" s="54"/>
    </row>
    <row r="68" spans="1:12" s="24" customFormat="1" ht="25.5">
      <c r="A68" s="58"/>
      <c r="B68" s="37"/>
      <c r="C68" s="37" t="s">
        <v>108</v>
      </c>
      <c r="D68" s="37">
        <v>235</v>
      </c>
      <c r="E68" s="49">
        <v>0</v>
      </c>
      <c r="F68" s="50">
        <v>235</v>
      </c>
      <c r="G68" s="37" t="s">
        <v>110</v>
      </c>
      <c r="H68" s="38">
        <v>0.881</v>
      </c>
      <c r="I68" s="51">
        <v>1.421</v>
      </c>
      <c r="J68" s="52">
        <f>LOG(119.6)</f>
        <v>2.077731179652392</v>
      </c>
      <c r="K68" s="53"/>
      <c r="L68" s="54"/>
    </row>
    <row r="69" spans="1:12" s="24" customFormat="1" ht="25.5">
      <c r="A69" s="58"/>
      <c r="B69" s="37"/>
      <c r="C69" s="37"/>
      <c r="D69" s="37"/>
      <c r="E69" s="49"/>
      <c r="F69" s="50"/>
      <c r="G69" s="37"/>
      <c r="H69" s="38"/>
      <c r="I69" s="51"/>
      <c r="J69" s="52"/>
      <c r="K69" s="53"/>
      <c r="L69" s="54"/>
    </row>
    <row r="70" spans="1:12" s="28" customFormat="1" ht="22.5" customHeight="1">
      <c r="A70" s="58">
        <v>23</v>
      </c>
      <c r="B70" s="136" t="s">
        <v>18</v>
      </c>
      <c r="C70" s="37">
        <v>2016</v>
      </c>
      <c r="D70" s="37">
        <v>35</v>
      </c>
      <c r="E70" s="49">
        <v>0</v>
      </c>
      <c r="F70" s="50">
        <v>35</v>
      </c>
      <c r="G70" s="36" t="s">
        <v>112</v>
      </c>
      <c r="H70" s="38">
        <v>0.902</v>
      </c>
      <c r="I70" s="51">
        <v>1.385</v>
      </c>
      <c r="J70" s="52">
        <f>LOG(1.661)</f>
        <v>0.2203696324513945</v>
      </c>
      <c r="K70" s="53">
        <v>7624</v>
      </c>
      <c r="L70" s="54"/>
    </row>
    <row r="71" spans="1:12" s="28" customFormat="1" ht="22.5" customHeight="1">
      <c r="A71" s="58"/>
      <c r="B71" s="37"/>
      <c r="C71" s="37" t="s">
        <v>111</v>
      </c>
      <c r="D71" s="37">
        <v>591</v>
      </c>
      <c r="E71" s="49">
        <v>0</v>
      </c>
      <c r="F71" s="50">
        <v>591</v>
      </c>
      <c r="G71" s="37" t="s">
        <v>113</v>
      </c>
      <c r="H71" s="38">
        <v>0.612</v>
      </c>
      <c r="I71" s="51">
        <v>1.1486</v>
      </c>
      <c r="J71" s="52">
        <f>LOG(1.782)</f>
        <v>0.25090769970085597</v>
      </c>
      <c r="K71" s="53"/>
      <c r="L71" s="65"/>
    </row>
    <row r="72" spans="1:12" s="28" customFormat="1" ht="22.5" customHeight="1">
      <c r="A72" s="67"/>
      <c r="B72" s="37"/>
      <c r="C72" s="37"/>
      <c r="D72" s="37"/>
      <c r="E72" s="49"/>
      <c r="F72" s="50"/>
      <c r="G72" s="37"/>
      <c r="H72" s="38"/>
      <c r="I72" s="51"/>
      <c r="J72" s="52"/>
      <c r="K72" s="53"/>
      <c r="L72" s="65"/>
    </row>
    <row r="73" spans="1:12" s="28" customFormat="1" ht="22.5" customHeight="1">
      <c r="A73" s="58">
        <v>24</v>
      </c>
      <c r="B73" s="139" t="s">
        <v>47</v>
      </c>
      <c r="C73" s="58">
        <v>2016</v>
      </c>
      <c r="D73" s="58">
        <v>24</v>
      </c>
      <c r="E73" s="59">
        <v>0</v>
      </c>
      <c r="F73" s="60">
        <v>24</v>
      </c>
      <c r="G73" s="39" t="s">
        <v>115</v>
      </c>
      <c r="H73" s="61">
        <v>0.788</v>
      </c>
      <c r="I73" s="62">
        <v>2.043</v>
      </c>
      <c r="J73" s="63">
        <f>LOG(0.612)</f>
        <v>-0.21324857785443882</v>
      </c>
      <c r="K73" s="64">
        <v>5410</v>
      </c>
      <c r="L73" s="65"/>
    </row>
    <row r="74" spans="1:12" s="28" customFormat="1" ht="22.5" customHeight="1">
      <c r="A74" s="67"/>
      <c r="B74" s="58"/>
      <c r="C74" s="58" t="s">
        <v>88</v>
      </c>
      <c r="D74" s="58">
        <v>332</v>
      </c>
      <c r="E74" s="59">
        <v>0</v>
      </c>
      <c r="F74" s="60">
        <v>332</v>
      </c>
      <c r="G74" s="58" t="s">
        <v>116</v>
      </c>
      <c r="H74" s="61">
        <v>0.829</v>
      </c>
      <c r="I74" s="62">
        <v>1.702</v>
      </c>
      <c r="J74" s="63">
        <f>LOG(0.793)</f>
        <v>-0.10072681268239618</v>
      </c>
      <c r="K74" s="64"/>
      <c r="L74" s="65"/>
    </row>
    <row r="75" spans="1:12" s="28" customFormat="1" ht="22.5" customHeight="1">
      <c r="A75" s="67"/>
      <c r="B75" s="58"/>
      <c r="C75" s="58"/>
      <c r="D75" s="58"/>
      <c r="E75" s="59"/>
      <c r="F75" s="60"/>
      <c r="G75" s="58"/>
      <c r="H75" s="61"/>
      <c r="I75" s="62"/>
      <c r="J75" s="63"/>
      <c r="K75" s="64"/>
      <c r="L75" s="144"/>
    </row>
    <row r="76" spans="1:12" s="28" customFormat="1" ht="22.5" customHeight="1">
      <c r="A76" s="67">
        <v>25</v>
      </c>
      <c r="B76" s="146" t="s">
        <v>60</v>
      </c>
      <c r="C76" s="58">
        <v>2016</v>
      </c>
      <c r="D76" s="58">
        <v>13</v>
      </c>
      <c r="E76" s="59">
        <v>0</v>
      </c>
      <c r="F76" s="60">
        <v>13</v>
      </c>
      <c r="G76" s="39" t="s">
        <v>117</v>
      </c>
      <c r="H76" s="61">
        <v>0.686</v>
      </c>
      <c r="I76" s="62">
        <v>1.263</v>
      </c>
      <c r="J76" s="63">
        <f>LOG(6.186)</f>
        <v>0.7914099156671601</v>
      </c>
      <c r="K76" s="64">
        <v>597</v>
      </c>
      <c r="L76" s="144"/>
    </row>
    <row r="77" spans="1:12" s="28" customFormat="1" ht="22.5" customHeight="1">
      <c r="A77" s="67"/>
      <c r="B77" s="58"/>
      <c r="C77" s="58"/>
      <c r="D77" s="58"/>
      <c r="E77" s="59"/>
      <c r="F77" s="60"/>
      <c r="G77" s="58"/>
      <c r="H77" s="61"/>
      <c r="I77" s="62"/>
      <c r="J77" s="63"/>
      <c r="K77" s="64"/>
      <c r="L77" s="144"/>
    </row>
    <row r="78" spans="1:12" s="28" customFormat="1" ht="22.5" customHeight="1">
      <c r="A78" s="67"/>
      <c r="B78" s="58"/>
      <c r="C78" s="58"/>
      <c r="D78" s="58"/>
      <c r="E78" s="59"/>
      <c r="F78" s="60"/>
      <c r="G78" s="58"/>
      <c r="H78" s="61"/>
      <c r="I78" s="62"/>
      <c r="J78" s="63"/>
      <c r="K78" s="64"/>
      <c r="L78" s="66"/>
    </row>
    <row r="79" spans="1:12" s="28" customFormat="1" ht="22.5" customHeight="1">
      <c r="A79" s="75">
        <v>26</v>
      </c>
      <c r="B79" s="139" t="s">
        <v>48</v>
      </c>
      <c r="C79" s="58">
        <v>2016</v>
      </c>
      <c r="D79" s="58">
        <v>26</v>
      </c>
      <c r="E79" s="59">
        <v>0</v>
      </c>
      <c r="F79" s="60">
        <v>26</v>
      </c>
      <c r="G79" s="39" t="s">
        <v>119</v>
      </c>
      <c r="H79" s="61">
        <v>0.772</v>
      </c>
      <c r="I79" s="62">
        <v>1.714</v>
      </c>
      <c r="J79" s="63">
        <f>LOG(0.362)</f>
        <v>-0.4412914294668343</v>
      </c>
      <c r="K79" s="64">
        <v>10360</v>
      </c>
      <c r="L79" s="74"/>
    </row>
    <row r="80" spans="1:12" s="28" customFormat="1" ht="22.5" customHeight="1">
      <c r="A80" s="75"/>
      <c r="B80" s="58"/>
      <c r="C80" s="58" t="s">
        <v>118</v>
      </c>
      <c r="D80" s="58">
        <v>307</v>
      </c>
      <c r="E80" s="59"/>
      <c r="F80" s="60">
        <v>307</v>
      </c>
      <c r="G80" s="58" t="s">
        <v>120</v>
      </c>
      <c r="H80" s="61">
        <v>0.793</v>
      </c>
      <c r="I80" s="62">
        <v>1.552</v>
      </c>
      <c r="J80" s="63">
        <f>LOG(0.789)</f>
        <v>-0.10292299679057967</v>
      </c>
      <c r="K80" s="64"/>
      <c r="L80" s="74"/>
    </row>
    <row r="81" spans="1:12" s="28" customFormat="1" ht="22.5" customHeight="1">
      <c r="A81" s="58"/>
      <c r="B81" s="67"/>
      <c r="C81" s="67"/>
      <c r="D81" s="67"/>
      <c r="E81" s="68"/>
      <c r="F81" s="69"/>
      <c r="G81" s="67"/>
      <c r="H81" s="70"/>
      <c r="I81" s="71"/>
      <c r="J81" s="72"/>
      <c r="K81" s="73"/>
      <c r="L81" s="74"/>
    </row>
    <row r="82" spans="1:12" s="28" customFormat="1" ht="22.5" customHeight="1">
      <c r="A82" s="58">
        <v>27</v>
      </c>
      <c r="B82" s="139" t="s">
        <v>49</v>
      </c>
      <c r="C82" s="58">
        <v>2016</v>
      </c>
      <c r="D82" s="58">
        <v>30</v>
      </c>
      <c r="E82" s="59">
        <v>0</v>
      </c>
      <c r="F82" s="60">
        <v>30</v>
      </c>
      <c r="G82" s="39" t="s">
        <v>124</v>
      </c>
      <c r="H82" s="61">
        <v>0.86</v>
      </c>
      <c r="I82" s="62">
        <v>1.885</v>
      </c>
      <c r="J82" s="63">
        <f>LOG(0.23)</f>
        <v>-0.638272163982407</v>
      </c>
      <c r="K82" s="64">
        <v>4560</v>
      </c>
      <c r="L82" s="82"/>
    </row>
    <row r="83" spans="1:12" s="28" customFormat="1" ht="22.5" customHeight="1">
      <c r="A83" s="58"/>
      <c r="B83" s="67"/>
      <c r="C83" s="67" t="s">
        <v>88</v>
      </c>
      <c r="D83" s="67">
        <v>338</v>
      </c>
      <c r="E83" s="68">
        <v>0</v>
      </c>
      <c r="F83" s="69">
        <v>338</v>
      </c>
      <c r="G83" s="103" t="s">
        <v>121</v>
      </c>
      <c r="H83" s="61">
        <v>0.841</v>
      </c>
      <c r="I83" s="62">
        <v>1.927</v>
      </c>
      <c r="J83" s="63">
        <f>LOG(0.151)</f>
        <v>-0.8210230527068306</v>
      </c>
      <c r="K83" s="73"/>
      <c r="L83" s="82"/>
    </row>
    <row r="84" spans="1:12" s="28" customFormat="1" ht="22.5" customHeight="1">
      <c r="A84" s="58"/>
      <c r="B84" s="67"/>
      <c r="C84" s="67"/>
      <c r="D84" s="67"/>
      <c r="E84" s="68"/>
      <c r="F84" s="69"/>
      <c r="G84" s="67"/>
      <c r="H84" s="70"/>
      <c r="I84" s="71"/>
      <c r="J84" s="72"/>
      <c r="K84" s="73"/>
      <c r="L84" s="65"/>
    </row>
    <row r="85" spans="1:12" s="28" customFormat="1" ht="22.5" customHeight="1">
      <c r="A85" s="58">
        <v>28</v>
      </c>
      <c r="B85" s="138" t="s">
        <v>50</v>
      </c>
      <c r="C85" s="75">
        <v>2016</v>
      </c>
      <c r="D85" s="75">
        <v>26</v>
      </c>
      <c r="E85" s="76">
        <v>0</v>
      </c>
      <c r="F85" s="77">
        <v>26</v>
      </c>
      <c r="G85" s="40" t="s">
        <v>123</v>
      </c>
      <c r="H85" s="78">
        <v>0.729</v>
      </c>
      <c r="I85" s="79">
        <v>2.02</v>
      </c>
      <c r="J85" s="80">
        <f>LOG(0.104)</f>
        <v>-0.9829666607012196</v>
      </c>
      <c r="K85" s="81">
        <v>3476</v>
      </c>
      <c r="L85" s="65"/>
    </row>
    <row r="86" spans="1:12" s="28" customFormat="1" ht="22.5" customHeight="1">
      <c r="A86" s="58"/>
      <c r="B86" s="75"/>
      <c r="C86" s="75" t="s">
        <v>64</v>
      </c>
      <c r="D86" s="75">
        <v>324</v>
      </c>
      <c r="E86" s="76"/>
      <c r="F86" s="77">
        <v>324</v>
      </c>
      <c r="G86" s="104" t="s">
        <v>122</v>
      </c>
      <c r="H86" s="78">
        <v>0.785</v>
      </c>
      <c r="I86" s="79">
        <v>1.889</v>
      </c>
      <c r="J86" s="80">
        <f>LOG(0.231)</f>
        <v>-0.6363880201078557</v>
      </c>
      <c r="K86" s="81"/>
      <c r="L86" s="65"/>
    </row>
    <row r="87" spans="1:12" s="28" customFormat="1" ht="22.5" customHeight="1">
      <c r="A87" s="58"/>
      <c r="B87" s="58"/>
      <c r="C87" s="58"/>
      <c r="D87" s="58"/>
      <c r="E87" s="59"/>
      <c r="F87" s="60"/>
      <c r="G87" s="58"/>
      <c r="H87" s="61"/>
      <c r="I87" s="62"/>
      <c r="J87" s="63"/>
      <c r="K87" s="64"/>
      <c r="L87" s="65"/>
    </row>
    <row r="88" spans="1:12" s="28" customFormat="1" ht="22.5" customHeight="1">
      <c r="A88" s="58">
        <v>29</v>
      </c>
      <c r="B88" s="139" t="s">
        <v>54</v>
      </c>
      <c r="C88" s="58">
        <v>2016</v>
      </c>
      <c r="D88" s="58">
        <v>30</v>
      </c>
      <c r="E88" s="59">
        <v>0</v>
      </c>
      <c r="F88" s="60">
        <v>30</v>
      </c>
      <c r="G88" s="39" t="s">
        <v>125</v>
      </c>
      <c r="H88" s="61">
        <v>0.717</v>
      </c>
      <c r="I88" s="62">
        <v>1.678</v>
      </c>
      <c r="J88" s="63">
        <f>LOG(0.557)</f>
        <v>-0.25414480482627105</v>
      </c>
      <c r="K88" s="64">
        <v>620.7</v>
      </c>
      <c r="L88" s="65"/>
    </row>
    <row r="89" spans="1:12" s="28" customFormat="1" ht="22.5" customHeight="1">
      <c r="A89" s="58"/>
      <c r="B89" s="58"/>
      <c r="C89" s="58" t="s">
        <v>64</v>
      </c>
      <c r="D89" s="58">
        <v>293</v>
      </c>
      <c r="E89" s="59"/>
      <c r="F89" s="60">
        <v>293</v>
      </c>
      <c r="G89" s="58" t="s">
        <v>126</v>
      </c>
      <c r="H89" s="61">
        <v>0.739</v>
      </c>
      <c r="I89" s="62">
        <v>1.691</v>
      </c>
      <c r="J89" s="63">
        <f>LOG(0.632)</f>
        <v>-0.19928292171761497</v>
      </c>
      <c r="K89" s="64"/>
      <c r="L89" s="65"/>
    </row>
    <row r="90" spans="1:12" s="28" customFormat="1" ht="22.5" customHeight="1">
      <c r="A90" s="58"/>
      <c r="B90" s="58"/>
      <c r="C90" s="58"/>
      <c r="D90" s="58"/>
      <c r="E90" s="59"/>
      <c r="F90" s="60"/>
      <c r="G90" s="58"/>
      <c r="H90" s="61"/>
      <c r="I90" s="62"/>
      <c r="J90" s="63"/>
      <c r="K90" s="64"/>
      <c r="L90" s="65"/>
    </row>
    <row r="91" spans="1:12" s="28" customFormat="1" ht="22.5" customHeight="1">
      <c r="A91" s="100">
        <v>30</v>
      </c>
      <c r="B91" s="139" t="s">
        <v>27</v>
      </c>
      <c r="C91" s="58">
        <v>2016</v>
      </c>
      <c r="D91" s="58">
        <v>34</v>
      </c>
      <c r="E91" s="59">
        <v>0</v>
      </c>
      <c r="F91" s="60">
        <v>34</v>
      </c>
      <c r="G91" s="39" t="s">
        <v>127</v>
      </c>
      <c r="H91" s="61">
        <v>0.958</v>
      </c>
      <c r="I91" s="62">
        <v>1.54</v>
      </c>
      <c r="J91" s="63">
        <f>LOG(3.824)</f>
        <v>0.5825178836040624</v>
      </c>
      <c r="K91" s="64">
        <v>2934</v>
      </c>
      <c r="L91" s="65"/>
    </row>
    <row r="92" spans="2:12" s="28" customFormat="1" ht="22.5" customHeight="1">
      <c r="B92" s="58"/>
      <c r="C92" s="58" t="s">
        <v>111</v>
      </c>
      <c r="D92" s="58">
        <v>584</v>
      </c>
      <c r="E92" s="59">
        <v>0</v>
      </c>
      <c r="F92" s="60">
        <v>584</v>
      </c>
      <c r="G92" s="103" t="s">
        <v>128</v>
      </c>
      <c r="H92" s="61">
        <v>0.936</v>
      </c>
      <c r="I92" s="62">
        <v>1.52</v>
      </c>
      <c r="J92" s="63">
        <f>LOG(3.34)</f>
        <v>0.5237464668115644</v>
      </c>
      <c r="K92" s="64"/>
      <c r="L92" s="65"/>
    </row>
    <row r="93" spans="2:12" s="28" customFormat="1" ht="22.5" customHeight="1">
      <c r="B93" s="58"/>
      <c r="C93" s="58"/>
      <c r="D93" s="58"/>
      <c r="E93" s="59"/>
      <c r="F93" s="60"/>
      <c r="G93" s="103"/>
      <c r="H93" s="61"/>
      <c r="I93" s="62"/>
      <c r="J93" s="63"/>
      <c r="K93" s="64"/>
      <c r="L93" s="65"/>
    </row>
    <row r="94" spans="1:12" s="28" customFormat="1" ht="22.5" customHeight="1">
      <c r="A94" s="100">
        <v>31</v>
      </c>
      <c r="B94" s="139" t="s">
        <v>51</v>
      </c>
      <c r="C94" s="58">
        <v>2016</v>
      </c>
      <c r="D94" s="58">
        <v>34</v>
      </c>
      <c r="E94" s="59">
        <v>0</v>
      </c>
      <c r="F94" s="60">
        <v>34</v>
      </c>
      <c r="G94" s="39" t="s">
        <v>132</v>
      </c>
      <c r="H94" s="61">
        <v>0.635</v>
      </c>
      <c r="I94" s="62">
        <v>1.58</v>
      </c>
      <c r="J94" s="63">
        <f>LOG(1.986)</f>
        <v>0.2979792441593624</v>
      </c>
      <c r="K94" s="64">
        <v>382</v>
      </c>
      <c r="L94" s="65"/>
    </row>
    <row r="95" spans="1:12" s="28" customFormat="1" ht="22.5" customHeight="1">
      <c r="A95" s="100"/>
      <c r="B95" s="58"/>
      <c r="C95" s="58" t="s">
        <v>88</v>
      </c>
      <c r="D95" s="58">
        <v>329</v>
      </c>
      <c r="E95" s="59">
        <v>0</v>
      </c>
      <c r="F95" s="60">
        <v>329</v>
      </c>
      <c r="G95" s="103" t="s">
        <v>129</v>
      </c>
      <c r="H95" s="61">
        <v>0.649</v>
      </c>
      <c r="I95" s="62">
        <v>1.898</v>
      </c>
      <c r="J95" s="63">
        <f>LOG(1.238)</f>
        <v>0.09272064468409917</v>
      </c>
      <c r="K95" s="64"/>
      <c r="L95" s="65"/>
    </row>
    <row r="96" spans="1:12" s="28" customFormat="1" ht="22.5" customHeight="1">
      <c r="A96" s="100"/>
      <c r="B96" s="58"/>
      <c r="C96" s="58"/>
      <c r="D96" s="58"/>
      <c r="E96" s="59"/>
      <c r="F96" s="60"/>
      <c r="G96" s="58"/>
      <c r="H96" s="61"/>
      <c r="I96" s="62"/>
      <c r="J96" s="63"/>
      <c r="K96" s="64"/>
      <c r="L96" s="65"/>
    </row>
    <row r="97" spans="1:12" s="28" customFormat="1" ht="22.5" customHeight="1">
      <c r="A97" s="100">
        <v>32</v>
      </c>
      <c r="B97" s="140" t="s">
        <v>30</v>
      </c>
      <c r="C97" s="58">
        <v>2016</v>
      </c>
      <c r="D97" s="58">
        <v>23</v>
      </c>
      <c r="E97" s="59">
        <v>0</v>
      </c>
      <c r="F97" s="60">
        <v>23</v>
      </c>
      <c r="G97" s="39" t="s">
        <v>130</v>
      </c>
      <c r="H97" s="61">
        <v>0.689</v>
      </c>
      <c r="I97" s="62">
        <v>1.352</v>
      </c>
      <c r="J97" s="63">
        <f>LOG(1.066)</f>
        <v>0.027757204690553483</v>
      </c>
      <c r="K97" s="64">
        <v>6155</v>
      </c>
      <c r="L97" s="65"/>
    </row>
    <row r="98" spans="1:12" s="24" customFormat="1" ht="25.5">
      <c r="A98" s="58"/>
      <c r="B98" s="58"/>
      <c r="C98" s="58" t="s">
        <v>88</v>
      </c>
      <c r="D98" s="58">
        <v>129</v>
      </c>
      <c r="E98" s="59">
        <v>0</v>
      </c>
      <c r="F98" s="60">
        <v>129</v>
      </c>
      <c r="G98" s="58" t="s">
        <v>131</v>
      </c>
      <c r="H98" s="61">
        <v>0.866</v>
      </c>
      <c r="I98" s="62">
        <v>1.193</v>
      </c>
      <c r="J98" s="63">
        <f>LOG(2.992)</f>
        <v>0.47596158919242376</v>
      </c>
      <c r="K98" s="83"/>
      <c r="L98" s="65"/>
    </row>
    <row r="99" spans="1:12" s="24" customFormat="1" ht="23.2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65"/>
    </row>
    <row r="100" spans="1:14" s="24" customFormat="1" ht="25.5">
      <c r="A100" s="58"/>
      <c r="B100" s="58"/>
      <c r="C100" s="58" t="s">
        <v>9</v>
      </c>
      <c r="D100" s="58">
        <v>8933</v>
      </c>
      <c r="E100" s="59">
        <v>0</v>
      </c>
      <c r="F100" s="60">
        <v>8596</v>
      </c>
      <c r="G100" s="39"/>
      <c r="H100" s="61"/>
      <c r="I100" s="62"/>
      <c r="J100" s="63"/>
      <c r="K100" s="64"/>
      <c r="L100" s="54"/>
      <c r="N100" s="58"/>
    </row>
    <row r="101" spans="1:12" s="24" customFormat="1" ht="25.5">
      <c r="A101" s="106" t="s">
        <v>55</v>
      </c>
      <c r="B101" s="106"/>
      <c r="C101" s="133"/>
      <c r="D101" s="106"/>
      <c r="E101" s="107"/>
      <c r="F101" s="108"/>
      <c r="G101" s="106"/>
      <c r="H101" s="109"/>
      <c r="I101" s="110"/>
      <c r="J101" s="111"/>
      <c r="K101" s="112"/>
      <c r="L101" s="113"/>
    </row>
    <row r="102" spans="1:12" s="24" customFormat="1" ht="23.25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5"/>
    </row>
    <row r="103" spans="1:12" s="24" customFormat="1" ht="23.25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7"/>
    </row>
    <row r="104" spans="1:12" s="24" customFormat="1" ht="23.25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7"/>
    </row>
    <row r="105" spans="1:12" s="24" customFormat="1" ht="26.25">
      <c r="A105" s="118"/>
      <c r="B105" s="118"/>
      <c r="C105" s="118"/>
      <c r="D105" s="118"/>
      <c r="E105" s="119"/>
      <c r="F105" s="120"/>
      <c r="G105" s="118"/>
      <c r="H105" s="121"/>
      <c r="I105" s="122"/>
      <c r="J105" s="123"/>
      <c r="K105" s="118"/>
      <c r="L105" s="124"/>
    </row>
    <row r="106" spans="1:12" s="24" customFormat="1" ht="26.25">
      <c r="A106" s="125"/>
      <c r="B106" s="125"/>
      <c r="C106" s="125"/>
      <c r="D106" s="126"/>
      <c r="E106" s="127"/>
      <c r="F106" s="128"/>
      <c r="G106" s="129"/>
      <c r="H106" s="130"/>
      <c r="I106" s="129"/>
      <c r="J106" s="131"/>
      <c r="K106" s="132"/>
      <c r="L106" s="124"/>
    </row>
    <row r="107" spans="1:12" s="24" customFormat="1" ht="26.25">
      <c r="A107" s="117"/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24"/>
    </row>
    <row r="108" spans="1:12" s="24" customFormat="1" ht="29.25">
      <c r="A108" s="29"/>
      <c r="B108" s="29"/>
      <c r="C108" s="29"/>
      <c r="D108" s="29"/>
      <c r="E108" s="29"/>
      <c r="F108" s="34"/>
      <c r="G108" s="22"/>
      <c r="H108" s="30"/>
      <c r="I108" s="22"/>
      <c r="J108" s="31"/>
      <c r="K108" s="22"/>
      <c r="L108" s="32"/>
    </row>
  </sheetData>
  <sheetProtection/>
  <mergeCells count="10">
    <mergeCell ref="C2:C3"/>
    <mergeCell ref="L2:L3"/>
    <mergeCell ref="H2:H3"/>
    <mergeCell ref="A1:L1"/>
    <mergeCell ref="D2:F2"/>
    <mergeCell ref="A2:A3"/>
    <mergeCell ref="B2:B3"/>
    <mergeCell ref="J2:J3"/>
    <mergeCell ref="I2:I3"/>
    <mergeCell ref="G2:G3"/>
  </mergeCells>
  <printOptions horizontalCentered="1"/>
  <pageMargins left="0.13" right="0" top="0.7874015748031497" bottom="0.5905511811023623" header="0.5118110236220472" footer="0.55118110236220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B16" sqref="B16"/>
    </sheetView>
  </sheetViews>
  <sheetFormatPr defaultColWidth="9.140625" defaultRowHeight="21.75"/>
  <cols>
    <col min="1" max="1" width="9.140625" style="2" customWidth="1"/>
    <col min="2" max="2" width="6.140625" style="2" customWidth="1"/>
    <col min="3" max="3" width="20.8515625" style="13" customWidth="1"/>
    <col min="4" max="16384" width="9.140625" style="1" customWidth="1"/>
  </cols>
  <sheetData>
    <row r="1" spans="1:3" ht="30">
      <c r="A1" s="20" t="s">
        <v>20</v>
      </c>
      <c r="B1" s="15"/>
      <c r="C1" s="15"/>
    </row>
    <row r="2" spans="1:3" s="3" customFormat="1" ht="23.25">
      <c r="A2" s="158" t="s">
        <v>7</v>
      </c>
      <c r="B2" s="158" t="s">
        <v>0</v>
      </c>
      <c r="C2" s="159" t="s">
        <v>3</v>
      </c>
    </row>
    <row r="3" spans="1:3" s="3" customFormat="1" ht="23.25">
      <c r="A3" s="158"/>
      <c r="B3" s="158"/>
      <c r="C3" s="159"/>
    </row>
    <row r="4" spans="1:5" s="3" customFormat="1" ht="23.25">
      <c r="A4" s="4">
        <v>1</v>
      </c>
      <c r="B4" s="5" t="s">
        <v>11</v>
      </c>
      <c r="C4" s="16">
        <f>LOG(0.4851)</f>
        <v>-0.3141687253739364</v>
      </c>
      <c r="D4" s="3">
        <v>0.4851</v>
      </c>
      <c r="E4" s="3">
        <f>+LOG(D4)</f>
        <v>-0.3141687253739364</v>
      </c>
    </row>
    <row r="5" spans="1:3" s="3" customFormat="1" ht="23.25">
      <c r="A5" s="6"/>
      <c r="B5" s="6"/>
      <c r="C5" s="17">
        <f>LOG(1.4189)</f>
        <v>0.15195178870726556</v>
      </c>
    </row>
    <row r="6" spans="1:3" s="3" customFormat="1" ht="23.25">
      <c r="A6" s="6">
        <f>+A4+1</f>
        <v>2</v>
      </c>
      <c r="B6" s="7" t="s">
        <v>12</v>
      </c>
      <c r="C6" s="17">
        <f>LOG(3.4059)</f>
        <v>0.5322318925738089</v>
      </c>
    </row>
    <row r="7" spans="1:3" s="3" customFormat="1" ht="23.25">
      <c r="A7" s="6"/>
      <c r="B7" s="6"/>
      <c r="C7" s="17">
        <f>LOG(3.6824)</f>
        <v>0.5661309618859178</v>
      </c>
    </row>
    <row r="8" spans="1:3" s="3" customFormat="1" ht="23.25">
      <c r="A8" s="6">
        <f>+A6+1</f>
        <v>3</v>
      </c>
      <c r="B8" s="7" t="s">
        <v>21</v>
      </c>
      <c r="C8" s="17">
        <f>LOG(0.4124)</f>
        <v>-0.38468134338852106</v>
      </c>
    </row>
    <row r="9" spans="1:3" s="3" customFormat="1" ht="23.25">
      <c r="A9" s="6"/>
      <c r="B9" s="7"/>
      <c r="C9" s="17">
        <f>LOG(0.3674)</f>
        <v>-0.43486084803021047</v>
      </c>
    </row>
    <row r="10" spans="1:3" s="3" customFormat="1" ht="23.25">
      <c r="A10" s="6"/>
      <c r="B10" s="7" t="s">
        <v>35</v>
      </c>
      <c r="C10" s="17">
        <f>LOG(5.6805)</f>
        <v>0.7543865641765075</v>
      </c>
    </row>
    <row r="11" spans="1:3" s="3" customFormat="1" ht="23.25">
      <c r="A11" s="6"/>
      <c r="B11" s="6"/>
      <c r="C11" s="17">
        <f>LOG(5.6805)</f>
        <v>0.7543865641765075</v>
      </c>
    </row>
    <row r="12" spans="1:3" s="3" customFormat="1" ht="23.25">
      <c r="A12" s="6">
        <f>+A8+1</f>
        <v>4</v>
      </c>
      <c r="B12" s="7" t="s">
        <v>13</v>
      </c>
      <c r="C12" s="17">
        <f>LOG(3.1705)</f>
        <v>0.5011277575229803</v>
      </c>
    </row>
    <row r="13" spans="1:3" s="3" customFormat="1" ht="23.25">
      <c r="A13" s="6"/>
      <c r="B13" s="6"/>
      <c r="C13" s="17">
        <f>LOG(3.4453)</f>
        <v>0.5372270441455221</v>
      </c>
    </row>
    <row r="14" spans="1:3" s="3" customFormat="1" ht="23.25">
      <c r="A14" s="6">
        <f>+A12+1</f>
        <v>5</v>
      </c>
      <c r="B14" s="7" t="s">
        <v>22</v>
      </c>
      <c r="C14" s="17">
        <f>LOG(4.8522)</f>
        <v>0.6859386934942598</v>
      </c>
    </row>
    <row r="15" spans="1:3" s="3" customFormat="1" ht="23.25">
      <c r="A15" s="6"/>
      <c r="B15" s="6"/>
      <c r="C15" s="17">
        <f>LOG(4.9302)</f>
        <v>0.6928645373572675</v>
      </c>
    </row>
    <row r="16" spans="1:3" s="3" customFormat="1" ht="23.25">
      <c r="A16" s="6">
        <f>+A14+1</f>
        <v>6</v>
      </c>
      <c r="B16" s="7" t="s">
        <v>14</v>
      </c>
      <c r="C16" s="17">
        <f>LOG(5.1227)</f>
        <v>0.7094989230909564</v>
      </c>
    </row>
    <row r="17" spans="1:3" s="3" customFormat="1" ht="23.25">
      <c r="A17" s="6"/>
      <c r="B17" s="6"/>
      <c r="C17" s="17">
        <f>LOG(4.5302)</f>
        <v>0.6561173757388853</v>
      </c>
    </row>
    <row r="18" spans="1:3" s="3" customFormat="1" ht="23.25">
      <c r="A18" s="6">
        <f>+A16+1</f>
        <v>7</v>
      </c>
      <c r="B18" s="7" t="s">
        <v>15</v>
      </c>
      <c r="C18" s="17">
        <f>LOG(4.3208)</f>
        <v>0.6355641642731371</v>
      </c>
    </row>
    <row r="19" spans="1:3" s="3" customFormat="1" ht="23.25">
      <c r="A19" s="6"/>
      <c r="B19" s="6"/>
      <c r="C19" s="17">
        <f>LOG(4.7961)</f>
        <v>0.6808882296802367</v>
      </c>
    </row>
    <row r="20" spans="1:3" s="3" customFormat="1" ht="23.25">
      <c r="A20" s="6">
        <f>+A18+1</f>
        <v>8</v>
      </c>
      <c r="B20" s="7" t="s">
        <v>36</v>
      </c>
      <c r="C20" s="17">
        <f>LOG(2.7165)</f>
        <v>0.43400970936973965</v>
      </c>
    </row>
    <row r="21" spans="1:3" s="3" customFormat="1" ht="23.25">
      <c r="A21" s="6"/>
      <c r="B21" s="7"/>
      <c r="C21" s="17">
        <f>LOG(2.7165)</f>
        <v>0.43400970936973965</v>
      </c>
    </row>
    <row r="22" spans="1:3" s="3" customFormat="1" ht="23.25">
      <c r="A22" s="6">
        <f aca="true" t="shared" si="0" ref="A22:A28">+A20+1</f>
        <v>9</v>
      </c>
      <c r="B22" s="7" t="s">
        <v>37</v>
      </c>
      <c r="C22" s="17">
        <f>LOG(1.6061)</f>
        <v>0.20577258209841967</v>
      </c>
    </row>
    <row r="23" spans="1:3" s="3" customFormat="1" ht="23.25">
      <c r="A23" s="6"/>
      <c r="B23" s="7"/>
      <c r="C23" s="17">
        <f>LOG(1.6061)</f>
        <v>0.20577258209841967</v>
      </c>
    </row>
    <row r="24" spans="1:3" s="3" customFormat="1" ht="23.25">
      <c r="A24" s="6">
        <f t="shared" si="0"/>
        <v>10</v>
      </c>
      <c r="B24" s="7" t="s">
        <v>38</v>
      </c>
      <c r="C24" s="17">
        <f>LOG(0.1314)</f>
        <v>-0.8814046347762381</v>
      </c>
    </row>
    <row r="25" spans="1:3" s="3" customFormat="1" ht="23.25">
      <c r="A25" s="6"/>
      <c r="B25" s="7"/>
      <c r="C25" s="17">
        <f>LOG(0.1314)</f>
        <v>-0.8814046347762381</v>
      </c>
    </row>
    <row r="26" spans="1:3" s="3" customFormat="1" ht="23.25">
      <c r="A26" s="6">
        <f t="shared" si="0"/>
        <v>11</v>
      </c>
      <c r="B26" s="7" t="s">
        <v>39</v>
      </c>
      <c r="C26" s="17">
        <f>LOG(4.3139)</f>
        <v>0.6348700735547615</v>
      </c>
    </row>
    <row r="27" spans="1:3" s="3" customFormat="1" ht="23.25">
      <c r="A27" s="6"/>
      <c r="B27" s="7"/>
      <c r="C27" s="17">
        <f>LOG(4.3139)</f>
        <v>0.6348700735547615</v>
      </c>
    </row>
    <row r="28" spans="1:3" s="3" customFormat="1" ht="23.25">
      <c r="A28" s="6">
        <f t="shared" si="0"/>
        <v>12</v>
      </c>
      <c r="B28" s="7" t="s">
        <v>23</v>
      </c>
      <c r="C28" s="17">
        <f>LOG(4.0878)</f>
        <v>0.6114896393230412</v>
      </c>
    </row>
    <row r="29" spans="1:3" s="3" customFormat="1" ht="23.25">
      <c r="A29" s="6"/>
      <c r="B29" s="7"/>
      <c r="C29" s="17">
        <f>LOG(4.2467)</f>
        <v>0.628051582171172</v>
      </c>
    </row>
    <row r="30" spans="1:3" s="3" customFormat="1" ht="23.25">
      <c r="A30" s="6">
        <f>+A28+1</f>
        <v>13</v>
      </c>
      <c r="B30" s="7" t="s">
        <v>16</v>
      </c>
      <c r="C30" s="17">
        <f>LOG(0.9353)</f>
        <v>-0.029049065654575875</v>
      </c>
    </row>
    <row r="31" spans="1:3" s="3" customFormat="1" ht="23.25">
      <c r="A31" s="6"/>
      <c r="B31" s="6"/>
      <c r="C31" s="17">
        <f>LOG(1.339)</f>
        <v>0.12678057701200895</v>
      </c>
    </row>
    <row r="32" spans="1:3" s="3" customFormat="1" ht="23.25">
      <c r="A32" s="6">
        <f>+A30+1</f>
        <v>14</v>
      </c>
      <c r="B32" s="7" t="s">
        <v>25</v>
      </c>
      <c r="C32" s="17">
        <f>LOG(3.4498)</f>
        <v>0.537793917851788</v>
      </c>
    </row>
    <row r="33" spans="1:3" s="3" customFormat="1" ht="23.25">
      <c r="A33" s="6"/>
      <c r="B33" s="6"/>
      <c r="C33" s="17">
        <f>LOG(3.8867)</f>
        <v>0.5895810203398645</v>
      </c>
    </row>
    <row r="34" spans="1:3" s="3" customFormat="1" ht="23.25">
      <c r="A34" s="6">
        <f>+A32+1</f>
        <v>15</v>
      </c>
      <c r="B34" s="7" t="s">
        <v>18</v>
      </c>
      <c r="C34" s="17">
        <f>LOG(1.8967)</f>
        <v>0.2779986442002884</v>
      </c>
    </row>
    <row r="35" spans="1:3" s="3" customFormat="1" ht="23.25">
      <c r="A35" s="8"/>
      <c r="B35" s="8"/>
      <c r="C35" s="18">
        <f>LOG(2.5085)</f>
        <v>0.3994141053637703</v>
      </c>
    </row>
    <row r="36" spans="1:3" s="3" customFormat="1" ht="23.25">
      <c r="A36" s="10">
        <f>+A34+1</f>
        <v>16</v>
      </c>
      <c r="B36" s="11" t="s">
        <v>19</v>
      </c>
      <c r="C36" s="19">
        <f>LOG(4.117)</f>
        <v>0.614580866997486</v>
      </c>
    </row>
    <row r="37" spans="1:3" s="3" customFormat="1" ht="23.25">
      <c r="A37" s="6"/>
      <c r="B37" s="6"/>
      <c r="C37" s="17">
        <f>LOG(4.0716)</f>
        <v>0.6097651056927426</v>
      </c>
    </row>
    <row r="38" spans="1:3" s="3" customFormat="1" ht="23.25">
      <c r="A38" s="6">
        <f>+A36+1</f>
        <v>17</v>
      </c>
      <c r="B38" s="7" t="s">
        <v>26</v>
      </c>
      <c r="C38" s="17">
        <f>LOG(1.376)</f>
        <v>0.13861843389949247</v>
      </c>
    </row>
    <row r="39" spans="1:3" s="3" customFormat="1" ht="23.25">
      <c r="A39" s="6"/>
      <c r="B39" s="6"/>
      <c r="C39" s="17">
        <f>LOG(1.5368)</f>
        <v>0.18661735185363723</v>
      </c>
    </row>
    <row r="40" spans="1:3" s="3" customFormat="1" ht="23.25">
      <c r="A40" s="6">
        <f>+A38+1</f>
        <v>18</v>
      </c>
      <c r="B40" s="7" t="s">
        <v>27</v>
      </c>
      <c r="C40" s="17">
        <f>LOG(7.5695)</f>
        <v>0.8790671933161128</v>
      </c>
    </row>
    <row r="41" spans="1:3" s="3" customFormat="1" ht="23.25">
      <c r="A41" s="6"/>
      <c r="B41" s="6"/>
      <c r="C41" s="17">
        <f>LOG(4.9161)</f>
        <v>0.6916207084305436</v>
      </c>
    </row>
    <row r="42" spans="1:3" s="3" customFormat="1" ht="23.25">
      <c r="A42" s="6">
        <f>+A40+1</f>
        <v>19</v>
      </c>
      <c r="B42" s="7" t="s">
        <v>28</v>
      </c>
      <c r="C42" s="17">
        <f>LOG(5.3348)</f>
        <v>0.7271181425000357</v>
      </c>
    </row>
    <row r="43" spans="1:3" s="3" customFormat="1" ht="23.25">
      <c r="A43" s="6"/>
      <c r="B43" s="6"/>
      <c r="C43" s="17">
        <f>LOG(5.4234)</f>
        <v>0.7342716367766632</v>
      </c>
    </row>
    <row r="44" spans="1:3" s="3" customFormat="1" ht="23.25">
      <c r="A44" s="6">
        <f>+A42+1</f>
        <v>20</v>
      </c>
      <c r="B44" s="7" t="s">
        <v>29</v>
      </c>
      <c r="C44" s="17">
        <f>LOG(5.9372)</f>
        <v>0.773581678778409</v>
      </c>
    </row>
    <row r="45" spans="1:3" s="3" customFormat="1" ht="23.25">
      <c r="A45" s="6"/>
      <c r="B45" s="6"/>
      <c r="C45" s="17">
        <f>LOG(6.9584)</f>
        <v>0.8425093903212607</v>
      </c>
    </row>
    <row r="46" spans="1:3" s="3" customFormat="1" ht="23.25">
      <c r="A46" s="6">
        <f>+A44+1</f>
        <v>21</v>
      </c>
      <c r="B46" s="7" t="s">
        <v>30</v>
      </c>
      <c r="C46" s="17">
        <f>LOG(5.9321)</f>
        <v>0.7732084635097722</v>
      </c>
    </row>
    <row r="47" spans="1:3" s="3" customFormat="1" ht="23.25">
      <c r="A47" s="8"/>
      <c r="B47" s="8"/>
      <c r="C47" s="18">
        <f>LOG(5.2056)</f>
        <v>0.7164707937257992</v>
      </c>
    </row>
    <row r="48" spans="1:3" s="3" customFormat="1" ht="23.25">
      <c r="A48" s="9"/>
      <c r="B48" s="9"/>
      <c r="C48" s="12"/>
    </row>
    <row r="49" spans="1:3" s="3" customFormat="1" ht="23.25">
      <c r="A49" s="21" t="s">
        <v>33</v>
      </c>
      <c r="B49" s="14"/>
      <c r="C49" s="14"/>
    </row>
  </sheetData>
  <sheetProtection/>
  <mergeCells count="3">
    <mergeCell ref="A2:A3"/>
    <mergeCell ref="B2:B3"/>
    <mergeCell ref="C2:C3"/>
  </mergeCells>
  <printOptions horizontalCentered="1"/>
  <pageMargins left="0.1968503937007874" right="0.1968503937007874" top="0.3937007874015748" bottom="0.3937007874015748" header="0.5118110236220472" footer="0.5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 Organize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 User</dc:creator>
  <cp:keywords/>
  <dc:description/>
  <cp:lastModifiedBy>acer</cp:lastModifiedBy>
  <cp:lastPrinted>2009-06-05T04:40:08Z</cp:lastPrinted>
  <dcterms:created xsi:type="dcterms:W3CDTF">2001-05-01T08:12:27Z</dcterms:created>
  <dcterms:modified xsi:type="dcterms:W3CDTF">2017-05-30T08:26:33Z</dcterms:modified>
  <cp:category/>
  <cp:version/>
  <cp:contentType/>
  <cp:contentStatus/>
</cp:coreProperties>
</file>