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omments1.xml" ContentType="application/vnd.openxmlformats-officedocument.spreadsheetml.comments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drawings/drawing24.xml" ContentType="application/vnd.openxmlformats-officedocument.drawing+xml"/>
  <Override PartName="/xl/comments4.xml" ContentType="application/vnd.openxmlformats-officedocument.spreadsheetml.comments+xml"/>
  <Override PartName="/xl/drawings/drawing25.xml" ContentType="application/vnd.openxmlformats-officedocument.drawing+xml"/>
  <Override PartName="/xl/comments5.xml" ContentType="application/vnd.openxmlformats-officedocument.spreadsheetml.comments+xml"/>
  <Override PartName="/xl/drawings/drawing26.xml" ContentType="application/vnd.openxmlformats-officedocument.drawing+xml"/>
  <Override PartName="/xl/comments6.xml" ContentType="application/vnd.openxmlformats-officedocument.spreadsheetml.comments+xml"/>
  <Override PartName="/xl/drawings/drawing27.xml" ContentType="application/vnd.openxmlformats-officedocument.drawing+xml"/>
  <Override PartName="/xl/comments7.xml" ContentType="application/vnd.openxmlformats-officedocument.spreadsheetml.comments+xml"/>
  <Override PartName="/xl/drawings/drawing28.xml" ContentType="application/vnd.openxmlformats-officedocument.drawing+xml"/>
  <Override PartName="/xl/comments8.xml" ContentType="application/vnd.openxmlformats-officedocument.spreadsheetml.comments+xml"/>
  <Override PartName="/xl/drawings/drawing29.xml" ContentType="application/vnd.openxmlformats-officedocument.drawing+xml"/>
  <Override PartName="/xl/comments9.xml" ContentType="application/vnd.openxmlformats-officedocument.spreadsheetml.comments+xml"/>
  <Override PartName="/xl/drawings/drawing30.xml" ContentType="application/vnd.openxmlformats-officedocument.drawing+xml"/>
  <Override PartName="/xl/comments10.xml" ContentType="application/vnd.openxmlformats-officedocument.spreadsheetml.comments+xml"/>
  <Override PartName="/xl/drawings/drawing31.xml" ContentType="application/vnd.openxmlformats-officedocument.drawing+xml"/>
  <Override PartName="/xl/comments11.xml" ContentType="application/vnd.openxmlformats-officedocument.spreadsheetml.comments+xml"/>
  <Override PartName="/xl/drawings/drawing32.xml" ContentType="application/vnd.openxmlformats-officedocument.drawing+xml"/>
  <Override PartName="/xl/comments12.xml" ContentType="application/vnd.openxmlformats-officedocument.spreadsheetml.comments+xml"/>
  <Override PartName="/xl/drawings/drawing3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3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D965" lockStructure="1"/>
  <bookViews>
    <workbookView xWindow="630" yWindow="-135" windowWidth="11685" windowHeight="8895" tabRatio="923" activeTab="1"/>
  </bookViews>
  <sheets>
    <sheet name="RatingCurve-R2" sheetId="20" r:id="rId1"/>
    <sheet name="RatingCurve-R1" sheetId="23" r:id="rId2"/>
    <sheet name="Graph-Hou" sheetId="48" r:id="rId3"/>
    <sheet name="Graph-GH" sheetId="32" r:id="rId4"/>
    <sheet name="Sediment" sheetId="45" r:id="rId5"/>
    <sheet name="Discharge" sheetId="44" r:id="rId6"/>
    <sheet name="DailyMeanGH" sheetId="47" r:id="rId7"/>
    <sheet name="HourGH-MAR" sheetId="18" r:id="rId8"/>
    <sheet name="HourGH-FEB" sheetId="17" r:id="rId9"/>
    <sheet name="HourGH-JAN" sheetId="16" r:id="rId10"/>
    <sheet name="HourGH-DEC" sheetId="15" r:id="rId11"/>
    <sheet name="HourGH-NOV" sheetId="14" r:id="rId12"/>
    <sheet name="HourGH-OCT" sheetId="13" r:id="rId13"/>
    <sheet name="HourGH-SEP" sheetId="12" r:id="rId14"/>
    <sheet name="HourGH-AUG" sheetId="11" r:id="rId15"/>
    <sheet name="HourGH-JUL" sheetId="10" r:id="rId16"/>
    <sheet name="HourGH-JUN" sheetId="9" r:id="rId17"/>
    <sheet name="HourGH-MAY" sheetId="8" r:id="rId18"/>
    <sheet name="HourGH-APR" sheetId="6" r:id="rId19"/>
    <sheet name="c-form" sheetId="1" r:id="rId20"/>
    <sheet name="HText-Apr" sheetId="30" state="hidden" r:id="rId21"/>
    <sheet name="HText-May" sheetId="33" state="hidden" r:id="rId22"/>
    <sheet name="HText-Jun" sheetId="34" state="hidden" r:id="rId23"/>
    <sheet name="HText-Jul" sheetId="35" state="hidden" r:id="rId24"/>
    <sheet name="HText-Aug" sheetId="36" state="hidden" r:id="rId25"/>
    <sheet name="HText-Sep" sheetId="37" state="hidden" r:id="rId26"/>
    <sheet name="HText-Oct" sheetId="38" state="hidden" r:id="rId27"/>
    <sheet name="HText-Nov" sheetId="39" state="hidden" r:id="rId28"/>
    <sheet name="HText-Dec" sheetId="40" state="hidden" r:id="rId29"/>
    <sheet name="HText-Jan" sheetId="41" state="hidden" r:id="rId30"/>
    <sheet name="HText-Feb" sheetId="42" state="hidden" r:id="rId31"/>
    <sheet name="HText-Mar" sheetId="43" state="hidden" r:id="rId32"/>
    <sheet name="fText-Sed" sheetId="46" state="hidden" r:id="rId33"/>
    <sheet name="fText-R1" sheetId="29" state="hidden" r:id="rId34"/>
    <sheet name="save-text" sheetId="25" r:id="rId35"/>
  </sheets>
  <externalReferences>
    <externalReference r:id="rId36"/>
  </externalReferences>
  <definedNames>
    <definedName name="APRSheet">'HourGH-APR'!$C$10:$Z$43</definedName>
    <definedName name="AUGSheet">'HourGH-AUG'!$C$10:$Z$43</definedName>
    <definedName name="CFORMSheet">'c-form'!$B$6:$AB$72</definedName>
    <definedName name="CName">#REF!</definedName>
    <definedName name="DECSheet">'HourGH-DEC'!$C$10:$Z$43</definedName>
    <definedName name="FEBSheet">'HourGH-FEB'!$C$10:$Z$43</definedName>
    <definedName name="JANSheet">'HourGH-JAN'!$C$10:$Z$43</definedName>
    <definedName name="JULSheet">'HourGH-JUL'!$C$10:$Z$43</definedName>
    <definedName name="JUNSheet">'HourGH-JUN'!$C$10:$AA$42</definedName>
    <definedName name="MARSheet">'HourGH-MAR'!$C$10:$Z$43</definedName>
    <definedName name="MAYSheet">'HourGH-MAY'!$C$10:$Z$43</definedName>
    <definedName name="name">'c-form'!$B$7</definedName>
    <definedName name="NName">'c-form'!$C$12:$M$12</definedName>
    <definedName name="NOVSheet">'HourGH-NOV'!$C$10:$Z$43</definedName>
    <definedName name="OCTSheet">'HourGH-OCT'!$C$10:$Z$43</definedName>
    <definedName name="_xlnm.Print_Area" localSheetId="10">'HourGH-DEC'!$A$1:$AG$46</definedName>
    <definedName name="_xlnm.Print_Area" localSheetId="8">'HourGH-FEB'!$A$1:$AN$46</definedName>
    <definedName name="_xlnm.Print_Area" localSheetId="9">'HourGH-JAN'!$A$1:$AG$46</definedName>
    <definedName name="rating">'c-form'!$AE$19</definedName>
    <definedName name="RName">'c-form'!$N$12:$S$12</definedName>
    <definedName name="rsteam">'c-form'!$C$12</definedName>
    <definedName name="SEPSheet">'HourGH-SEP'!$C$10:$Z$43</definedName>
    <definedName name="stampv">'c-form'!$C$10</definedName>
    <definedName name="Stream">'c-form'!$T$12:$AB$12</definedName>
  </definedNames>
  <calcPr calcId="144525"/>
  <customWorkbookViews>
    <customWorkbookView name="dpd0406 - มุมมองส่วนบุคคล" guid="{718DAB1B-DA3D-46AD-B1AD-E429BB91B9C3}" mergeInterval="0" personalView="1" maximized="1" windowWidth="796" windowHeight="375" activeSheetId="1"/>
  </customWorkbookViews>
</workbook>
</file>

<file path=xl/calcChain.xml><?xml version="1.0" encoding="utf-8"?>
<calcChain xmlns="http://schemas.openxmlformats.org/spreadsheetml/2006/main">
  <c r="CS560" i="48" l="1"/>
  <c r="CS440" i="48"/>
  <c r="CS439" i="48"/>
  <c r="CS56" i="48"/>
  <c r="CS55" i="48"/>
  <c r="CO92" i="48"/>
  <c r="CO83" i="48"/>
  <c r="CK375" i="48"/>
  <c r="CK374" i="48"/>
  <c r="CK272" i="48"/>
  <c r="CK271" i="48"/>
  <c r="CK248" i="48"/>
  <c r="CK247" i="48"/>
  <c r="CK129" i="48"/>
  <c r="CK128" i="48"/>
  <c r="CC499" i="48"/>
  <c r="CC498" i="48"/>
  <c r="CC497" i="48"/>
  <c r="CC496" i="48"/>
  <c r="CC495" i="48"/>
  <c r="CC494" i="48"/>
  <c r="CC493" i="48"/>
  <c r="CC492" i="48"/>
  <c r="CC491" i="48"/>
  <c r="CC490" i="48"/>
  <c r="CC489" i="48"/>
  <c r="CC488" i="48"/>
  <c r="BY98" i="48"/>
  <c r="BY74" i="48"/>
  <c r="BM656" i="48"/>
  <c r="BM655" i="48"/>
  <c r="BM614" i="48"/>
  <c r="BM272" i="48"/>
  <c r="BM271" i="48"/>
  <c r="BM248" i="48"/>
  <c r="BM247" i="48"/>
  <c r="AA19" i="17"/>
  <c r="G7" i="16"/>
  <c r="G7" i="17"/>
  <c r="G7" i="18"/>
  <c r="AA34" i="9"/>
  <c r="AA35" i="9"/>
  <c r="AA36" i="9"/>
  <c r="AA37" i="9"/>
  <c r="AA38" i="9"/>
  <c r="AA39" i="9"/>
  <c r="AA40" i="9"/>
  <c r="AA41" i="9"/>
  <c r="AA42" i="9"/>
  <c r="N58" i="20"/>
  <c r="M58" i="20"/>
  <c r="N57" i="20"/>
  <c r="M57" i="20"/>
  <c r="N56" i="20"/>
  <c r="M56" i="20"/>
  <c r="N55" i="20"/>
  <c r="M55" i="20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M43" i="20"/>
  <c r="N43" i="20"/>
  <c r="N42" i="20"/>
  <c r="M42" i="20"/>
  <c r="M41" i="20"/>
  <c r="N41" i="20"/>
  <c r="N40" i="20"/>
  <c r="M40" i="20"/>
  <c r="N39" i="20"/>
  <c r="M39" i="20"/>
  <c r="AX2" i="44"/>
  <c r="AY2" i="44"/>
  <c r="AZ1" i="44"/>
  <c r="BA1" i="44"/>
  <c r="AX3" i="44"/>
  <c r="AY3" i="44"/>
  <c r="BA2" i="44"/>
  <c r="AZ2" i="44"/>
  <c r="AA34" i="8"/>
  <c r="AB34" i="8" s="1"/>
  <c r="AG53" i="44" s="1"/>
  <c r="AA20" i="13"/>
  <c r="AB20" i="13" s="1"/>
  <c r="AG194" i="44" s="1"/>
  <c r="C57" i="1"/>
  <c r="AE15" i="1"/>
  <c r="AB34" i="9" s="1"/>
  <c r="AA11" i="6"/>
  <c r="AB11" i="6" s="1"/>
  <c r="AG1" i="44" s="1"/>
  <c r="AX14" i="44"/>
  <c r="AZ13" i="44" s="1"/>
  <c r="AY14" i="44"/>
  <c r="AX7" i="44"/>
  <c r="AY7" i="44"/>
  <c r="AZ6" i="44"/>
  <c r="AX8" i="44"/>
  <c r="AY8" i="44"/>
  <c r="AZ7" i="44"/>
  <c r="AX9" i="44"/>
  <c r="AZ8" i="44" s="1"/>
  <c r="AY9" i="44"/>
  <c r="AX4" i="44"/>
  <c r="AZ3" i="44" s="1"/>
  <c r="AY4" i="44"/>
  <c r="AX10" i="44"/>
  <c r="AY10" i="44"/>
  <c r="AZ9" i="44"/>
  <c r="AX5" i="44"/>
  <c r="AY5" i="44"/>
  <c r="AZ4" i="44"/>
  <c r="AX11" i="44"/>
  <c r="AZ10" i="44" s="1"/>
  <c r="AY11" i="44"/>
  <c r="AX6" i="44"/>
  <c r="AZ5" i="44" s="1"/>
  <c r="AY6" i="44"/>
  <c r="AR1" i="44"/>
  <c r="AS5" i="44"/>
  <c r="AP1" i="44"/>
  <c r="AP5" i="44" s="1"/>
  <c r="AT1" i="44"/>
  <c r="AT5" i="44"/>
  <c r="AV1" i="44"/>
  <c r="AV5" i="44" s="1"/>
  <c r="AU5" i="44"/>
  <c r="AW5" i="44"/>
  <c r="AP2" i="44"/>
  <c r="AP6" i="44" s="1"/>
  <c r="AR2" i="44"/>
  <c r="AS6" i="44" s="1"/>
  <c r="AR6" i="44"/>
  <c r="AQ6" i="44"/>
  <c r="AT2" i="44"/>
  <c r="AT6" i="44"/>
  <c r="AV2" i="44"/>
  <c r="AW6" i="44" s="1"/>
  <c r="AU6" i="44"/>
  <c r="AP3" i="44"/>
  <c r="AP7" i="44" s="1"/>
  <c r="AR3" i="44"/>
  <c r="AS7" i="44"/>
  <c r="AR7" i="44"/>
  <c r="AA12" i="6"/>
  <c r="AB12" i="6"/>
  <c r="AG2" i="44"/>
  <c r="AA13" i="6"/>
  <c r="AB13" i="6" s="1"/>
  <c r="AG3" i="44" s="1"/>
  <c r="AA14" i="6"/>
  <c r="AB14" i="6" s="1"/>
  <c r="AG4" i="44" s="1"/>
  <c r="AA15" i="6"/>
  <c r="AB15" i="6"/>
  <c r="AG5" i="44" s="1"/>
  <c r="AA16" i="6"/>
  <c r="AB16" i="6" s="1"/>
  <c r="AG6" i="44" s="1"/>
  <c r="AA17" i="6"/>
  <c r="AB17" i="6"/>
  <c r="AG7" i="44" s="1"/>
  <c r="AA18" i="6"/>
  <c r="AB18" i="6"/>
  <c r="AG8" i="44"/>
  <c r="AA19" i="6"/>
  <c r="AB19" i="6" s="1"/>
  <c r="AG9" i="44" s="1"/>
  <c r="AA20" i="6"/>
  <c r="AB20" i="6" s="1"/>
  <c r="AG10" i="44" s="1"/>
  <c r="AA22" i="6"/>
  <c r="AB22" i="6"/>
  <c r="AG11" i="44" s="1"/>
  <c r="AA23" i="6"/>
  <c r="AB23" i="6"/>
  <c r="AG12" i="44"/>
  <c r="AA24" i="6"/>
  <c r="AB24" i="6" s="1"/>
  <c r="AG13" i="44" s="1"/>
  <c r="AA25" i="6"/>
  <c r="AB25" i="6" s="1"/>
  <c r="AG14" i="44" s="1"/>
  <c r="AA26" i="6"/>
  <c r="AB26" i="6"/>
  <c r="AG15" i="44" s="1"/>
  <c r="AA27" i="6"/>
  <c r="AB27" i="6"/>
  <c r="AG16" i="44"/>
  <c r="AA28" i="6"/>
  <c r="AB28" i="6" s="1"/>
  <c r="AG17" i="44" s="1"/>
  <c r="AA29" i="6"/>
  <c r="AB29" i="6" s="1"/>
  <c r="AG18" i="44" s="1"/>
  <c r="AA30" i="6"/>
  <c r="AB30" i="6"/>
  <c r="AG19" i="44" s="1"/>
  <c r="AA31" i="6"/>
  <c r="AB31" i="6"/>
  <c r="AG20" i="44"/>
  <c r="AA33" i="6"/>
  <c r="AB33" i="6" s="1"/>
  <c r="AG21" i="44" s="1"/>
  <c r="AA34" i="6"/>
  <c r="AB34" i="6" s="1"/>
  <c r="AG22" i="44" s="1"/>
  <c r="AA35" i="6"/>
  <c r="AB35" i="6"/>
  <c r="AG23" i="44" s="1"/>
  <c r="AA36" i="6"/>
  <c r="AB36" i="6"/>
  <c r="AG24" i="44"/>
  <c r="AA37" i="6"/>
  <c r="AB37" i="6" s="1"/>
  <c r="AG25" i="44" s="1"/>
  <c r="AA38" i="6"/>
  <c r="AB38" i="6" s="1"/>
  <c r="AG26" i="44" s="1"/>
  <c r="AA39" i="6"/>
  <c r="AB39" i="6"/>
  <c r="AG27" i="44" s="1"/>
  <c r="AA40" i="6"/>
  <c r="AB40" i="6"/>
  <c r="AG28" i="44"/>
  <c r="AA41" i="6"/>
  <c r="AB41" i="6" s="1"/>
  <c r="AG29" i="44" s="1"/>
  <c r="AA42" i="6"/>
  <c r="AB42" i="6" s="1"/>
  <c r="AG30" i="44" s="1"/>
  <c r="AA11" i="8"/>
  <c r="AB11" i="8"/>
  <c r="AG31" i="44" s="1"/>
  <c r="AA12" i="8"/>
  <c r="AB12" i="8"/>
  <c r="AG32" i="44"/>
  <c r="AA13" i="8"/>
  <c r="AB13" i="8" s="1"/>
  <c r="AG33" i="44" s="1"/>
  <c r="AA14" i="8"/>
  <c r="AB14" i="8" s="1"/>
  <c r="AG34" i="44" s="1"/>
  <c r="AA15" i="8"/>
  <c r="AB15" i="8"/>
  <c r="AG35" i="44" s="1"/>
  <c r="AA16" i="8"/>
  <c r="AB16" i="8"/>
  <c r="AG36" i="44"/>
  <c r="AA17" i="8"/>
  <c r="AB17" i="8" s="1"/>
  <c r="AG37" i="44" s="1"/>
  <c r="AA18" i="8"/>
  <c r="AB18" i="8" s="1"/>
  <c r="AG38" i="44" s="1"/>
  <c r="AA19" i="8"/>
  <c r="AB19" i="8"/>
  <c r="AG39" i="44" s="1"/>
  <c r="AA20" i="8"/>
  <c r="AB20" i="8"/>
  <c r="AG40" i="44"/>
  <c r="AA22" i="8"/>
  <c r="AB22" i="8" s="1"/>
  <c r="AG41" i="44" s="1"/>
  <c r="AA23" i="8"/>
  <c r="AB23" i="8" s="1"/>
  <c r="AG43" i="44" s="1"/>
  <c r="AA24" i="8"/>
  <c r="AB24" i="8"/>
  <c r="AG44" i="44" s="1"/>
  <c r="AA25" i="8"/>
  <c r="AB25" i="8"/>
  <c r="AG45" i="44"/>
  <c r="AA26" i="8"/>
  <c r="AB26" i="8" s="1"/>
  <c r="AG46" i="44" s="1"/>
  <c r="AA27" i="8"/>
  <c r="AB27" i="8" s="1"/>
  <c r="AG47" i="44" s="1"/>
  <c r="AA28" i="8"/>
  <c r="AB28" i="8"/>
  <c r="AG48" i="44" s="1"/>
  <c r="AA29" i="8"/>
  <c r="AB29" i="8"/>
  <c r="AG49" i="44"/>
  <c r="BA8" i="44"/>
  <c r="BA9" i="44"/>
  <c r="AA30" i="8"/>
  <c r="AB30" i="8"/>
  <c r="AG50" i="44" s="1"/>
  <c r="AA31" i="8"/>
  <c r="AB31" i="8"/>
  <c r="AG51" i="44"/>
  <c r="AA33" i="8"/>
  <c r="AB33" i="8" s="1"/>
  <c r="AG52" i="44" s="1"/>
  <c r="AA35" i="8"/>
  <c r="AB35" i="8" s="1"/>
  <c r="AG54" i="44" s="1"/>
  <c r="AA36" i="8"/>
  <c r="AB36" i="8"/>
  <c r="AG55" i="44" s="1"/>
  <c r="AA37" i="8"/>
  <c r="AB37" i="8"/>
  <c r="AG56" i="44"/>
  <c r="AA38" i="8"/>
  <c r="AB38" i="8" s="1"/>
  <c r="AG57" i="44" s="1"/>
  <c r="AA39" i="8"/>
  <c r="AB39" i="8" s="1"/>
  <c r="AG58" i="44" s="1"/>
  <c r="AA40" i="8"/>
  <c r="AB40" i="8"/>
  <c r="AG59" i="44" s="1"/>
  <c r="AA41" i="8"/>
  <c r="AB41" i="8"/>
  <c r="AG60" i="44"/>
  <c r="AA42" i="8"/>
  <c r="AB42" i="8" s="1"/>
  <c r="AG61" i="44" s="1"/>
  <c r="AA43" i="8"/>
  <c r="AB43" i="8" s="1"/>
  <c r="AG62" i="44" s="1"/>
  <c r="AA11" i="9"/>
  <c r="AB11" i="9"/>
  <c r="AG63" i="44" s="1"/>
  <c r="AA12" i="9"/>
  <c r="AB12" i="9"/>
  <c r="AG64" i="44"/>
  <c r="AA13" i="9"/>
  <c r="AB13" i="9" s="1"/>
  <c r="AG65" i="44" s="1"/>
  <c r="AA14" i="9"/>
  <c r="AB14" i="9" s="1"/>
  <c r="AG66" i="44" s="1"/>
  <c r="AA15" i="9"/>
  <c r="AB15" i="9"/>
  <c r="AG67" i="44" s="1"/>
  <c r="AA16" i="9"/>
  <c r="AB16" i="9"/>
  <c r="AG68" i="44"/>
  <c r="AA17" i="9"/>
  <c r="AB17" i="9" s="1"/>
  <c r="AG69" i="44" s="1"/>
  <c r="AA18" i="9"/>
  <c r="AB18" i="9" s="1"/>
  <c r="AG70" i="44" s="1"/>
  <c r="AA19" i="9"/>
  <c r="AB19" i="9"/>
  <c r="AG71" i="44" s="1"/>
  <c r="AA20" i="9"/>
  <c r="AB20" i="9"/>
  <c r="AG72" i="44"/>
  <c r="AA22" i="9"/>
  <c r="AB22" i="9" s="1"/>
  <c r="AG73" i="44" s="1"/>
  <c r="AA23" i="9"/>
  <c r="AB23" i="9" s="1"/>
  <c r="AG74" i="44" s="1"/>
  <c r="AA24" i="9"/>
  <c r="AB24" i="9"/>
  <c r="AG75" i="44" s="1"/>
  <c r="AA25" i="9"/>
  <c r="AB25" i="9"/>
  <c r="AG76" i="44"/>
  <c r="AA26" i="9"/>
  <c r="AB26" i="9" s="1"/>
  <c r="AG77" i="44" s="1"/>
  <c r="AA27" i="9"/>
  <c r="AB27" i="9" s="1"/>
  <c r="AG78" i="44" s="1"/>
  <c r="AA28" i="9"/>
  <c r="AB28" i="9"/>
  <c r="AG79" i="44" s="1"/>
  <c r="AA29" i="9"/>
  <c r="AB29" i="9"/>
  <c r="AG80" i="44"/>
  <c r="AA30" i="9"/>
  <c r="AB30" i="9" s="1"/>
  <c r="AG81" i="44" s="1"/>
  <c r="AA31" i="9"/>
  <c r="AB31" i="9" s="1"/>
  <c r="AG82" i="44" s="1"/>
  <c r="AA33" i="9"/>
  <c r="AB33" i="9"/>
  <c r="AG83" i="44" s="1"/>
  <c r="AA11" i="10"/>
  <c r="AB11" i="10"/>
  <c r="AG93" i="44" s="1"/>
  <c r="AA12" i="10"/>
  <c r="AB12" i="10"/>
  <c r="AG94" i="44"/>
  <c r="AA13" i="10"/>
  <c r="AB13" i="10" s="1"/>
  <c r="AG95" i="44" s="1"/>
  <c r="AA14" i="10"/>
  <c r="AB14" i="10" s="1"/>
  <c r="AG96" i="44" s="1"/>
  <c r="AA15" i="10"/>
  <c r="AB15" i="10"/>
  <c r="AG97" i="44" s="1"/>
  <c r="AA16" i="10"/>
  <c r="AB16" i="10"/>
  <c r="AG98" i="44"/>
  <c r="AA17" i="10"/>
  <c r="AB17" i="10" s="1"/>
  <c r="AG99" i="44" s="1"/>
  <c r="AA18" i="10"/>
  <c r="AB18" i="10" s="1"/>
  <c r="AG100" i="44" s="1"/>
  <c r="AA19" i="10"/>
  <c r="AB19" i="10"/>
  <c r="AG101" i="44" s="1"/>
  <c r="AA20" i="10"/>
  <c r="AB20" i="10"/>
  <c r="AG102" i="44"/>
  <c r="AA22" i="10"/>
  <c r="AB22" i="10" s="1"/>
  <c r="AG103" i="44" s="1"/>
  <c r="AA23" i="10"/>
  <c r="AB23" i="10" s="1"/>
  <c r="AG104" i="44" s="1"/>
  <c r="AA24" i="10"/>
  <c r="AB24" i="10"/>
  <c r="AG105" i="44" s="1"/>
  <c r="AA25" i="10"/>
  <c r="AB25" i="10"/>
  <c r="AG106" i="44"/>
  <c r="AA26" i="10"/>
  <c r="AB26" i="10" s="1"/>
  <c r="AG107" i="44" s="1"/>
  <c r="AA27" i="10"/>
  <c r="AB27" i="10" s="1"/>
  <c r="AG108" i="44" s="1"/>
  <c r="AA28" i="10"/>
  <c r="AB28" i="10"/>
  <c r="AG109" i="44" s="1"/>
  <c r="AA29" i="10"/>
  <c r="AB29" i="10"/>
  <c r="AG110" i="44"/>
  <c r="AA30" i="10"/>
  <c r="AB30" i="10" s="1"/>
  <c r="AG111" i="44" s="1"/>
  <c r="AA31" i="10"/>
  <c r="AB31" i="10" s="1"/>
  <c r="AG112" i="44" s="1"/>
  <c r="AA33" i="10"/>
  <c r="AB33" i="10"/>
  <c r="AG113" i="44" s="1"/>
  <c r="AA34" i="10"/>
  <c r="AB34" i="10"/>
  <c r="AG114" i="44"/>
  <c r="AA35" i="10"/>
  <c r="AB35" i="10" s="1"/>
  <c r="AG115" i="44" s="1"/>
  <c r="AA36" i="10"/>
  <c r="AB36" i="10" s="1"/>
  <c r="AG116" i="44" s="1"/>
  <c r="AA37" i="10"/>
  <c r="AB37" i="10"/>
  <c r="AG117" i="44" s="1"/>
  <c r="AA38" i="10"/>
  <c r="AB38" i="10"/>
  <c r="AG118" i="44"/>
  <c r="AA39" i="10"/>
  <c r="AB39" i="10" s="1"/>
  <c r="AG119" i="44" s="1"/>
  <c r="AA40" i="10"/>
  <c r="AB40" i="10" s="1"/>
  <c r="AG120" i="44" s="1"/>
  <c r="AA41" i="10"/>
  <c r="AB41" i="10"/>
  <c r="AG121" i="44" s="1"/>
  <c r="AA42" i="10"/>
  <c r="AB42" i="10"/>
  <c r="AG122" i="44"/>
  <c r="AA43" i="10"/>
  <c r="AB43" i="10" s="1"/>
  <c r="AG123" i="44" s="1"/>
  <c r="AA11" i="11"/>
  <c r="AB11" i="11" s="1"/>
  <c r="AG124" i="44" s="1"/>
  <c r="AA12" i="11"/>
  <c r="AB12" i="11"/>
  <c r="AG125" i="44" s="1"/>
  <c r="AA13" i="11"/>
  <c r="AB13" i="11"/>
  <c r="AG126" i="44"/>
  <c r="AA14" i="11"/>
  <c r="AB14" i="11" s="1"/>
  <c r="AG127" i="44" s="1"/>
  <c r="AA15" i="11"/>
  <c r="AB15" i="11" s="1"/>
  <c r="AG128" i="44" s="1"/>
  <c r="AA16" i="11"/>
  <c r="AB16" i="11"/>
  <c r="AG129" i="44" s="1"/>
  <c r="AA17" i="11"/>
  <c r="AB17" i="11"/>
  <c r="AG130" i="44"/>
  <c r="AA18" i="11"/>
  <c r="AB18" i="11" s="1"/>
  <c r="AG131" i="44" s="1"/>
  <c r="AA19" i="11"/>
  <c r="AB19" i="11" s="1"/>
  <c r="AG132" i="44" s="1"/>
  <c r="AA20" i="11"/>
  <c r="AB20" i="11"/>
  <c r="AG133" i="44" s="1"/>
  <c r="AA22" i="11"/>
  <c r="AB22" i="11"/>
  <c r="AG134" i="44"/>
  <c r="AA23" i="11"/>
  <c r="AB23" i="11" s="1"/>
  <c r="AG135" i="44" s="1"/>
  <c r="AA24" i="11"/>
  <c r="AB24" i="11" s="1"/>
  <c r="AG136" i="44" s="1"/>
  <c r="AA25" i="11"/>
  <c r="AB25" i="11"/>
  <c r="AG137" i="44" s="1"/>
  <c r="AA26" i="11"/>
  <c r="AB26" i="11"/>
  <c r="AG138" i="44"/>
  <c r="AA27" i="11"/>
  <c r="AB27" i="11" s="1"/>
  <c r="AG139" i="44" s="1"/>
  <c r="AA28" i="11"/>
  <c r="AB28" i="11" s="1"/>
  <c r="AG140" i="44" s="1"/>
  <c r="AA29" i="11"/>
  <c r="AB29" i="11"/>
  <c r="AG141" i="44" s="1"/>
  <c r="AA30" i="11"/>
  <c r="AB30" i="11"/>
  <c r="AG142" i="44" s="1"/>
  <c r="AA31" i="11"/>
  <c r="AB31" i="11" s="1"/>
  <c r="AG143" i="44"/>
  <c r="AA33" i="11"/>
  <c r="AB33" i="11" s="1"/>
  <c r="AG144" i="44" s="1"/>
  <c r="AA34" i="11"/>
  <c r="AB34" i="11"/>
  <c r="AG145" i="44" s="1"/>
  <c r="AA35" i="11"/>
  <c r="AB35" i="11"/>
  <c r="AG146" i="44" s="1"/>
  <c r="AA36" i="11"/>
  <c r="AB36" i="11" s="1"/>
  <c r="AG147" i="44"/>
  <c r="AA37" i="11"/>
  <c r="AB37" i="11" s="1"/>
  <c r="AG148" i="44" s="1"/>
  <c r="AA38" i="11"/>
  <c r="AB38" i="11"/>
  <c r="AG149" i="44" s="1"/>
  <c r="AA39" i="11"/>
  <c r="AB39" i="11"/>
  <c r="AG150" i="44" s="1"/>
  <c r="AA40" i="11"/>
  <c r="AB40" i="11" s="1"/>
  <c r="AG151" i="44"/>
  <c r="AA41" i="11"/>
  <c r="AB41" i="11" s="1"/>
  <c r="AG152" i="44" s="1"/>
  <c r="AA42" i="11"/>
  <c r="AB42" i="11"/>
  <c r="AG153" i="44" s="1"/>
  <c r="AA43" i="11"/>
  <c r="AB43" i="11"/>
  <c r="AG154" i="44" s="1"/>
  <c r="AA11" i="12"/>
  <c r="AB11" i="12" s="1"/>
  <c r="AG155" i="44" s="1"/>
  <c r="AA12" i="12"/>
  <c r="AB12" i="12" s="1"/>
  <c r="AG156" i="44" s="1"/>
  <c r="AA13" i="12"/>
  <c r="AB13" i="12" s="1"/>
  <c r="AG157" i="44" s="1"/>
  <c r="AA14" i="12"/>
  <c r="AB14" i="12"/>
  <c r="AG158" i="44" s="1"/>
  <c r="AA15" i="12"/>
  <c r="AB15" i="12" s="1"/>
  <c r="AG159" i="44" s="1"/>
  <c r="AA16" i="12"/>
  <c r="AB16" i="12" s="1"/>
  <c r="AG160" i="44" s="1"/>
  <c r="AA17" i="12"/>
  <c r="AB17" i="12"/>
  <c r="AG161" i="44" s="1"/>
  <c r="AA18" i="12"/>
  <c r="AB18" i="12" s="1"/>
  <c r="AG162" i="44" s="1"/>
  <c r="AA19" i="12"/>
  <c r="AB19" i="12" s="1"/>
  <c r="AA20" i="12"/>
  <c r="AB20" i="12"/>
  <c r="AG164" i="44" s="1"/>
  <c r="AA22" i="12"/>
  <c r="AB22" i="12" s="1"/>
  <c r="AG165" i="44" s="1"/>
  <c r="AA23" i="12"/>
  <c r="AB23" i="12" s="1"/>
  <c r="AG166" i="44" s="1"/>
  <c r="AA24" i="12"/>
  <c r="AB24" i="12" s="1"/>
  <c r="AG167" i="44" s="1"/>
  <c r="AA25" i="12"/>
  <c r="AB25" i="12"/>
  <c r="AG168" i="44" s="1"/>
  <c r="AA26" i="12"/>
  <c r="AB26" i="12" s="1"/>
  <c r="AG169" i="44" s="1"/>
  <c r="AA27" i="12"/>
  <c r="AB27" i="12" s="1"/>
  <c r="AG170" i="44" s="1"/>
  <c r="AA28" i="12"/>
  <c r="AB28" i="12" s="1"/>
  <c r="AG171" i="44" s="1"/>
  <c r="AA29" i="12"/>
  <c r="AB29" i="12"/>
  <c r="AG172" i="44" s="1"/>
  <c r="AA30" i="12"/>
  <c r="AB30" i="12" s="1"/>
  <c r="AG173" i="44" s="1"/>
  <c r="AA31" i="12"/>
  <c r="AB31" i="12" s="1"/>
  <c r="AG174" i="44" s="1"/>
  <c r="AA33" i="12"/>
  <c r="AB33" i="12" s="1"/>
  <c r="AG175" i="44" s="1"/>
  <c r="AA34" i="12"/>
  <c r="AB34" i="12"/>
  <c r="AG176" i="44" s="1"/>
  <c r="AA35" i="12"/>
  <c r="AB35" i="12" s="1"/>
  <c r="AA36" i="12"/>
  <c r="AB36" i="12" s="1"/>
  <c r="AG178" i="44" s="1"/>
  <c r="AA37" i="12"/>
  <c r="AB37" i="12"/>
  <c r="AG179" i="44" s="1"/>
  <c r="AA38" i="12"/>
  <c r="AB38" i="12" s="1"/>
  <c r="AG180" i="44" s="1"/>
  <c r="AA39" i="12"/>
  <c r="AB39" i="12" s="1"/>
  <c r="AG181" i="44" s="1"/>
  <c r="AA40" i="12"/>
  <c r="AB40" i="12" s="1"/>
  <c r="AG182" i="44" s="1"/>
  <c r="AA41" i="12"/>
  <c r="AB41" i="12"/>
  <c r="AG183" i="44" s="1"/>
  <c r="AA42" i="12"/>
  <c r="AB42" i="12" s="1"/>
  <c r="AG184" i="44" s="1"/>
  <c r="AA11" i="13"/>
  <c r="AB11" i="13" s="1"/>
  <c r="AG185" i="44" s="1"/>
  <c r="AA12" i="13"/>
  <c r="AB12" i="13" s="1"/>
  <c r="AG186" i="44" s="1"/>
  <c r="AA13" i="13"/>
  <c r="AB13" i="13"/>
  <c r="AG187" i="44" s="1"/>
  <c r="AA14" i="13"/>
  <c r="AB14" i="13" s="1"/>
  <c r="AG188" i="44" s="1"/>
  <c r="AA15" i="13"/>
  <c r="AB15" i="13" s="1"/>
  <c r="AG189" i="44" s="1"/>
  <c r="AA16" i="13"/>
  <c r="AB16" i="13" s="1"/>
  <c r="AG190" i="44" s="1"/>
  <c r="AA17" i="13"/>
  <c r="AB17" i="13"/>
  <c r="AG191" i="44" s="1"/>
  <c r="AA18" i="13"/>
  <c r="AB18" i="13" s="1"/>
  <c r="AG192" i="44" s="1"/>
  <c r="AA19" i="13"/>
  <c r="AB19" i="13" s="1"/>
  <c r="AG193" i="44" s="1"/>
  <c r="AA22" i="13"/>
  <c r="AB22" i="13" s="1"/>
  <c r="AG195" i="44" s="1"/>
  <c r="AA23" i="13"/>
  <c r="AB23" i="13"/>
  <c r="AG196" i="44" s="1"/>
  <c r="AA24" i="13"/>
  <c r="AB24" i="13" s="1"/>
  <c r="AG197" i="44" s="1"/>
  <c r="AA25" i="13"/>
  <c r="AB25" i="13" s="1"/>
  <c r="AG198" i="44" s="1"/>
  <c r="AA26" i="13"/>
  <c r="AB26" i="13" s="1"/>
  <c r="AG199" i="44" s="1"/>
  <c r="AA27" i="13"/>
  <c r="AB27" i="13"/>
  <c r="AG200" i="44" s="1"/>
  <c r="AA28" i="13"/>
  <c r="AB28" i="13" s="1"/>
  <c r="AG201" i="44" s="1"/>
  <c r="AA29" i="13"/>
  <c r="AB29" i="13" s="1"/>
  <c r="AG202" i="44" s="1"/>
  <c r="AA30" i="13"/>
  <c r="AB30" i="13" s="1"/>
  <c r="AG203" i="44" s="1"/>
  <c r="AA31" i="13"/>
  <c r="AB31" i="13"/>
  <c r="AG204" i="44" s="1"/>
  <c r="AA33" i="13"/>
  <c r="AB33" i="13" s="1"/>
  <c r="AG205" i="44" s="1"/>
  <c r="AA34" i="13"/>
  <c r="AB34" i="13" s="1"/>
  <c r="AG206" i="44" s="1"/>
  <c r="AA35" i="13"/>
  <c r="AB35" i="13" s="1"/>
  <c r="AG207" i="44" s="1"/>
  <c r="AA36" i="13"/>
  <c r="AB36" i="13"/>
  <c r="AG208" i="44" s="1"/>
  <c r="AA37" i="13"/>
  <c r="AB37" i="13" s="1"/>
  <c r="AG209" i="44" s="1"/>
  <c r="AA38" i="13"/>
  <c r="AB38" i="13" s="1"/>
  <c r="AG210" i="44" s="1"/>
  <c r="AA39" i="13"/>
  <c r="AB39" i="13" s="1"/>
  <c r="AG211" i="44" s="1"/>
  <c r="AA40" i="13"/>
  <c r="AB40" i="13"/>
  <c r="AG212" i="44" s="1"/>
  <c r="AA41" i="13"/>
  <c r="AB41" i="13" s="1"/>
  <c r="AG213" i="44" s="1"/>
  <c r="AA42" i="13"/>
  <c r="AB42" i="13" s="1"/>
  <c r="AG214" i="44" s="1"/>
  <c r="AA43" i="13"/>
  <c r="AB43" i="13" s="1"/>
  <c r="AG215" i="44" s="1"/>
  <c r="AA11" i="14"/>
  <c r="AB11" i="14"/>
  <c r="AG216" i="44" s="1"/>
  <c r="AA12" i="14"/>
  <c r="AB12" i="14" s="1"/>
  <c r="AG217" i="44" s="1"/>
  <c r="AA13" i="14"/>
  <c r="AB13" i="14" s="1"/>
  <c r="AG218" i="44" s="1"/>
  <c r="AA14" i="14"/>
  <c r="AB14" i="14" s="1"/>
  <c r="AG219" i="44" s="1"/>
  <c r="AA15" i="14"/>
  <c r="AB15" i="14"/>
  <c r="AG220" i="44" s="1"/>
  <c r="AA16" i="14"/>
  <c r="AB16" i="14" s="1"/>
  <c r="AG221" i="44" s="1"/>
  <c r="AA17" i="14"/>
  <c r="AB17" i="14" s="1"/>
  <c r="AG222" i="44" s="1"/>
  <c r="AA18" i="14"/>
  <c r="AB18" i="14" s="1"/>
  <c r="AG223" i="44" s="1"/>
  <c r="AA19" i="14"/>
  <c r="AB19" i="14"/>
  <c r="AG224" i="44" s="1"/>
  <c r="AA20" i="14"/>
  <c r="AB20" i="14" s="1"/>
  <c r="AG225" i="44"/>
  <c r="AA22" i="14"/>
  <c r="AB22" i="14" s="1"/>
  <c r="AG226" i="44" s="1"/>
  <c r="AA23" i="14"/>
  <c r="AB23" i="14" s="1"/>
  <c r="AG227" i="44" s="1"/>
  <c r="AA24" i="14"/>
  <c r="AB24" i="14"/>
  <c r="AG228" i="44" s="1"/>
  <c r="AA25" i="14"/>
  <c r="AB25" i="14" s="1"/>
  <c r="AG229" i="44" s="1"/>
  <c r="AA26" i="14"/>
  <c r="AB26" i="14" s="1"/>
  <c r="AG230" i="44" s="1"/>
  <c r="AA27" i="14"/>
  <c r="AB27" i="14" s="1"/>
  <c r="AG231" i="44" s="1"/>
  <c r="AA28" i="14"/>
  <c r="AB28" i="14"/>
  <c r="AG232" i="44" s="1"/>
  <c r="AA29" i="14"/>
  <c r="AB29" i="14" s="1"/>
  <c r="AG233" i="44"/>
  <c r="AA30" i="14"/>
  <c r="AB30" i="14" s="1"/>
  <c r="AG234" i="44" s="1"/>
  <c r="AA31" i="14"/>
  <c r="AB31" i="14" s="1"/>
  <c r="AG235" i="44" s="1"/>
  <c r="AA33" i="14"/>
  <c r="AB33" i="14"/>
  <c r="AG236" i="44" s="1"/>
  <c r="AA34" i="14"/>
  <c r="AB34" i="14" s="1"/>
  <c r="AG237" i="44" s="1"/>
  <c r="AA35" i="14"/>
  <c r="AB35" i="14" s="1"/>
  <c r="AG238" i="44" s="1"/>
  <c r="AA36" i="14"/>
  <c r="AB36" i="14" s="1"/>
  <c r="AG239" i="44" s="1"/>
  <c r="AA37" i="14"/>
  <c r="AB37" i="14"/>
  <c r="AG240" i="44" s="1"/>
  <c r="AA38" i="14"/>
  <c r="AB38" i="14" s="1"/>
  <c r="AG241" i="44" s="1"/>
  <c r="AA39" i="14"/>
  <c r="AB39" i="14" s="1"/>
  <c r="AG242" i="44" s="1"/>
  <c r="AA40" i="14"/>
  <c r="AB40" i="14"/>
  <c r="AG243" i="44" s="1"/>
  <c r="AA41" i="14"/>
  <c r="AB41" i="14"/>
  <c r="AG244" i="44" s="1"/>
  <c r="AA42" i="14"/>
  <c r="AB42" i="14" s="1"/>
  <c r="AG245" i="44" s="1"/>
  <c r="AA11" i="15"/>
  <c r="AB11" i="15" s="1"/>
  <c r="AG246" i="44" s="1"/>
  <c r="AA12" i="15"/>
  <c r="AB12" i="15"/>
  <c r="AG247" i="44" s="1"/>
  <c r="AA13" i="15"/>
  <c r="AB13" i="15"/>
  <c r="AG248" i="44" s="1"/>
  <c r="AA14" i="15"/>
  <c r="AB14" i="15" s="1"/>
  <c r="AG249" i="44" s="1"/>
  <c r="AA15" i="15"/>
  <c r="AB15" i="15" s="1"/>
  <c r="AG250" i="44" s="1"/>
  <c r="AA16" i="15"/>
  <c r="AB16" i="15"/>
  <c r="AG251" i="44" s="1"/>
  <c r="AA17" i="15"/>
  <c r="AB17" i="15"/>
  <c r="AG252" i="44" s="1"/>
  <c r="AA18" i="15"/>
  <c r="AB18" i="15" s="1"/>
  <c r="AG253" i="44" s="1"/>
  <c r="AA19" i="15"/>
  <c r="AB19" i="15" s="1"/>
  <c r="AG254" i="44" s="1"/>
  <c r="AA20" i="15"/>
  <c r="AB20" i="15"/>
  <c r="AG255" i="44" s="1"/>
  <c r="AA22" i="15"/>
  <c r="AB22" i="15"/>
  <c r="AG256" i="44" s="1"/>
  <c r="AA23" i="15"/>
  <c r="AB23" i="15" s="1"/>
  <c r="AG257" i="44" s="1"/>
  <c r="AA24" i="15"/>
  <c r="AB24" i="15" s="1"/>
  <c r="AG258" i="44" s="1"/>
  <c r="AA25" i="15"/>
  <c r="AB25" i="15"/>
  <c r="AG259" i="44" s="1"/>
  <c r="AA26" i="15"/>
  <c r="AB26" i="15"/>
  <c r="AG260" i="44" s="1"/>
  <c r="AA27" i="15"/>
  <c r="AB27" i="15" s="1"/>
  <c r="AG261" i="44" s="1"/>
  <c r="AA28" i="15"/>
  <c r="AB28" i="15" s="1"/>
  <c r="AG262" i="44" s="1"/>
  <c r="AA29" i="15"/>
  <c r="AB29" i="15"/>
  <c r="AG263" i="44" s="1"/>
  <c r="AA30" i="15"/>
  <c r="AB30" i="15"/>
  <c r="AG264" i="44" s="1"/>
  <c r="AA31" i="15"/>
  <c r="AB31" i="15" s="1"/>
  <c r="AG265" i="44" s="1"/>
  <c r="AA33" i="15"/>
  <c r="AB33" i="15" s="1"/>
  <c r="AG266" i="44" s="1"/>
  <c r="AA34" i="15"/>
  <c r="AB34" i="15"/>
  <c r="AG267" i="44" s="1"/>
  <c r="AA35" i="15"/>
  <c r="AB35" i="15"/>
  <c r="AG268" i="44" s="1"/>
  <c r="AA36" i="15"/>
  <c r="AB36" i="15" s="1"/>
  <c r="AG269" i="44" s="1"/>
  <c r="AA37" i="15"/>
  <c r="AB37" i="15" s="1"/>
  <c r="AG270" i="44" s="1"/>
  <c r="AA38" i="15"/>
  <c r="AB38" i="15"/>
  <c r="AG271" i="44" s="1"/>
  <c r="AA39" i="15"/>
  <c r="AB39" i="15"/>
  <c r="AG272" i="44" s="1"/>
  <c r="AA40" i="15"/>
  <c r="AB40" i="15" s="1"/>
  <c r="AG273" i="44" s="1"/>
  <c r="AA41" i="15"/>
  <c r="AB41" i="15" s="1"/>
  <c r="AG274" i="44" s="1"/>
  <c r="AA42" i="15"/>
  <c r="AB42" i="15"/>
  <c r="AG275" i="44" s="1"/>
  <c r="AA43" i="15"/>
  <c r="AB43" i="15"/>
  <c r="AG276" i="44" s="1"/>
  <c r="AA11" i="16"/>
  <c r="AB11" i="16" s="1"/>
  <c r="AG277" i="44" s="1"/>
  <c r="AA12" i="16"/>
  <c r="AB12" i="16" s="1"/>
  <c r="AG278" i="44" s="1"/>
  <c r="AA13" i="16"/>
  <c r="AB13" i="16"/>
  <c r="AG279" i="44" s="1"/>
  <c r="AA14" i="16"/>
  <c r="AB14" i="16"/>
  <c r="AG280" i="44" s="1"/>
  <c r="AA15" i="16"/>
  <c r="AB15" i="16" s="1"/>
  <c r="AG281" i="44" s="1"/>
  <c r="AA16" i="16"/>
  <c r="AB16" i="16" s="1"/>
  <c r="AG282" i="44" s="1"/>
  <c r="AA17" i="16"/>
  <c r="AB17" i="16"/>
  <c r="AG283" i="44" s="1"/>
  <c r="AA18" i="16"/>
  <c r="AB18" i="16"/>
  <c r="AG284" i="44" s="1"/>
  <c r="AA19" i="16"/>
  <c r="AB19" i="16" s="1"/>
  <c r="AG285" i="44" s="1"/>
  <c r="AA20" i="16"/>
  <c r="AB20" i="16" s="1"/>
  <c r="AG286" i="44" s="1"/>
  <c r="AA22" i="16"/>
  <c r="AB22" i="16"/>
  <c r="AG287" i="44" s="1"/>
  <c r="AA23" i="16"/>
  <c r="AB23" i="16"/>
  <c r="AG288" i="44" s="1"/>
  <c r="AA24" i="16"/>
  <c r="AB24" i="16" s="1"/>
  <c r="AG289" i="44" s="1"/>
  <c r="AA25" i="16"/>
  <c r="AB25" i="16" s="1"/>
  <c r="AG290" i="44" s="1"/>
  <c r="AA26" i="16"/>
  <c r="AB26" i="16"/>
  <c r="AG291" i="44" s="1"/>
  <c r="AA27" i="16"/>
  <c r="AB27" i="16"/>
  <c r="AG292" i="44" s="1"/>
  <c r="AA28" i="16"/>
  <c r="AB28" i="16" s="1"/>
  <c r="AG293" i="44" s="1"/>
  <c r="AA29" i="16"/>
  <c r="AB29" i="16" s="1"/>
  <c r="AG294" i="44" s="1"/>
  <c r="AA30" i="16"/>
  <c r="AB30" i="16"/>
  <c r="AG295" i="44" s="1"/>
  <c r="AA31" i="16"/>
  <c r="AB31" i="16"/>
  <c r="AG296" i="44" s="1"/>
  <c r="AA33" i="16"/>
  <c r="AB33" i="16" s="1"/>
  <c r="AG297" i="44" s="1"/>
  <c r="AA34" i="16"/>
  <c r="AB34" i="16" s="1"/>
  <c r="AG298" i="44" s="1"/>
  <c r="AA35" i="16"/>
  <c r="AB35" i="16"/>
  <c r="AG299" i="44" s="1"/>
  <c r="AA36" i="16"/>
  <c r="AB36" i="16"/>
  <c r="AG300" i="44" s="1"/>
  <c r="AA37" i="16"/>
  <c r="AB37" i="16" s="1"/>
  <c r="AG301" i="44" s="1"/>
  <c r="AA38" i="16"/>
  <c r="AB38" i="16" s="1"/>
  <c r="AA39" i="16"/>
  <c r="AB39" i="16" s="1"/>
  <c r="AA40" i="16"/>
  <c r="AB40" i="16"/>
  <c r="AG304" i="44" s="1"/>
  <c r="AA41" i="16"/>
  <c r="AB41" i="16" s="1"/>
  <c r="AG305" i="44" s="1"/>
  <c r="AA42" i="16"/>
  <c r="AB42" i="16" s="1"/>
  <c r="AA43" i="16"/>
  <c r="AB43" i="16" s="1"/>
  <c r="AA11" i="17"/>
  <c r="AB11" i="17"/>
  <c r="AG308" i="44" s="1"/>
  <c r="AX27" i="44"/>
  <c r="AZ26" i="44" s="1"/>
  <c r="AY27" i="44"/>
  <c r="BA5" i="44"/>
  <c r="BA4" i="44"/>
  <c r="AA12" i="17"/>
  <c r="AB12" i="17"/>
  <c r="AG309" i="44"/>
  <c r="BA3" i="44"/>
  <c r="AA13" i="17"/>
  <c r="AB13" i="17"/>
  <c r="AG310" i="44"/>
  <c r="AA14" i="17"/>
  <c r="AB14" i="17" s="1"/>
  <c r="AG311" i="44"/>
  <c r="AA15" i="17"/>
  <c r="AB15" i="17"/>
  <c r="AG312" i="44" s="1"/>
  <c r="AA16" i="17"/>
  <c r="AB16" i="17"/>
  <c r="AG313" i="44" s="1"/>
  <c r="AA17" i="17"/>
  <c r="AB17" i="17"/>
  <c r="AG314" i="44"/>
  <c r="AA18" i="17"/>
  <c r="AB18" i="17" s="1"/>
  <c r="AG315" i="44"/>
  <c r="AB19" i="17"/>
  <c r="AG316" i="44"/>
  <c r="AA20" i="17"/>
  <c r="AB20" i="17"/>
  <c r="AG317" i="44" s="1"/>
  <c r="AA22" i="17"/>
  <c r="AB22" i="17" s="1"/>
  <c r="AG318" i="44" s="1"/>
  <c r="AA23" i="17"/>
  <c r="AB23" i="17" s="1"/>
  <c r="AA24" i="17"/>
  <c r="AB24" i="17" s="1"/>
  <c r="AA25" i="17"/>
  <c r="AB25" i="17"/>
  <c r="AG321" i="44" s="1"/>
  <c r="AA26" i="17"/>
  <c r="AB26" i="17" s="1"/>
  <c r="AG322" i="44" s="1"/>
  <c r="AA27" i="17"/>
  <c r="AB27" i="17" s="1"/>
  <c r="AA28" i="17"/>
  <c r="AB28" i="17"/>
  <c r="AG324" i="44" s="1"/>
  <c r="AA29" i="17"/>
  <c r="AB29" i="17" s="1"/>
  <c r="AA30" i="17"/>
  <c r="AB30" i="17"/>
  <c r="AG326" i="44" s="1"/>
  <c r="AA31" i="17"/>
  <c r="AB31" i="17" s="1"/>
  <c r="AA33" i="17"/>
  <c r="AB33" i="17"/>
  <c r="AG328" i="44" s="1"/>
  <c r="AA34" i="17"/>
  <c r="AB34" i="17" s="1"/>
  <c r="AA35" i="17"/>
  <c r="AB35" i="17"/>
  <c r="AG330" i="44" s="1"/>
  <c r="AA36" i="17"/>
  <c r="AB36" i="17" s="1"/>
  <c r="AA37" i="17"/>
  <c r="AB37" i="17"/>
  <c r="AG332" i="44" s="1"/>
  <c r="AA38" i="17"/>
  <c r="AB38" i="17" s="1"/>
  <c r="AA39" i="17"/>
  <c r="AB39" i="17"/>
  <c r="AG334" i="44" s="1"/>
  <c r="AA40" i="17"/>
  <c r="AB40" i="17" s="1"/>
  <c r="AA41" i="17"/>
  <c r="AB41" i="17"/>
  <c r="AG336" i="44" s="1"/>
  <c r="Z336" i="44" s="1"/>
  <c r="M39" i="44" s="1"/>
  <c r="M41" i="45" s="1"/>
  <c r="AA11" i="18"/>
  <c r="AB11" i="18"/>
  <c r="AG337" i="44" s="1"/>
  <c r="AA12" i="18"/>
  <c r="AB12" i="18" s="1"/>
  <c r="AA13" i="18"/>
  <c r="AB13" i="18"/>
  <c r="AG339" i="44" s="1"/>
  <c r="AA14" i="18"/>
  <c r="AB14" i="18" s="1"/>
  <c r="AA15" i="18"/>
  <c r="AB15" i="18"/>
  <c r="AG341" i="44" s="1"/>
  <c r="AA16" i="18"/>
  <c r="AB16" i="18" s="1"/>
  <c r="AA17" i="18"/>
  <c r="AB17" i="18"/>
  <c r="AG343" i="44" s="1"/>
  <c r="AA18" i="18"/>
  <c r="AB18" i="18" s="1"/>
  <c r="AA19" i="18"/>
  <c r="AB19" i="18"/>
  <c r="AG345" i="44" s="1"/>
  <c r="AA20" i="18"/>
  <c r="AB20" i="18" s="1"/>
  <c r="AA22" i="18"/>
  <c r="AB22" i="18"/>
  <c r="AG347" i="44" s="1"/>
  <c r="AA23" i="18"/>
  <c r="AB23" i="18" s="1"/>
  <c r="AA24" i="18"/>
  <c r="AB24" i="18"/>
  <c r="AG349" i="44" s="1"/>
  <c r="AA25" i="18"/>
  <c r="AB25" i="18" s="1"/>
  <c r="AA26" i="18"/>
  <c r="AB26" i="18"/>
  <c r="AG351" i="44" s="1"/>
  <c r="AA27" i="18"/>
  <c r="AB27" i="18" s="1"/>
  <c r="AA28" i="18"/>
  <c r="AB28" i="18" s="1"/>
  <c r="AA29" i="18"/>
  <c r="AB29" i="18"/>
  <c r="AG354" i="44" s="1"/>
  <c r="AA30" i="18"/>
  <c r="AB30" i="18" s="1"/>
  <c r="AA31" i="18"/>
  <c r="AB31" i="18"/>
  <c r="AG356" i="44" s="1"/>
  <c r="AA33" i="18"/>
  <c r="AB33" i="18" s="1"/>
  <c r="AA34" i="18"/>
  <c r="AB34" i="18" s="1"/>
  <c r="AA35" i="18"/>
  <c r="AB35" i="18" s="1"/>
  <c r="AA36" i="18"/>
  <c r="AB36" i="18" s="1"/>
  <c r="AA37" i="18"/>
  <c r="AB37" i="18"/>
  <c r="AA38" i="18"/>
  <c r="AB38" i="18"/>
  <c r="AA39" i="18"/>
  <c r="AB39" i="18"/>
  <c r="AA40" i="18"/>
  <c r="AB40" i="18"/>
  <c r="AG364" i="44" s="1"/>
  <c r="AA41" i="18"/>
  <c r="AB41" i="18" s="1"/>
  <c r="AA42" i="18"/>
  <c r="AB42" i="18" s="1"/>
  <c r="AA43" i="18"/>
  <c r="AB43" i="18" s="1"/>
  <c r="L6" i="43"/>
  <c r="K6" i="43"/>
  <c r="L9" i="43"/>
  <c r="K9" i="43"/>
  <c r="L12" i="43"/>
  <c r="K12" i="43"/>
  <c r="L15" i="43"/>
  <c r="K15" i="43"/>
  <c r="L18" i="43"/>
  <c r="K18" i="43"/>
  <c r="L21" i="43"/>
  <c r="K21" i="43"/>
  <c r="L24" i="43"/>
  <c r="K24" i="43"/>
  <c r="L27" i="43"/>
  <c r="K27" i="43"/>
  <c r="L30" i="43"/>
  <c r="K30" i="43"/>
  <c r="L33" i="43"/>
  <c r="K33" i="43"/>
  <c r="L36" i="43"/>
  <c r="K36" i="43"/>
  <c r="L39" i="43"/>
  <c r="K39" i="43"/>
  <c r="L42" i="43"/>
  <c r="K42" i="43"/>
  <c r="L45" i="43"/>
  <c r="K45" i="43"/>
  <c r="L48" i="43"/>
  <c r="K48" i="43"/>
  <c r="L51" i="43"/>
  <c r="K51" i="43"/>
  <c r="L54" i="43"/>
  <c r="K54" i="43"/>
  <c r="L57" i="43"/>
  <c r="K57" i="43"/>
  <c r="L60" i="43"/>
  <c r="K60" i="43"/>
  <c r="L63" i="43"/>
  <c r="K63" i="43"/>
  <c r="L66" i="43"/>
  <c r="K66" i="43"/>
  <c r="L69" i="43"/>
  <c r="K69" i="43"/>
  <c r="L72" i="43"/>
  <c r="K72" i="43"/>
  <c r="L75" i="43"/>
  <c r="K75" i="43"/>
  <c r="J75" i="43"/>
  <c r="I75" i="43"/>
  <c r="H75" i="43"/>
  <c r="G75" i="43"/>
  <c r="F75" i="43"/>
  <c r="E75" i="43"/>
  <c r="D75" i="43"/>
  <c r="C75" i="43"/>
  <c r="B75" i="43"/>
  <c r="K74" i="43"/>
  <c r="J74" i="43"/>
  <c r="I74" i="43"/>
  <c r="H74" i="43"/>
  <c r="G74" i="43"/>
  <c r="F74" i="43"/>
  <c r="E74" i="43"/>
  <c r="D74" i="43"/>
  <c r="C74" i="43"/>
  <c r="B74" i="43"/>
  <c r="K73" i="43"/>
  <c r="J73" i="43"/>
  <c r="I73" i="43"/>
  <c r="H73" i="43"/>
  <c r="G73" i="43"/>
  <c r="F73" i="43"/>
  <c r="E73" i="43"/>
  <c r="D73" i="43"/>
  <c r="C73" i="43"/>
  <c r="B73" i="43"/>
  <c r="K75" i="42"/>
  <c r="J75" i="42"/>
  <c r="I75" i="42"/>
  <c r="H75" i="42"/>
  <c r="G75" i="42"/>
  <c r="F75" i="42"/>
  <c r="E75" i="42"/>
  <c r="D75" i="42"/>
  <c r="C75" i="42"/>
  <c r="B75" i="42"/>
  <c r="K74" i="42"/>
  <c r="J74" i="42"/>
  <c r="I74" i="42"/>
  <c r="H74" i="42"/>
  <c r="G74" i="42"/>
  <c r="F74" i="42"/>
  <c r="E74" i="42"/>
  <c r="D74" i="42"/>
  <c r="C74" i="42"/>
  <c r="B74" i="42"/>
  <c r="K73" i="42"/>
  <c r="J73" i="42"/>
  <c r="I73" i="42"/>
  <c r="H73" i="42"/>
  <c r="G73" i="42"/>
  <c r="F73" i="42"/>
  <c r="E73" i="42"/>
  <c r="D73" i="42"/>
  <c r="C73" i="42"/>
  <c r="B73" i="42"/>
  <c r="L6" i="41"/>
  <c r="K6" i="41"/>
  <c r="L9" i="41"/>
  <c r="K9" i="41"/>
  <c r="L12" i="41"/>
  <c r="K12" i="41"/>
  <c r="L15" i="41"/>
  <c r="K15" i="41"/>
  <c r="L18" i="41"/>
  <c r="K18" i="41"/>
  <c r="L21" i="41"/>
  <c r="K21" i="41"/>
  <c r="L24" i="41"/>
  <c r="K24" i="41"/>
  <c r="L27" i="41"/>
  <c r="K27" i="41"/>
  <c r="L30" i="41"/>
  <c r="K30" i="41"/>
  <c r="L33" i="41"/>
  <c r="K33" i="41"/>
  <c r="L36" i="41"/>
  <c r="K36" i="41"/>
  <c r="L39" i="41"/>
  <c r="K39" i="41"/>
  <c r="L42" i="41"/>
  <c r="K42" i="41"/>
  <c r="L45" i="41"/>
  <c r="K45" i="41"/>
  <c r="L48" i="41"/>
  <c r="K48" i="41"/>
  <c r="L51" i="41"/>
  <c r="K51" i="41"/>
  <c r="L54" i="41"/>
  <c r="K54" i="41"/>
  <c r="L57" i="41"/>
  <c r="K57" i="41"/>
  <c r="L60" i="41"/>
  <c r="K60" i="41"/>
  <c r="L63" i="41"/>
  <c r="K63" i="41"/>
  <c r="L66" i="41"/>
  <c r="K66" i="41"/>
  <c r="L69" i="41"/>
  <c r="K69" i="41"/>
  <c r="L72" i="41"/>
  <c r="K72" i="41"/>
  <c r="L75" i="41"/>
  <c r="K75" i="41"/>
  <c r="J75" i="41"/>
  <c r="I75" i="41"/>
  <c r="H75" i="41"/>
  <c r="G75" i="41"/>
  <c r="F75" i="41"/>
  <c r="E75" i="41"/>
  <c r="D75" i="41"/>
  <c r="C75" i="41"/>
  <c r="B75" i="41"/>
  <c r="K74" i="41"/>
  <c r="J74" i="41"/>
  <c r="I74" i="41"/>
  <c r="H74" i="41"/>
  <c r="G74" i="41"/>
  <c r="F74" i="41"/>
  <c r="E74" i="41"/>
  <c r="D74" i="41"/>
  <c r="C74" i="41"/>
  <c r="B74" i="41"/>
  <c r="K73" i="41"/>
  <c r="J73" i="41"/>
  <c r="I73" i="41"/>
  <c r="H73" i="41"/>
  <c r="G73" i="41"/>
  <c r="F73" i="41"/>
  <c r="E73" i="41"/>
  <c r="D73" i="41"/>
  <c r="C73" i="41"/>
  <c r="B73" i="41"/>
  <c r="L6" i="40"/>
  <c r="K6" i="40"/>
  <c r="L9" i="40"/>
  <c r="K9" i="40"/>
  <c r="L12" i="40"/>
  <c r="K12" i="40"/>
  <c r="L15" i="40"/>
  <c r="K15" i="40"/>
  <c r="L18" i="40"/>
  <c r="K18" i="40"/>
  <c r="L21" i="40"/>
  <c r="K21" i="40"/>
  <c r="L24" i="40"/>
  <c r="K24" i="40"/>
  <c r="L27" i="40"/>
  <c r="K27" i="40"/>
  <c r="L30" i="40"/>
  <c r="K30" i="40"/>
  <c r="L33" i="40"/>
  <c r="K33" i="40"/>
  <c r="L36" i="40"/>
  <c r="K36" i="40"/>
  <c r="L39" i="40"/>
  <c r="K39" i="40"/>
  <c r="L42" i="40"/>
  <c r="K42" i="40"/>
  <c r="L45" i="40"/>
  <c r="K45" i="40"/>
  <c r="L48" i="40"/>
  <c r="K48" i="40"/>
  <c r="L51" i="40"/>
  <c r="K51" i="40"/>
  <c r="L54" i="40"/>
  <c r="K54" i="40"/>
  <c r="L57" i="40"/>
  <c r="K57" i="40"/>
  <c r="L60" i="40"/>
  <c r="K60" i="40"/>
  <c r="L63" i="40"/>
  <c r="K63" i="40"/>
  <c r="L66" i="40"/>
  <c r="K66" i="40"/>
  <c r="L69" i="40"/>
  <c r="K69" i="40"/>
  <c r="L72" i="40"/>
  <c r="K72" i="40"/>
  <c r="L75" i="40"/>
  <c r="K75" i="40"/>
  <c r="J75" i="40"/>
  <c r="I75" i="40"/>
  <c r="H75" i="40"/>
  <c r="G75" i="40"/>
  <c r="F75" i="40"/>
  <c r="E75" i="40"/>
  <c r="D75" i="40"/>
  <c r="C75" i="40"/>
  <c r="B75" i="40"/>
  <c r="K74" i="40"/>
  <c r="J74" i="40"/>
  <c r="I74" i="40"/>
  <c r="H74" i="40"/>
  <c r="G74" i="40"/>
  <c r="F74" i="40"/>
  <c r="E74" i="40"/>
  <c r="D74" i="40"/>
  <c r="C74" i="40"/>
  <c r="B74" i="40"/>
  <c r="K73" i="40"/>
  <c r="J73" i="40"/>
  <c r="I73" i="40"/>
  <c r="H73" i="40"/>
  <c r="G73" i="40"/>
  <c r="F73" i="40"/>
  <c r="E73" i="40"/>
  <c r="D73" i="40"/>
  <c r="C73" i="40"/>
  <c r="B73" i="40"/>
  <c r="K15" i="39"/>
  <c r="K18" i="39"/>
  <c r="K21" i="39"/>
  <c r="K24" i="39"/>
  <c r="K27" i="39"/>
  <c r="K30" i="39"/>
  <c r="K33" i="39"/>
  <c r="K36" i="39"/>
  <c r="K39" i="39"/>
  <c r="K42" i="39"/>
  <c r="K45" i="39"/>
  <c r="K48" i="39"/>
  <c r="K51" i="39"/>
  <c r="K54" i="39"/>
  <c r="K57" i="39"/>
  <c r="K60" i="39"/>
  <c r="K63" i="39"/>
  <c r="K66" i="39"/>
  <c r="K69" i="39"/>
  <c r="K72" i="39"/>
  <c r="K75" i="39"/>
  <c r="J75" i="39"/>
  <c r="I75" i="39"/>
  <c r="H75" i="39"/>
  <c r="G75" i="39"/>
  <c r="F75" i="39"/>
  <c r="E75" i="39"/>
  <c r="D75" i="39"/>
  <c r="C75" i="39"/>
  <c r="B75" i="39"/>
  <c r="K74" i="39"/>
  <c r="J74" i="39"/>
  <c r="I74" i="39"/>
  <c r="H74" i="39"/>
  <c r="G74" i="39"/>
  <c r="F74" i="39"/>
  <c r="E74" i="39"/>
  <c r="D74" i="39"/>
  <c r="C74" i="39"/>
  <c r="B74" i="39"/>
  <c r="K73" i="39"/>
  <c r="J73" i="39"/>
  <c r="I73" i="39"/>
  <c r="H73" i="39"/>
  <c r="G73" i="39"/>
  <c r="F73" i="39"/>
  <c r="E73" i="39"/>
  <c r="D73" i="39"/>
  <c r="C73" i="39"/>
  <c r="B73" i="39"/>
  <c r="L6" i="38"/>
  <c r="K6" i="38"/>
  <c r="L9" i="38"/>
  <c r="K9" i="38"/>
  <c r="L12" i="38"/>
  <c r="K12" i="38"/>
  <c r="L15" i="38"/>
  <c r="K15" i="38"/>
  <c r="L18" i="38"/>
  <c r="K18" i="38"/>
  <c r="L21" i="38"/>
  <c r="K21" i="38"/>
  <c r="L24" i="38"/>
  <c r="K24" i="38"/>
  <c r="L27" i="38"/>
  <c r="K27" i="38"/>
  <c r="L30" i="38"/>
  <c r="K30" i="38"/>
  <c r="L33" i="38"/>
  <c r="K33" i="38"/>
  <c r="L36" i="38"/>
  <c r="K36" i="38"/>
  <c r="L39" i="38"/>
  <c r="K39" i="38"/>
  <c r="L42" i="38"/>
  <c r="K42" i="38"/>
  <c r="L45" i="38"/>
  <c r="K45" i="38"/>
  <c r="L48" i="38"/>
  <c r="K48" i="38"/>
  <c r="L51" i="38"/>
  <c r="K51" i="38"/>
  <c r="L54" i="38"/>
  <c r="K54" i="38"/>
  <c r="L57" i="38"/>
  <c r="K57" i="38"/>
  <c r="L60" i="38"/>
  <c r="K60" i="38"/>
  <c r="L63" i="38"/>
  <c r="K63" i="38"/>
  <c r="L66" i="38"/>
  <c r="K66" i="38"/>
  <c r="L69" i="38"/>
  <c r="K69" i="38"/>
  <c r="L72" i="38"/>
  <c r="K72" i="38"/>
  <c r="L75" i="38"/>
  <c r="K75" i="38"/>
  <c r="J75" i="38"/>
  <c r="I75" i="38"/>
  <c r="H75" i="38"/>
  <c r="G75" i="38"/>
  <c r="F75" i="38"/>
  <c r="E75" i="38"/>
  <c r="D75" i="38"/>
  <c r="C75" i="38"/>
  <c r="B75" i="38"/>
  <c r="K74" i="38"/>
  <c r="J74" i="38"/>
  <c r="I74" i="38"/>
  <c r="H74" i="38"/>
  <c r="G74" i="38"/>
  <c r="F74" i="38"/>
  <c r="E74" i="38"/>
  <c r="D74" i="38"/>
  <c r="C74" i="38"/>
  <c r="B74" i="38"/>
  <c r="K73" i="38"/>
  <c r="J73" i="38"/>
  <c r="I73" i="38"/>
  <c r="H73" i="38"/>
  <c r="G73" i="38"/>
  <c r="F73" i="38"/>
  <c r="E73" i="38"/>
  <c r="D73" i="38"/>
  <c r="C73" i="38"/>
  <c r="B73" i="38"/>
  <c r="K75" i="37"/>
  <c r="J75" i="37"/>
  <c r="I75" i="37"/>
  <c r="H75" i="37"/>
  <c r="G75" i="37"/>
  <c r="F75" i="37"/>
  <c r="E75" i="37"/>
  <c r="D75" i="37"/>
  <c r="C75" i="37"/>
  <c r="B75" i="37"/>
  <c r="K74" i="37"/>
  <c r="J74" i="37"/>
  <c r="I74" i="37"/>
  <c r="H74" i="37"/>
  <c r="G74" i="37"/>
  <c r="F74" i="37"/>
  <c r="E74" i="37"/>
  <c r="D74" i="37"/>
  <c r="C74" i="37"/>
  <c r="B74" i="37"/>
  <c r="K73" i="37"/>
  <c r="J73" i="37"/>
  <c r="I73" i="37"/>
  <c r="H73" i="37"/>
  <c r="G73" i="37"/>
  <c r="F73" i="37"/>
  <c r="E73" i="37"/>
  <c r="D73" i="37"/>
  <c r="C73" i="37"/>
  <c r="B73" i="37"/>
  <c r="L6" i="36"/>
  <c r="K6" i="36"/>
  <c r="L9" i="36"/>
  <c r="K9" i="36"/>
  <c r="L12" i="36"/>
  <c r="K12" i="36"/>
  <c r="L15" i="36"/>
  <c r="K15" i="36"/>
  <c r="L18" i="36"/>
  <c r="K18" i="36"/>
  <c r="L21" i="36"/>
  <c r="K21" i="36"/>
  <c r="L24" i="36"/>
  <c r="K24" i="36"/>
  <c r="L27" i="36"/>
  <c r="K27" i="36"/>
  <c r="L30" i="36"/>
  <c r="K30" i="36"/>
  <c r="L33" i="36"/>
  <c r="K33" i="36"/>
  <c r="L36" i="36"/>
  <c r="K36" i="36"/>
  <c r="L39" i="36"/>
  <c r="K39" i="36"/>
  <c r="L42" i="36"/>
  <c r="K42" i="36"/>
  <c r="L45" i="36"/>
  <c r="K45" i="36"/>
  <c r="L48" i="36"/>
  <c r="K48" i="36"/>
  <c r="L51" i="36"/>
  <c r="K51" i="36"/>
  <c r="L54" i="36"/>
  <c r="K54" i="36"/>
  <c r="L57" i="36"/>
  <c r="K57" i="36"/>
  <c r="L60" i="36"/>
  <c r="K60" i="36"/>
  <c r="L63" i="36"/>
  <c r="K63" i="36"/>
  <c r="L66" i="36"/>
  <c r="K66" i="36"/>
  <c r="L69" i="36"/>
  <c r="K69" i="36"/>
  <c r="L72" i="36"/>
  <c r="K72" i="36"/>
  <c r="L75" i="36"/>
  <c r="K75" i="36"/>
  <c r="J75" i="36"/>
  <c r="I75" i="36"/>
  <c r="H75" i="36"/>
  <c r="G75" i="36"/>
  <c r="F75" i="36"/>
  <c r="E75" i="36"/>
  <c r="D75" i="36"/>
  <c r="C75" i="36"/>
  <c r="B75" i="36"/>
  <c r="K74" i="36"/>
  <c r="J74" i="36"/>
  <c r="I74" i="36"/>
  <c r="H74" i="36"/>
  <c r="G74" i="36"/>
  <c r="F74" i="36"/>
  <c r="E74" i="36"/>
  <c r="D74" i="36"/>
  <c r="C74" i="36"/>
  <c r="B74" i="36"/>
  <c r="K73" i="36"/>
  <c r="J73" i="36"/>
  <c r="I73" i="36"/>
  <c r="H73" i="36"/>
  <c r="G73" i="36"/>
  <c r="F73" i="36"/>
  <c r="E73" i="36"/>
  <c r="D73" i="36"/>
  <c r="C73" i="36"/>
  <c r="B73" i="36"/>
  <c r="K75" i="34"/>
  <c r="J75" i="34"/>
  <c r="I75" i="34"/>
  <c r="H75" i="34"/>
  <c r="G75" i="34"/>
  <c r="F75" i="34"/>
  <c r="E75" i="34"/>
  <c r="D75" i="34"/>
  <c r="C75" i="34"/>
  <c r="B75" i="34"/>
  <c r="K74" i="34"/>
  <c r="J74" i="34"/>
  <c r="I74" i="34"/>
  <c r="H74" i="34"/>
  <c r="G74" i="34"/>
  <c r="F74" i="34"/>
  <c r="E74" i="34"/>
  <c r="D74" i="34"/>
  <c r="C74" i="34"/>
  <c r="B74" i="34"/>
  <c r="K73" i="34"/>
  <c r="J73" i="34"/>
  <c r="I73" i="34"/>
  <c r="H73" i="34"/>
  <c r="G73" i="34"/>
  <c r="F73" i="34"/>
  <c r="E73" i="34"/>
  <c r="D73" i="34"/>
  <c r="C73" i="34"/>
  <c r="B73" i="34"/>
  <c r="L6" i="33"/>
  <c r="K6" i="33"/>
  <c r="L9" i="33"/>
  <c r="K9" i="33"/>
  <c r="L12" i="33"/>
  <c r="K12" i="33"/>
  <c r="L15" i="33"/>
  <c r="K15" i="33"/>
  <c r="L18" i="33"/>
  <c r="K18" i="33"/>
  <c r="L21" i="33"/>
  <c r="K21" i="33"/>
  <c r="L24" i="33"/>
  <c r="K24" i="33"/>
  <c r="L27" i="33"/>
  <c r="K27" i="33"/>
  <c r="L30" i="33"/>
  <c r="K30" i="33"/>
  <c r="L33" i="33"/>
  <c r="K33" i="33"/>
  <c r="L36" i="33"/>
  <c r="K36" i="33"/>
  <c r="L39" i="33"/>
  <c r="K39" i="33"/>
  <c r="L42" i="33"/>
  <c r="K42" i="33"/>
  <c r="L45" i="33"/>
  <c r="K45" i="33"/>
  <c r="L48" i="33"/>
  <c r="K48" i="33"/>
  <c r="L51" i="33"/>
  <c r="K51" i="33"/>
  <c r="L54" i="33"/>
  <c r="K54" i="33"/>
  <c r="L57" i="33"/>
  <c r="K57" i="33"/>
  <c r="L60" i="33"/>
  <c r="K60" i="33"/>
  <c r="L63" i="33"/>
  <c r="K63" i="33"/>
  <c r="L66" i="33"/>
  <c r="K66" i="33"/>
  <c r="L69" i="33"/>
  <c r="L72" i="33"/>
  <c r="L75" i="33"/>
  <c r="K75" i="33"/>
  <c r="J75" i="33"/>
  <c r="I75" i="33"/>
  <c r="H75" i="33"/>
  <c r="G75" i="33"/>
  <c r="F75" i="33"/>
  <c r="E75" i="33"/>
  <c r="D75" i="33"/>
  <c r="C75" i="33"/>
  <c r="B75" i="33"/>
  <c r="K74" i="33"/>
  <c r="J74" i="33"/>
  <c r="I74" i="33"/>
  <c r="H74" i="33"/>
  <c r="G74" i="33"/>
  <c r="F74" i="33"/>
  <c r="E74" i="33"/>
  <c r="D74" i="33"/>
  <c r="C74" i="33"/>
  <c r="B74" i="33"/>
  <c r="K73" i="33"/>
  <c r="J73" i="33"/>
  <c r="I73" i="33"/>
  <c r="H73" i="33"/>
  <c r="G73" i="33"/>
  <c r="F73" i="33"/>
  <c r="E73" i="33"/>
  <c r="D73" i="33"/>
  <c r="C73" i="33"/>
  <c r="B73" i="33"/>
  <c r="K75" i="30"/>
  <c r="J75" i="30"/>
  <c r="I75" i="30"/>
  <c r="H75" i="30"/>
  <c r="G75" i="30"/>
  <c r="F75" i="30"/>
  <c r="E75" i="30"/>
  <c r="D75" i="30"/>
  <c r="C75" i="30"/>
  <c r="B75" i="30"/>
  <c r="K74" i="30"/>
  <c r="J74" i="30"/>
  <c r="I74" i="30"/>
  <c r="H74" i="30"/>
  <c r="G74" i="30"/>
  <c r="F74" i="30"/>
  <c r="E74" i="30"/>
  <c r="D74" i="30"/>
  <c r="C74" i="30"/>
  <c r="B74" i="30"/>
  <c r="K73" i="30"/>
  <c r="J73" i="30"/>
  <c r="I73" i="30"/>
  <c r="H73" i="30"/>
  <c r="G73" i="30"/>
  <c r="F73" i="30"/>
  <c r="E73" i="30"/>
  <c r="D73" i="30"/>
  <c r="C73" i="30"/>
  <c r="B73" i="30"/>
  <c r="L75" i="35"/>
  <c r="K75" i="35"/>
  <c r="J75" i="35"/>
  <c r="I75" i="35"/>
  <c r="H75" i="35"/>
  <c r="G75" i="35"/>
  <c r="F75" i="35"/>
  <c r="E75" i="35"/>
  <c r="D75" i="35"/>
  <c r="C75" i="35"/>
  <c r="B75" i="35"/>
  <c r="K74" i="35"/>
  <c r="J74" i="35"/>
  <c r="I74" i="35"/>
  <c r="H74" i="35"/>
  <c r="G74" i="35"/>
  <c r="F74" i="35"/>
  <c r="E74" i="35"/>
  <c r="D74" i="35"/>
  <c r="C74" i="35"/>
  <c r="B74" i="35"/>
  <c r="K73" i="35"/>
  <c r="J73" i="35"/>
  <c r="I73" i="35"/>
  <c r="H73" i="35"/>
  <c r="G73" i="35"/>
  <c r="F73" i="35"/>
  <c r="E73" i="35"/>
  <c r="D73" i="35"/>
  <c r="C73" i="35"/>
  <c r="B73" i="35"/>
  <c r="L72" i="35"/>
  <c r="L69" i="35"/>
  <c r="L66" i="35"/>
  <c r="L63" i="35"/>
  <c r="L60" i="35"/>
  <c r="L57" i="35"/>
  <c r="L54" i="35"/>
  <c r="L51" i="35"/>
  <c r="L48" i="35"/>
  <c r="L45" i="35"/>
  <c r="L42" i="35"/>
  <c r="L39" i="35"/>
  <c r="L36" i="35"/>
  <c r="L33" i="35"/>
  <c r="L30" i="35"/>
  <c r="L27" i="35"/>
  <c r="L24" i="35"/>
  <c r="L21" i="35"/>
  <c r="L18" i="35"/>
  <c r="L15" i="35"/>
  <c r="L12" i="35"/>
  <c r="L9" i="35"/>
  <c r="L6" i="35"/>
  <c r="AX28" i="44"/>
  <c r="AZ27" i="44" s="1"/>
  <c r="AY28" i="44"/>
  <c r="AX29" i="44"/>
  <c r="AZ28" i="44"/>
  <c r="AY29" i="44"/>
  <c r="AX30" i="44"/>
  <c r="AZ29" i="44" s="1"/>
  <c r="AY30" i="44"/>
  <c r="AX31" i="44"/>
  <c r="AZ30" i="44" s="1"/>
  <c r="AY31" i="44"/>
  <c r="AX32" i="44"/>
  <c r="AZ31" i="44" s="1"/>
  <c r="AY32" i="44"/>
  <c r="AX33" i="44"/>
  <c r="AZ32" i="44"/>
  <c r="AY33" i="44"/>
  <c r="AX34" i="44"/>
  <c r="AZ33" i="44" s="1"/>
  <c r="AY34" i="44"/>
  <c r="AX35" i="44"/>
  <c r="AZ34" i="44" s="1"/>
  <c r="AY35" i="44"/>
  <c r="AX36" i="44"/>
  <c r="AZ35" i="44" s="1"/>
  <c r="AY36" i="44"/>
  <c r="AX37" i="44"/>
  <c r="AZ36" i="44"/>
  <c r="AY37" i="44"/>
  <c r="AX38" i="44"/>
  <c r="AZ37" i="44" s="1"/>
  <c r="AY38" i="44"/>
  <c r="AX39" i="44"/>
  <c r="AZ38" i="44" s="1"/>
  <c r="AY39" i="44"/>
  <c r="AX40" i="44"/>
  <c r="AZ39" i="44" s="1"/>
  <c r="AY40" i="44"/>
  <c r="AX41" i="44"/>
  <c r="AZ40" i="44"/>
  <c r="AY41" i="44"/>
  <c r="AX43" i="44"/>
  <c r="AZ41" i="44" s="1"/>
  <c r="AY43" i="44"/>
  <c r="AX44" i="44"/>
  <c r="AZ43" i="44" s="1"/>
  <c r="AY44" i="44"/>
  <c r="AX45" i="44"/>
  <c r="AZ44" i="44" s="1"/>
  <c r="AY45" i="44"/>
  <c r="AX46" i="44"/>
  <c r="AZ45" i="44"/>
  <c r="AY46" i="44"/>
  <c r="AX47" i="44"/>
  <c r="AZ46" i="44" s="1"/>
  <c r="AY47" i="44"/>
  <c r="AX48" i="44"/>
  <c r="AZ47" i="44" s="1"/>
  <c r="AY48" i="44"/>
  <c r="AX49" i="44"/>
  <c r="AZ48" i="44" s="1"/>
  <c r="AY49" i="44"/>
  <c r="AX50" i="44"/>
  <c r="AZ49" i="44"/>
  <c r="AY50" i="44"/>
  <c r="AX51" i="44"/>
  <c r="AZ50" i="44" s="1"/>
  <c r="AY51" i="44"/>
  <c r="AX52" i="44"/>
  <c r="AZ51" i="44" s="1"/>
  <c r="AY52" i="44"/>
  <c r="AX15" i="44"/>
  <c r="AY15" i="44"/>
  <c r="AZ14" i="44"/>
  <c r="AX16" i="44"/>
  <c r="AZ15" i="44"/>
  <c r="AY16" i="44"/>
  <c r="AX17" i="44"/>
  <c r="AZ16" i="44" s="1"/>
  <c r="AY17" i="44"/>
  <c r="AX18" i="44"/>
  <c r="AZ17" i="44" s="1"/>
  <c r="AY18" i="44"/>
  <c r="AX19" i="44"/>
  <c r="AZ18" i="44" s="1"/>
  <c r="AY19" i="44"/>
  <c r="AX20" i="44"/>
  <c r="AZ19" i="44"/>
  <c r="AY20" i="44"/>
  <c r="AX21" i="44"/>
  <c r="AZ20" i="44" s="1"/>
  <c r="AY21" i="44"/>
  <c r="AX22" i="44"/>
  <c r="AZ21" i="44" s="1"/>
  <c r="AY22" i="44"/>
  <c r="AX23" i="44"/>
  <c r="AZ22" i="44" s="1"/>
  <c r="AY23" i="44"/>
  <c r="AX24" i="44"/>
  <c r="AZ23" i="44"/>
  <c r="AY24" i="44"/>
  <c r="AX25" i="44"/>
  <c r="AZ24" i="44" s="1"/>
  <c r="AY25" i="44"/>
  <c r="AX26" i="44"/>
  <c r="AZ25" i="44" s="1"/>
  <c r="AY26" i="44"/>
  <c r="F18" i="47"/>
  <c r="F17" i="47"/>
  <c r="F16" i="47"/>
  <c r="BB27" i="44"/>
  <c r="BD26" i="44"/>
  <c r="BC27" i="44"/>
  <c r="BB28" i="44"/>
  <c r="BD27" i="44" s="1"/>
  <c r="BC28" i="44"/>
  <c r="BB29" i="44"/>
  <c r="BD28" i="44" s="1"/>
  <c r="BC29" i="44"/>
  <c r="BB30" i="44"/>
  <c r="BD29" i="44" s="1"/>
  <c r="BC30" i="44"/>
  <c r="BB31" i="44"/>
  <c r="BD30" i="44"/>
  <c r="BC31" i="44"/>
  <c r="BB32" i="44"/>
  <c r="BD31" i="44" s="1"/>
  <c r="BC32" i="44"/>
  <c r="BB33" i="44"/>
  <c r="BD32" i="44" s="1"/>
  <c r="BC33" i="44"/>
  <c r="BB34" i="44"/>
  <c r="BD33" i="44" s="1"/>
  <c r="BC34" i="44"/>
  <c r="BB35" i="44"/>
  <c r="BD34" i="44"/>
  <c r="BC35" i="44"/>
  <c r="BB36" i="44"/>
  <c r="BD35" i="44" s="1"/>
  <c r="BC36" i="44"/>
  <c r="BB37" i="44"/>
  <c r="BD36" i="44" s="1"/>
  <c r="BC37" i="44"/>
  <c r="BB38" i="44"/>
  <c r="BD37" i="44" s="1"/>
  <c r="BC38" i="44"/>
  <c r="BB39" i="44"/>
  <c r="BD38" i="44"/>
  <c r="BC39" i="44"/>
  <c r="BB40" i="44"/>
  <c r="BD39" i="44" s="1"/>
  <c r="BC40" i="44"/>
  <c r="BB41" i="44"/>
  <c r="BD40" i="44" s="1"/>
  <c r="BC41" i="44"/>
  <c r="BB43" i="44"/>
  <c r="BD41" i="44" s="1"/>
  <c r="BC43" i="44"/>
  <c r="BB44" i="44"/>
  <c r="BD43" i="44"/>
  <c r="BC44" i="44"/>
  <c r="BB45" i="44"/>
  <c r="BD44" i="44" s="1"/>
  <c r="BC45" i="44"/>
  <c r="BB46" i="44"/>
  <c r="BD45" i="44" s="1"/>
  <c r="BC46" i="44"/>
  <c r="BB47" i="44"/>
  <c r="BD46" i="44" s="1"/>
  <c r="BC47" i="44"/>
  <c r="BB48" i="44"/>
  <c r="BD47" i="44"/>
  <c r="BC48" i="44"/>
  <c r="BB49" i="44"/>
  <c r="BD48" i="44" s="1"/>
  <c r="BC49" i="44"/>
  <c r="BB50" i="44"/>
  <c r="BD49" i="44" s="1"/>
  <c r="BC50" i="44"/>
  <c r="BB51" i="44"/>
  <c r="BD50" i="44" s="1"/>
  <c r="BC51" i="44"/>
  <c r="BB52" i="44"/>
  <c r="BD51" i="44"/>
  <c r="BC52" i="44"/>
  <c r="BB14" i="44"/>
  <c r="BD13" i="44" s="1"/>
  <c r="BC14" i="44"/>
  <c r="BB15" i="44"/>
  <c r="BD14" i="44" s="1"/>
  <c r="BC15" i="44"/>
  <c r="BB16" i="44"/>
  <c r="BD15" i="44" s="1"/>
  <c r="BC16" i="44"/>
  <c r="BB17" i="44"/>
  <c r="BD16" i="44"/>
  <c r="BC17" i="44"/>
  <c r="BB18" i="44"/>
  <c r="BD17" i="44" s="1"/>
  <c r="BC18" i="44"/>
  <c r="BB19" i="44"/>
  <c r="BD18" i="44" s="1"/>
  <c r="BC19" i="44"/>
  <c r="BB20" i="44"/>
  <c r="BD19" i="44" s="1"/>
  <c r="BC20" i="44"/>
  <c r="BB21" i="44"/>
  <c r="BD20" i="44"/>
  <c r="BC21" i="44"/>
  <c r="BB22" i="44"/>
  <c r="BD21" i="44" s="1"/>
  <c r="BC22" i="44"/>
  <c r="BB23" i="44"/>
  <c r="BD22" i="44" s="1"/>
  <c r="BC23" i="44"/>
  <c r="BB24" i="44"/>
  <c r="BD23" i="44" s="1"/>
  <c r="BC24" i="44"/>
  <c r="BB25" i="44"/>
  <c r="BD24" i="44"/>
  <c r="BC25" i="44"/>
  <c r="BB26" i="44"/>
  <c r="BD25" i="44" s="1"/>
  <c r="BC26" i="44"/>
  <c r="BB7" i="44"/>
  <c r="BD6" i="44" s="1"/>
  <c r="BC7" i="44"/>
  <c r="BB8" i="44"/>
  <c r="BD7" i="44" s="1"/>
  <c r="BC8" i="44"/>
  <c r="BB9" i="44"/>
  <c r="BD8" i="44"/>
  <c r="BC9" i="44"/>
  <c r="BB10" i="44"/>
  <c r="BD9" i="44" s="1"/>
  <c r="BC10" i="44"/>
  <c r="BB11" i="44"/>
  <c r="BD10" i="44" s="1"/>
  <c r="BC11" i="44"/>
  <c r="BB12" i="44"/>
  <c r="BD11" i="44" s="1"/>
  <c r="BC12" i="44"/>
  <c r="BB13" i="44"/>
  <c r="BD12" i="44"/>
  <c r="BC13" i="44"/>
  <c r="BB4" i="44"/>
  <c r="BD3" i="44" s="1"/>
  <c r="BC4" i="44"/>
  <c r="BB5" i="44"/>
  <c r="BD4" i="44" s="1"/>
  <c r="BC5" i="44"/>
  <c r="BB6" i="44"/>
  <c r="BD5" i="44" s="1"/>
  <c r="BC6" i="44"/>
  <c r="BB2" i="44"/>
  <c r="BD1" i="44"/>
  <c r="BC2" i="44"/>
  <c r="BB3" i="44"/>
  <c r="BD2" i="44" s="1"/>
  <c r="BC3" i="44"/>
  <c r="U57" i="1"/>
  <c r="F48" i="44"/>
  <c r="AG373" i="44" s="1"/>
  <c r="BA10" i="44"/>
  <c r="BA6" i="44"/>
  <c r="AX12" i="44"/>
  <c r="AZ11" i="44" s="1"/>
  <c r="AY12" i="44"/>
  <c r="CS745" i="48"/>
  <c r="CS744" i="48"/>
  <c r="CS743" i="48"/>
  <c r="CS742" i="48"/>
  <c r="CS741" i="48"/>
  <c r="CS740" i="48"/>
  <c r="CS739" i="48"/>
  <c r="CS738" i="48"/>
  <c r="CS737" i="48"/>
  <c r="CS736" i="48"/>
  <c r="CS735" i="48"/>
  <c r="CS734" i="48"/>
  <c r="CS733" i="48"/>
  <c r="CS732" i="48"/>
  <c r="CS731" i="48"/>
  <c r="CS730" i="48"/>
  <c r="CS729" i="48"/>
  <c r="CS728" i="48"/>
  <c r="CS727" i="48"/>
  <c r="CS726" i="48"/>
  <c r="CS725" i="48"/>
  <c r="CS724" i="48"/>
  <c r="CS723" i="48"/>
  <c r="CS722" i="48"/>
  <c r="CO745" i="48"/>
  <c r="CO744" i="48"/>
  <c r="CO743" i="48"/>
  <c r="CO742" i="48"/>
  <c r="CO741" i="48"/>
  <c r="CO740" i="48"/>
  <c r="CO739" i="48"/>
  <c r="CO738" i="48"/>
  <c r="CO737" i="48"/>
  <c r="CO736" i="48"/>
  <c r="CO735" i="48"/>
  <c r="CO734" i="48"/>
  <c r="CO733" i="48"/>
  <c r="CO732" i="48"/>
  <c r="CO731" i="48"/>
  <c r="CO730" i="48"/>
  <c r="CO729" i="48"/>
  <c r="CO728" i="48"/>
  <c r="CO727" i="48"/>
  <c r="CO726" i="48"/>
  <c r="CO725" i="48"/>
  <c r="CO724" i="48"/>
  <c r="CO723" i="48"/>
  <c r="CO722" i="48"/>
  <c r="CG745" i="48"/>
  <c r="CG744" i="48"/>
  <c r="CG743" i="48"/>
  <c r="CG742" i="48"/>
  <c r="CG741" i="48"/>
  <c r="CG740" i="48"/>
  <c r="CG739" i="48"/>
  <c r="CG738" i="48"/>
  <c r="CG737" i="48"/>
  <c r="CG736" i="48"/>
  <c r="CG735" i="48"/>
  <c r="CG734" i="48"/>
  <c r="CG733" i="48"/>
  <c r="CG732" i="48"/>
  <c r="CG731" i="48"/>
  <c r="CG730" i="48"/>
  <c r="CG729" i="48"/>
  <c r="CG728" i="48"/>
  <c r="CG727" i="48"/>
  <c r="CG726" i="48"/>
  <c r="CG725" i="48"/>
  <c r="CG724" i="48"/>
  <c r="CG723" i="48"/>
  <c r="CG722" i="48"/>
  <c r="BY745" i="48"/>
  <c r="BY744" i="48"/>
  <c r="BY743" i="48"/>
  <c r="BY742" i="48"/>
  <c r="BY741" i="48"/>
  <c r="BY740" i="48"/>
  <c r="BY739" i="48"/>
  <c r="BY738" i="48"/>
  <c r="BY737" i="48"/>
  <c r="BY736" i="48"/>
  <c r="BY735" i="48"/>
  <c r="BY734" i="48"/>
  <c r="BY733" i="48"/>
  <c r="BY732" i="48"/>
  <c r="BY731" i="48"/>
  <c r="BY730" i="48"/>
  <c r="BY729" i="48"/>
  <c r="BY728" i="48"/>
  <c r="BY727" i="48"/>
  <c r="BY726" i="48"/>
  <c r="BY725" i="48"/>
  <c r="BY724" i="48"/>
  <c r="BY723" i="48"/>
  <c r="BY722" i="48"/>
  <c r="BU745" i="48"/>
  <c r="BU744" i="48"/>
  <c r="BU743" i="48"/>
  <c r="BU742" i="48"/>
  <c r="BU741" i="48"/>
  <c r="BU740" i="48"/>
  <c r="BU739" i="48"/>
  <c r="BU738" i="48"/>
  <c r="BU737" i="48"/>
  <c r="BU736" i="48"/>
  <c r="BU735" i="48"/>
  <c r="BU734" i="48"/>
  <c r="BU733" i="48"/>
  <c r="BU732" i="48"/>
  <c r="BU731" i="48"/>
  <c r="BU730" i="48"/>
  <c r="BU729" i="48"/>
  <c r="BU728" i="48"/>
  <c r="BU727" i="48"/>
  <c r="BU726" i="48"/>
  <c r="BU725" i="48"/>
  <c r="BU724" i="48"/>
  <c r="BU723" i="48"/>
  <c r="BU722" i="48"/>
  <c r="BM745" i="48"/>
  <c r="BM744" i="48"/>
  <c r="BM743" i="48"/>
  <c r="BM742" i="48"/>
  <c r="BM741" i="48"/>
  <c r="BM740" i="48"/>
  <c r="BM739" i="48"/>
  <c r="BM738" i="48"/>
  <c r="BM737" i="48"/>
  <c r="BM736" i="48"/>
  <c r="BM735" i="48"/>
  <c r="BM734" i="48"/>
  <c r="BM733" i="48"/>
  <c r="BM732" i="48"/>
  <c r="BM731" i="48"/>
  <c r="BM730" i="48"/>
  <c r="BM729" i="48"/>
  <c r="BM728" i="48"/>
  <c r="BM727" i="48"/>
  <c r="BM726" i="48"/>
  <c r="BM725" i="48"/>
  <c r="BM724" i="48"/>
  <c r="BM723" i="48"/>
  <c r="BM722" i="48"/>
  <c r="BI721" i="48"/>
  <c r="BI720" i="48"/>
  <c r="BI719" i="48"/>
  <c r="BI718" i="48"/>
  <c r="BI717" i="48"/>
  <c r="BI716" i="48"/>
  <c r="BI715" i="48"/>
  <c r="BI714" i="48"/>
  <c r="BI713" i="48"/>
  <c r="BI712" i="48"/>
  <c r="BI711" i="48"/>
  <c r="BI710" i="48"/>
  <c r="BI709" i="48"/>
  <c r="BI708" i="48"/>
  <c r="BI707" i="48"/>
  <c r="BI706" i="48"/>
  <c r="BI705" i="48"/>
  <c r="BI704" i="48"/>
  <c r="BI703" i="48"/>
  <c r="BI702" i="48"/>
  <c r="BI701" i="48"/>
  <c r="BI700" i="48"/>
  <c r="BI699" i="48"/>
  <c r="BI698" i="48"/>
  <c r="BM721" i="48"/>
  <c r="BM720" i="48"/>
  <c r="BM719" i="48"/>
  <c r="BM718" i="48"/>
  <c r="BM717" i="48"/>
  <c r="BM716" i="48"/>
  <c r="BM715" i="48"/>
  <c r="BM714" i="48"/>
  <c r="BM713" i="48"/>
  <c r="BM712" i="48"/>
  <c r="BM711" i="48"/>
  <c r="BM710" i="48"/>
  <c r="BM709" i="48"/>
  <c r="BM708" i="48"/>
  <c r="BM707" i="48"/>
  <c r="BM706" i="48"/>
  <c r="BM705" i="48"/>
  <c r="BM704" i="48"/>
  <c r="BM703" i="48"/>
  <c r="BM702" i="48"/>
  <c r="BM701" i="48"/>
  <c r="BM700" i="48"/>
  <c r="BM699" i="48"/>
  <c r="BM698" i="48"/>
  <c r="BQ721" i="48"/>
  <c r="BQ720" i="48"/>
  <c r="BQ719" i="48"/>
  <c r="BQ718" i="48"/>
  <c r="BQ717" i="48"/>
  <c r="BQ716" i="48"/>
  <c r="BQ715" i="48"/>
  <c r="BQ714" i="48"/>
  <c r="BQ713" i="48"/>
  <c r="BQ712" i="48"/>
  <c r="BQ711" i="48"/>
  <c r="BQ710" i="48"/>
  <c r="BQ709" i="48"/>
  <c r="BQ708" i="48"/>
  <c r="BQ707" i="48"/>
  <c r="BQ706" i="48"/>
  <c r="BQ705" i="48"/>
  <c r="BQ704" i="48"/>
  <c r="BQ703" i="48"/>
  <c r="BQ702" i="48"/>
  <c r="BQ701" i="48"/>
  <c r="BQ700" i="48"/>
  <c r="BQ699" i="48"/>
  <c r="BQ698" i="48"/>
  <c r="BU721" i="48"/>
  <c r="BU720" i="48"/>
  <c r="BU719" i="48"/>
  <c r="BU718" i="48"/>
  <c r="BU717" i="48"/>
  <c r="BU716" i="48"/>
  <c r="BU715" i="48"/>
  <c r="BU714" i="48"/>
  <c r="BU713" i="48"/>
  <c r="BU712" i="48"/>
  <c r="BU711" i="48"/>
  <c r="BU710" i="48"/>
  <c r="BU709" i="48"/>
  <c r="BU708" i="48"/>
  <c r="BU707" i="48"/>
  <c r="BU706" i="48"/>
  <c r="BU705" i="48"/>
  <c r="BU704" i="48"/>
  <c r="BU703" i="48"/>
  <c r="BU702" i="48"/>
  <c r="BU701" i="48"/>
  <c r="BU700" i="48"/>
  <c r="BU699" i="48"/>
  <c r="BU698" i="48"/>
  <c r="BY721" i="48"/>
  <c r="BY720" i="48"/>
  <c r="BY719" i="48"/>
  <c r="BY718" i="48"/>
  <c r="BY717" i="48"/>
  <c r="BY716" i="48"/>
  <c r="BY715" i="48"/>
  <c r="BY714" i="48"/>
  <c r="BY713" i="48"/>
  <c r="BY712" i="48"/>
  <c r="BY711" i="48"/>
  <c r="BY710" i="48"/>
  <c r="BY709" i="48"/>
  <c r="BY708" i="48"/>
  <c r="BY707" i="48"/>
  <c r="BY706" i="48"/>
  <c r="BY705" i="48"/>
  <c r="BY704" i="48"/>
  <c r="BY703" i="48"/>
  <c r="BY702" i="48"/>
  <c r="BY701" i="48"/>
  <c r="BY700" i="48"/>
  <c r="BY699" i="48"/>
  <c r="BY698" i="48"/>
  <c r="CC721" i="48"/>
  <c r="CC720" i="48"/>
  <c r="CC719" i="48"/>
  <c r="CC718" i="48"/>
  <c r="CC717" i="48"/>
  <c r="CC716" i="48"/>
  <c r="CC715" i="48"/>
  <c r="CC714" i="48"/>
  <c r="CC713" i="48"/>
  <c r="CC712" i="48"/>
  <c r="CC711" i="48"/>
  <c r="CC710" i="48"/>
  <c r="CC709" i="48"/>
  <c r="CC708" i="48"/>
  <c r="CC707" i="48"/>
  <c r="CC706" i="48"/>
  <c r="CC705" i="48"/>
  <c r="CC704" i="48"/>
  <c r="CC703" i="48"/>
  <c r="CC702" i="48"/>
  <c r="CC701" i="48"/>
  <c r="CC700" i="48"/>
  <c r="CC699" i="48"/>
  <c r="CC698" i="48"/>
  <c r="CG721" i="48"/>
  <c r="CG720" i="48"/>
  <c r="CG719" i="48"/>
  <c r="CG718" i="48"/>
  <c r="CG717" i="48"/>
  <c r="CG716" i="48"/>
  <c r="CG715" i="48"/>
  <c r="CG714" i="48"/>
  <c r="CG713" i="48"/>
  <c r="CG712" i="48"/>
  <c r="CG711" i="48"/>
  <c r="CG710" i="48"/>
  <c r="CG709" i="48"/>
  <c r="CG708" i="48"/>
  <c r="CG707" i="48"/>
  <c r="CG706" i="48"/>
  <c r="CG705" i="48"/>
  <c r="CG704" i="48"/>
  <c r="CG703" i="48"/>
  <c r="CG702" i="48"/>
  <c r="CG701" i="48"/>
  <c r="CG700" i="48"/>
  <c r="CG699" i="48"/>
  <c r="CG698" i="48"/>
  <c r="CK721" i="48"/>
  <c r="CK720" i="48"/>
  <c r="CK719" i="48"/>
  <c r="CK718" i="48"/>
  <c r="CK717" i="48"/>
  <c r="CK716" i="48"/>
  <c r="CK715" i="48"/>
  <c r="CK714" i="48"/>
  <c r="CK713" i="48"/>
  <c r="CK712" i="48"/>
  <c r="CK711" i="48"/>
  <c r="CK710" i="48"/>
  <c r="CK709" i="48"/>
  <c r="CK708" i="48"/>
  <c r="CK707" i="48"/>
  <c r="CK706" i="48"/>
  <c r="CK705" i="48"/>
  <c r="CK704" i="48"/>
  <c r="CK703" i="48"/>
  <c r="CK702" i="48"/>
  <c r="CK701" i="48"/>
  <c r="CK700" i="48"/>
  <c r="CK699" i="48"/>
  <c r="CK698" i="48"/>
  <c r="CO721" i="48"/>
  <c r="CO720" i="48"/>
  <c r="CO719" i="48"/>
  <c r="CO718" i="48"/>
  <c r="CO717" i="48"/>
  <c r="CO716" i="48"/>
  <c r="CO715" i="48"/>
  <c r="CO714" i="48"/>
  <c r="CO713" i="48"/>
  <c r="CO712" i="48"/>
  <c r="CO711" i="48"/>
  <c r="CO710" i="48"/>
  <c r="CO709" i="48"/>
  <c r="CO708" i="48"/>
  <c r="CO707" i="48"/>
  <c r="CO706" i="48"/>
  <c r="CO705" i="48"/>
  <c r="CO704" i="48"/>
  <c r="CO703" i="48"/>
  <c r="CO702" i="48"/>
  <c r="CO701" i="48"/>
  <c r="CO700" i="48"/>
  <c r="CO699" i="48"/>
  <c r="CO698" i="48"/>
  <c r="CS721" i="48"/>
  <c r="CS720" i="48"/>
  <c r="CS719" i="48"/>
  <c r="CS718" i="48"/>
  <c r="CS717" i="48"/>
  <c r="CS716" i="48"/>
  <c r="CS715" i="48"/>
  <c r="CS714" i="48"/>
  <c r="CS713" i="48"/>
  <c r="CS712" i="48"/>
  <c r="CS711" i="48"/>
  <c r="CS710" i="48"/>
  <c r="CS709" i="48"/>
  <c r="CS708" i="48"/>
  <c r="CS707" i="48"/>
  <c r="CS706" i="48"/>
  <c r="CS705" i="48"/>
  <c r="CS704" i="48"/>
  <c r="CS703" i="48"/>
  <c r="CS702" i="48"/>
  <c r="CS701" i="48"/>
  <c r="CS700" i="48"/>
  <c r="CS699" i="48"/>
  <c r="CS698" i="48"/>
  <c r="DA721" i="48"/>
  <c r="DA720" i="48"/>
  <c r="DA719" i="48"/>
  <c r="DA718" i="48"/>
  <c r="DA717" i="48"/>
  <c r="DA716" i="48"/>
  <c r="DA715" i="48"/>
  <c r="DA714" i="48"/>
  <c r="DA713" i="48"/>
  <c r="DA712" i="48"/>
  <c r="DA711" i="48"/>
  <c r="DA710" i="48"/>
  <c r="DA709" i="48"/>
  <c r="DA708" i="48"/>
  <c r="DA707" i="48"/>
  <c r="DA706" i="48"/>
  <c r="DA705" i="48"/>
  <c r="DA704" i="48"/>
  <c r="DA703" i="48"/>
  <c r="DA702" i="48"/>
  <c r="DA701" i="48"/>
  <c r="DA700" i="48"/>
  <c r="DA699" i="48"/>
  <c r="DA698" i="48"/>
  <c r="DA697" i="48"/>
  <c r="DA696" i="48"/>
  <c r="DA695" i="48"/>
  <c r="DA694" i="48"/>
  <c r="DA693" i="48"/>
  <c r="DA692" i="48"/>
  <c r="DA691" i="48"/>
  <c r="DA690" i="48"/>
  <c r="DA689" i="48"/>
  <c r="DA688" i="48"/>
  <c r="DA687" i="48"/>
  <c r="DA686" i="48"/>
  <c r="DA685" i="48"/>
  <c r="DA684" i="48"/>
  <c r="DA683" i="48"/>
  <c r="DA682" i="48"/>
  <c r="DA681" i="48"/>
  <c r="DA680" i="48"/>
  <c r="DA679" i="48"/>
  <c r="DA678" i="48"/>
  <c r="DA677" i="48"/>
  <c r="DA676" i="48"/>
  <c r="DA675" i="48"/>
  <c r="DA674" i="48"/>
  <c r="CW697" i="48"/>
  <c r="CW696" i="48"/>
  <c r="CW695" i="48"/>
  <c r="CW694" i="48"/>
  <c r="CW693" i="48"/>
  <c r="CW692" i="48"/>
  <c r="CW691" i="48"/>
  <c r="CW690" i="48"/>
  <c r="CW689" i="48"/>
  <c r="CW688" i="48"/>
  <c r="CW687" i="48"/>
  <c r="CW686" i="48"/>
  <c r="CW685" i="48"/>
  <c r="CW684" i="48"/>
  <c r="CW683" i="48"/>
  <c r="CW682" i="48"/>
  <c r="CW681" i="48"/>
  <c r="CW680" i="48"/>
  <c r="CW679" i="48"/>
  <c r="CW678" i="48"/>
  <c r="CW677" i="48"/>
  <c r="CW676" i="48"/>
  <c r="CW675" i="48"/>
  <c r="CW674" i="48"/>
  <c r="CS697" i="48"/>
  <c r="CS696" i="48"/>
  <c r="CS695" i="48"/>
  <c r="CS694" i="48"/>
  <c r="CS693" i="48"/>
  <c r="CS692" i="48"/>
  <c r="CS691" i="48"/>
  <c r="CS690" i="48"/>
  <c r="CS689" i="48"/>
  <c r="CS688" i="48"/>
  <c r="CS687" i="48"/>
  <c r="CS686" i="48"/>
  <c r="CS685" i="48"/>
  <c r="CS684" i="48"/>
  <c r="CS683" i="48"/>
  <c r="CS682" i="48"/>
  <c r="CS681" i="48"/>
  <c r="CS680" i="48"/>
  <c r="CS679" i="48"/>
  <c r="CS678" i="48"/>
  <c r="CS677" i="48"/>
  <c r="CS676" i="48"/>
  <c r="CS675" i="48"/>
  <c r="CS674" i="48"/>
  <c r="CO697" i="48"/>
  <c r="CO696" i="48"/>
  <c r="CO695" i="48"/>
  <c r="CO694" i="48"/>
  <c r="CO693" i="48"/>
  <c r="CO692" i="48"/>
  <c r="CO691" i="48"/>
  <c r="CO690" i="48"/>
  <c r="CO689" i="48"/>
  <c r="CO688" i="48"/>
  <c r="CO687" i="48"/>
  <c r="CO686" i="48"/>
  <c r="CO685" i="48"/>
  <c r="CO684" i="48"/>
  <c r="CO683" i="48"/>
  <c r="CO682" i="48"/>
  <c r="CO681" i="48"/>
  <c r="CO680" i="48"/>
  <c r="CO679" i="48"/>
  <c r="CO678" i="48"/>
  <c r="CO677" i="48"/>
  <c r="CO676" i="48"/>
  <c r="CO675" i="48"/>
  <c r="CO674" i="48"/>
  <c r="CK697" i="48"/>
  <c r="CK696" i="48"/>
  <c r="CK695" i="48"/>
  <c r="CK694" i="48"/>
  <c r="CK693" i="48"/>
  <c r="CK692" i="48"/>
  <c r="CK691" i="48"/>
  <c r="CK690" i="48"/>
  <c r="CK689" i="48"/>
  <c r="CK688" i="48"/>
  <c r="CK687" i="48"/>
  <c r="CK686" i="48"/>
  <c r="CK685" i="48"/>
  <c r="CK684" i="48"/>
  <c r="CK683" i="48"/>
  <c r="CK682" i="48"/>
  <c r="CK681" i="48"/>
  <c r="CK680" i="48"/>
  <c r="CK679" i="48"/>
  <c r="CK678" i="48"/>
  <c r="CK677" i="48"/>
  <c r="CK676" i="48"/>
  <c r="CK675" i="48"/>
  <c r="CK674" i="48"/>
  <c r="CG697" i="48"/>
  <c r="CG696" i="48"/>
  <c r="CG695" i="48"/>
  <c r="CG694" i="48"/>
  <c r="CG693" i="48"/>
  <c r="CG692" i="48"/>
  <c r="CG691" i="48"/>
  <c r="CG690" i="48"/>
  <c r="CG689" i="48"/>
  <c r="CG688" i="48"/>
  <c r="CG687" i="48"/>
  <c r="CG686" i="48"/>
  <c r="CG685" i="48"/>
  <c r="CG684" i="48"/>
  <c r="CG683" i="48"/>
  <c r="CG682" i="48"/>
  <c r="CG681" i="48"/>
  <c r="CG680" i="48"/>
  <c r="CG679" i="48"/>
  <c r="CG678" i="48"/>
  <c r="CG677" i="48"/>
  <c r="CG676" i="48"/>
  <c r="CG675" i="48"/>
  <c r="CG674" i="48"/>
  <c r="CC697" i="48"/>
  <c r="CC696" i="48"/>
  <c r="CC695" i="48"/>
  <c r="CC694" i="48"/>
  <c r="CC693" i="48"/>
  <c r="CC692" i="48"/>
  <c r="CC691" i="48"/>
  <c r="CC690" i="48"/>
  <c r="CC689" i="48"/>
  <c r="CC688" i="48"/>
  <c r="CC687" i="48"/>
  <c r="CC686" i="48"/>
  <c r="CC685" i="48"/>
  <c r="CC684" i="48"/>
  <c r="CC683" i="48"/>
  <c r="CC682" i="48"/>
  <c r="CC681" i="48"/>
  <c r="CC680" i="48"/>
  <c r="CC679" i="48"/>
  <c r="CC678" i="48"/>
  <c r="CC677" i="48"/>
  <c r="CC676" i="48"/>
  <c r="CC675" i="48"/>
  <c r="CC674" i="48"/>
  <c r="BY697" i="48"/>
  <c r="BY696" i="48"/>
  <c r="BY695" i="48"/>
  <c r="BY694" i="48"/>
  <c r="BY693" i="48"/>
  <c r="BY692" i="48"/>
  <c r="BY691" i="48"/>
  <c r="BY690" i="48"/>
  <c r="BY689" i="48"/>
  <c r="BY688" i="48"/>
  <c r="BY687" i="48"/>
  <c r="BY686" i="48"/>
  <c r="BY685" i="48"/>
  <c r="BY684" i="48"/>
  <c r="BY683" i="48"/>
  <c r="BY682" i="48"/>
  <c r="BY681" i="48"/>
  <c r="BY680" i="48"/>
  <c r="BY679" i="48"/>
  <c r="BY678" i="48"/>
  <c r="BY677" i="48"/>
  <c r="BY676" i="48"/>
  <c r="BY675" i="48"/>
  <c r="BY674" i="48"/>
  <c r="BU697" i="48"/>
  <c r="BU696" i="48"/>
  <c r="BU695" i="48"/>
  <c r="BU694" i="48"/>
  <c r="BU693" i="48"/>
  <c r="BU692" i="48"/>
  <c r="BU691" i="48"/>
  <c r="BU690" i="48"/>
  <c r="BU689" i="48"/>
  <c r="BU688" i="48"/>
  <c r="BU687" i="48"/>
  <c r="BU686" i="48"/>
  <c r="BU685" i="48"/>
  <c r="BU684" i="48"/>
  <c r="BU683" i="48"/>
  <c r="BU682" i="48"/>
  <c r="BU681" i="48"/>
  <c r="BU680" i="48"/>
  <c r="BU679" i="48"/>
  <c r="BU678" i="48"/>
  <c r="BU677" i="48"/>
  <c r="BU676" i="48"/>
  <c r="BU675" i="48"/>
  <c r="BU674" i="48"/>
  <c r="BQ697" i="48"/>
  <c r="BQ696" i="48"/>
  <c r="BQ695" i="48"/>
  <c r="BQ694" i="48"/>
  <c r="BQ693" i="48"/>
  <c r="BQ692" i="48"/>
  <c r="BQ691" i="48"/>
  <c r="BQ690" i="48"/>
  <c r="BQ689" i="48"/>
  <c r="BQ688" i="48"/>
  <c r="BQ687" i="48"/>
  <c r="BQ686" i="48"/>
  <c r="BQ685" i="48"/>
  <c r="BQ684" i="48"/>
  <c r="BQ683" i="48"/>
  <c r="BQ682" i="48"/>
  <c r="BQ681" i="48"/>
  <c r="BQ680" i="48"/>
  <c r="BQ679" i="48"/>
  <c r="BQ678" i="48"/>
  <c r="BQ677" i="48"/>
  <c r="BQ676" i="48"/>
  <c r="BQ675" i="48"/>
  <c r="BQ674" i="48"/>
  <c r="BM697" i="48"/>
  <c r="BM696" i="48"/>
  <c r="BM695" i="48"/>
  <c r="BM694" i="48"/>
  <c r="BM693" i="48"/>
  <c r="BM692" i="48"/>
  <c r="BM691" i="48"/>
  <c r="BM690" i="48"/>
  <c r="BM689" i="48"/>
  <c r="BM688" i="48"/>
  <c r="BM687" i="48"/>
  <c r="BM686" i="48"/>
  <c r="BM685" i="48"/>
  <c r="BM684" i="48"/>
  <c r="BM683" i="48"/>
  <c r="BM682" i="48"/>
  <c r="BM681" i="48"/>
  <c r="BM680" i="48"/>
  <c r="BM679" i="48"/>
  <c r="BM678" i="48"/>
  <c r="BM677" i="48"/>
  <c r="BM676" i="48"/>
  <c r="BM675" i="48"/>
  <c r="BM674" i="48"/>
  <c r="BI697" i="48"/>
  <c r="BI696" i="48"/>
  <c r="BI695" i="48"/>
  <c r="BI694" i="48"/>
  <c r="BI693" i="48"/>
  <c r="BI692" i="48"/>
  <c r="BI691" i="48"/>
  <c r="BI690" i="48"/>
  <c r="BI689" i="48"/>
  <c r="BI688" i="48"/>
  <c r="BI687" i="48"/>
  <c r="BI686" i="48"/>
  <c r="BI685" i="48"/>
  <c r="BI684" i="48"/>
  <c r="BI683" i="48"/>
  <c r="BI682" i="48"/>
  <c r="BI681" i="48"/>
  <c r="BI680" i="48"/>
  <c r="BI679" i="48"/>
  <c r="BI678" i="48"/>
  <c r="BI677" i="48"/>
  <c r="BI676" i="48"/>
  <c r="BI675" i="48"/>
  <c r="BI674" i="48"/>
  <c r="BI673" i="48"/>
  <c r="BI672" i="48"/>
  <c r="BI671" i="48"/>
  <c r="BI670" i="48"/>
  <c r="BI669" i="48"/>
  <c r="BI668" i="48"/>
  <c r="BI667" i="48"/>
  <c r="BI666" i="48"/>
  <c r="BI665" i="48"/>
  <c r="BI664" i="48"/>
  <c r="BI663" i="48"/>
  <c r="BI662" i="48"/>
  <c r="BI661" i="48"/>
  <c r="BI660" i="48"/>
  <c r="BI659" i="48"/>
  <c r="BI658" i="48"/>
  <c r="BI657" i="48"/>
  <c r="BI656" i="48"/>
  <c r="BI655" i="48"/>
  <c r="BI654" i="48"/>
  <c r="BI653" i="48"/>
  <c r="BI652" i="48"/>
  <c r="BI651" i="48"/>
  <c r="BI650" i="48"/>
  <c r="BM673" i="48"/>
  <c r="BM672" i="48"/>
  <c r="BM671" i="48"/>
  <c r="BM670" i="48"/>
  <c r="BM669" i="48"/>
  <c r="BM668" i="48"/>
  <c r="BM667" i="48"/>
  <c r="BM666" i="48"/>
  <c r="BM665" i="48"/>
  <c r="BM664" i="48"/>
  <c r="BM663" i="48"/>
  <c r="BM662" i="48"/>
  <c r="BM661" i="48"/>
  <c r="BM660" i="48"/>
  <c r="BM659" i="48"/>
  <c r="BM658" i="48"/>
  <c r="BM657" i="48"/>
  <c r="BM654" i="48"/>
  <c r="BM653" i="48"/>
  <c r="BM652" i="48"/>
  <c r="BM651" i="48"/>
  <c r="BM650" i="48"/>
  <c r="BQ673" i="48"/>
  <c r="BQ672" i="48"/>
  <c r="BQ671" i="48"/>
  <c r="BQ670" i="48"/>
  <c r="BQ669" i="48"/>
  <c r="BQ668" i="48"/>
  <c r="BQ667" i="48"/>
  <c r="BQ666" i="48"/>
  <c r="BQ665" i="48"/>
  <c r="BQ664" i="48"/>
  <c r="BQ663" i="48"/>
  <c r="BQ662" i="48"/>
  <c r="BQ661" i="48"/>
  <c r="BQ660" i="48"/>
  <c r="BQ659" i="48"/>
  <c r="BQ658" i="48"/>
  <c r="BQ657" i="48"/>
  <c r="BQ656" i="48"/>
  <c r="BQ655" i="48"/>
  <c r="BQ654" i="48"/>
  <c r="BQ653" i="48"/>
  <c r="BQ652" i="48"/>
  <c r="BQ651" i="48"/>
  <c r="BQ650" i="48"/>
  <c r="BU673" i="48"/>
  <c r="BU672" i="48"/>
  <c r="BU671" i="48"/>
  <c r="BU670" i="48"/>
  <c r="BU669" i="48"/>
  <c r="BU668" i="48"/>
  <c r="BU667" i="48"/>
  <c r="BU666" i="48"/>
  <c r="BU665" i="48"/>
  <c r="BU664" i="48"/>
  <c r="BU663" i="48"/>
  <c r="BU662" i="48"/>
  <c r="BU661" i="48"/>
  <c r="BU660" i="48"/>
  <c r="BU659" i="48"/>
  <c r="BU658" i="48"/>
  <c r="BU657" i="48"/>
  <c r="BU656" i="48"/>
  <c r="BU655" i="48"/>
  <c r="BU654" i="48"/>
  <c r="BU653" i="48"/>
  <c r="BU652" i="48"/>
  <c r="BU651" i="48"/>
  <c r="BU650" i="48"/>
  <c r="BY673" i="48"/>
  <c r="BY672" i="48"/>
  <c r="BY671" i="48"/>
  <c r="BY670" i="48"/>
  <c r="BY669" i="48"/>
  <c r="BY668" i="48"/>
  <c r="BY667" i="48"/>
  <c r="BY666" i="48"/>
  <c r="BY665" i="48"/>
  <c r="BY664" i="48"/>
  <c r="BY663" i="48"/>
  <c r="BY662" i="48"/>
  <c r="BY661" i="48"/>
  <c r="BY660" i="48"/>
  <c r="BY659" i="48"/>
  <c r="BY658" i="48"/>
  <c r="BY657" i="48"/>
  <c r="BY656" i="48"/>
  <c r="BY655" i="48"/>
  <c r="BY654" i="48"/>
  <c r="BY653" i="48"/>
  <c r="BY652" i="48"/>
  <c r="BY651" i="48"/>
  <c r="BY650" i="48"/>
  <c r="CC673" i="48"/>
  <c r="CC672" i="48"/>
  <c r="CC671" i="48"/>
  <c r="CC670" i="48"/>
  <c r="CC669" i="48"/>
  <c r="CC668" i="48"/>
  <c r="CC667" i="48"/>
  <c r="CC666" i="48"/>
  <c r="CC665" i="48"/>
  <c r="CC664" i="48"/>
  <c r="CC663" i="48"/>
  <c r="CC662" i="48"/>
  <c r="CC661" i="48"/>
  <c r="CC660" i="48"/>
  <c r="CC659" i="48"/>
  <c r="CC658" i="48"/>
  <c r="CC657" i="48"/>
  <c r="CC656" i="48"/>
  <c r="CC655" i="48"/>
  <c r="CC654" i="48"/>
  <c r="CC653" i="48"/>
  <c r="CC652" i="48"/>
  <c r="CC651" i="48"/>
  <c r="CC650" i="48"/>
  <c r="CG673" i="48"/>
  <c r="CG672" i="48"/>
  <c r="CG671" i="48"/>
  <c r="CG670" i="48"/>
  <c r="CG669" i="48"/>
  <c r="CG668" i="48"/>
  <c r="CG667" i="48"/>
  <c r="CG666" i="48"/>
  <c r="CG665" i="48"/>
  <c r="CG664" i="48"/>
  <c r="CG663" i="48"/>
  <c r="CG662" i="48"/>
  <c r="CG661" i="48"/>
  <c r="CG660" i="48"/>
  <c r="CG659" i="48"/>
  <c r="CG658" i="48"/>
  <c r="CG657" i="48"/>
  <c r="CG656" i="48"/>
  <c r="CG655" i="48"/>
  <c r="CG654" i="48"/>
  <c r="CG653" i="48"/>
  <c r="CG652" i="48"/>
  <c r="CG651" i="48"/>
  <c r="CG650" i="48"/>
  <c r="CK673" i="48"/>
  <c r="CK672" i="48"/>
  <c r="CK671" i="48"/>
  <c r="CK670" i="48"/>
  <c r="CK669" i="48"/>
  <c r="CK668" i="48"/>
  <c r="CK667" i="48"/>
  <c r="CK666" i="48"/>
  <c r="CK665" i="48"/>
  <c r="CK664" i="48"/>
  <c r="CK663" i="48"/>
  <c r="CK662" i="48"/>
  <c r="CK661" i="48"/>
  <c r="CK660" i="48"/>
  <c r="CK659" i="48"/>
  <c r="CK658" i="48"/>
  <c r="CK657" i="48"/>
  <c r="CK656" i="48"/>
  <c r="CK655" i="48"/>
  <c r="CK654" i="48"/>
  <c r="CK653" i="48"/>
  <c r="CK652" i="48"/>
  <c r="CK651" i="48"/>
  <c r="CK650" i="48"/>
  <c r="CO673" i="48"/>
  <c r="CO672" i="48"/>
  <c r="CO671" i="48"/>
  <c r="CO670" i="48"/>
  <c r="CO669" i="48"/>
  <c r="CO668" i="48"/>
  <c r="CO667" i="48"/>
  <c r="CO666" i="48"/>
  <c r="CO665" i="48"/>
  <c r="CO664" i="48"/>
  <c r="CO663" i="48"/>
  <c r="CO662" i="48"/>
  <c r="CO661" i="48"/>
  <c r="CO660" i="48"/>
  <c r="CO659" i="48"/>
  <c r="CO658" i="48"/>
  <c r="CO657" i="48"/>
  <c r="CO656" i="48"/>
  <c r="CO655" i="48"/>
  <c r="CO654" i="48"/>
  <c r="CO653" i="48"/>
  <c r="CO652" i="48"/>
  <c r="CO651" i="48"/>
  <c r="CO650" i="48"/>
  <c r="CS673" i="48"/>
  <c r="CS672" i="48"/>
  <c r="CS671" i="48"/>
  <c r="CS670" i="48"/>
  <c r="CS669" i="48"/>
  <c r="CS668" i="48"/>
  <c r="CS667" i="48"/>
  <c r="CS666" i="48"/>
  <c r="CS665" i="48"/>
  <c r="CS664" i="48"/>
  <c r="CS663" i="48"/>
  <c r="CS662" i="48"/>
  <c r="CS661" i="48"/>
  <c r="CS660" i="48"/>
  <c r="CS659" i="48"/>
  <c r="CS658" i="48"/>
  <c r="CS657" i="48"/>
  <c r="CS656" i="48"/>
  <c r="CS655" i="48"/>
  <c r="CS654" i="48"/>
  <c r="CS653" i="48"/>
  <c r="CS652" i="48"/>
  <c r="CS651" i="48"/>
  <c r="CS650" i="48"/>
  <c r="CW673" i="48"/>
  <c r="CW672" i="48"/>
  <c r="CW671" i="48"/>
  <c r="CW670" i="48"/>
  <c r="CW669" i="48"/>
  <c r="CW668" i="48"/>
  <c r="CW667" i="48"/>
  <c r="CW666" i="48"/>
  <c r="CW665" i="48"/>
  <c r="CW664" i="48"/>
  <c r="CW663" i="48"/>
  <c r="CW662" i="48"/>
  <c r="CW661" i="48"/>
  <c r="CW660" i="48"/>
  <c r="CW659" i="48"/>
  <c r="CW658" i="48"/>
  <c r="CW657" i="48"/>
  <c r="CW656" i="48"/>
  <c r="CW655" i="48"/>
  <c r="CW654" i="48"/>
  <c r="CW653" i="48"/>
  <c r="CW652" i="48"/>
  <c r="CW651" i="48"/>
  <c r="CW650" i="48"/>
  <c r="DA673" i="48"/>
  <c r="DA672" i="48"/>
  <c r="DA671" i="48"/>
  <c r="DA670" i="48"/>
  <c r="DA669" i="48"/>
  <c r="DA668" i="48"/>
  <c r="DA667" i="48"/>
  <c r="DA666" i="48"/>
  <c r="DA665" i="48"/>
  <c r="DA664" i="48"/>
  <c r="DA663" i="48"/>
  <c r="DA662" i="48"/>
  <c r="DA661" i="48"/>
  <c r="DA660" i="48"/>
  <c r="DA659" i="48"/>
  <c r="DA658" i="48"/>
  <c r="DA657" i="48"/>
  <c r="DA656" i="48"/>
  <c r="DA655" i="48"/>
  <c r="DA654" i="48"/>
  <c r="DA653" i="48"/>
  <c r="DA652" i="48"/>
  <c r="DA651" i="48"/>
  <c r="DA650" i="48"/>
  <c r="DA649" i="48"/>
  <c r="DA648" i="48"/>
  <c r="DA647" i="48"/>
  <c r="DA646" i="48"/>
  <c r="DA645" i="48"/>
  <c r="DA644" i="48"/>
  <c r="DA643" i="48"/>
  <c r="DA642" i="48"/>
  <c r="DA641" i="48"/>
  <c r="DA640" i="48"/>
  <c r="DA639" i="48"/>
  <c r="DA638" i="48"/>
  <c r="DA637" i="48"/>
  <c r="DA636" i="48"/>
  <c r="DA635" i="48"/>
  <c r="DA634" i="48"/>
  <c r="DA633" i="48"/>
  <c r="DA632" i="48"/>
  <c r="DA631" i="48"/>
  <c r="DA630" i="48"/>
  <c r="DA629" i="48"/>
  <c r="DA628" i="48"/>
  <c r="DA627" i="48"/>
  <c r="DA626" i="48"/>
  <c r="CW649" i="48"/>
  <c r="CW648" i="48"/>
  <c r="CW647" i="48"/>
  <c r="CW646" i="48"/>
  <c r="CW645" i="48"/>
  <c r="CW644" i="48"/>
  <c r="CW643" i="48"/>
  <c r="CW642" i="48"/>
  <c r="CW641" i="48"/>
  <c r="CW640" i="48"/>
  <c r="CW639" i="48"/>
  <c r="CW638" i="48"/>
  <c r="CW637" i="48"/>
  <c r="CW636" i="48"/>
  <c r="CW635" i="48"/>
  <c r="CW634" i="48"/>
  <c r="CW633" i="48"/>
  <c r="CW632" i="48"/>
  <c r="CW631" i="48"/>
  <c r="CW630" i="48"/>
  <c r="CW629" i="48"/>
  <c r="CW628" i="48"/>
  <c r="CW627" i="48"/>
  <c r="CW626" i="48"/>
  <c r="CS649" i="48"/>
  <c r="CS648" i="48"/>
  <c r="CS647" i="48"/>
  <c r="CS646" i="48"/>
  <c r="CS645" i="48"/>
  <c r="CS644" i="48"/>
  <c r="CS643" i="48"/>
  <c r="CS642" i="48"/>
  <c r="CS641" i="48"/>
  <c r="CS640" i="48"/>
  <c r="CS639" i="48"/>
  <c r="CS638" i="48"/>
  <c r="CS637" i="48"/>
  <c r="CS636" i="48"/>
  <c r="CS635" i="48"/>
  <c r="CS634" i="48"/>
  <c r="CS633" i="48"/>
  <c r="CS632" i="48"/>
  <c r="CS631" i="48"/>
  <c r="CS630" i="48"/>
  <c r="CS629" i="48"/>
  <c r="CS628" i="48"/>
  <c r="CS627" i="48"/>
  <c r="CS626" i="48"/>
  <c r="CO649" i="48"/>
  <c r="CO648" i="48"/>
  <c r="CO647" i="48"/>
  <c r="CO646" i="48"/>
  <c r="CO645" i="48"/>
  <c r="CO644" i="48"/>
  <c r="CO643" i="48"/>
  <c r="CO642" i="48"/>
  <c r="CO641" i="48"/>
  <c r="CO640" i="48"/>
  <c r="CO639" i="48"/>
  <c r="CO638" i="48"/>
  <c r="CO637" i="48"/>
  <c r="CO636" i="48"/>
  <c r="CO635" i="48"/>
  <c r="CO634" i="48"/>
  <c r="CO633" i="48"/>
  <c r="CO632" i="48"/>
  <c r="CO631" i="48"/>
  <c r="CO630" i="48"/>
  <c r="CO629" i="48"/>
  <c r="CO628" i="48"/>
  <c r="CO627" i="48"/>
  <c r="CO626" i="48"/>
  <c r="CK649" i="48"/>
  <c r="CK648" i="48"/>
  <c r="CK647" i="48"/>
  <c r="CK646" i="48"/>
  <c r="CK645" i="48"/>
  <c r="CK644" i="48"/>
  <c r="CK643" i="48"/>
  <c r="CK642" i="48"/>
  <c r="CK641" i="48"/>
  <c r="CK640" i="48"/>
  <c r="CK639" i="48"/>
  <c r="CK638" i="48"/>
  <c r="CK637" i="48"/>
  <c r="CK636" i="48"/>
  <c r="CK635" i="48"/>
  <c r="CK634" i="48"/>
  <c r="CK633" i="48"/>
  <c r="CK632" i="48"/>
  <c r="CK631" i="48"/>
  <c r="CK630" i="48"/>
  <c r="CK629" i="48"/>
  <c r="CK628" i="48"/>
  <c r="CK627" i="48"/>
  <c r="CK626" i="48"/>
  <c r="CG649" i="48"/>
  <c r="CG648" i="48"/>
  <c r="CG647" i="48"/>
  <c r="CG646" i="48"/>
  <c r="CG645" i="48"/>
  <c r="CG644" i="48"/>
  <c r="CG643" i="48"/>
  <c r="CG642" i="48"/>
  <c r="CG641" i="48"/>
  <c r="CG640" i="48"/>
  <c r="CG639" i="48"/>
  <c r="CG638" i="48"/>
  <c r="CG637" i="48"/>
  <c r="CG636" i="48"/>
  <c r="CG635" i="48"/>
  <c r="CG634" i="48"/>
  <c r="CG633" i="48"/>
  <c r="CG632" i="48"/>
  <c r="CG631" i="48"/>
  <c r="CG630" i="48"/>
  <c r="CG629" i="48"/>
  <c r="CG628" i="48"/>
  <c r="CG627" i="48"/>
  <c r="CG626" i="48"/>
  <c r="CC649" i="48"/>
  <c r="CC648" i="48"/>
  <c r="CC647" i="48"/>
  <c r="CC646" i="48"/>
  <c r="CC645" i="48"/>
  <c r="CC644" i="48"/>
  <c r="CC643" i="48"/>
  <c r="CC642" i="48"/>
  <c r="CC641" i="48"/>
  <c r="CC640" i="48"/>
  <c r="CC639" i="48"/>
  <c r="CC638" i="48"/>
  <c r="CC637" i="48"/>
  <c r="CC636" i="48"/>
  <c r="CC635" i="48"/>
  <c r="CC634" i="48"/>
  <c r="CC633" i="48"/>
  <c r="CC632" i="48"/>
  <c r="CC631" i="48"/>
  <c r="CC630" i="48"/>
  <c r="CC629" i="48"/>
  <c r="CC628" i="48"/>
  <c r="CC627" i="48"/>
  <c r="CC626" i="48"/>
  <c r="BY649" i="48"/>
  <c r="BY648" i="48"/>
  <c r="BY647" i="48"/>
  <c r="BY646" i="48"/>
  <c r="BY645" i="48"/>
  <c r="BY644" i="48"/>
  <c r="BY643" i="48"/>
  <c r="BY642" i="48"/>
  <c r="BY641" i="48"/>
  <c r="BY640" i="48"/>
  <c r="BY639" i="48"/>
  <c r="BY638" i="48"/>
  <c r="BY637" i="48"/>
  <c r="BY636" i="48"/>
  <c r="BY635" i="48"/>
  <c r="BY634" i="48"/>
  <c r="BY633" i="48"/>
  <c r="BY632" i="48"/>
  <c r="BY631" i="48"/>
  <c r="BY630" i="48"/>
  <c r="BY629" i="48"/>
  <c r="BY628" i="48"/>
  <c r="BY627" i="48"/>
  <c r="BY626" i="48"/>
  <c r="BU649" i="48"/>
  <c r="BU648" i="48"/>
  <c r="BU647" i="48"/>
  <c r="BU646" i="48"/>
  <c r="BU645" i="48"/>
  <c r="BU644" i="48"/>
  <c r="BU643" i="48"/>
  <c r="BU642" i="48"/>
  <c r="BU641" i="48"/>
  <c r="BU640" i="48"/>
  <c r="BU639" i="48"/>
  <c r="BU638" i="48"/>
  <c r="BU637" i="48"/>
  <c r="BU636" i="48"/>
  <c r="BU635" i="48"/>
  <c r="BU634" i="48"/>
  <c r="BU633" i="48"/>
  <c r="BU632" i="48"/>
  <c r="BU631" i="48"/>
  <c r="BU630" i="48"/>
  <c r="BU629" i="48"/>
  <c r="BU628" i="48"/>
  <c r="BU627" i="48"/>
  <c r="BU626" i="48"/>
  <c r="BQ649" i="48"/>
  <c r="BQ648" i="48"/>
  <c r="BQ647" i="48"/>
  <c r="BQ646" i="48"/>
  <c r="BQ645" i="48"/>
  <c r="BQ644" i="48"/>
  <c r="BQ643" i="48"/>
  <c r="BQ642" i="48"/>
  <c r="BQ641" i="48"/>
  <c r="BQ640" i="48"/>
  <c r="BQ639" i="48"/>
  <c r="BQ638" i="48"/>
  <c r="BQ637" i="48"/>
  <c r="BQ636" i="48"/>
  <c r="BQ635" i="48"/>
  <c r="BQ634" i="48"/>
  <c r="BQ633" i="48"/>
  <c r="BQ632" i="48"/>
  <c r="BQ631" i="48"/>
  <c r="BQ630" i="48"/>
  <c r="BQ629" i="48"/>
  <c r="BQ628" i="48"/>
  <c r="BQ627" i="48"/>
  <c r="BQ626" i="48"/>
  <c r="BM649" i="48"/>
  <c r="BM648" i="48"/>
  <c r="BM647" i="48"/>
  <c r="BM646" i="48"/>
  <c r="BM645" i="48"/>
  <c r="BM644" i="48"/>
  <c r="BM643" i="48"/>
  <c r="BM642" i="48"/>
  <c r="BM641" i="48"/>
  <c r="BM640" i="48"/>
  <c r="BM639" i="48"/>
  <c r="BM638" i="48"/>
  <c r="BM637" i="48"/>
  <c r="BM636" i="48"/>
  <c r="BM635" i="48"/>
  <c r="BM634" i="48"/>
  <c r="BM633" i="48"/>
  <c r="BM632" i="48"/>
  <c r="BM631" i="48"/>
  <c r="BM630" i="48"/>
  <c r="BM629" i="48"/>
  <c r="BM628" i="48"/>
  <c r="BM627" i="48"/>
  <c r="BM626" i="48"/>
  <c r="BI649" i="48"/>
  <c r="BI648" i="48"/>
  <c r="BI647" i="48"/>
  <c r="BI646" i="48"/>
  <c r="BI645" i="48"/>
  <c r="BI644" i="48"/>
  <c r="BI643" i="48"/>
  <c r="BI642" i="48"/>
  <c r="BI641" i="48"/>
  <c r="BI640" i="48"/>
  <c r="BI639" i="48"/>
  <c r="BI638" i="48"/>
  <c r="BI637" i="48"/>
  <c r="BI636" i="48"/>
  <c r="BI635" i="48"/>
  <c r="BI634" i="48"/>
  <c r="BI633" i="48"/>
  <c r="BI632" i="48"/>
  <c r="BI631" i="48"/>
  <c r="BI630" i="48"/>
  <c r="BI629" i="48"/>
  <c r="BI628" i="48"/>
  <c r="BI627" i="48"/>
  <c r="BI626" i="48"/>
  <c r="BI625" i="48"/>
  <c r="BI624" i="48"/>
  <c r="BI623" i="48"/>
  <c r="BI622" i="48"/>
  <c r="BI621" i="48"/>
  <c r="BI620" i="48"/>
  <c r="BI619" i="48"/>
  <c r="BI618" i="48"/>
  <c r="BI617" i="48"/>
  <c r="BI616" i="48"/>
  <c r="BI615" i="48"/>
  <c r="BI614" i="48"/>
  <c r="BI613" i="48"/>
  <c r="BI612" i="48"/>
  <c r="BI611" i="48"/>
  <c r="BI610" i="48"/>
  <c r="BI609" i="48"/>
  <c r="BI608" i="48"/>
  <c r="BI607" i="48"/>
  <c r="BI606" i="48"/>
  <c r="BI605" i="48"/>
  <c r="BI604" i="48"/>
  <c r="BI603" i="48"/>
  <c r="BI602" i="48"/>
  <c r="BM625" i="48"/>
  <c r="BM624" i="48"/>
  <c r="BM623" i="48"/>
  <c r="BM622" i="48"/>
  <c r="BM621" i="48"/>
  <c r="BM620" i="48"/>
  <c r="BM619" i="48"/>
  <c r="BM618" i="48"/>
  <c r="BM617" i="48"/>
  <c r="BM616" i="48"/>
  <c r="BM615" i="48"/>
  <c r="BM613" i="48"/>
  <c r="BM612" i="48"/>
  <c r="BM611" i="48"/>
  <c r="BM610" i="48"/>
  <c r="BM609" i="48"/>
  <c r="BM608" i="48"/>
  <c r="BM607" i="48"/>
  <c r="BM606" i="48"/>
  <c r="BM605" i="48"/>
  <c r="BM604" i="48"/>
  <c r="BM603" i="48"/>
  <c r="BM602" i="48"/>
  <c r="BQ625" i="48"/>
  <c r="BQ624" i="48"/>
  <c r="BQ623" i="48"/>
  <c r="BQ622" i="48"/>
  <c r="BQ621" i="48"/>
  <c r="BQ620" i="48"/>
  <c r="BQ619" i="48"/>
  <c r="BQ618" i="48"/>
  <c r="BQ617" i="48"/>
  <c r="BQ616" i="48"/>
  <c r="BQ615" i="48"/>
  <c r="BQ614" i="48"/>
  <c r="BQ613" i="48"/>
  <c r="BQ612" i="48"/>
  <c r="BQ611" i="48"/>
  <c r="BQ610" i="48"/>
  <c r="BQ609" i="48"/>
  <c r="BQ608" i="48"/>
  <c r="BQ607" i="48"/>
  <c r="BQ606" i="48"/>
  <c r="BQ605" i="48"/>
  <c r="BQ604" i="48"/>
  <c r="BQ603" i="48"/>
  <c r="BQ602" i="48"/>
  <c r="BU625" i="48"/>
  <c r="BU624" i="48"/>
  <c r="BU623" i="48"/>
  <c r="BU622" i="48"/>
  <c r="BU621" i="48"/>
  <c r="BU620" i="48"/>
  <c r="BU619" i="48"/>
  <c r="BU618" i="48"/>
  <c r="BU617" i="48"/>
  <c r="BU616" i="48"/>
  <c r="BU615" i="48"/>
  <c r="BU614" i="48"/>
  <c r="BU613" i="48"/>
  <c r="BU612" i="48"/>
  <c r="BU611" i="48"/>
  <c r="BU610" i="48"/>
  <c r="BU609" i="48"/>
  <c r="BU608" i="48"/>
  <c r="BU607" i="48"/>
  <c r="BU606" i="48"/>
  <c r="BU605" i="48"/>
  <c r="BU604" i="48"/>
  <c r="BU603" i="48"/>
  <c r="BU602" i="48"/>
  <c r="BY625" i="48"/>
  <c r="BY624" i="48"/>
  <c r="BY623" i="48"/>
  <c r="BY622" i="48"/>
  <c r="BY621" i="48"/>
  <c r="BY620" i="48"/>
  <c r="BY619" i="48"/>
  <c r="BY618" i="48"/>
  <c r="BY617" i="48"/>
  <c r="BY616" i="48"/>
  <c r="BY615" i="48"/>
  <c r="BY614" i="48"/>
  <c r="BY613" i="48"/>
  <c r="BY612" i="48"/>
  <c r="BY611" i="48"/>
  <c r="BY610" i="48"/>
  <c r="BY609" i="48"/>
  <c r="BY608" i="48"/>
  <c r="BY607" i="48"/>
  <c r="BY606" i="48"/>
  <c r="BY605" i="48"/>
  <c r="BY604" i="48"/>
  <c r="BY603" i="48"/>
  <c r="BY602" i="48"/>
  <c r="CC625" i="48"/>
  <c r="CC624" i="48"/>
  <c r="CC623" i="48"/>
  <c r="CC622" i="48"/>
  <c r="CC621" i="48"/>
  <c r="CC620" i="48"/>
  <c r="CC619" i="48"/>
  <c r="CC618" i="48"/>
  <c r="CC617" i="48"/>
  <c r="CC616" i="48"/>
  <c r="CC615" i="48"/>
  <c r="CC614" i="48"/>
  <c r="CC613" i="48"/>
  <c r="CC612" i="48"/>
  <c r="CC611" i="48"/>
  <c r="CC610" i="48"/>
  <c r="CC609" i="48"/>
  <c r="CC608" i="48"/>
  <c r="CC607" i="48"/>
  <c r="CC606" i="48"/>
  <c r="CC605" i="48"/>
  <c r="CC604" i="48"/>
  <c r="CC603" i="48"/>
  <c r="CC602" i="48"/>
  <c r="CG625" i="48"/>
  <c r="CG624" i="48"/>
  <c r="CG623" i="48"/>
  <c r="CG622" i="48"/>
  <c r="CG621" i="48"/>
  <c r="CG620" i="48"/>
  <c r="CG619" i="48"/>
  <c r="CG618" i="48"/>
  <c r="CG617" i="48"/>
  <c r="CG616" i="48"/>
  <c r="CG615" i="48"/>
  <c r="CG614" i="48"/>
  <c r="CG613" i="48"/>
  <c r="CG612" i="48"/>
  <c r="CG611" i="48"/>
  <c r="CG610" i="48"/>
  <c r="CG609" i="48"/>
  <c r="CG608" i="48"/>
  <c r="CG607" i="48"/>
  <c r="CG606" i="48"/>
  <c r="CG605" i="48"/>
  <c r="CG604" i="48"/>
  <c r="CG603" i="48"/>
  <c r="CG602" i="48"/>
  <c r="CK625" i="48"/>
  <c r="CK624" i="48"/>
  <c r="CK623" i="48"/>
  <c r="CK622" i="48"/>
  <c r="CK621" i="48"/>
  <c r="CK620" i="48"/>
  <c r="CK619" i="48"/>
  <c r="CK618" i="48"/>
  <c r="CK617" i="48"/>
  <c r="CK616" i="48"/>
  <c r="CK615" i="48"/>
  <c r="CK614" i="48"/>
  <c r="CK613" i="48"/>
  <c r="CK612" i="48"/>
  <c r="CK611" i="48"/>
  <c r="CK610" i="48"/>
  <c r="CK609" i="48"/>
  <c r="CK608" i="48"/>
  <c r="CK607" i="48"/>
  <c r="CK606" i="48"/>
  <c r="CK605" i="48"/>
  <c r="CK604" i="48"/>
  <c r="CK603" i="48"/>
  <c r="CK602" i="48"/>
  <c r="CO625" i="48"/>
  <c r="CO624" i="48"/>
  <c r="CO623" i="48"/>
  <c r="CO622" i="48"/>
  <c r="CO621" i="48"/>
  <c r="CO620" i="48"/>
  <c r="CO619" i="48"/>
  <c r="CO618" i="48"/>
  <c r="CO617" i="48"/>
  <c r="CO616" i="48"/>
  <c r="CO615" i="48"/>
  <c r="CO614" i="48"/>
  <c r="CO613" i="48"/>
  <c r="CO612" i="48"/>
  <c r="CO611" i="48"/>
  <c r="CO610" i="48"/>
  <c r="CO609" i="48"/>
  <c r="CO608" i="48"/>
  <c r="CO607" i="48"/>
  <c r="CO606" i="48"/>
  <c r="CO605" i="48"/>
  <c r="CO604" i="48"/>
  <c r="CO603" i="48"/>
  <c r="CO602" i="48"/>
  <c r="CS625" i="48"/>
  <c r="CS624" i="48"/>
  <c r="CS623" i="48"/>
  <c r="CS622" i="48"/>
  <c r="CS621" i="48"/>
  <c r="CS620" i="48"/>
  <c r="CS619" i="48"/>
  <c r="CS618" i="48"/>
  <c r="CS617" i="48"/>
  <c r="CS616" i="48"/>
  <c r="CS615" i="48"/>
  <c r="CS614" i="48"/>
  <c r="CS613" i="48"/>
  <c r="CS612" i="48"/>
  <c r="CS611" i="48"/>
  <c r="CS610" i="48"/>
  <c r="CS609" i="48"/>
  <c r="CS608" i="48"/>
  <c r="CS607" i="48"/>
  <c r="CS606" i="48"/>
  <c r="CS605" i="48"/>
  <c r="CS604" i="48"/>
  <c r="CS603" i="48"/>
  <c r="CS602" i="48"/>
  <c r="CW625" i="48"/>
  <c r="CW624" i="48"/>
  <c r="CW623" i="48"/>
  <c r="CW622" i="48"/>
  <c r="CW621" i="48"/>
  <c r="CW620" i="48"/>
  <c r="CW619" i="48"/>
  <c r="CW618" i="48"/>
  <c r="CW617" i="48"/>
  <c r="CW616" i="48"/>
  <c r="CW615" i="48"/>
  <c r="CW614" i="48"/>
  <c r="CW613" i="48"/>
  <c r="CW612" i="48"/>
  <c r="CW611" i="48"/>
  <c r="CW610" i="48"/>
  <c r="CW609" i="48"/>
  <c r="CW608" i="48"/>
  <c r="CW607" i="48"/>
  <c r="CW606" i="48"/>
  <c r="CW605" i="48"/>
  <c r="CW604" i="48"/>
  <c r="CW603" i="48"/>
  <c r="CW602" i="48"/>
  <c r="DA625" i="48"/>
  <c r="DA624" i="48"/>
  <c r="DA623" i="48"/>
  <c r="DA622" i="48"/>
  <c r="DA621" i="48"/>
  <c r="DA620" i="48"/>
  <c r="DA619" i="48"/>
  <c r="DA618" i="48"/>
  <c r="DA617" i="48"/>
  <c r="DA616" i="48"/>
  <c r="DA615" i="48"/>
  <c r="DA614" i="48"/>
  <c r="DA613" i="48"/>
  <c r="DA612" i="48"/>
  <c r="DA611" i="48"/>
  <c r="DA610" i="48"/>
  <c r="DA609" i="48"/>
  <c r="DA608" i="48"/>
  <c r="DA607" i="48"/>
  <c r="DA606" i="48"/>
  <c r="DA605" i="48"/>
  <c r="DA604" i="48"/>
  <c r="DA603" i="48"/>
  <c r="DA602" i="48"/>
  <c r="DA601" i="48"/>
  <c r="DA600" i="48"/>
  <c r="DA599" i="48"/>
  <c r="DA598" i="48"/>
  <c r="DA597" i="48"/>
  <c r="DA596" i="48"/>
  <c r="DA595" i="48"/>
  <c r="DA594" i="48"/>
  <c r="DA593" i="48"/>
  <c r="DA592" i="48"/>
  <c r="DA591" i="48"/>
  <c r="DA590" i="48"/>
  <c r="DA589" i="48"/>
  <c r="DA588" i="48"/>
  <c r="DA587" i="48"/>
  <c r="DA586" i="48"/>
  <c r="DA585" i="48"/>
  <c r="DA584" i="48"/>
  <c r="DA583" i="48"/>
  <c r="DA582" i="48"/>
  <c r="DA581" i="48"/>
  <c r="DA580" i="48"/>
  <c r="DA579" i="48"/>
  <c r="DA578" i="48"/>
  <c r="CW601" i="48"/>
  <c r="CW600" i="48"/>
  <c r="CW599" i="48"/>
  <c r="CW598" i="48"/>
  <c r="CW597" i="48"/>
  <c r="CW596" i="48"/>
  <c r="CW595" i="48"/>
  <c r="CW594" i="48"/>
  <c r="CW593" i="48"/>
  <c r="CW592" i="48"/>
  <c r="CW591" i="48"/>
  <c r="CW590" i="48"/>
  <c r="CW589" i="48"/>
  <c r="CW588" i="48"/>
  <c r="CW587" i="48"/>
  <c r="CW586" i="48"/>
  <c r="CW585" i="48"/>
  <c r="CW584" i="48"/>
  <c r="CW583" i="48"/>
  <c r="CW582" i="48"/>
  <c r="CW581" i="48"/>
  <c r="CW580" i="48"/>
  <c r="CW579" i="48"/>
  <c r="CW578" i="48"/>
  <c r="CS601" i="48"/>
  <c r="CS600" i="48"/>
  <c r="CS599" i="48"/>
  <c r="CS598" i="48"/>
  <c r="CS597" i="48"/>
  <c r="CS596" i="48"/>
  <c r="CS595" i="48"/>
  <c r="CS594" i="48"/>
  <c r="CS593" i="48"/>
  <c r="CS592" i="48"/>
  <c r="CS591" i="48"/>
  <c r="CS590" i="48"/>
  <c r="CS589" i="48"/>
  <c r="CS588" i="48"/>
  <c r="CS587" i="48"/>
  <c r="CS586" i="48"/>
  <c r="CS585" i="48"/>
  <c r="CS584" i="48"/>
  <c r="CS583" i="48"/>
  <c r="CS582" i="48"/>
  <c r="CS581" i="48"/>
  <c r="CS580" i="48"/>
  <c r="CS579" i="48"/>
  <c r="CS578" i="48"/>
  <c r="CO601" i="48"/>
  <c r="CO600" i="48"/>
  <c r="CO599" i="48"/>
  <c r="CO598" i="48"/>
  <c r="CO597" i="48"/>
  <c r="CO596" i="48"/>
  <c r="CO595" i="48"/>
  <c r="CO594" i="48"/>
  <c r="CO593" i="48"/>
  <c r="CO592" i="48"/>
  <c r="CO591" i="48"/>
  <c r="CO590" i="48"/>
  <c r="CO589" i="48"/>
  <c r="CO588" i="48"/>
  <c r="CO587" i="48"/>
  <c r="CO586" i="48"/>
  <c r="CO585" i="48"/>
  <c r="CO584" i="48"/>
  <c r="CO583" i="48"/>
  <c r="CO582" i="48"/>
  <c r="CO581" i="48"/>
  <c r="CO580" i="48"/>
  <c r="CO579" i="48"/>
  <c r="CO578" i="48"/>
  <c r="CK601" i="48"/>
  <c r="CK600" i="48"/>
  <c r="CK599" i="48"/>
  <c r="CK598" i="48"/>
  <c r="CK597" i="48"/>
  <c r="CK596" i="48"/>
  <c r="CK595" i="48"/>
  <c r="CK594" i="48"/>
  <c r="CK593" i="48"/>
  <c r="CK592" i="48"/>
  <c r="CK591" i="48"/>
  <c r="CK590" i="48"/>
  <c r="CK589" i="48"/>
  <c r="CK588" i="48"/>
  <c r="CK587" i="48"/>
  <c r="CK586" i="48"/>
  <c r="CK585" i="48"/>
  <c r="CK584" i="48"/>
  <c r="CK583" i="48"/>
  <c r="CK582" i="48"/>
  <c r="CK581" i="48"/>
  <c r="CK580" i="48"/>
  <c r="CK579" i="48"/>
  <c r="CK578" i="48"/>
  <c r="CG601" i="48"/>
  <c r="CG600" i="48"/>
  <c r="CG599" i="48"/>
  <c r="CG598" i="48"/>
  <c r="CG597" i="48"/>
  <c r="CG596" i="48"/>
  <c r="CG595" i="48"/>
  <c r="CG594" i="48"/>
  <c r="CG593" i="48"/>
  <c r="CG592" i="48"/>
  <c r="CG591" i="48"/>
  <c r="CG590" i="48"/>
  <c r="CG589" i="48"/>
  <c r="CG588" i="48"/>
  <c r="CG587" i="48"/>
  <c r="CG586" i="48"/>
  <c r="CG585" i="48"/>
  <c r="CG584" i="48"/>
  <c r="CG583" i="48"/>
  <c r="CG582" i="48"/>
  <c r="CG581" i="48"/>
  <c r="CG580" i="48"/>
  <c r="CG579" i="48"/>
  <c r="CG578" i="48"/>
  <c r="CC601" i="48"/>
  <c r="CC600" i="48"/>
  <c r="CC599" i="48"/>
  <c r="CC598" i="48"/>
  <c r="CC597" i="48"/>
  <c r="CC596" i="48"/>
  <c r="CC595" i="48"/>
  <c r="CC594" i="48"/>
  <c r="CC593" i="48"/>
  <c r="CC592" i="48"/>
  <c r="CC591" i="48"/>
  <c r="CC590" i="48"/>
  <c r="CC589" i="48"/>
  <c r="CC588" i="48"/>
  <c r="CC587" i="48"/>
  <c r="CC586" i="48"/>
  <c r="CC585" i="48"/>
  <c r="CC584" i="48"/>
  <c r="CC583" i="48"/>
  <c r="CC582" i="48"/>
  <c r="CC581" i="48"/>
  <c r="CC580" i="48"/>
  <c r="CC579" i="48"/>
  <c r="CC578" i="48"/>
  <c r="BY601" i="48"/>
  <c r="BY600" i="48"/>
  <c r="BY599" i="48"/>
  <c r="BY598" i="48"/>
  <c r="BY597" i="48"/>
  <c r="BY596" i="48"/>
  <c r="BY595" i="48"/>
  <c r="BY594" i="48"/>
  <c r="BY593" i="48"/>
  <c r="BY592" i="48"/>
  <c r="BY591" i="48"/>
  <c r="BY590" i="48"/>
  <c r="BY589" i="48"/>
  <c r="BY588" i="48"/>
  <c r="BY587" i="48"/>
  <c r="BY586" i="48"/>
  <c r="BY585" i="48"/>
  <c r="BY584" i="48"/>
  <c r="BY583" i="48"/>
  <c r="BY582" i="48"/>
  <c r="BY581" i="48"/>
  <c r="BY580" i="48"/>
  <c r="BY579" i="48"/>
  <c r="BY578" i="48"/>
  <c r="BU601" i="48"/>
  <c r="BU600" i="48"/>
  <c r="BU599" i="48"/>
  <c r="BU598" i="48"/>
  <c r="BU597" i="48"/>
  <c r="BU596" i="48"/>
  <c r="BU595" i="48"/>
  <c r="BU594" i="48"/>
  <c r="BU593" i="48"/>
  <c r="BU592" i="48"/>
  <c r="BU591" i="48"/>
  <c r="BU590" i="48"/>
  <c r="BU589" i="48"/>
  <c r="BU588" i="48"/>
  <c r="BU587" i="48"/>
  <c r="BU586" i="48"/>
  <c r="BU585" i="48"/>
  <c r="BU584" i="48"/>
  <c r="BU583" i="48"/>
  <c r="BU582" i="48"/>
  <c r="BU581" i="48"/>
  <c r="BU580" i="48"/>
  <c r="BU579" i="48"/>
  <c r="BU578" i="48"/>
  <c r="BQ601" i="48"/>
  <c r="BQ600" i="48"/>
  <c r="BQ599" i="48"/>
  <c r="BQ598" i="48"/>
  <c r="BQ597" i="48"/>
  <c r="BQ596" i="48"/>
  <c r="BQ595" i="48"/>
  <c r="BQ594" i="48"/>
  <c r="BQ593" i="48"/>
  <c r="BQ592" i="48"/>
  <c r="BQ591" i="48"/>
  <c r="BQ590" i="48"/>
  <c r="BQ589" i="48"/>
  <c r="BQ588" i="48"/>
  <c r="BQ587" i="48"/>
  <c r="BQ586" i="48"/>
  <c r="BQ585" i="48"/>
  <c r="BQ584" i="48"/>
  <c r="BQ583" i="48"/>
  <c r="BQ582" i="48"/>
  <c r="BQ581" i="48"/>
  <c r="BQ580" i="48"/>
  <c r="BQ579" i="48"/>
  <c r="BQ578" i="48"/>
  <c r="BM601" i="48"/>
  <c r="BM600" i="48"/>
  <c r="BM599" i="48"/>
  <c r="BM598" i="48"/>
  <c r="BM597" i="48"/>
  <c r="BM596" i="48"/>
  <c r="BM595" i="48"/>
  <c r="BM594" i="48"/>
  <c r="BM593" i="48"/>
  <c r="BM592" i="48"/>
  <c r="BM591" i="48"/>
  <c r="BM590" i="48"/>
  <c r="BM589" i="48"/>
  <c r="BM588" i="48"/>
  <c r="BM587" i="48"/>
  <c r="BM586" i="48"/>
  <c r="BM585" i="48"/>
  <c r="BM584" i="48"/>
  <c r="BM583" i="48"/>
  <c r="BM582" i="48"/>
  <c r="BM581" i="48"/>
  <c r="BM580" i="48"/>
  <c r="BM579" i="48"/>
  <c r="BM578" i="48"/>
  <c r="BI601" i="48"/>
  <c r="BI600" i="48"/>
  <c r="BI599" i="48"/>
  <c r="BI598" i="48"/>
  <c r="BI597" i="48"/>
  <c r="BI596" i="48"/>
  <c r="BI595" i="48"/>
  <c r="BI594" i="48"/>
  <c r="BI593" i="48"/>
  <c r="BI592" i="48"/>
  <c r="BI591" i="48"/>
  <c r="BI590" i="48"/>
  <c r="BI589" i="48"/>
  <c r="BI588" i="48"/>
  <c r="BI587" i="48"/>
  <c r="BI586" i="48"/>
  <c r="BI585" i="48"/>
  <c r="BI584" i="48"/>
  <c r="BI583" i="48"/>
  <c r="BI582" i="48"/>
  <c r="BI581" i="48"/>
  <c r="BI580" i="48"/>
  <c r="BI579" i="48"/>
  <c r="BI578" i="48"/>
  <c r="BI577" i="48"/>
  <c r="BI576" i="48"/>
  <c r="BI575" i="48"/>
  <c r="BI574" i="48"/>
  <c r="BI573" i="48"/>
  <c r="BI572" i="48"/>
  <c r="BI571" i="48"/>
  <c r="BI570" i="48"/>
  <c r="BI569" i="48"/>
  <c r="BI568" i="48"/>
  <c r="BI567" i="48"/>
  <c r="BI566" i="48"/>
  <c r="BI565" i="48"/>
  <c r="BI564" i="48"/>
  <c r="BI563" i="48"/>
  <c r="BI562" i="48"/>
  <c r="BI561" i="48"/>
  <c r="BI560" i="48"/>
  <c r="BI559" i="48"/>
  <c r="BI558" i="48"/>
  <c r="BI557" i="48"/>
  <c r="BI556" i="48"/>
  <c r="BI555" i="48"/>
  <c r="BI554" i="48"/>
  <c r="BM577" i="48"/>
  <c r="BM576" i="48"/>
  <c r="BM575" i="48"/>
  <c r="BM574" i="48"/>
  <c r="BM573" i="48"/>
  <c r="BM572" i="48"/>
  <c r="BM571" i="48"/>
  <c r="BM570" i="48"/>
  <c r="BM569" i="48"/>
  <c r="BM568" i="48"/>
  <c r="BM567" i="48"/>
  <c r="BM566" i="48"/>
  <c r="BM565" i="48"/>
  <c r="BM564" i="48"/>
  <c r="BM563" i="48"/>
  <c r="BM562" i="48"/>
  <c r="BM561" i="48"/>
  <c r="BM560" i="48"/>
  <c r="BM559" i="48"/>
  <c r="BM558" i="48"/>
  <c r="BM557" i="48"/>
  <c r="BM556" i="48"/>
  <c r="BM555" i="48"/>
  <c r="BM554" i="48"/>
  <c r="BQ577" i="48"/>
  <c r="BQ576" i="48"/>
  <c r="BQ575" i="48"/>
  <c r="BQ574" i="48"/>
  <c r="BQ573" i="48"/>
  <c r="BQ572" i="48"/>
  <c r="BQ571" i="48"/>
  <c r="BQ570" i="48"/>
  <c r="BQ569" i="48"/>
  <c r="BQ568" i="48"/>
  <c r="BQ567" i="48"/>
  <c r="BQ566" i="48"/>
  <c r="BQ565" i="48"/>
  <c r="BQ564" i="48"/>
  <c r="BQ563" i="48"/>
  <c r="BQ562" i="48"/>
  <c r="BQ561" i="48"/>
  <c r="BQ560" i="48"/>
  <c r="BQ559" i="48"/>
  <c r="BQ558" i="48"/>
  <c r="BQ557" i="48"/>
  <c r="BQ556" i="48"/>
  <c r="BQ555" i="48"/>
  <c r="BQ554" i="48"/>
  <c r="BU577" i="48"/>
  <c r="BU576" i="48"/>
  <c r="BU575" i="48"/>
  <c r="BU574" i="48"/>
  <c r="BU573" i="48"/>
  <c r="BU572" i="48"/>
  <c r="BU571" i="48"/>
  <c r="BU570" i="48"/>
  <c r="BU569" i="48"/>
  <c r="BU568" i="48"/>
  <c r="BU567" i="48"/>
  <c r="BU566" i="48"/>
  <c r="BU565" i="48"/>
  <c r="BU564" i="48"/>
  <c r="BU563" i="48"/>
  <c r="BU562" i="48"/>
  <c r="BU561" i="48"/>
  <c r="BU560" i="48"/>
  <c r="BU559" i="48"/>
  <c r="BU558" i="48"/>
  <c r="BU557" i="48"/>
  <c r="BU556" i="48"/>
  <c r="BU555" i="48"/>
  <c r="BU554" i="48"/>
  <c r="BY577" i="48"/>
  <c r="BY576" i="48"/>
  <c r="BY575" i="48"/>
  <c r="BY574" i="48"/>
  <c r="BY573" i="48"/>
  <c r="BY572" i="48"/>
  <c r="BY571" i="48"/>
  <c r="BY570" i="48"/>
  <c r="BY569" i="48"/>
  <c r="BY568" i="48"/>
  <c r="BY567" i="48"/>
  <c r="BY566" i="48"/>
  <c r="BY565" i="48"/>
  <c r="BY564" i="48"/>
  <c r="BY563" i="48"/>
  <c r="BY562" i="48"/>
  <c r="BY561" i="48"/>
  <c r="BY560" i="48"/>
  <c r="BY559" i="48"/>
  <c r="BY558" i="48"/>
  <c r="BY557" i="48"/>
  <c r="BY556" i="48"/>
  <c r="BY555" i="48"/>
  <c r="BY554" i="48"/>
  <c r="CC577" i="48"/>
  <c r="CC576" i="48"/>
  <c r="CC575" i="48"/>
  <c r="CC574" i="48"/>
  <c r="CC573" i="48"/>
  <c r="CC572" i="48"/>
  <c r="CC571" i="48"/>
  <c r="CC570" i="48"/>
  <c r="CC569" i="48"/>
  <c r="CC568" i="48"/>
  <c r="CC567" i="48"/>
  <c r="CC566" i="48"/>
  <c r="CC565" i="48"/>
  <c r="CC564" i="48"/>
  <c r="CC563" i="48"/>
  <c r="CC562" i="48"/>
  <c r="CC561" i="48"/>
  <c r="CC560" i="48"/>
  <c r="CC559" i="48"/>
  <c r="CC558" i="48"/>
  <c r="CC557" i="48"/>
  <c r="CC556" i="48"/>
  <c r="CC555" i="48"/>
  <c r="CC554" i="48"/>
  <c r="CG577" i="48"/>
  <c r="CG576" i="48"/>
  <c r="CG575" i="48"/>
  <c r="CG574" i="48"/>
  <c r="CG573" i="48"/>
  <c r="CG572" i="48"/>
  <c r="CG571" i="48"/>
  <c r="CG570" i="48"/>
  <c r="CG569" i="48"/>
  <c r="CG568" i="48"/>
  <c r="CG567" i="48"/>
  <c r="CG566" i="48"/>
  <c r="CG565" i="48"/>
  <c r="CG564" i="48"/>
  <c r="CG563" i="48"/>
  <c r="CG562" i="48"/>
  <c r="CG561" i="48"/>
  <c r="CG560" i="48"/>
  <c r="CG559" i="48"/>
  <c r="CG558" i="48"/>
  <c r="CG557" i="48"/>
  <c r="CG556" i="48"/>
  <c r="CG555" i="48"/>
  <c r="CG554" i="48"/>
  <c r="CK577" i="48"/>
  <c r="CK576" i="48"/>
  <c r="CK575" i="48"/>
  <c r="CK574" i="48"/>
  <c r="CK573" i="48"/>
  <c r="CK572" i="48"/>
  <c r="CK571" i="48"/>
  <c r="CK570" i="48"/>
  <c r="CK569" i="48"/>
  <c r="CK568" i="48"/>
  <c r="CK567" i="48"/>
  <c r="CK566" i="48"/>
  <c r="CK565" i="48"/>
  <c r="CK564" i="48"/>
  <c r="CK563" i="48"/>
  <c r="CK562" i="48"/>
  <c r="CK561" i="48"/>
  <c r="CK560" i="48"/>
  <c r="CK559" i="48"/>
  <c r="CK558" i="48"/>
  <c r="CK557" i="48"/>
  <c r="CK556" i="48"/>
  <c r="CK555" i="48"/>
  <c r="CK554" i="48"/>
  <c r="CO577" i="48"/>
  <c r="CO576" i="48"/>
  <c r="CO575" i="48"/>
  <c r="CO574" i="48"/>
  <c r="CO573" i="48"/>
  <c r="CO572" i="48"/>
  <c r="CO571" i="48"/>
  <c r="CO570" i="48"/>
  <c r="CO569" i="48"/>
  <c r="CO568" i="48"/>
  <c r="CO567" i="48"/>
  <c r="CO566" i="48"/>
  <c r="CO565" i="48"/>
  <c r="CO564" i="48"/>
  <c r="CO563" i="48"/>
  <c r="CO562" i="48"/>
  <c r="CO561" i="48"/>
  <c r="CO560" i="48"/>
  <c r="CO559" i="48"/>
  <c r="CO558" i="48"/>
  <c r="CO557" i="48"/>
  <c r="CO556" i="48"/>
  <c r="CO555" i="48"/>
  <c r="CO554" i="48"/>
  <c r="CS577" i="48"/>
  <c r="CS576" i="48"/>
  <c r="CS575" i="48"/>
  <c r="CS574" i="48"/>
  <c r="CS573" i="48"/>
  <c r="CS572" i="48"/>
  <c r="CS571" i="48"/>
  <c r="CS570" i="48"/>
  <c r="CS569" i="48"/>
  <c r="CS568" i="48"/>
  <c r="CS567" i="48"/>
  <c r="CS566" i="48"/>
  <c r="CS565" i="48"/>
  <c r="CS564" i="48"/>
  <c r="CS563" i="48"/>
  <c r="CS562" i="48"/>
  <c r="CS561" i="48"/>
  <c r="CS559" i="48"/>
  <c r="CS558" i="48"/>
  <c r="CS557" i="48"/>
  <c r="CS556" i="48"/>
  <c r="CS555" i="48"/>
  <c r="CS554" i="48"/>
  <c r="CW577" i="48"/>
  <c r="CW576" i="48"/>
  <c r="CW575" i="48"/>
  <c r="CW574" i="48"/>
  <c r="CW573" i="48"/>
  <c r="CW572" i="48"/>
  <c r="CW571" i="48"/>
  <c r="CW570" i="48"/>
  <c r="CW569" i="48"/>
  <c r="CW568" i="48"/>
  <c r="CW567" i="48"/>
  <c r="CW566" i="48"/>
  <c r="CW565" i="48"/>
  <c r="CW564" i="48"/>
  <c r="CW563" i="48"/>
  <c r="CW562" i="48"/>
  <c r="CW561" i="48"/>
  <c r="CW560" i="48"/>
  <c r="CW559" i="48"/>
  <c r="CW558" i="48"/>
  <c r="CW557" i="48"/>
  <c r="CW556" i="48"/>
  <c r="CW555" i="48"/>
  <c r="CW554" i="48"/>
  <c r="DA577" i="48"/>
  <c r="DA576" i="48"/>
  <c r="DA575" i="48"/>
  <c r="DA574" i="48"/>
  <c r="DA573" i="48"/>
  <c r="DA572" i="48"/>
  <c r="DA571" i="48"/>
  <c r="DA570" i="48"/>
  <c r="DA569" i="48"/>
  <c r="DA568" i="48"/>
  <c r="DA567" i="48"/>
  <c r="DA566" i="48"/>
  <c r="DA565" i="48"/>
  <c r="DA564" i="48"/>
  <c r="DA563" i="48"/>
  <c r="DA562" i="48"/>
  <c r="DA561" i="48"/>
  <c r="DA560" i="48"/>
  <c r="DA559" i="48"/>
  <c r="DA558" i="48"/>
  <c r="DA557" i="48"/>
  <c r="DA556" i="48"/>
  <c r="DA555" i="48"/>
  <c r="DA554" i="48"/>
  <c r="DA553" i="48"/>
  <c r="DA552" i="48"/>
  <c r="DA551" i="48"/>
  <c r="DA550" i="48"/>
  <c r="DA549" i="48"/>
  <c r="DA548" i="48"/>
  <c r="DA547" i="48"/>
  <c r="DA546" i="48"/>
  <c r="DA545" i="48"/>
  <c r="DA544" i="48"/>
  <c r="DA543" i="48"/>
  <c r="DA542" i="48"/>
  <c r="DA541" i="48"/>
  <c r="DA540" i="48"/>
  <c r="DA539" i="48"/>
  <c r="DA538" i="48"/>
  <c r="DA537" i="48"/>
  <c r="DA536" i="48"/>
  <c r="DA535" i="48"/>
  <c r="DA534" i="48"/>
  <c r="DA533" i="48"/>
  <c r="DA532" i="48"/>
  <c r="DA531" i="48"/>
  <c r="DA530" i="48"/>
  <c r="CW553" i="48"/>
  <c r="CW552" i="48"/>
  <c r="CW551" i="48"/>
  <c r="CW550" i="48"/>
  <c r="CW549" i="48"/>
  <c r="CW548" i="48"/>
  <c r="CW547" i="48"/>
  <c r="CW546" i="48"/>
  <c r="CW545" i="48"/>
  <c r="CW544" i="48"/>
  <c r="CW543" i="48"/>
  <c r="CW542" i="48"/>
  <c r="CW541" i="48"/>
  <c r="CW540" i="48"/>
  <c r="CW539" i="48"/>
  <c r="CW538" i="48"/>
  <c r="CW537" i="48"/>
  <c r="CW536" i="48"/>
  <c r="CW535" i="48"/>
  <c r="CW534" i="48"/>
  <c r="CW533" i="48"/>
  <c r="CW532" i="48"/>
  <c r="CW531" i="48"/>
  <c r="CW530" i="48"/>
  <c r="CS553" i="48"/>
  <c r="CS552" i="48"/>
  <c r="CS551" i="48"/>
  <c r="CS550" i="48"/>
  <c r="CS549" i="48"/>
  <c r="CS548" i="48"/>
  <c r="CS547" i="48"/>
  <c r="CS546" i="48"/>
  <c r="CS545" i="48"/>
  <c r="CS544" i="48"/>
  <c r="CS543" i="48"/>
  <c r="CS542" i="48"/>
  <c r="CS541" i="48"/>
  <c r="CS540" i="48"/>
  <c r="CS539" i="48"/>
  <c r="CS538" i="48"/>
  <c r="CS537" i="48"/>
  <c r="CS536" i="48"/>
  <c r="CS535" i="48"/>
  <c r="CS534" i="48"/>
  <c r="CS533" i="48"/>
  <c r="CS532" i="48"/>
  <c r="CS531" i="48"/>
  <c r="CS530" i="48"/>
  <c r="CO553" i="48"/>
  <c r="CO552" i="48"/>
  <c r="CO551" i="48"/>
  <c r="CO550" i="48"/>
  <c r="CO549" i="48"/>
  <c r="CO548" i="48"/>
  <c r="CO547" i="48"/>
  <c r="CO546" i="48"/>
  <c r="CO545" i="48"/>
  <c r="CO544" i="48"/>
  <c r="CO543" i="48"/>
  <c r="CO542" i="48"/>
  <c r="CO541" i="48"/>
  <c r="CO540" i="48"/>
  <c r="CO539" i="48"/>
  <c r="CO538" i="48"/>
  <c r="CO537" i="48"/>
  <c r="CO536" i="48"/>
  <c r="CO535" i="48"/>
  <c r="CO534" i="48"/>
  <c r="CO533" i="48"/>
  <c r="CO532" i="48"/>
  <c r="CO531" i="48"/>
  <c r="CO530" i="48"/>
  <c r="CK553" i="48"/>
  <c r="CK552" i="48"/>
  <c r="CK551" i="48"/>
  <c r="CK550" i="48"/>
  <c r="CK549" i="48"/>
  <c r="CK548" i="48"/>
  <c r="CK547" i="48"/>
  <c r="CK546" i="48"/>
  <c r="CK545" i="48"/>
  <c r="CK544" i="48"/>
  <c r="CK543" i="48"/>
  <c r="CK542" i="48"/>
  <c r="CK541" i="48"/>
  <c r="CK540" i="48"/>
  <c r="CK539" i="48"/>
  <c r="CK538" i="48"/>
  <c r="CK537" i="48"/>
  <c r="CK536" i="48"/>
  <c r="CK535" i="48"/>
  <c r="CK534" i="48"/>
  <c r="CK533" i="48"/>
  <c r="CK532" i="48"/>
  <c r="CK531" i="48"/>
  <c r="CK530" i="48"/>
  <c r="CG553" i="48"/>
  <c r="CG552" i="48"/>
  <c r="CG551" i="48"/>
  <c r="CG550" i="48"/>
  <c r="CG549" i="48"/>
  <c r="CG548" i="48"/>
  <c r="CG547" i="48"/>
  <c r="CG546" i="48"/>
  <c r="CG545" i="48"/>
  <c r="CG544" i="48"/>
  <c r="CG543" i="48"/>
  <c r="CG542" i="48"/>
  <c r="CG541" i="48"/>
  <c r="CG540" i="48"/>
  <c r="CG539" i="48"/>
  <c r="CG538" i="48"/>
  <c r="CG537" i="48"/>
  <c r="CG536" i="48"/>
  <c r="CG535" i="48"/>
  <c r="CG534" i="48"/>
  <c r="CG533" i="48"/>
  <c r="CG532" i="48"/>
  <c r="CG531" i="48"/>
  <c r="CG530" i="48"/>
  <c r="CC553" i="48"/>
  <c r="CC552" i="48"/>
  <c r="CC551" i="48"/>
  <c r="CC550" i="48"/>
  <c r="CC549" i="48"/>
  <c r="CC548" i="48"/>
  <c r="CC547" i="48"/>
  <c r="CC546" i="48"/>
  <c r="CC545" i="48"/>
  <c r="CC544" i="48"/>
  <c r="CC543" i="48"/>
  <c r="CC542" i="48"/>
  <c r="CC541" i="48"/>
  <c r="CC540" i="48"/>
  <c r="CC539" i="48"/>
  <c r="CC538" i="48"/>
  <c r="CC537" i="48"/>
  <c r="CC536" i="48"/>
  <c r="CC535" i="48"/>
  <c r="CC534" i="48"/>
  <c r="CC533" i="48"/>
  <c r="CC532" i="48"/>
  <c r="CC531" i="48"/>
  <c r="CC530" i="48"/>
  <c r="BY553" i="48"/>
  <c r="BY552" i="48"/>
  <c r="BY551" i="48"/>
  <c r="BY550" i="48"/>
  <c r="BY549" i="48"/>
  <c r="BY548" i="48"/>
  <c r="BY547" i="48"/>
  <c r="BY546" i="48"/>
  <c r="BY545" i="48"/>
  <c r="BY544" i="48"/>
  <c r="BY543" i="48"/>
  <c r="BY542" i="48"/>
  <c r="BY541" i="48"/>
  <c r="BY540" i="48"/>
  <c r="BY539" i="48"/>
  <c r="BY538" i="48"/>
  <c r="BY537" i="48"/>
  <c r="BY536" i="48"/>
  <c r="BY535" i="48"/>
  <c r="BY534" i="48"/>
  <c r="BY533" i="48"/>
  <c r="BY532" i="48"/>
  <c r="BY531" i="48"/>
  <c r="BY530" i="48"/>
  <c r="BU553" i="48"/>
  <c r="BU552" i="48"/>
  <c r="BU551" i="48"/>
  <c r="BU550" i="48"/>
  <c r="BU549" i="48"/>
  <c r="BU548" i="48"/>
  <c r="BU547" i="48"/>
  <c r="BU546" i="48"/>
  <c r="BU545" i="48"/>
  <c r="BU544" i="48"/>
  <c r="BU543" i="48"/>
  <c r="BU542" i="48"/>
  <c r="BU541" i="48"/>
  <c r="BU540" i="48"/>
  <c r="BU539" i="48"/>
  <c r="BU538" i="48"/>
  <c r="BU537" i="48"/>
  <c r="BU536" i="48"/>
  <c r="BU535" i="48"/>
  <c r="BU534" i="48"/>
  <c r="BU533" i="48"/>
  <c r="BU532" i="48"/>
  <c r="BU531" i="48"/>
  <c r="BU530" i="48"/>
  <c r="BQ553" i="48"/>
  <c r="BQ552" i="48"/>
  <c r="BQ551" i="48"/>
  <c r="BQ550" i="48"/>
  <c r="BQ549" i="48"/>
  <c r="BQ548" i="48"/>
  <c r="BQ547" i="48"/>
  <c r="BQ546" i="48"/>
  <c r="BQ545" i="48"/>
  <c r="BQ544" i="48"/>
  <c r="BQ543" i="48"/>
  <c r="BQ542" i="48"/>
  <c r="BQ541" i="48"/>
  <c r="BQ540" i="48"/>
  <c r="BQ539" i="48"/>
  <c r="BQ538" i="48"/>
  <c r="BQ537" i="48"/>
  <c r="BQ536" i="48"/>
  <c r="BQ535" i="48"/>
  <c r="BQ534" i="48"/>
  <c r="BQ533" i="48"/>
  <c r="BQ532" i="48"/>
  <c r="BQ531" i="48"/>
  <c r="BQ530" i="48"/>
  <c r="BM553" i="48"/>
  <c r="BM552" i="48"/>
  <c r="BM551" i="48"/>
  <c r="BM550" i="48"/>
  <c r="BM549" i="48"/>
  <c r="BM548" i="48"/>
  <c r="BM547" i="48"/>
  <c r="BM546" i="48"/>
  <c r="BM545" i="48"/>
  <c r="BM544" i="48"/>
  <c r="BM543" i="48"/>
  <c r="BM542" i="48"/>
  <c r="BM541" i="48"/>
  <c r="BM540" i="48"/>
  <c r="BM539" i="48"/>
  <c r="BM538" i="48"/>
  <c r="BM537" i="48"/>
  <c r="BM536" i="48"/>
  <c r="BM535" i="48"/>
  <c r="BM534" i="48"/>
  <c r="BM533" i="48"/>
  <c r="BM532" i="48"/>
  <c r="BM531" i="48"/>
  <c r="BM530" i="48"/>
  <c r="BI553" i="48"/>
  <c r="BI552" i="48"/>
  <c r="BI551" i="48"/>
  <c r="BI550" i="48"/>
  <c r="BI549" i="48"/>
  <c r="BI548" i="48"/>
  <c r="BI547" i="48"/>
  <c r="BI546" i="48"/>
  <c r="BI545" i="48"/>
  <c r="BI544" i="48"/>
  <c r="BI543" i="48"/>
  <c r="BI542" i="48"/>
  <c r="BI541" i="48"/>
  <c r="BI540" i="48"/>
  <c r="BI539" i="48"/>
  <c r="BI538" i="48"/>
  <c r="BI537" i="48"/>
  <c r="BI536" i="48"/>
  <c r="BI535" i="48"/>
  <c r="BI534" i="48"/>
  <c r="BI533" i="48"/>
  <c r="BI532" i="48"/>
  <c r="BI531" i="48"/>
  <c r="BI530" i="48"/>
  <c r="BI529" i="48"/>
  <c r="BI528" i="48"/>
  <c r="BI527" i="48"/>
  <c r="BI526" i="48"/>
  <c r="BI525" i="48"/>
  <c r="BI524" i="48"/>
  <c r="BI523" i="48"/>
  <c r="BI522" i="48"/>
  <c r="BI521" i="48"/>
  <c r="BI520" i="48"/>
  <c r="BI519" i="48"/>
  <c r="BI518" i="48"/>
  <c r="BI517" i="48"/>
  <c r="BI516" i="48"/>
  <c r="BI515" i="48"/>
  <c r="BI514" i="48"/>
  <c r="BI513" i="48"/>
  <c r="BI512" i="48"/>
  <c r="BI511" i="48"/>
  <c r="BI510" i="48"/>
  <c r="BI509" i="48"/>
  <c r="BI508" i="48"/>
  <c r="BI507" i="48"/>
  <c r="BI506" i="48"/>
  <c r="BM529" i="48"/>
  <c r="BM528" i="48"/>
  <c r="BM527" i="48"/>
  <c r="BM526" i="48"/>
  <c r="BM525" i="48"/>
  <c r="BM524" i="48"/>
  <c r="BM523" i="48"/>
  <c r="BM522" i="48"/>
  <c r="BM521" i="48"/>
  <c r="BM520" i="48"/>
  <c r="BM519" i="48"/>
  <c r="BM518" i="48"/>
  <c r="BM517" i="48"/>
  <c r="BM516" i="48"/>
  <c r="BM515" i="48"/>
  <c r="BM514" i="48"/>
  <c r="BM513" i="48"/>
  <c r="BM512" i="48"/>
  <c r="BM511" i="48"/>
  <c r="BM510" i="48"/>
  <c r="BM509" i="48"/>
  <c r="BM508" i="48"/>
  <c r="BM507" i="48"/>
  <c r="BM506" i="48"/>
  <c r="BQ529" i="48"/>
  <c r="BQ528" i="48"/>
  <c r="BQ527" i="48"/>
  <c r="BQ526" i="48"/>
  <c r="BQ525" i="48"/>
  <c r="BQ524" i="48"/>
  <c r="BQ523" i="48"/>
  <c r="BQ522" i="48"/>
  <c r="BQ521" i="48"/>
  <c r="BQ520" i="48"/>
  <c r="BQ519" i="48"/>
  <c r="BQ518" i="48"/>
  <c r="BQ517" i="48"/>
  <c r="BQ516" i="48"/>
  <c r="BQ515" i="48"/>
  <c r="BQ514" i="48"/>
  <c r="BQ513" i="48"/>
  <c r="BQ512" i="48"/>
  <c r="BQ511" i="48"/>
  <c r="BQ510" i="48"/>
  <c r="BQ509" i="48"/>
  <c r="BQ508" i="48"/>
  <c r="BQ507" i="48"/>
  <c r="BQ506" i="48"/>
  <c r="BU529" i="48"/>
  <c r="BU528" i="48"/>
  <c r="BU527" i="48"/>
  <c r="BU526" i="48"/>
  <c r="BU525" i="48"/>
  <c r="BU524" i="48"/>
  <c r="BU523" i="48"/>
  <c r="BU522" i="48"/>
  <c r="BU521" i="48"/>
  <c r="BU520" i="48"/>
  <c r="BU519" i="48"/>
  <c r="BU518" i="48"/>
  <c r="BU517" i="48"/>
  <c r="BU516" i="48"/>
  <c r="BU515" i="48"/>
  <c r="BU514" i="48"/>
  <c r="BU513" i="48"/>
  <c r="BU512" i="48"/>
  <c r="BU511" i="48"/>
  <c r="BU510" i="48"/>
  <c r="BU509" i="48"/>
  <c r="BU508" i="48"/>
  <c r="BU507" i="48"/>
  <c r="BU506" i="48"/>
  <c r="BY529" i="48"/>
  <c r="BY528" i="48"/>
  <c r="BY527" i="48"/>
  <c r="BY526" i="48"/>
  <c r="BY525" i="48"/>
  <c r="BY524" i="48"/>
  <c r="BY523" i="48"/>
  <c r="BY522" i="48"/>
  <c r="BY521" i="48"/>
  <c r="BY520" i="48"/>
  <c r="BY519" i="48"/>
  <c r="BY518" i="48"/>
  <c r="BY517" i="48"/>
  <c r="BY516" i="48"/>
  <c r="BY515" i="48"/>
  <c r="BY514" i="48"/>
  <c r="BY513" i="48"/>
  <c r="BY512" i="48"/>
  <c r="BY511" i="48"/>
  <c r="BY510" i="48"/>
  <c r="BY509" i="48"/>
  <c r="BY508" i="48"/>
  <c r="BY507" i="48"/>
  <c r="BY506" i="48"/>
  <c r="CC529" i="48"/>
  <c r="CC528" i="48"/>
  <c r="CC527" i="48"/>
  <c r="CC526" i="48"/>
  <c r="CC525" i="48"/>
  <c r="CC524" i="48"/>
  <c r="CC523" i="48"/>
  <c r="CC522" i="48"/>
  <c r="CC521" i="48"/>
  <c r="CC520" i="48"/>
  <c r="CC519" i="48"/>
  <c r="CC518" i="48"/>
  <c r="CC517" i="48"/>
  <c r="CC516" i="48"/>
  <c r="CC515" i="48"/>
  <c r="CC514" i="48"/>
  <c r="CC513" i="48"/>
  <c r="CC512" i="48"/>
  <c r="CC511" i="48"/>
  <c r="CC510" i="48"/>
  <c r="CC509" i="48"/>
  <c r="CC508" i="48"/>
  <c r="CC507" i="48"/>
  <c r="CC506" i="48"/>
  <c r="CG529" i="48"/>
  <c r="CG528" i="48"/>
  <c r="CG527" i="48"/>
  <c r="CG526" i="48"/>
  <c r="CG525" i="48"/>
  <c r="CG524" i="48"/>
  <c r="CG523" i="48"/>
  <c r="CG522" i="48"/>
  <c r="CG521" i="48"/>
  <c r="CG520" i="48"/>
  <c r="CG519" i="48"/>
  <c r="CG518" i="48"/>
  <c r="CG517" i="48"/>
  <c r="CG516" i="48"/>
  <c r="CG515" i="48"/>
  <c r="CG514" i="48"/>
  <c r="CG513" i="48"/>
  <c r="CG512" i="48"/>
  <c r="CG511" i="48"/>
  <c r="CG510" i="48"/>
  <c r="CG509" i="48"/>
  <c r="CG508" i="48"/>
  <c r="CG507" i="48"/>
  <c r="CG506" i="48"/>
  <c r="CK529" i="48"/>
  <c r="CK528" i="48"/>
  <c r="CK527" i="48"/>
  <c r="CK526" i="48"/>
  <c r="CK525" i="48"/>
  <c r="CK524" i="48"/>
  <c r="CK523" i="48"/>
  <c r="CK522" i="48"/>
  <c r="CK521" i="48"/>
  <c r="CK520" i="48"/>
  <c r="CK519" i="48"/>
  <c r="CK518" i="48"/>
  <c r="CK517" i="48"/>
  <c r="CK516" i="48"/>
  <c r="CK515" i="48"/>
  <c r="CK514" i="48"/>
  <c r="CK513" i="48"/>
  <c r="CK512" i="48"/>
  <c r="CK511" i="48"/>
  <c r="CK510" i="48"/>
  <c r="CK509" i="48"/>
  <c r="CK508" i="48"/>
  <c r="CK507" i="48"/>
  <c r="CK506" i="48"/>
  <c r="CO529" i="48"/>
  <c r="CO528" i="48"/>
  <c r="CO527" i="48"/>
  <c r="CO526" i="48"/>
  <c r="CO525" i="48"/>
  <c r="CO524" i="48"/>
  <c r="CO523" i="48"/>
  <c r="CO522" i="48"/>
  <c r="CO521" i="48"/>
  <c r="CO520" i="48"/>
  <c r="CO519" i="48"/>
  <c r="CO518" i="48"/>
  <c r="CO517" i="48"/>
  <c r="CO516" i="48"/>
  <c r="CO515" i="48"/>
  <c r="CO514" i="48"/>
  <c r="CO513" i="48"/>
  <c r="CO512" i="48"/>
  <c r="CO511" i="48"/>
  <c r="CO510" i="48"/>
  <c r="CO509" i="48"/>
  <c r="CO508" i="48"/>
  <c r="CO507" i="48"/>
  <c r="CO506" i="48"/>
  <c r="CS529" i="48"/>
  <c r="CS528" i="48"/>
  <c r="CS527" i="48"/>
  <c r="CS526" i="48"/>
  <c r="CS525" i="48"/>
  <c r="CS524" i="48"/>
  <c r="CS523" i="48"/>
  <c r="CS522" i="48"/>
  <c r="CS521" i="48"/>
  <c r="CS520" i="48"/>
  <c r="CS519" i="48"/>
  <c r="CS518" i="48"/>
  <c r="CS517" i="48"/>
  <c r="CS516" i="48"/>
  <c r="CS515" i="48"/>
  <c r="CS514" i="48"/>
  <c r="CS513" i="48"/>
  <c r="CS512" i="48"/>
  <c r="CS511" i="48"/>
  <c r="CS510" i="48"/>
  <c r="CS509" i="48"/>
  <c r="CS508" i="48"/>
  <c r="CS507" i="48"/>
  <c r="CS506" i="48"/>
  <c r="CW529" i="48"/>
  <c r="CW528" i="48"/>
  <c r="CW527" i="48"/>
  <c r="CW526" i="48"/>
  <c r="CW525" i="48"/>
  <c r="CW524" i="48"/>
  <c r="CW523" i="48"/>
  <c r="CW522" i="48"/>
  <c r="CW521" i="48"/>
  <c r="CW520" i="48"/>
  <c r="CW519" i="48"/>
  <c r="CW518" i="48"/>
  <c r="CW517" i="48"/>
  <c r="CW516" i="48"/>
  <c r="CW515" i="48"/>
  <c r="CW514" i="48"/>
  <c r="CW513" i="48"/>
  <c r="CW512" i="48"/>
  <c r="CW511" i="48"/>
  <c r="CW510" i="48"/>
  <c r="CW509" i="48"/>
  <c r="CW508" i="48"/>
  <c r="CW507" i="48"/>
  <c r="CW506" i="48"/>
  <c r="DA529" i="48"/>
  <c r="DA528" i="48"/>
  <c r="DA527" i="48"/>
  <c r="DA526" i="48"/>
  <c r="DA525" i="48"/>
  <c r="DA524" i="48"/>
  <c r="DA523" i="48"/>
  <c r="DA522" i="48"/>
  <c r="DA521" i="48"/>
  <c r="DA520" i="48"/>
  <c r="DA519" i="48"/>
  <c r="DA518" i="48"/>
  <c r="DA517" i="48"/>
  <c r="DA516" i="48"/>
  <c r="DA515" i="48"/>
  <c r="DA514" i="48"/>
  <c r="DA513" i="48"/>
  <c r="DA512" i="48"/>
  <c r="DA511" i="48"/>
  <c r="DA510" i="48"/>
  <c r="DA509" i="48"/>
  <c r="DA508" i="48"/>
  <c r="DA507" i="48"/>
  <c r="DA506" i="48"/>
  <c r="DA505" i="48"/>
  <c r="DA504" i="48"/>
  <c r="DA503" i="48"/>
  <c r="DA502" i="48"/>
  <c r="DA501" i="48"/>
  <c r="DA500" i="48"/>
  <c r="DA499" i="48"/>
  <c r="DA498" i="48"/>
  <c r="DA497" i="48"/>
  <c r="DA496" i="48"/>
  <c r="DA495" i="48"/>
  <c r="DA494" i="48"/>
  <c r="DA493" i="48"/>
  <c r="DA492" i="48"/>
  <c r="DA491" i="48"/>
  <c r="DA490" i="48"/>
  <c r="DA489" i="48"/>
  <c r="DA488" i="48"/>
  <c r="DA487" i="48"/>
  <c r="DA486" i="48"/>
  <c r="DA485" i="48"/>
  <c r="DA484" i="48"/>
  <c r="DA483" i="48"/>
  <c r="DA482" i="48"/>
  <c r="CW505" i="48"/>
  <c r="CW504" i="48"/>
  <c r="CW503" i="48"/>
  <c r="CW502" i="48"/>
  <c r="CW501" i="48"/>
  <c r="CW500" i="48"/>
  <c r="CW499" i="48"/>
  <c r="CW498" i="48"/>
  <c r="CW497" i="48"/>
  <c r="CW496" i="48"/>
  <c r="CW495" i="48"/>
  <c r="CW494" i="48"/>
  <c r="CW493" i="48"/>
  <c r="CW492" i="48"/>
  <c r="CW491" i="48"/>
  <c r="CW490" i="48"/>
  <c r="CW489" i="48"/>
  <c r="CW488" i="48"/>
  <c r="CW487" i="48"/>
  <c r="CW486" i="48"/>
  <c r="CW485" i="48"/>
  <c r="CW484" i="48"/>
  <c r="CW483" i="48"/>
  <c r="CW482" i="48"/>
  <c r="CS505" i="48"/>
  <c r="CS504" i="48"/>
  <c r="CS503" i="48"/>
  <c r="CS502" i="48"/>
  <c r="CS501" i="48"/>
  <c r="CS500" i="48"/>
  <c r="CS499" i="48"/>
  <c r="CS498" i="48"/>
  <c r="CS497" i="48"/>
  <c r="CS496" i="48"/>
  <c r="CS495" i="48"/>
  <c r="CS494" i="48"/>
  <c r="CS493" i="48"/>
  <c r="CS492" i="48"/>
  <c r="CS491" i="48"/>
  <c r="CS490" i="48"/>
  <c r="CS489" i="48"/>
  <c r="CS488" i="48"/>
  <c r="CS487" i="48"/>
  <c r="CS486" i="48"/>
  <c r="CS485" i="48"/>
  <c r="CS484" i="48"/>
  <c r="CS483" i="48"/>
  <c r="CS482" i="48"/>
  <c r="CO505" i="48"/>
  <c r="CO504" i="48"/>
  <c r="CO503" i="48"/>
  <c r="CO502" i="48"/>
  <c r="CO501" i="48"/>
  <c r="CO500" i="48"/>
  <c r="CO499" i="48"/>
  <c r="CO498" i="48"/>
  <c r="CO497" i="48"/>
  <c r="CO496" i="48"/>
  <c r="CO495" i="48"/>
  <c r="CO494" i="48"/>
  <c r="CO493" i="48"/>
  <c r="CO492" i="48"/>
  <c r="CO491" i="48"/>
  <c r="CO490" i="48"/>
  <c r="CO489" i="48"/>
  <c r="CO488" i="48"/>
  <c r="CO487" i="48"/>
  <c r="CO486" i="48"/>
  <c r="CO485" i="48"/>
  <c r="CO484" i="48"/>
  <c r="CO483" i="48"/>
  <c r="CO482" i="48"/>
  <c r="CK505" i="48"/>
  <c r="CK504" i="48"/>
  <c r="CK503" i="48"/>
  <c r="CK502" i="48"/>
  <c r="CK501" i="48"/>
  <c r="CK500" i="48"/>
  <c r="CK499" i="48"/>
  <c r="CK498" i="48"/>
  <c r="CK497" i="48"/>
  <c r="CK496" i="48"/>
  <c r="CK495" i="48"/>
  <c r="CK494" i="48"/>
  <c r="CK493" i="48"/>
  <c r="CK492" i="48"/>
  <c r="CK491" i="48"/>
  <c r="CK490" i="48"/>
  <c r="CK489" i="48"/>
  <c r="CK488" i="48"/>
  <c r="CK487" i="48"/>
  <c r="CK486" i="48"/>
  <c r="CK485" i="48"/>
  <c r="CK484" i="48"/>
  <c r="CK483" i="48"/>
  <c r="CK482" i="48"/>
  <c r="CG505" i="48"/>
  <c r="CG504" i="48"/>
  <c r="CG503" i="48"/>
  <c r="CG502" i="48"/>
  <c r="CG501" i="48"/>
  <c r="CG500" i="48"/>
  <c r="CG499" i="48"/>
  <c r="CG498" i="48"/>
  <c r="CG497" i="48"/>
  <c r="CG496" i="48"/>
  <c r="CG495" i="48"/>
  <c r="CG494" i="48"/>
  <c r="CG493" i="48"/>
  <c r="CG492" i="48"/>
  <c r="CG491" i="48"/>
  <c r="CG490" i="48"/>
  <c r="CG489" i="48"/>
  <c r="CG488" i="48"/>
  <c r="CG487" i="48"/>
  <c r="CG486" i="48"/>
  <c r="CG485" i="48"/>
  <c r="CG484" i="48"/>
  <c r="CG483" i="48"/>
  <c r="CG482" i="48"/>
  <c r="CC505" i="48"/>
  <c r="CC504" i="48"/>
  <c r="CC503" i="48"/>
  <c r="CC502" i="48"/>
  <c r="CC501" i="48"/>
  <c r="CC500" i="48"/>
  <c r="CC487" i="48"/>
  <c r="CC486" i="48"/>
  <c r="CC485" i="48"/>
  <c r="CC484" i="48"/>
  <c r="CC483" i="48"/>
  <c r="CC482" i="48"/>
  <c r="BY505" i="48"/>
  <c r="BY504" i="48"/>
  <c r="BY503" i="48"/>
  <c r="BY502" i="48"/>
  <c r="BY501" i="48"/>
  <c r="BY500" i="48"/>
  <c r="BY499" i="48"/>
  <c r="BY498" i="48"/>
  <c r="BY497" i="48"/>
  <c r="BY496" i="48"/>
  <c r="BY495" i="48"/>
  <c r="BY494" i="48"/>
  <c r="BY493" i="48"/>
  <c r="BY492" i="48"/>
  <c r="BY491" i="48"/>
  <c r="BY490" i="48"/>
  <c r="BY489" i="48"/>
  <c r="BY488" i="48"/>
  <c r="BY487" i="48"/>
  <c r="BY486" i="48"/>
  <c r="BY485" i="48"/>
  <c r="BY484" i="48"/>
  <c r="BY483" i="48"/>
  <c r="BY482" i="48"/>
  <c r="BU505" i="48"/>
  <c r="BU504" i="48"/>
  <c r="BU503" i="48"/>
  <c r="BU502" i="48"/>
  <c r="BU501" i="48"/>
  <c r="BU500" i="48"/>
  <c r="BU499" i="48"/>
  <c r="BU498" i="48"/>
  <c r="BU497" i="48"/>
  <c r="BU496" i="48"/>
  <c r="BU495" i="48"/>
  <c r="BU494" i="48"/>
  <c r="BU493" i="48"/>
  <c r="BU492" i="48"/>
  <c r="BU491" i="48"/>
  <c r="BU490" i="48"/>
  <c r="BU489" i="48"/>
  <c r="BU488" i="48"/>
  <c r="BU487" i="48"/>
  <c r="BU486" i="48"/>
  <c r="BU485" i="48"/>
  <c r="BU484" i="48"/>
  <c r="BU483" i="48"/>
  <c r="BU482" i="48"/>
  <c r="BQ505" i="48"/>
  <c r="BQ504" i="48"/>
  <c r="BQ503" i="48"/>
  <c r="BQ502" i="48"/>
  <c r="BQ501" i="48"/>
  <c r="BQ500" i="48"/>
  <c r="BQ499" i="48"/>
  <c r="BQ498" i="48"/>
  <c r="BQ497" i="48"/>
  <c r="BQ496" i="48"/>
  <c r="BQ495" i="48"/>
  <c r="BQ494" i="48"/>
  <c r="BQ493" i="48"/>
  <c r="BQ492" i="48"/>
  <c r="BQ491" i="48"/>
  <c r="BQ490" i="48"/>
  <c r="BQ489" i="48"/>
  <c r="BQ488" i="48"/>
  <c r="BQ487" i="48"/>
  <c r="BQ486" i="48"/>
  <c r="BQ485" i="48"/>
  <c r="BQ484" i="48"/>
  <c r="BQ483" i="48"/>
  <c r="BQ482" i="48"/>
  <c r="BM505" i="48"/>
  <c r="BM504" i="48"/>
  <c r="BM503" i="48"/>
  <c r="BM502" i="48"/>
  <c r="BM501" i="48"/>
  <c r="BM500" i="48"/>
  <c r="BM499" i="48"/>
  <c r="BM498" i="48"/>
  <c r="BM497" i="48"/>
  <c r="BM496" i="48"/>
  <c r="BM495" i="48"/>
  <c r="BM494" i="48"/>
  <c r="BM493" i="48"/>
  <c r="BM492" i="48"/>
  <c r="BM491" i="48"/>
  <c r="BM490" i="48"/>
  <c r="BM489" i="48"/>
  <c r="BM488" i="48"/>
  <c r="BM487" i="48"/>
  <c r="BM486" i="48"/>
  <c r="BM485" i="48"/>
  <c r="BM484" i="48"/>
  <c r="BM483" i="48"/>
  <c r="BM482" i="48"/>
  <c r="BI505" i="48"/>
  <c r="BI504" i="48"/>
  <c r="BI503" i="48"/>
  <c r="BI502" i="48"/>
  <c r="BI501" i="48"/>
  <c r="BI500" i="48"/>
  <c r="BI499" i="48"/>
  <c r="BI498" i="48"/>
  <c r="BI497" i="48"/>
  <c r="BI496" i="48"/>
  <c r="BI495" i="48"/>
  <c r="BI494" i="48"/>
  <c r="BI493" i="48"/>
  <c r="BI492" i="48"/>
  <c r="BI491" i="48"/>
  <c r="BI490" i="48"/>
  <c r="BI489" i="48"/>
  <c r="BI488" i="48"/>
  <c r="BI487" i="48"/>
  <c r="BI486" i="48"/>
  <c r="BI485" i="48"/>
  <c r="BI484" i="48"/>
  <c r="BI483" i="48"/>
  <c r="BI482" i="48"/>
  <c r="BI481" i="48"/>
  <c r="BI480" i="48"/>
  <c r="BI479" i="48"/>
  <c r="BI478" i="48"/>
  <c r="BI477" i="48"/>
  <c r="BI476" i="48"/>
  <c r="BI475" i="48"/>
  <c r="BI474" i="48"/>
  <c r="BI473" i="48"/>
  <c r="BI472" i="48"/>
  <c r="BI471" i="48"/>
  <c r="BI470" i="48"/>
  <c r="BI469" i="48"/>
  <c r="BI468" i="48"/>
  <c r="BI467" i="48"/>
  <c r="BI466" i="48"/>
  <c r="BI465" i="48"/>
  <c r="BI464" i="48"/>
  <c r="BI463" i="48"/>
  <c r="BI462" i="48"/>
  <c r="BI461" i="48"/>
  <c r="BI460" i="48"/>
  <c r="BI459" i="48"/>
  <c r="BI458" i="48"/>
  <c r="BM481" i="48"/>
  <c r="BM480" i="48"/>
  <c r="BM479" i="48"/>
  <c r="BM478" i="48"/>
  <c r="BM477" i="48"/>
  <c r="BM476" i="48"/>
  <c r="BM475" i="48"/>
  <c r="BM474" i="48"/>
  <c r="BM473" i="48"/>
  <c r="BM472" i="48"/>
  <c r="BM471" i="48"/>
  <c r="BM470" i="48"/>
  <c r="BM469" i="48"/>
  <c r="BM468" i="48"/>
  <c r="BM467" i="48"/>
  <c r="BM466" i="48"/>
  <c r="BM465" i="48"/>
  <c r="BM464" i="48"/>
  <c r="BM463" i="48"/>
  <c r="BM462" i="48"/>
  <c r="BM461" i="48"/>
  <c r="BM460" i="48"/>
  <c r="BM459" i="48"/>
  <c r="BM458" i="48"/>
  <c r="BQ481" i="48"/>
  <c r="BQ480" i="48"/>
  <c r="BQ479" i="48"/>
  <c r="BQ478" i="48"/>
  <c r="BQ477" i="48"/>
  <c r="BQ476" i="48"/>
  <c r="BQ475" i="48"/>
  <c r="BQ474" i="48"/>
  <c r="BQ473" i="48"/>
  <c r="BQ472" i="48"/>
  <c r="BQ471" i="48"/>
  <c r="BQ470" i="48"/>
  <c r="BQ469" i="48"/>
  <c r="BQ468" i="48"/>
  <c r="BQ467" i="48"/>
  <c r="BQ466" i="48"/>
  <c r="BQ465" i="48"/>
  <c r="BQ464" i="48"/>
  <c r="BQ463" i="48"/>
  <c r="BQ462" i="48"/>
  <c r="BQ461" i="48"/>
  <c r="BQ460" i="48"/>
  <c r="BQ459" i="48"/>
  <c r="BQ458" i="48"/>
  <c r="BU481" i="48"/>
  <c r="BU480" i="48"/>
  <c r="BU479" i="48"/>
  <c r="BU478" i="48"/>
  <c r="BU477" i="48"/>
  <c r="BU476" i="48"/>
  <c r="BU475" i="48"/>
  <c r="BU474" i="48"/>
  <c r="BU473" i="48"/>
  <c r="BU472" i="48"/>
  <c r="BU471" i="48"/>
  <c r="BU470" i="48"/>
  <c r="BU469" i="48"/>
  <c r="BU468" i="48"/>
  <c r="BU467" i="48"/>
  <c r="BU466" i="48"/>
  <c r="BU465" i="48"/>
  <c r="BU464" i="48"/>
  <c r="BU463" i="48"/>
  <c r="BU462" i="48"/>
  <c r="BU461" i="48"/>
  <c r="BU460" i="48"/>
  <c r="BU459" i="48"/>
  <c r="BU458" i="48"/>
  <c r="BY481" i="48"/>
  <c r="BY480" i="48"/>
  <c r="BY479" i="48"/>
  <c r="BY478" i="48"/>
  <c r="BY477" i="48"/>
  <c r="BY476" i="48"/>
  <c r="BY475" i="48"/>
  <c r="BY474" i="48"/>
  <c r="BY473" i="48"/>
  <c r="BY472" i="48"/>
  <c r="BY471" i="48"/>
  <c r="BY470" i="48"/>
  <c r="BY469" i="48"/>
  <c r="BY468" i="48"/>
  <c r="BY467" i="48"/>
  <c r="BY466" i="48"/>
  <c r="BY465" i="48"/>
  <c r="BY464" i="48"/>
  <c r="BY463" i="48"/>
  <c r="BY462" i="48"/>
  <c r="BY461" i="48"/>
  <c r="BY460" i="48"/>
  <c r="BY459" i="48"/>
  <c r="BY458" i="48"/>
  <c r="CC481" i="48"/>
  <c r="CC480" i="48"/>
  <c r="CC479" i="48"/>
  <c r="CC478" i="48"/>
  <c r="CC477" i="48"/>
  <c r="CC476" i="48"/>
  <c r="CC475" i="48"/>
  <c r="CC474" i="48"/>
  <c r="CC473" i="48"/>
  <c r="CC472" i="48"/>
  <c r="CC471" i="48"/>
  <c r="CC470" i="48"/>
  <c r="CC469" i="48"/>
  <c r="CC468" i="48"/>
  <c r="CC467" i="48"/>
  <c r="CC466" i="48"/>
  <c r="CC465" i="48"/>
  <c r="CC464" i="48"/>
  <c r="CC463" i="48"/>
  <c r="CC462" i="48"/>
  <c r="CC461" i="48"/>
  <c r="CC460" i="48"/>
  <c r="CC459" i="48"/>
  <c r="CC458" i="48"/>
  <c r="CG481" i="48"/>
  <c r="CG480" i="48"/>
  <c r="CG479" i="48"/>
  <c r="CG478" i="48"/>
  <c r="CG477" i="48"/>
  <c r="CG476" i="48"/>
  <c r="CG475" i="48"/>
  <c r="CG474" i="48"/>
  <c r="CG473" i="48"/>
  <c r="CG472" i="48"/>
  <c r="CG471" i="48"/>
  <c r="CG470" i="48"/>
  <c r="CG469" i="48"/>
  <c r="CG468" i="48"/>
  <c r="CG467" i="48"/>
  <c r="CG466" i="48"/>
  <c r="CG465" i="48"/>
  <c r="CG464" i="48"/>
  <c r="CG463" i="48"/>
  <c r="CG462" i="48"/>
  <c r="CG461" i="48"/>
  <c r="CG460" i="48"/>
  <c r="CG459" i="48"/>
  <c r="CG458" i="48"/>
  <c r="CK481" i="48"/>
  <c r="CK480" i="48"/>
  <c r="CK479" i="48"/>
  <c r="CK478" i="48"/>
  <c r="CK477" i="48"/>
  <c r="CK476" i="48"/>
  <c r="CK475" i="48"/>
  <c r="CK474" i="48"/>
  <c r="CK473" i="48"/>
  <c r="CK472" i="48"/>
  <c r="CK471" i="48"/>
  <c r="CK470" i="48"/>
  <c r="CK469" i="48"/>
  <c r="CK468" i="48"/>
  <c r="CK467" i="48"/>
  <c r="CK466" i="48"/>
  <c r="CK465" i="48"/>
  <c r="CK464" i="48"/>
  <c r="CK463" i="48"/>
  <c r="CK462" i="48"/>
  <c r="CK461" i="48"/>
  <c r="CK460" i="48"/>
  <c r="CK459" i="48"/>
  <c r="CK458" i="48"/>
  <c r="CO481" i="48"/>
  <c r="CO480" i="48"/>
  <c r="CO479" i="48"/>
  <c r="CO478" i="48"/>
  <c r="CO477" i="48"/>
  <c r="CO476" i="48"/>
  <c r="CO475" i="48"/>
  <c r="CO474" i="48"/>
  <c r="CO473" i="48"/>
  <c r="CO472" i="48"/>
  <c r="CO471" i="48"/>
  <c r="CO470" i="48"/>
  <c r="CO469" i="48"/>
  <c r="CO468" i="48"/>
  <c r="CO467" i="48"/>
  <c r="CO466" i="48"/>
  <c r="CO465" i="48"/>
  <c r="CO464" i="48"/>
  <c r="CO463" i="48"/>
  <c r="CO462" i="48"/>
  <c r="CO461" i="48"/>
  <c r="CO460" i="48"/>
  <c r="CO459" i="48"/>
  <c r="CO458" i="48"/>
  <c r="CS481" i="48"/>
  <c r="CS480" i="48"/>
  <c r="CS479" i="48"/>
  <c r="CS478" i="48"/>
  <c r="CS477" i="48"/>
  <c r="CS476" i="48"/>
  <c r="CS475" i="48"/>
  <c r="CS474" i="48"/>
  <c r="CS473" i="48"/>
  <c r="CS472" i="48"/>
  <c r="CS471" i="48"/>
  <c r="CS470" i="48"/>
  <c r="CS469" i="48"/>
  <c r="CS468" i="48"/>
  <c r="CS467" i="48"/>
  <c r="CS466" i="48"/>
  <c r="CS465" i="48"/>
  <c r="CS464" i="48"/>
  <c r="CS463" i="48"/>
  <c r="CS462" i="48"/>
  <c r="CS461" i="48"/>
  <c r="CS460" i="48"/>
  <c r="CS459" i="48"/>
  <c r="CS458" i="48"/>
  <c r="CW481" i="48"/>
  <c r="CW480" i="48"/>
  <c r="CW479" i="48"/>
  <c r="CW478" i="48"/>
  <c r="CW477" i="48"/>
  <c r="CW476" i="48"/>
  <c r="CW475" i="48"/>
  <c r="CW474" i="48"/>
  <c r="CW473" i="48"/>
  <c r="CW472" i="48"/>
  <c r="CW471" i="48"/>
  <c r="CW470" i="48"/>
  <c r="CW469" i="48"/>
  <c r="CW468" i="48"/>
  <c r="CW467" i="48"/>
  <c r="CW466" i="48"/>
  <c r="CW465" i="48"/>
  <c r="CW464" i="48"/>
  <c r="CW463" i="48"/>
  <c r="CW462" i="48"/>
  <c r="CW461" i="48"/>
  <c r="CW460" i="48"/>
  <c r="CW459" i="48"/>
  <c r="CW458" i="48"/>
  <c r="DA481" i="48"/>
  <c r="DA480" i="48"/>
  <c r="DA479" i="48"/>
  <c r="DA478" i="48"/>
  <c r="DA477" i="48"/>
  <c r="DA476" i="48"/>
  <c r="DA475" i="48"/>
  <c r="DA474" i="48"/>
  <c r="DA473" i="48"/>
  <c r="DA472" i="48"/>
  <c r="DA471" i="48"/>
  <c r="DA470" i="48"/>
  <c r="DA469" i="48"/>
  <c r="DA468" i="48"/>
  <c r="DA467" i="48"/>
  <c r="DA466" i="48"/>
  <c r="DA465" i="48"/>
  <c r="DA464" i="48"/>
  <c r="DA463" i="48"/>
  <c r="DA462" i="48"/>
  <c r="DA461" i="48"/>
  <c r="DA460" i="48"/>
  <c r="DA459" i="48"/>
  <c r="DA458" i="48"/>
  <c r="DA457" i="48"/>
  <c r="DA456" i="48"/>
  <c r="DA455" i="48"/>
  <c r="DA454" i="48"/>
  <c r="DA453" i="48"/>
  <c r="DA452" i="48"/>
  <c r="DA451" i="48"/>
  <c r="DA450" i="48"/>
  <c r="DA449" i="48"/>
  <c r="DA448" i="48"/>
  <c r="DA447" i="48"/>
  <c r="DA446" i="48"/>
  <c r="DA445" i="48"/>
  <c r="DA444" i="48"/>
  <c r="DA443" i="48"/>
  <c r="DA442" i="48"/>
  <c r="DA441" i="48"/>
  <c r="DA440" i="48"/>
  <c r="DA439" i="48"/>
  <c r="DA438" i="48"/>
  <c r="DA437" i="48"/>
  <c r="DA436" i="48"/>
  <c r="DA435" i="48"/>
  <c r="DA434" i="48"/>
  <c r="CW457" i="48"/>
  <c r="CW456" i="48"/>
  <c r="CW455" i="48"/>
  <c r="CW454" i="48"/>
  <c r="CW453" i="48"/>
  <c r="CW452" i="48"/>
  <c r="CW451" i="48"/>
  <c r="CW450" i="48"/>
  <c r="CW449" i="48"/>
  <c r="CW448" i="48"/>
  <c r="CW447" i="48"/>
  <c r="CW446" i="48"/>
  <c r="CW445" i="48"/>
  <c r="CW444" i="48"/>
  <c r="CW443" i="48"/>
  <c r="CW442" i="48"/>
  <c r="CW441" i="48"/>
  <c r="CW440" i="48"/>
  <c r="CW439" i="48"/>
  <c r="CW438" i="48"/>
  <c r="CW437" i="48"/>
  <c r="CW436" i="48"/>
  <c r="CW435" i="48"/>
  <c r="CW434" i="48"/>
  <c r="CS457" i="48"/>
  <c r="CS456" i="48"/>
  <c r="CS455" i="48"/>
  <c r="CS454" i="48"/>
  <c r="CS453" i="48"/>
  <c r="CS452" i="48"/>
  <c r="CS451" i="48"/>
  <c r="CS450" i="48"/>
  <c r="CS449" i="48"/>
  <c r="CS448" i="48"/>
  <c r="CS447" i="48"/>
  <c r="CS446" i="48"/>
  <c r="CS445" i="48"/>
  <c r="CS444" i="48"/>
  <c r="CS443" i="48"/>
  <c r="CS442" i="48"/>
  <c r="CS441" i="48"/>
  <c r="CS438" i="48"/>
  <c r="CS437" i="48"/>
  <c r="CS436" i="48"/>
  <c r="CS435" i="48"/>
  <c r="CS434" i="48"/>
  <c r="CO457" i="48"/>
  <c r="CO456" i="48"/>
  <c r="CO455" i="48"/>
  <c r="CO454" i="48"/>
  <c r="CO453" i="48"/>
  <c r="CO452" i="48"/>
  <c r="CO451" i="48"/>
  <c r="CO450" i="48"/>
  <c r="CO449" i="48"/>
  <c r="CO448" i="48"/>
  <c r="CO447" i="48"/>
  <c r="CO446" i="48"/>
  <c r="CO445" i="48"/>
  <c r="CO444" i="48"/>
  <c r="CO443" i="48"/>
  <c r="CO442" i="48"/>
  <c r="CO441" i="48"/>
  <c r="CO440" i="48"/>
  <c r="CO439" i="48"/>
  <c r="CO438" i="48"/>
  <c r="CO437" i="48"/>
  <c r="CO436" i="48"/>
  <c r="CO435" i="48"/>
  <c r="CO434" i="48"/>
  <c r="CK457" i="48"/>
  <c r="CK456" i="48"/>
  <c r="CK455" i="48"/>
  <c r="CK454" i="48"/>
  <c r="CK453" i="48"/>
  <c r="CK452" i="48"/>
  <c r="CK451" i="48"/>
  <c r="CK450" i="48"/>
  <c r="CK449" i="48"/>
  <c r="CK448" i="48"/>
  <c r="CK447" i="48"/>
  <c r="CK446" i="48"/>
  <c r="CK445" i="48"/>
  <c r="CK444" i="48"/>
  <c r="CK443" i="48"/>
  <c r="CK442" i="48"/>
  <c r="CK441" i="48"/>
  <c r="CK440" i="48"/>
  <c r="CK439" i="48"/>
  <c r="CK438" i="48"/>
  <c r="CK437" i="48"/>
  <c r="CK436" i="48"/>
  <c r="CK435" i="48"/>
  <c r="CK434" i="48"/>
  <c r="CG457" i="48"/>
  <c r="CG456" i="48"/>
  <c r="CG455" i="48"/>
  <c r="CG454" i="48"/>
  <c r="CG453" i="48"/>
  <c r="CG452" i="48"/>
  <c r="CG451" i="48"/>
  <c r="CG450" i="48"/>
  <c r="CG449" i="48"/>
  <c r="CG448" i="48"/>
  <c r="CG447" i="48"/>
  <c r="CG446" i="48"/>
  <c r="CG445" i="48"/>
  <c r="CG444" i="48"/>
  <c r="CG443" i="48"/>
  <c r="CG442" i="48"/>
  <c r="CG441" i="48"/>
  <c r="CG440" i="48"/>
  <c r="CG439" i="48"/>
  <c r="CG438" i="48"/>
  <c r="CG437" i="48"/>
  <c r="CG436" i="48"/>
  <c r="CG435" i="48"/>
  <c r="CG434" i="48"/>
  <c r="CC457" i="48"/>
  <c r="CC456" i="48"/>
  <c r="CC455" i="48"/>
  <c r="CC454" i="48"/>
  <c r="CC453" i="48"/>
  <c r="CC452" i="48"/>
  <c r="CC451" i="48"/>
  <c r="CC450" i="48"/>
  <c r="CC449" i="48"/>
  <c r="CC448" i="48"/>
  <c r="CC447" i="48"/>
  <c r="CC446" i="48"/>
  <c r="CC445" i="48"/>
  <c r="CC444" i="48"/>
  <c r="CC443" i="48"/>
  <c r="CC442" i="48"/>
  <c r="CC441" i="48"/>
  <c r="CC440" i="48"/>
  <c r="CC439" i="48"/>
  <c r="CC438" i="48"/>
  <c r="CC437" i="48"/>
  <c r="CC436" i="48"/>
  <c r="CC435" i="48"/>
  <c r="CC434" i="48"/>
  <c r="BY457" i="48"/>
  <c r="BY456" i="48"/>
  <c r="BY455" i="48"/>
  <c r="BY454" i="48"/>
  <c r="BY453" i="48"/>
  <c r="BY452" i="48"/>
  <c r="BY451" i="48"/>
  <c r="BY450" i="48"/>
  <c r="BY449" i="48"/>
  <c r="BY448" i="48"/>
  <c r="BY447" i="48"/>
  <c r="BY446" i="48"/>
  <c r="BY445" i="48"/>
  <c r="BY444" i="48"/>
  <c r="BY443" i="48"/>
  <c r="BY442" i="48"/>
  <c r="BY441" i="48"/>
  <c r="BY440" i="48"/>
  <c r="BY439" i="48"/>
  <c r="BY438" i="48"/>
  <c r="BY437" i="48"/>
  <c r="BY436" i="48"/>
  <c r="BY435" i="48"/>
  <c r="BY434" i="48"/>
  <c r="BU457" i="48"/>
  <c r="BU456" i="48"/>
  <c r="BU455" i="48"/>
  <c r="BU454" i="48"/>
  <c r="BU453" i="48"/>
  <c r="BU452" i="48"/>
  <c r="BU451" i="48"/>
  <c r="BU450" i="48"/>
  <c r="BU449" i="48"/>
  <c r="BU448" i="48"/>
  <c r="BU447" i="48"/>
  <c r="BU446" i="48"/>
  <c r="BU445" i="48"/>
  <c r="BU444" i="48"/>
  <c r="BU443" i="48"/>
  <c r="BU442" i="48"/>
  <c r="BU441" i="48"/>
  <c r="BU440" i="48"/>
  <c r="BU439" i="48"/>
  <c r="BU438" i="48"/>
  <c r="BU437" i="48"/>
  <c r="BU436" i="48"/>
  <c r="BU435" i="48"/>
  <c r="BU434" i="48"/>
  <c r="BQ457" i="48"/>
  <c r="BQ456" i="48"/>
  <c r="BQ455" i="48"/>
  <c r="BQ454" i="48"/>
  <c r="BQ453" i="48"/>
  <c r="BQ452" i="48"/>
  <c r="BQ451" i="48"/>
  <c r="BQ450" i="48"/>
  <c r="BQ449" i="48"/>
  <c r="BQ448" i="48"/>
  <c r="BQ447" i="48"/>
  <c r="BQ446" i="48"/>
  <c r="BQ445" i="48"/>
  <c r="BQ444" i="48"/>
  <c r="BQ443" i="48"/>
  <c r="BQ442" i="48"/>
  <c r="BQ441" i="48"/>
  <c r="BQ440" i="48"/>
  <c r="BQ439" i="48"/>
  <c r="BQ438" i="48"/>
  <c r="BQ437" i="48"/>
  <c r="BQ436" i="48"/>
  <c r="BQ435" i="48"/>
  <c r="BQ434" i="48"/>
  <c r="BM457" i="48"/>
  <c r="BM456" i="48"/>
  <c r="BM455" i="48"/>
  <c r="BM454" i="48"/>
  <c r="BM453" i="48"/>
  <c r="BM452" i="48"/>
  <c r="BM451" i="48"/>
  <c r="BM450" i="48"/>
  <c r="BM449" i="48"/>
  <c r="BM448" i="48"/>
  <c r="BM447" i="48"/>
  <c r="BM446" i="48"/>
  <c r="BM445" i="48"/>
  <c r="BM444" i="48"/>
  <c r="BM443" i="48"/>
  <c r="BM442" i="48"/>
  <c r="BM441" i="48"/>
  <c r="BM440" i="48"/>
  <c r="BM439" i="48"/>
  <c r="BM438" i="48"/>
  <c r="BM437" i="48"/>
  <c r="BM436" i="48"/>
  <c r="BM435" i="48"/>
  <c r="BM434" i="48"/>
  <c r="BI457" i="48"/>
  <c r="BI456" i="48"/>
  <c r="BI455" i="48"/>
  <c r="BI454" i="48"/>
  <c r="BI453" i="48"/>
  <c r="BI452" i="48"/>
  <c r="BI451" i="48"/>
  <c r="BI450" i="48"/>
  <c r="BI449" i="48"/>
  <c r="BI448" i="48"/>
  <c r="BI447" i="48"/>
  <c r="BI446" i="48"/>
  <c r="BI445" i="48"/>
  <c r="BI444" i="48"/>
  <c r="BI443" i="48"/>
  <c r="BI442" i="48"/>
  <c r="BI441" i="48"/>
  <c r="BI440" i="48"/>
  <c r="BI439" i="48"/>
  <c r="BI438" i="48"/>
  <c r="BI437" i="48"/>
  <c r="BI436" i="48"/>
  <c r="BI435" i="48"/>
  <c r="BI434" i="48"/>
  <c r="BI433" i="48"/>
  <c r="BI432" i="48"/>
  <c r="BI431" i="48"/>
  <c r="BI430" i="48"/>
  <c r="BI429" i="48"/>
  <c r="BI428" i="48"/>
  <c r="BI427" i="48"/>
  <c r="BI426" i="48"/>
  <c r="BI425" i="48"/>
  <c r="BI424" i="48"/>
  <c r="BI423" i="48"/>
  <c r="BI422" i="48"/>
  <c r="BI421" i="48"/>
  <c r="BI420" i="48"/>
  <c r="BI419" i="48"/>
  <c r="BI418" i="48"/>
  <c r="BI417" i="48"/>
  <c r="BI416" i="48"/>
  <c r="BI415" i="48"/>
  <c r="BI414" i="48"/>
  <c r="BI413" i="48"/>
  <c r="BI412" i="48"/>
  <c r="BI411" i="48"/>
  <c r="BI410" i="48"/>
  <c r="BM433" i="48"/>
  <c r="BM432" i="48"/>
  <c r="BM431" i="48"/>
  <c r="BM430" i="48"/>
  <c r="BM429" i="48"/>
  <c r="BM428" i="48"/>
  <c r="BM427" i="48"/>
  <c r="BM426" i="48"/>
  <c r="BM425" i="48"/>
  <c r="BM424" i="48"/>
  <c r="BM423" i="48"/>
  <c r="BM422" i="48"/>
  <c r="BM421" i="48"/>
  <c r="BM420" i="48"/>
  <c r="BM419" i="48"/>
  <c r="BM418" i="48"/>
  <c r="BM417" i="48"/>
  <c r="BM416" i="48"/>
  <c r="BM415" i="48"/>
  <c r="BM414" i="48"/>
  <c r="BM413" i="48"/>
  <c r="BM412" i="48"/>
  <c r="BM411" i="48"/>
  <c r="BM410" i="48"/>
  <c r="BQ433" i="48"/>
  <c r="BQ432" i="48"/>
  <c r="BQ431" i="48"/>
  <c r="BQ430" i="48"/>
  <c r="BQ429" i="48"/>
  <c r="BQ428" i="48"/>
  <c r="BQ427" i="48"/>
  <c r="BQ426" i="48"/>
  <c r="BQ425" i="48"/>
  <c r="BQ424" i="48"/>
  <c r="BQ423" i="48"/>
  <c r="BQ422" i="48"/>
  <c r="BQ421" i="48"/>
  <c r="BQ420" i="48"/>
  <c r="BQ419" i="48"/>
  <c r="BQ418" i="48"/>
  <c r="BQ417" i="48"/>
  <c r="BQ416" i="48"/>
  <c r="BQ415" i="48"/>
  <c r="BQ414" i="48"/>
  <c r="BQ413" i="48"/>
  <c r="BQ412" i="48"/>
  <c r="BQ411" i="48"/>
  <c r="BQ410" i="48"/>
  <c r="BU433" i="48"/>
  <c r="BU432" i="48"/>
  <c r="BU431" i="48"/>
  <c r="BU430" i="48"/>
  <c r="BU429" i="48"/>
  <c r="BU428" i="48"/>
  <c r="BU427" i="48"/>
  <c r="BU426" i="48"/>
  <c r="BU425" i="48"/>
  <c r="BU424" i="48"/>
  <c r="BU423" i="48"/>
  <c r="BU422" i="48"/>
  <c r="BU421" i="48"/>
  <c r="BU420" i="48"/>
  <c r="BU419" i="48"/>
  <c r="BU418" i="48"/>
  <c r="BU417" i="48"/>
  <c r="BU416" i="48"/>
  <c r="BU415" i="48"/>
  <c r="BU414" i="48"/>
  <c r="BU413" i="48"/>
  <c r="BU412" i="48"/>
  <c r="BU411" i="48"/>
  <c r="BU410" i="48"/>
  <c r="BY433" i="48"/>
  <c r="BY432" i="48"/>
  <c r="BY431" i="48"/>
  <c r="BY430" i="48"/>
  <c r="BY429" i="48"/>
  <c r="BY428" i="48"/>
  <c r="BY427" i="48"/>
  <c r="BY426" i="48"/>
  <c r="BY425" i="48"/>
  <c r="BY424" i="48"/>
  <c r="BY423" i="48"/>
  <c r="BY422" i="48"/>
  <c r="BY421" i="48"/>
  <c r="BY420" i="48"/>
  <c r="BY419" i="48"/>
  <c r="BY418" i="48"/>
  <c r="BY417" i="48"/>
  <c r="BY416" i="48"/>
  <c r="BY415" i="48"/>
  <c r="BY414" i="48"/>
  <c r="BY413" i="48"/>
  <c r="BY412" i="48"/>
  <c r="BY411" i="48"/>
  <c r="BY410" i="48"/>
  <c r="CC433" i="48"/>
  <c r="CC432" i="48"/>
  <c r="CC431" i="48"/>
  <c r="CC430" i="48"/>
  <c r="CC429" i="48"/>
  <c r="CC428" i="48"/>
  <c r="CC427" i="48"/>
  <c r="CC426" i="48"/>
  <c r="CC425" i="48"/>
  <c r="CC424" i="48"/>
  <c r="CC423" i="48"/>
  <c r="CC422" i="48"/>
  <c r="CC421" i="48"/>
  <c r="CC420" i="48"/>
  <c r="CC419" i="48"/>
  <c r="CC418" i="48"/>
  <c r="CC417" i="48"/>
  <c r="CC416" i="48"/>
  <c r="CC415" i="48"/>
  <c r="CC414" i="48"/>
  <c r="CC413" i="48"/>
  <c r="CC412" i="48"/>
  <c r="CC411" i="48"/>
  <c r="CC410" i="48"/>
  <c r="CG433" i="48"/>
  <c r="CG432" i="48"/>
  <c r="CG431" i="48"/>
  <c r="CG430" i="48"/>
  <c r="CG429" i="48"/>
  <c r="CG428" i="48"/>
  <c r="CG427" i="48"/>
  <c r="CG426" i="48"/>
  <c r="CG425" i="48"/>
  <c r="CG424" i="48"/>
  <c r="CG423" i="48"/>
  <c r="CG422" i="48"/>
  <c r="CG421" i="48"/>
  <c r="CG420" i="48"/>
  <c r="CG419" i="48"/>
  <c r="CG418" i="48"/>
  <c r="CG417" i="48"/>
  <c r="CG416" i="48"/>
  <c r="CG415" i="48"/>
  <c r="CG414" i="48"/>
  <c r="CG413" i="48"/>
  <c r="CG412" i="48"/>
  <c r="CG411" i="48"/>
  <c r="CG410" i="48"/>
  <c r="CK433" i="48"/>
  <c r="CK432" i="48"/>
  <c r="CK431" i="48"/>
  <c r="CK430" i="48"/>
  <c r="CK429" i="48"/>
  <c r="CK428" i="48"/>
  <c r="CK427" i="48"/>
  <c r="CK426" i="48"/>
  <c r="CK425" i="48"/>
  <c r="CK424" i="48"/>
  <c r="CK423" i="48"/>
  <c r="CK422" i="48"/>
  <c r="CK421" i="48"/>
  <c r="CK420" i="48"/>
  <c r="CK419" i="48"/>
  <c r="CK418" i="48"/>
  <c r="CK417" i="48"/>
  <c r="CK416" i="48"/>
  <c r="CK415" i="48"/>
  <c r="CK414" i="48"/>
  <c r="CK413" i="48"/>
  <c r="CK412" i="48"/>
  <c r="CK411" i="48"/>
  <c r="CK410" i="48"/>
  <c r="CO433" i="48"/>
  <c r="CO432" i="48"/>
  <c r="CO431" i="48"/>
  <c r="CO430" i="48"/>
  <c r="CO429" i="48"/>
  <c r="CO428" i="48"/>
  <c r="CO427" i="48"/>
  <c r="CO426" i="48"/>
  <c r="CO425" i="48"/>
  <c r="CO424" i="48"/>
  <c r="CO423" i="48"/>
  <c r="CO422" i="48"/>
  <c r="CO421" i="48"/>
  <c r="CO420" i="48"/>
  <c r="CO419" i="48"/>
  <c r="CO418" i="48"/>
  <c r="CO417" i="48"/>
  <c r="CO416" i="48"/>
  <c r="CO415" i="48"/>
  <c r="CO414" i="48"/>
  <c r="CO413" i="48"/>
  <c r="CO412" i="48"/>
  <c r="CO411" i="48"/>
  <c r="CO410" i="48"/>
  <c r="CS433" i="48"/>
  <c r="CS432" i="48"/>
  <c r="CS431" i="48"/>
  <c r="CS430" i="48"/>
  <c r="CS429" i="48"/>
  <c r="CS428" i="48"/>
  <c r="CS427" i="48"/>
  <c r="CS426" i="48"/>
  <c r="CS425" i="48"/>
  <c r="CS424" i="48"/>
  <c r="CS423" i="48"/>
  <c r="CS422" i="48"/>
  <c r="CS421" i="48"/>
  <c r="CS420" i="48"/>
  <c r="CS419" i="48"/>
  <c r="CS418" i="48"/>
  <c r="CS417" i="48"/>
  <c r="CS416" i="48"/>
  <c r="CS415" i="48"/>
  <c r="CS414" i="48"/>
  <c r="CS413" i="48"/>
  <c r="CS412" i="48"/>
  <c r="CS411" i="48"/>
  <c r="CS410" i="48"/>
  <c r="CW433" i="48"/>
  <c r="CW432" i="48"/>
  <c r="CW431" i="48"/>
  <c r="CW430" i="48"/>
  <c r="CW429" i="48"/>
  <c r="CW428" i="48"/>
  <c r="CW427" i="48"/>
  <c r="CW426" i="48"/>
  <c r="CW425" i="48"/>
  <c r="CW424" i="48"/>
  <c r="CW423" i="48"/>
  <c r="CW422" i="48"/>
  <c r="CW421" i="48"/>
  <c r="CW420" i="48"/>
  <c r="CW419" i="48"/>
  <c r="CW418" i="48"/>
  <c r="CW417" i="48"/>
  <c r="CW416" i="48"/>
  <c r="CW415" i="48"/>
  <c r="CW414" i="48"/>
  <c r="CW413" i="48"/>
  <c r="CW412" i="48"/>
  <c r="CW411" i="48"/>
  <c r="CW410" i="48"/>
  <c r="DA433" i="48"/>
  <c r="DA432" i="48"/>
  <c r="DA431" i="48"/>
  <c r="DA430" i="48"/>
  <c r="DA429" i="48"/>
  <c r="DA428" i="48"/>
  <c r="DA427" i="48"/>
  <c r="DA426" i="48"/>
  <c r="DA425" i="48"/>
  <c r="DA424" i="48"/>
  <c r="DA423" i="48"/>
  <c r="DA422" i="48"/>
  <c r="DA421" i="48"/>
  <c r="DA420" i="48"/>
  <c r="DA419" i="48"/>
  <c r="DA418" i="48"/>
  <c r="DA417" i="48"/>
  <c r="DA416" i="48"/>
  <c r="DA415" i="48"/>
  <c r="DA414" i="48"/>
  <c r="DA413" i="48"/>
  <c r="DA412" i="48"/>
  <c r="DA411" i="48"/>
  <c r="DA410" i="48"/>
  <c r="DA409" i="48"/>
  <c r="DA408" i="48"/>
  <c r="DA407" i="48"/>
  <c r="DA406" i="48"/>
  <c r="DA405" i="48"/>
  <c r="DA404" i="48"/>
  <c r="DA403" i="48"/>
  <c r="DA402" i="48"/>
  <c r="DA401" i="48"/>
  <c r="DA400" i="48"/>
  <c r="DA399" i="48"/>
  <c r="DA398" i="48"/>
  <c r="DA397" i="48"/>
  <c r="DA396" i="48"/>
  <c r="DA395" i="48"/>
  <c r="DA394" i="48"/>
  <c r="DA393" i="48"/>
  <c r="DA392" i="48"/>
  <c r="DA391" i="48"/>
  <c r="DA390" i="48"/>
  <c r="DA389" i="48"/>
  <c r="DA388" i="48"/>
  <c r="DA387" i="48"/>
  <c r="DA386" i="48"/>
  <c r="CW409" i="48"/>
  <c r="CW408" i="48"/>
  <c r="CW407" i="48"/>
  <c r="CW406" i="48"/>
  <c r="CW405" i="48"/>
  <c r="CW404" i="48"/>
  <c r="CW403" i="48"/>
  <c r="CW402" i="48"/>
  <c r="CW401" i="48"/>
  <c r="CW400" i="48"/>
  <c r="CW399" i="48"/>
  <c r="CW398" i="48"/>
  <c r="CW397" i="48"/>
  <c r="CW396" i="48"/>
  <c r="CW395" i="48"/>
  <c r="CW394" i="48"/>
  <c r="CW393" i="48"/>
  <c r="CW392" i="48"/>
  <c r="CW391" i="48"/>
  <c r="CW390" i="48"/>
  <c r="CW389" i="48"/>
  <c r="CW388" i="48"/>
  <c r="CW387" i="48"/>
  <c r="CW386" i="48"/>
  <c r="CS409" i="48"/>
  <c r="CS408" i="48"/>
  <c r="CS407" i="48"/>
  <c r="CS406" i="48"/>
  <c r="CS405" i="48"/>
  <c r="CS404" i="48"/>
  <c r="CS403" i="48"/>
  <c r="CS402" i="48"/>
  <c r="CS401" i="48"/>
  <c r="CS400" i="48"/>
  <c r="CS399" i="48"/>
  <c r="CS398" i="48"/>
  <c r="CS397" i="48"/>
  <c r="CS396" i="48"/>
  <c r="CS395" i="48"/>
  <c r="CS394" i="48"/>
  <c r="CS393" i="48"/>
  <c r="CS392" i="48"/>
  <c r="CS391" i="48"/>
  <c r="CS390" i="48"/>
  <c r="CS389" i="48"/>
  <c r="CS388" i="48"/>
  <c r="CS387" i="48"/>
  <c r="CS386" i="48"/>
  <c r="CO409" i="48"/>
  <c r="CO408" i="48"/>
  <c r="CO407" i="48"/>
  <c r="CO406" i="48"/>
  <c r="CO405" i="48"/>
  <c r="CO404" i="48"/>
  <c r="CO403" i="48"/>
  <c r="CO402" i="48"/>
  <c r="CO401" i="48"/>
  <c r="CO400" i="48"/>
  <c r="CO399" i="48"/>
  <c r="CO398" i="48"/>
  <c r="CO397" i="48"/>
  <c r="CO396" i="48"/>
  <c r="CO395" i="48"/>
  <c r="CO394" i="48"/>
  <c r="CO393" i="48"/>
  <c r="CO392" i="48"/>
  <c r="CO391" i="48"/>
  <c r="CO390" i="48"/>
  <c r="CO389" i="48"/>
  <c r="CO388" i="48"/>
  <c r="CO387" i="48"/>
  <c r="CO386" i="48"/>
  <c r="CK409" i="48"/>
  <c r="CK408" i="48"/>
  <c r="CK407" i="48"/>
  <c r="CK406" i="48"/>
  <c r="CK405" i="48"/>
  <c r="CK404" i="48"/>
  <c r="CK403" i="48"/>
  <c r="CK402" i="48"/>
  <c r="CK401" i="48"/>
  <c r="CK400" i="48"/>
  <c r="CK399" i="48"/>
  <c r="CK398" i="48"/>
  <c r="CK397" i="48"/>
  <c r="CK396" i="48"/>
  <c r="CK395" i="48"/>
  <c r="CK394" i="48"/>
  <c r="CK393" i="48"/>
  <c r="CK392" i="48"/>
  <c r="CK391" i="48"/>
  <c r="CK390" i="48"/>
  <c r="CK389" i="48"/>
  <c r="CK388" i="48"/>
  <c r="CK387" i="48"/>
  <c r="CK386" i="48"/>
  <c r="CG409" i="48"/>
  <c r="CG408" i="48"/>
  <c r="CG407" i="48"/>
  <c r="CG406" i="48"/>
  <c r="CG405" i="48"/>
  <c r="CG404" i="48"/>
  <c r="CG403" i="48"/>
  <c r="CG402" i="48"/>
  <c r="CG401" i="48"/>
  <c r="CG400" i="48"/>
  <c r="CG399" i="48"/>
  <c r="CG398" i="48"/>
  <c r="CG397" i="48"/>
  <c r="CG396" i="48"/>
  <c r="CG395" i="48"/>
  <c r="CG394" i="48"/>
  <c r="CG393" i="48"/>
  <c r="CG392" i="48"/>
  <c r="CG391" i="48"/>
  <c r="CG390" i="48"/>
  <c r="CG389" i="48"/>
  <c r="CG388" i="48"/>
  <c r="CG387" i="48"/>
  <c r="CG386" i="48"/>
  <c r="CC409" i="48"/>
  <c r="CC408" i="48"/>
  <c r="CC407" i="48"/>
  <c r="CC406" i="48"/>
  <c r="CC405" i="48"/>
  <c r="CC404" i="48"/>
  <c r="CC403" i="48"/>
  <c r="CC402" i="48"/>
  <c r="CC401" i="48"/>
  <c r="CC400" i="48"/>
  <c r="CC399" i="48"/>
  <c r="CC398" i="48"/>
  <c r="CC397" i="48"/>
  <c r="CC396" i="48"/>
  <c r="CC395" i="48"/>
  <c r="CC394" i="48"/>
  <c r="CC393" i="48"/>
  <c r="CC392" i="48"/>
  <c r="CC391" i="48"/>
  <c r="CC390" i="48"/>
  <c r="CC389" i="48"/>
  <c r="CC388" i="48"/>
  <c r="CC387" i="48"/>
  <c r="CC386" i="48"/>
  <c r="BY409" i="48"/>
  <c r="BY408" i="48"/>
  <c r="BY407" i="48"/>
  <c r="BY406" i="48"/>
  <c r="BY405" i="48"/>
  <c r="BY404" i="48"/>
  <c r="BY403" i="48"/>
  <c r="BY402" i="48"/>
  <c r="BY401" i="48"/>
  <c r="BY400" i="48"/>
  <c r="BY399" i="48"/>
  <c r="BY398" i="48"/>
  <c r="BY397" i="48"/>
  <c r="BY396" i="48"/>
  <c r="BY395" i="48"/>
  <c r="BY394" i="48"/>
  <c r="BY393" i="48"/>
  <c r="BY392" i="48"/>
  <c r="BY391" i="48"/>
  <c r="BY390" i="48"/>
  <c r="BY389" i="48"/>
  <c r="BY388" i="48"/>
  <c r="BY387" i="48"/>
  <c r="BY386" i="48"/>
  <c r="BU409" i="48"/>
  <c r="BU408" i="48"/>
  <c r="BU407" i="48"/>
  <c r="BU406" i="48"/>
  <c r="BU405" i="48"/>
  <c r="BU404" i="48"/>
  <c r="BU403" i="48"/>
  <c r="BU402" i="48"/>
  <c r="BU401" i="48"/>
  <c r="BU400" i="48"/>
  <c r="BU399" i="48"/>
  <c r="BU398" i="48"/>
  <c r="BU397" i="48"/>
  <c r="BU396" i="48"/>
  <c r="BU395" i="48"/>
  <c r="BU394" i="48"/>
  <c r="BU393" i="48"/>
  <c r="BU392" i="48"/>
  <c r="BU391" i="48"/>
  <c r="BU390" i="48"/>
  <c r="BU389" i="48"/>
  <c r="BU388" i="48"/>
  <c r="BU387" i="48"/>
  <c r="BU386" i="48"/>
  <c r="BQ409" i="48"/>
  <c r="BQ408" i="48"/>
  <c r="BQ407" i="48"/>
  <c r="BQ406" i="48"/>
  <c r="BQ405" i="48"/>
  <c r="BQ404" i="48"/>
  <c r="BQ403" i="48"/>
  <c r="BQ402" i="48"/>
  <c r="BQ401" i="48"/>
  <c r="BQ400" i="48"/>
  <c r="BQ399" i="48"/>
  <c r="BQ398" i="48"/>
  <c r="BQ397" i="48"/>
  <c r="BQ396" i="48"/>
  <c r="BQ395" i="48"/>
  <c r="BQ394" i="48"/>
  <c r="BQ393" i="48"/>
  <c r="BQ392" i="48"/>
  <c r="BQ391" i="48"/>
  <c r="BQ390" i="48"/>
  <c r="BQ389" i="48"/>
  <c r="BQ388" i="48"/>
  <c r="BQ387" i="48"/>
  <c r="BQ386" i="48"/>
  <c r="BM409" i="48"/>
  <c r="BM408" i="48"/>
  <c r="BM407" i="48"/>
  <c r="BM406" i="48"/>
  <c r="BM405" i="48"/>
  <c r="BM404" i="48"/>
  <c r="BM403" i="48"/>
  <c r="BM402" i="48"/>
  <c r="BM401" i="48"/>
  <c r="BM400" i="48"/>
  <c r="BM399" i="48"/>
  <c r="BM398" i="48"/>
  <c r="BM397" i="48"/>
  <c r="BM396" i="48"/>
  <c r="BM395" i="48"/>
  <c r="BM394" i="48"/>
  <c r="BM393" i="48"/>
  <c r="BM392" i="48"/>
  <c r="BM391" i="48"/>
  <c r="BM390" i="48"/>
  <c r="BM389" i="48"/>
  <c r="BM388" i="48"/>
  <c r="BM387" i="48"/>
  <c r="BM386" i="48"/>
  <c r="BI409" i="48"/>
  <c r="BI408" i="48"/>
  <c r="BI407" i="48"/>
  <c r="BI406" i="48"/>
  <c r="BI405" i="48"/>
  <c r="BI404" i="48"/>
  <c r="BI403" i="48"/>
  <c r="BI402" i="48"/>
  <c r="BI401" i="48"/>
  <c r="BI400" i="48"/>
  <c r="BI399" i="48"/>
  <c r="BI398" i="48"/>
  <c r="BI397" i="48"/>
  <c r="BI396" i="48"/>
  <c r="BI395" i="48"/>
  <c r="BI394" i="48"/>
  <c r="BI393" i="48"/>
  <c r="BI392" i="48"/>
  <c r="BI391" i="48"/>
  <c r="BI390" i="48"/>
  <c r="BI389" i="48"/>
  <c r="BI388" i="48"/>
  <c r="BI387" i="48"/>
  <c r="BI386" i="48"/>
  <c r="BI385" i="48"/>
  <c r="BI384" i="48"/>
  <c r="BI383" i="48"/>
  <c r="BI382" i="48"/>
  <c r="BI381" i="48"/>
  <c r="BI380" i="48"/>
  <c r="BI379" i="48"/>
  <c r="BI378" i="48"/>
  <c r="BI377" i="48"/>
  <c r="BI376" i="48"/>
  <c r="BI375" i="48"/>
  <c r="BI374" i="48"/>
  <c r="BI373" i="48"/>
  <c r="BI372" i="48"/>
  <c r="BI371" i="48"/>
  <c r="BI370" i="48"/>
  <c r="BI369" i="48"/>
  <c r="BI368" i="48"/>
  <c r="BI367" i="48"/>
  <c r="BI366" i="48"/>
  <c r="BI365" i="48"/>
  <c r="BI364" i="48"/>
  <c r="BI363" i="48"/>
  <c r="BI362" i="48"/>
  <c r="BM385" i="48"/>
  <c r="BM384" i="48"/>
  <c r="BM383" i="48"/>
  <c r="BM382" i="48"/>
  <c r="BM381" i="48"/>
  <c r="BM380" i="48"/>
  <c r="BM379" i="48"/>
  <c r="BM378" i="48"/>
  <c r="BM377" i="48"/>
  <c r="BM376" i="48"/>
  <c r="BM375" i="48"/>
  <c r="BM374" i="48"/>
  <c r="BM373" i="48"/>
  <c r="BM372" i="48"/>
  <c r="BM371" i="48"/>
  <c r="BM370" i="48"/>
  <c r="BM369" i="48"/>
  <c r="BM368" i="48"/>
  <c r="BM367" i="48"/>
  <c r="BM366" i="48"/>
  <c r="BM365" i="48"/>
  <c r="BM364" i="48"/>
  <c r="BM363" i="48"/>
  <c r="BM362" i="48"/>
  <c r="BQ385" i="48"/>
  <c r="BQ384" i="48"/>
  <c r="BQ383" i="48"/>
  <c r="BQ382" i="48"/>
  <c r="BQ381" i="48"/>
  <c r="BQ380" i="48"/>
  <c r="BQ379" i="48"/>
  <c r="BQ378" i="48"/>
  <c r="BQ377" i="48"/>
  <c r="BQ376" i="48"/>
  <c r="BQ375" i="48"/>
  <c r="BQ374" i="48"/>
  <c r="BQ373" i="48"/>
  <c r="BQ372" i="48"/>
  <c r="BQ371" i="48"/>
  <c r="BQ370" i="48"/>
  <c r="BQ369" i="48"/>
  <c r="BQ368" i="48"/>
  <c r="BQ367" i="48"/>
  <c r="BQ366" i="48"/>
  <c r="BQ365" i="48"/>
  <c r="BQ364" i="48"/>
  <c r="BQ363" i="48"/>
  <c r="BQ362" i="48"/>
  <c r="BU385" i="48"/>
  <c r="BU384" i="48"/>
  <c r="BU383" i="48"/>
  <c r="BU382" i="48"/>
  <c r="BU381" i="48"/>
  <c r="BU380" i="48"/>
  <c r="BU379" i="48"/>
  <c r="BU378" i="48"/>
  <c r="BU377" i="48"/>
  <c r="BU376" i="48"/>
  <c r="BU375" i="48"/>
  <c r="BU374" i="48"/>
  <c r="BU373" i="48"/>
  <c r="BU372" i="48"/>
  <c r="BU371" i="48"/>
  <c r="BU370" i="48"/>
  <c r="BU369" i="48"/>
  <c r="BU368" i="48"/>
  <c r="BU367" i="48"/>
  <c r="BU366" i="48"/>
  <c r="BU365" i="48"/>
  <c r="BU364" i="48"/>
  <c r="BU363" i="48"/>
  <c r="BU362" i="48"/>
  <c r="BY385" i="48"/>
  <c r="BY384" i="48"/>
  <c r="BY383" i="48"/>
  <c r="BY382" i="48"/>
  <c r="BY381" i="48"/>
  <c r="BY380" i="48"/>
  <c r="BY379" i="48"/>
  <c r="BY378" i="48"/>
  <c r="BY377" i="48"/>
  <c r="BY376" i="48"/>
  <c r="BY375" i="48"/>
  <c r="BY374" i="48"/>
  <c r="BY373" i="48"/>
  <c r="BY372" i="48"/>
  <c r="BY371" i="48"/>
  <c r="BY370" i="48"/>
  <c r="BY369" i="48"/>
  <c r="BY368" i="48"/>
  <c r="BY367" i="48"/>
  <c r="BY366" i="48"/>
  <c r="BY365" i="48"/>
  <c r="BY364" i="48"/>
  <c r="BY363" i="48"/>
  <c r="BY362" i="48"/>
  <c r="CC385" i="48"/>
  <c r="CC384" i="48"/>
  <c r="CC383" i="48"/>
  <c r="CC382" i="48"/>
  <c r="CC381" i="48"/>
  <c r="CC380" i="48"/>
  <c r="CC379" i="48"/>
  <c r="CC378" i="48"/>
  <c r="CC377" i="48"/>
  <c r="CC376" i="48"/>
  <c r="CC375" i="48"/>
  <c r="CC374" i="48"/>
  <c r="CC373" i="48"/>
  <c r="CC372" i="48"/>
  <c r="CC371" i="48"/>
  <c r="CC370" i="48"/>
  <c r="CC369" i="48"/>
  <c r="CC368" i="48"/>
  <c r="CC367" i="48"/>
  <c r="CC366" i="48"/>
  <c r="CC365" i="48"/>
  <c r="CC364" i="48"/>
  <c r="CC363" i="48"/>
  <c r="CC362" i="48"/>
  <c r="CG385" i="48"/>
  <c r="CG384" i="48"/>
  <c r="CG383" i="48"/>
  <c r="CG382" i="48"/>
  <c r="CG381" i="48"/>
  <c r="CG380" i="48"/>
  <c r="CG379" i="48"/>
  <c r="CG378" i="48"/>
  <c r="CG377" i="48"/>
  <c r="CG376" i="48"/>
  <c r="CG375" i="48"/>
  <c r="CG374" i="48"/>
  <c r="CG373" i="48"/>
  <c r="CG372" i="48"/>
  <c r="CG371" i="48"/>
  <c r="CG370" i="48"/>
  <c r="CG369" i="48"/>
  <c r="CG368" i="48"/>
  <c r="CG367" i="48"/>
  <c r="CG366" i="48"/>
  <c r="CG365" i="48"/>
  <c r="CG364" i="48"/>
  <c r="CG363" i="48"/>
  <c r="CG362" i="48"/>
  <c r="CK385" i="48"/>
  <c r="CK384" i="48"/>
  <c r="CK383" i="48"/>
  <c r="CK382" i="48"/>
  <c r="CK381" i="48"/>
  <c r="CK380" i="48"/>
  <c r="CK379" i="48"/>
  <c r="CK378" i="48"/>
  <c r="CK377" i="48"/>
  <c r="CK376" i="48"/>
  <c r="CK373" i="48"/>
  <c r="CK372" i="48"/>
  <c r="CK371" i="48"/>
  <c r="CK370" i="48"/>
  <c r="CK369" i="48"/>
  <c r="CK368" i="48"/>
  <c r="CK367" i="48"/>
  <c r="CK366" i="48"/>
  <c r="CK365" i="48"/>
  <c r="CK364" i="48"/>
  <c r="CK363" i="48"/>
  <c r="CK362" i="48"/>
  <c r="CO385" i="48"/>
  <c r="CO384" i="48"/>
  <c r="CO383" i="48"/>
  <c r="CO382" i="48"/>
  <c r="CO381" i="48"/>
  <c r="CO380" i="48"/>
  <c r="CO379" i="48"/>
  <c r="CO378" i="48"/>
  <c r="CO377" i="48"/>
  <c r="CO376" i="48"/>
  <c r="CO375" i="48"/>
  <c r="CO374" i="48"/>
  <c r="CO373" i="48"/>
  <c r="CO372" i="48"/>
  <c r="CO371" i="48"/>
  <c r="CO370" i="48"/>
  <c r="CO369" i="48"/>
  <c r="CO368" i="48"/>
  <c r="CO367" i="48"/>
  <c r="CO366" i="48"/>
  <c r="CO365" i="48"/>
  <c r="CO364" i="48"/>
  <c r="CO363" i="48"/>
  <c r="CO362" i="48"/>
  <c r="CS385" i="48"/>
  <c r="CS384" i="48"/>
  <c r="CS383" i="48"/>
  <c r="CS382" i="48"/>
  <c r="CS381" i="48"/>
  <c r="CS380" i="48"/>
  <c r="CS379" i="48"/>
  <c r="CS378" i="48"/>
  <c r="CS377" i="48"/>
  <c r="CS376" i="48"/>
  <c r="CS375" i="48"/>
  <c r="CS374" i="48"/>
  <c r="CS373" i="48"/>
  <c r="CS372" i="48"/>
  <c r="CS371" i="48"/>
  <c r="CS370" i="48"/>
  <c r="CS369" i="48"/>
  <c r="CS368" i="48"/>
  <c r="CS367" i="48"/>
  <c r="CS366" i="48"/>
  <c r="CS365" i="48"/>
  <c r="CS364" i="48"/>
  <c r="CS363" i="48"/>
  <c r="CS362" i="48"/>
  <c r="CW385" i="48"/>
  <c r="CW384" i="48"/>
  <c r="CW383" i="48"/>
  <c r="CW382" i="48"/>
  <c r="CW381" i="48"/>
  <c r="CW380" i="48"/>
  <c r="CW379" i="48"/>
  <c r="CW378" i="48"/>
  <c r="CW377" i="48"/>
  <c r="CW376" i="48"/>
  <c r="CW375" i="48"/>
  <c r="CW374" i="48"/>
  <c r="CW373" i="48"/>
  <c r="CW372" i="48"/>
  <c r="CW371" i="48"/>
  <c r="CW370" i="48"/>
  <c r="CW369" i="48"/>
  <c r="CW368" i="48"/>
  <c r="CW367" i="48"/>
  <c r="CW366" i="48"/>
  <c r="CW365" i="48"/>
  <c r="CW364" i="48"/>
  <c r="CW363" i="48"/>
  <c r="CW362" i="48"/>
  <c r="DA385" i="48"/>
  <c r="DA384" i="48"/>
  <c r="DA383" i="48"/>
  <c r="DA382" i="48"/>
  <c r="DA381" i="48"/>
  <c r="DA380" i="48"/>
  <c r="DA379" i="48"/>
  <c r="DA378" i="48"/>
  <c r="DA377" i="48"/>
  <c r="DA376" i="48"/>
  <c r="DA375" i="48"/>
  <c r="DA374" i="48"/>
  <c r="DA373" i="48"/>
  <c r="DA372" i="48"/>
  <c r="DA371" i="48"/>
  <c r="DA370" i="48"/>
  <c r="DA369" i="48"/>
  <c r="DA368" i="48"/>
  <c r="DA367" i="48"/>
  <c r="DA366" i="48"/>
  <c r="DA365" i="48"/>
  <c r="DA364" i="48"/>
  <c r="DA363" i="48"/>
  <c r="DA362" i="48"/>
  <c r="DA361" i="48"/>
  <c r="DA360" i="48"/>
  <c r="DA359" i="48"/>
  <c r="DA358" i="48"/>
  <c r="DA357" i="48"/>
  <c r="DA356" i="48"/>
  <c r="DA355" i="48"/>
  <c r="DA354" i="48"/>
  <c r="DA353" i="48"/>
  <c r="DA352" i="48"/>
  <c r="DA351" i="48"/>
  <c r="DA350" i="48"/>
  <c r="DA349" i="48"/>
  <c r="DA348" i="48"/>
  <c r="DA347" i="48"/>
  <c r="DA346" i="48"/>
  <c r="DA345" i="48"/>
  <c r="DA344" i="48"/>
  <c r="DA343" i="48"/>
  <c r="DA342" i="48"/>
  <c r="DA341" i="48"/>
  <c r="DA340" i="48"/>
  <c r="DA339" i="48"/>
  <c r="DA338" i="48"/>
  <c r="CW361" i="48"/>
  <c r="CW360" i="48"/>
  <c r="CW359" i="48"/>
  <c r="CW358" i="48"/>
  <c r="CW357" i="48"/>
  <c r="CW356" i="48"/>
  <c r="CW355" i="48"/>
  <c r="CW354" i="48"/>
  <c r="CW353" i="48"/>
  <c r="CW352" i="48"/>
  <c r="CW351" i="48"/>
  <c r="CW350" i="48"/>
  <c r="CW349" i="48"/>
  <c r="CW348" i="48"/>
  <c r="CW347" i="48"/>
  <c r="CW346" i="48"/>
  <c r="CW345" i="48"/>
  <c r="CW344" i="48"/>
  <c r="CW343" i="48"/>
  <c r="CW342" i="48"/>
  <c r="CW341" i="48"/>
  <c r="CW340" i="48"/>
  <c r="CW339" i="48"/>
  <c r="CW338" i="48"/>
  <c r="CS361" i="48"/>
  <c r="CS360" i="48"/>
  <c r="CS359" i="48"/>
  <c r="CS358" i="48"/>
  <c r="CS357" i="48"/>
  <c r="CS356" i="48"/>
  <c r="CS355" i="48"/>
  <c r="CS354" i="48"/>
  <c r="CS353" i="48"/>
  <c r="CS352" i="48"/>
  <c r="CS351" i="48"/>
  <c r="CS350" i="48"/>
  <c r="CS349" i="48"/>
  <c r="CS348" i="48"/>
  <c r="CS347" i="48"/>
  <c r="CS346" i="48"/>
  <c r="CS345" i="48"/>
  <c r="CS344" i="48"/>
  <c r="CS343" i="48"/>
  <c r="CS342" i="48"/>
  <c r="CS341" i="48"/>
  <c r="CS340" i="48"/>
  <c r="CS339" i="48"/>
  <c r="CS338" i="48"/>
  <c r="CO361" i="48"/>
  <c r="CO360" i="48"/>
  <c r="CO359" i="48"/>
  <c r="CO358" i="48"/>
  <c r="CO357" i="48"/>
  <c r="CO356" i="48"/>
  <c r="CO355" i="48"/>
  <c r="CO354" i="48"/>
  <c r="CO353" i="48"/>
  <c r="CO352" i="48"/>
  <c r="CO351" i="48"/>
  <c r="CO350" i="48"/>
  <c r="CO349" i="48"/>
  <c r="CO348" i="48"/>
  <c r="CO347" i="48"/>
  <c r="CO346" i="48"/>
  <c r="CO345" i="48"/>
  <c r="CO344" i="48"/>
  <c r="CO343" i="48"/>
  <c r="CO342" i="48"/>
  <c r="CO341" i="48"/>
  <c r="CO340" i="48"/>
  <c r="CO339" i="48"/>
  <c r="CO338" i="48"/>
  <c r="CK361" i="48"/>
  <c r="CK360" i="48"/>
  <c r="CK359" i="48"/>
  <c r="CK358" i="48"/>
  <c r="CK357" i="48"/>
  <c r="CK356" i="48"/>
  <c r="CK355" i="48"/>
  <c r="CK354" i="48"/>
  <c r="CK353" i="48"/>
  <c r="CK352" i="48"/>
  <c r="CK351" i="48"/>
  <c r="CK350" i="48"/>
  <c r="CK349" i="48"/>
  <c r="CK348" i="48"/>
  <c r="CK347" i="48"/>
  <c r="CK346" i="48"/>
  <c r="CK345" i="48"/>
  <c r="CK344" i="48"/>
  <c r="CK343" i="48"/>
  <c r="CK342" i="48"/>
  <c r="CK341" i="48"/>
  <c r="CK340" i="48"/>
  <c r="CK339" i="48"/>
  <c r="CK338" i="48"/>
  <c r="CG361" i="48"/>
  <c r="CG360" i="48"/>
  <c r="CG359" i="48"/>
  <c r="CG358" i="48"/>
  <c r="CG357" i="48"/>
  <c r="CG356" i="48"/>
  <c r="CG355" i="48"/>
  <c r="CG354" i="48"/>
  <c r="CG353" i="48"/>
  <c r="CG352" i="48"/>
  <c r="CG351" i="48"/>
  <c r="CG350" i="48"/>
  <c r="CG349" i="48"/>
  <c r="CG348" i="48"/>
  <c r="CG347" i="48"/>
  <c r="CG346" i="48"/>
  <c r="CG345" i="48"/>
  <c r="CG344" i="48"/>
  <c r="CG343" i="48"/>
  <c r="CG342" i="48"/>
  <c r="CG341" i="48"/>
  <c r="CG340" i="48"/>
  <c r="CG339" i="48"/>
  <c r="CG338" i="48"/>
  <c r="CC361" i="48"/>
  <c r="CC360" i="48"/>
  <c r="CC359" i="48"/>
  <c r="CC358" i="48"/>
  <c r="CC357" i="48"/>
  <c r="CC356" i="48"/>
  <c r="CC355" i="48"/>
  <c r="CC354" i="48"/>
  <c r="CC353" i="48"/>
  <c r="CC352" i="48"/>
  <c r="CC351" i="48"/>
  <c r="CC350" i="48"/>
  <c r="CC349" i="48"/>
  <c r="CC348" i="48"/>
  <c r="CC347" i="48"/>
  <c r="CC346" i="48"/>
  <c r="CC345" i="48"/>
  <c r="CC344" i="48"/>
  <c r="CC343" i="48"/>
  <c r="CC342" i="48"/>
  <c r="CC341" i="48"/>
  <c r="CC340" i="48"/>
  <c r="CC339" i="48"/>
  <c r="CC338" i="48"/>
  <c r="BY361" i="48"/>
  <c r="BY360" i="48"/>
  <c r="BY359" i="48"/>
  <c r="BY358" i="48"/>
  <c r="BY357" i="48"/>
  <c r="BY356" i="48"/>
  <c r="BY355" i="48"/>
  <c r="BY354" i="48"/>
  <c r="BY353" i="48"/>
  <c r="BY352" i="48"/>
  <c r="BY351" i="48"/>
  <c r="BY350" i="48"/>
  <c r="BY349" i="48"/>
  <c r="BY348" i="48"/>
  <c r="BY347" i="48"/>
  <c r="BY346" i="48"/>
  <c r="BY345" i="48"/>
  <c r="BY344" i="48"/>
  <c r="BY343" i="48"/>
  <c r="BY342" i="48"/>
  <c r="BY341" i="48"/>
  <c r="BY340" i="48"/>
  <c r="BY339" i="48"/>
  <c r="BY338" i="48"/>
  <c r="BU361" i="48"/>
  <c r="BU360" i="48"/>
  <c r="BU359" i="48"/>
  <c r="BU358" i="48"/>
  <c r="BU357" i="48"/>
  <c r="BU356" i="48"/>
  <c r="BU355" i="48"/>
  <c r="BU354" i="48"/>
  <c r="BU353" i="48"/>
  <c r="BU352" i="48"/>
  <c r="BU351" i="48"/>
  <c r="BU350" i="48"/>
  <c r="BU349" i="48"/>
  <c r="BU348" i="48"/>
  <c r="BU347" i="48"/>
  <c r="BU346" i="48"/>
  <c r="BU345" i="48"/>
  <c r="BU344" i="48"/>
  <c r="BU343" i="48"/>
  <c r="BU342" i="48"/>
  <c r="BU341" i="48"/>
  <c r="BU340" i="48"/>
  <c r="BU339" i="48"/>
  <c r="BU338" i="48"/>
  <c r="BQ361" i="48"/>
  <c r="BQ360" i="48"/>
  <c r="BQ359" i="48"/>
  <c r="BQ358" i="48"/>
  <c r="BQ357" i="48"/>
  <c r="BQ356" i="48"/>
  <c r="BQ355" i="48"/>
  <c r="BQ354" i="48"/>
  <c r="BQ353" i="48"/>
  <c r="BQ352" i="48"/>
  <c r="BQ351" i="48"/>
  <c r="BQ350" i="48"/>
  <c r="BQ349" i="48"/>
  <c r="BQ348" i="48"/>
  <c r="BQ347" i="48"/>
  <c r="BQ346" i="48"/>
  <c r="BQ345" i="48"/>
  <c r="BQ344" i="48"/>
  <c r="BQ343" i="48"/>
  <c r="BQ342" i="48"/>
  <c r="BQ341" i="48"/>
  <c r="BQ340" i="48"/>
  <c r="BQ339" i="48"/>
  <c r="BQ338" i="48"/>
  <c r="BM361" i="48"/>
  <c r="BM360" i="48"/>
  <c r="BM359" i="48"/>
  <c r="BM358" i="48"/>
  <c r="BM357" i="48"/>
  <c r="BM356" i="48"/>
  <c r="BM355" i="48"/>
  <c r="BM354" i="48"/>
  <c r="BM353" i="48"/>
  <c r="BM352" i="48"/>
  <c r="BM351" i="48"/>
  <c r="BM350" i="48"/>
  <c r="BM349" i="48"/>
  <c r="BM348" i="48"/>
  <c r="BM347" i="48"/>
  <c r="BM346" i="48"/>
  <c r="BM345" i="48"/>
  <c r="BM344" i="48"/>
  <c r="BM343" i="48"/>
  <c r="BM342" i="48"/>
  <c r="BM341" i="48"/>
  <c r="BM340" i="48"/>
  <c r="BM339" i="48"/>
  <c r="BM338" i="48"/>
  <c r="BI361" i="48"/>
  <c r="BI360" i="48"/>
  <c r="BI359" i="48"/>
  <c r="BI358" i="48"/>
  <c r="BI357" i="48"/>
  <c r="BI356" i="48"/>
  <c r="BI355" i="48"/>
  <c r="BI354" i="48"/>
  <c r="BI353" i="48"/>
  <c r="BI352" i="48"/>
  <c r="BI351" i="48"/>
  <c r="BI350" i="48"/>
  <c r="BI349" i="48"/>
  <c r="BI348" i="48"/>
  <c r="BI347" i="48"/>
  <c r="BI346" i="48"/>
  <c r="BI345" i="48"/>
  <c r="BI344" i="48"/>
  <c r="BI343" i="48"/>
  <c r="BI342" i="48"/>
  <c r="BI341" i="48"/>
  <c r="BI340" i="48"/>
  <c r="BI339" i="48"/>
  <c r="BI338" i="48"/>
  <c r="BI337" i="48"/>
  <c r="BI336" i="48"/>
  <c r="BI335" i="48"/>
  <c r="BI334" i="48"/>
  <c r="BI333" i="48"/>
  <c r="BI332" i="48"/>
  <c r="BI331" i="48"/>
  <c r="BI330" i="48"/>
  <c r="BI329" i="48"/>
  <c r="BI328" i="48"/>
  <c r="BI327" i="48"/>
  <c r="BI326" i="48"/>
  <c r="BI325" i="48"/>
  <c r="BI324" i="48"/>
  <c r="BI323" i="48"/>
  <c r="BI322" i="48"/>
  <c r="BI321" i="48"/>
  <c r="BI320" i="48"/>
  <c r="BI319" i="48"/>
  <c r="BI318" i="48"/>
  <c r="BI317" i="48"/>
  <c r="BI316" i="48"/>
  <c r="BI315" i="48"/>
  <c r="BI314" i="48"/>
  <c r="BM337" i="48"/>
  <c r="BM336" i="48"/>
  <c r="BM335" i="48"/>
  <c r="BM334" i="48"/>
  <c r="BM333" i="48"/>
  <c r="BM332" i="48"/>
  <c r="BM331" i="48"/>
  <c r="BM330" i="48"/>
  <c r="BM329" i="48"/>
  <c r="BM328" i="48"/>
  <c r="BM327" i="48"/>
  <c r="BM326" i="48"/>
  <c r="BM325" i="48"/>
  <c r="BM324" i="48"/>
  <c r="BM323" i="48"/>
  <c r="BM322" i="48"/>
  <c r="BM321" i="48"/>
  <c r="BM320" i="48"/>
  <c r="BM319" i="48"/>
  <c r="BM318" i="48"/>
  <c r="BM317" i="48"/>
  <c r="BM316" i="48"/>
  <c r="BM315" i="48"/>
  <c r="BM314" i="48"/>
  <c r="BQ337" i="48"/>
  <c r="BQ336" i="48"/>
  <c r="BQ335" i="48"/>
  <c r="BQ334" i="48"/>
  <c r="BQ333" i="48"/>
  <c r="BQ332" i="48"/>
  <c r="BQ331" i="48"/>
  <c r="BQ330" i="48"/>
  <c r="BQ329" i="48"/>
  <c r="BQ328" i="48"/>
  <c r="BQ327" i="48"/>
  <c r="BQ326" i="48"/>
  <c r="BQ325" i="48"/>
  <c r="BQ324" i="48"/>
  <c r="BQ323" i="48"/>
  <c r="BQ322" i="48"/>
  <c r="BQ321" i="48"/>
  <c r="BQ320" i="48"/>
  <c r="BQ319" i="48"/>
  <c r="BQ318" i="48"/>
  <c r="BQ317" i="48"/>
  <c r="BQ316" i="48"/>
  <c r="BQ315" i="48"/>
  <c r="BQ314" i="48"/>
  <c r="BU337" i="48"/>
  <c r="BU336" i="48"/>
  <c r="BU335" i="48"/>
  <c r="BU334" i="48"/>
  <c r="BU333" i="48"/>
  <c r="BU332" i="48"/>
  <c r="BU331" i="48"/>
  <c r="BU330" i="48"/>
  <c r="BU329" i="48"/>
  <c r="BU328" i="48"/>
  <c r="BU327" i="48"/>
  <c r="BU326" i="48"/>
  <c r="BU325" i="48"/>
  <c r="BU324" i="48"/>
  <c r="BU323" i="48"/>
  <c r="BU322" i="48"/>
  <c r="BU321" i="48"/>
  <c r="BU320" i="48"/>
  <c r="BU319" i="48"/>
  <c r="BU318" i="48"/>
  <c r="BU317" i="48"/>
  <c r="BU316" i="48"/>
  <c r="BU315" i="48"/>
  <c r="BU314" i="48"/>
  <c r="BY337" i="48"/>
  <c r="BY336" i="48"/>
  <c r="BY335" i="48"/>
  <c r="BY334" i="48"/>
  <c r="BY333" i="48"/>
  <c r="BY332" i="48"/>
  <c r="BY331" i="48"/>
  <c r="BY330" i="48"/>
  <c r="BY329" i="48"/>
  <c r="BY328" i="48"/>
  <c r="BY327" i="48"/>
  <c r="BY326" i="48"/>
  <c r="BY325" i="48"/>
  <c r="BY324" i="48"/>
  <c r="BY323" i="48"/>
  <c r="BY322" i="48"/>
  <c r="BY321" i="48"/>
  <c r="BY320" i="48"/>
  <c r="BY319" i="48"/>
  <c r="BY318" i="48"/>
  <c r="BY317" i="48"/>
  <c r="BY316" i="48"/>
  <c r="BY315" i="48"/>
  <c r="BY314" i="48"/>
  <c r="CC337" i="48"/>
  <c r="CC336" i="48"/>
  <c r="CC335" i="48"/>
  <c r="CC334" i="48"/>
  <c r="CC333" i="48"/>
  <c r="CC332" i="48"/>
  <c r="CC331" i="48"/>
  <c r="CC330" i="48"/>
  <c r="CC329" i="48"/>
  <c r="CC328" i="48"/>
  <c r="CC327" i="48"/>
  <c r="CC326" i="48"/>
  <c r="CC325" i="48"/>
  <c r="CC324" i="48"/>
  <c r="CC323" i="48"/>
  <c r="CC322" i="48"/>
  <c r="CC321" i="48"/>
  <c r="CC320" i="48"/>
  <c r="CC319" i="48"/>
  <c r="CC318" i="48"/>
  <c r="CC317" i="48"/>
  <c r="CC316" i="48"/>
  <c r="CC315" i="48"/>
  <c r="CC314" i="48"/>
  <c r="CG337" i="48"/>
  <c r="CG336" i="48"/>
  <c r="CG335" i="48"/>
  <c r="CG334" i="48"/>
  <c r="CG333" i="48"/>
  <c r="CG332" i="48"/>
  <c r="CG331" i="48"/>
  <c r="CG330" i="48"/>
  <c r="CG329" i="48"/>
  <c r="CG328" i="48"/>
  <c r="CG327" i="48"/>
  <c r="CG326" i="48"/>
  <c r="CG325" i="48"/>
  <c r="CG324" i="48"/>
  <c r="CG323" i="48"/>
  <c r="CG322" i="48"/>
  <c r="CG321" i="48"/>
  <c r="CG320" i="48"/>
  <c r="CG319" i="48"/>
  <c r="CG318" i="48"/>
  <c r="CG317" i="48"/>
  <c r="CG316" i="48"/>
  <c r="CG315" i="48"/>
  <c r="CG314" i="48"/>
  <c r="CK337" i="48"/>
  <c r="CK336" i="48"/>
  <c r="CK335" i="48"/>
  <c r="CK334" i="48"/>
  <c r="CK333" i="48"/>
  <c r="CK332" i="48"/>
  <c r="CK331" i="48"/>
  <c r="CK330" i="48"/>
  <c r="CK329" i="48"/>
  <c r="CK328" i="48"/>
  <c r="CK327" i="48"/>
  <c r="CK326" i="48"/>
  <c r="CK325" i="48"/>
  <c r="CK324" i="48"/>
  <c r="CK323" i="48"/>
  <c r="CK322" i="48"/>
  <c r="CK321" i="48"/>
  <c r="CK320" i="48"/>
  <c r="CK319" i="48"/>
  <c r="CK318" i="48"/>
  <c r="CK317" i="48"/>
  <c r="CK316" i="48"/>
  <c r="CK315" i="48"/>
  <c r="CK314" i="48"/>
  <c r="CO337" i="48"/>
  <c r="CO336" i="48"/>
  <c r="CO335" i="48"/>
  <c r="CO334" i="48"/>
  <c r="CO333" i="48"/>
  <c r="CO332" i="48"/>
  <c r="CO331" i="48"/>
  <c r="CO330" i="48"/>
  <c r="CO329" i="48"/>
  <c r="CO328" i="48"/>
  <c r="CO327" i="48"/>
  <c r="CO326" i="48"/>
  <c r="CO325" i="48"/>
  <c r="CO324" i="48"/>
  <c r="CO323" i="48"/>
  <c r="CO322" i="48"/>
  <c r="CO321" i="48"/>
  <c r="CO320" i="48"/>
  <c r="CO319" i="48"/>
  <c r="CO318" i="48"/>
  <c r="CO317" i="48"/>
  <c r="CO316" i="48"/>
  <c r="CO315" i="48"/>
  <c r="CO314" i="48"/>
  <c r="CS337" i="48"/>
  <c r="CS336" i="48"/>
  <c r="CS335" i="48"/>
  <c r="CS334" i="48"/>
  <c r="CS333" i="48"/>
  <c r="CS332" i="48"/>
  <c r="CS331" i="48"/>
  <c r="CS330" i="48"/>
  <c r="CS329" i="48"/>
  <c r="CS328" i="48"/>
  <c r="CS327" i="48"/>
  <c r="CS326" i="48"/>
  <c r="CS325" i="48"/>
  <c r="CS324" i="48"/>
  <c r="CS323" i="48"/>
  <c r="CS322" i="48"/>
  <c r="CS321" i="48"/>
  <c r="CS320" i="48"/>
  <c r="CS319" i="48"/>
  <c r="CS318" i="48"/>
  <c r="CS317" i="48"/>
  <c r="CS316" i="48"/>
  <c r="CS315" i="48"/>
  <c r="CS314" i="48"/>
  <c r="CW337" i="48"/>
  <c r="CW336" i="48"/>
  <c r="CW335" i="48"/>
  <c r="CW334" i="48"/>
  <c r="CW333" i="48"/>
  <c r="CW332" i="48"/>
  <c r="CW331" i="48"/>
  <c r="CW330" i="48"/>
  <c r="CW329" i="48"/>
  <c r="CW328" i="48"/>
  <c r="CW327" i="48"/>
  <c r="CW326" i="48"/>
  <c r="CW325" i="48"/>
  <c r="CW324" i="48"/>
  <c r="CW323" i="48"/>
  <c r="CW322" i="48"/>
  <c r="CW321" i="48"/>
  <c r="CW320" i="48"/>
  <c r="CW319" i="48"/>
  <c r="CW318" i="48"/>
  <c r="CW317" i="48"/>
  <c r="CW316" i="48"/>
  <c r="CW315" i="48"/>
  <c r="CW314" i="48"/>
  <c r="DA337" i="48"/>
  <c r="DA336" i="48"/>
  <c r="DA335" i="48"/>
  <c r="DA334" i="48"/>
  <c r="DA333" i="48"/>
  <c r="DA332" i="48"/>
  <c r="DA331" i="48"/>
  <c r="DA330" i="48"/>
  <c r="DA329" i="48"/>
  <c r="DA328" i="48"/>
  <c r="DA327" i="48"/>
  <c r="DA326" i="48"/>
  <c r="DA325" i="48"/>
  <c r="DA324" i="48"/>
  <c r="DA323" i="48"/>
  <c r="DA322" i="48"/>
  <c r="DA321" i="48"/>
  <c r="DA320" i="48"/>
  <c r="DA319" i="48"/>
  <c r="DA318" i="48"/>
  <c r="DA317" i="48"/>
  <c r="DA316" i="48"/>
  <c r="DA315" i="48"/>
  <c r="DA314" i="48"/>
  <c r="DA313" i="48"/>
  <c r="DA312" i="48"/>
  <c r="DA311" i="48"/>
  <c r="DA310" i="48"/>
  <c r="DA309" i="48"/>
  <c r="DA308" i="48"/>
  <c r="DA307" i="48"/>
  <c r="DA306" i="48"/>
  <c r="DA305" i="48"/>
  <c r="DA304" i="48"/>
  <c r="DA303" i="48"/>
  <c r="DA302" i="48"/>
  <c r="DA301" i="48"/>
  <c r="DA300" i="48"/>
  <c r="DA299" i="48"/>
  <c r="DA298" i="48"/>
  <c r="DA297" i="48"/>
  <c r="DA296" i="48"/>
  <c r="DA295" i="48"/>
  <c r="DA294" i="48"/>
  <c r="DA293" i="48"/>
  <c r="DA292" i="48"/>
  <c r="DA291" i="48"/>
  <c r="DA290" i="48"/>
  <c r="CW313" i="48"/>
  <c r="CW312" i="48"/>
  <c r="CW311" i="48"/>
  <c r="CW310" i="48"/>
  <c r="CW309" i="48"/>
  <c r="CW308" i="48"/>
  <c r="CW307" i="48"/>
  <c r="CW306" i="48"/>
  <c r="CW305" i="48"/>
  <c r="CW304" i="48"/>
  <c r="CW303" i="48"/>
  <c r="CW302" i="48"/>
  <c r="CW301" i="48"/>
  <c r="CW300" i="48"/>
  <c r="CW299" i="48"/>
  <c r="CW298" i="48"/>
  <c r="CW297" i="48"/>
  <c r="CW296" i="48"/>
  <c r="CW295" i="48"/>
  <c r="CW294" i="48"/>
  <c r="CW293" i="48"/>
  <c r="CW292" i="48"/>
  <c r="CW291" i="48"/>
  <c r="CW290" i="48"/>
  <c r="CS313" i="48"/>
  <c r="CS312" i="48"/>
  <c r="CS311" i="48"/>
  <c r="CS310" i="48"/>
  <c r="CS309" i="48"/>
  <c r="CS308" i="48"/>
  <c r="CS307" i="48"/>
  <c r="CS306" i="48"/>
  <c r="CS305" i="48"/>
  <c r="CS304" i="48"/>
  <c r="CS303" i="48"/>
  <c r="CS302" i="48"/>
  <c r="CS301" i="48"/>
  <c r="CS300" i="48"/>
  <c r="CS299" i="48"/>
  <c r="CS298" i="48"/>
  <c r="CS297" i="48"/>
  <c r="CS296" i="48"/>
  <c r="CS295" i="48"/>
  <c r="CS294" i="48"/>
  <c r="CS293" i="48"/>
  <c r="CS292" i="48"/>
  <c r="CS291" i="48"/>
  <c r="CS290" i="48"/>
  <c r="CO313" i="48"/>
  <c r="CO312" i="48"/>
  <c r="CO311" i="48"/>
  <c r="CO310" i="48"/>
  <c r="CO309" i="48"/>
  <c r="CO308" i="48"/>
  <c r="CO307" i="48"/>
  <c r="CO306" i="48"/>
  <c r="CO305" i="48"/>
  <c r="CO304" i="48"/>
  <c r="CO303" i="48"/>
  <c r="CO302" i="48"/>
  <c r="CO301" i="48"/>
  <c r="CO300" i="48"/>
  <c r="CO299" i="48"/>
  <c r="CO298" i="48"/>
  <c r="CO297" i="48"/>
  <c r="CO296" i="48"/>
  <c r="CO295" i="48"/>
  <c r="CO294" i="48"/>
  <c r="CO293" i="48"/>
  <c r="CO292" i="48"/>
  <c r="CO291" i="48"/>
  <c r="CO290" i="48"/>
  <c r="CK313" i="48"/>
  <c r="CK312" i="48"/>
  <c r="CK311" i="48"/>
  <c r="CK310" i="48"/>
  <c r="CK309" i="48"/>
  <c r="CK308" i="48"/>
  <c r="CK307" i="48"/>
  <c r="CK306" i="48"/>
  <c r="CK305" i="48"/>
  <c r="CK304" i="48"/>
  <c r="CK303" i="48"/>
  <c r="CK302" i="48"/>
  <c r="CK301" i="48"/>
  <c r="CK300" i="48"/>
  <c r="CK299" i="48"/>
  <c r="CK298" i="48"/>
  <c r="CK297" i="48"/>
  <c r="CK296" i="48"/>
  <c r="CK295" i="48"/>
  <c r="CK294" i="48"/>
  <c r="CK293" i="48"/>
  <c r="CK292" i="48"/>
  <c r="CK291" i="48"/>
  <c r="CK290" i="48"/>
  <c r="CG313" i="48"/>
  <c r="CG312" i="48"/>
  <c r="CG311" i="48"/>
  <c r="CG310" i="48"/>
  <c r="CG309" i="48"/>
  <c r="CG308" i="48"/>
  <c r="CG307" i="48"/>
  <c r="CG306" i="48"/>
  <c r="CG305" i="48"/>
  <c r="CG304" i="48"/>
  <c r="CG303" i="48"/>
  <c r="CG302" i="48"/>
  <c r="CG301" i="48"/>
  <c r="CG300" i="48"/>
  <c r="CG299" i="48"/>
  <c r="CG298" i="48"/>
  <c r="CG297" i="48"/>
  <c r="CG296" i="48"/>
  <c r="CG295" i="48"/>
  <c r="CG294" i="48"/>
  <c r="CG293" i="48"/>
  <c r="CG292" i="48"/>
  <c r="CG291" i="48"/>
  <c r="CG290" i="48"/>
  <c r="CC313" i="48"/>
  <c r="CC312" i="48"/>
  <c r="CC311" i="48"/>
  <c r="CC310" i="48"/>
  <c r="CC309" i="48"/>
  <c r="CC308" i="48"/>
  <c r="CC307" i="48"/>
  <c r="CC306" i="48"/>
  <c r="CC305" i="48"/>
  <c r="CC304" i="48"/>
  <c r="CC303" i="48"/>
  <c r="CC302" i="48"/>
  <c r="CC301" i="48"/>
  <c r="CC300" i="48"/>
  <c r="CC299" i="48"/>
  <c r="CC298" i="48"/>
  <c r="CC297" i="48"/>
  <c r="CC296" i="48"/>
  <c r="CC295" i="48"/>
  <c r="CC294" i="48"/>
  <c r="CC293" i="48"/>
  <c r="CC292" i="48"/>
  <c r="CC291" i="48"/>
  <c r="CC290" i="48"/>
  <c r="BY313" i="48"/>
  <c r="BY312" i="48"/>
  <c r="BY311" i="48"/>
  <c r="BY310" i="48"/>
  <c r="BY309" i="48"/>
  <c r="BY308" i="48"/>
  <c r="BY307" i="48"/>
  <c r="BY306" i="48"/>
  <c r="BY305" i="48"/>
  <c r="BY304" i="48"/>
  <c r="BY303" i="48"/>
  <c r="BY302" i="48"/>
  <c r="BY301" i="48"/>
  <c r="BY300" i="48"/>
  <c r="BY299" i="48"/>
  <c r="BY298" i="48"/>
  <c r="BY297" i="48"/>
  <c r="BY296" i="48"/>
  <c r="BY295" i="48"/>
  <c r="BY294" i="48"/>
  <c r="BY293" i="48"/>
  <c r="BY292" i="48"/>
  <c r="BY291" i="48"/>
  <c r="BY290" i="48"/>
  <c r="BU313" i="48"/>
  <c r="BU312" i="48"/>
  <c r="BU311" i="48"/>
  <c r="BU310" i="48"/>
  <c r="BU309" i="48"/>
  <c r="BU308" i="48"/>
  <c r="BU307" i="48"/>
  <c r="BU306" i="48"/>
  <c r="BU305" i="48"/>
  <c r="BU304" i="48"/>
  <c r="BU303" i="48"/>
  <c r="BU302" i="48"/>
  <c r="BU301" i="48"/>
  <c r="BU300" i="48"/>
  <c r="BU299" i="48"/>
  <c r="BU298" i="48"/>
  <c r="BU297" i="48"/>
  <c r="BU296" i="48"/>
  <c r="BU295" i="48"/>
  <c r="BU294" i="48"/>
  <c r="BU293" i="48"/>
  <c r="BU292" i="48"/>
  <c r="BU291" i="48"/>
  <c r="BU290" i="48"/>
  <c r="BQ313" i="48"/>
  <c r="BQ312" i="48"/>
  <c r="BQ311" i="48"/>
  <c r="BQ310" i="48"/>
  <c r="BQ309" i="48"/>
  <c r="BQ308" i="48"/>
  <c r="BQ307" i="48"/>
  <c r="BQ306" i="48"/>
  <c r="BQ305" i="48"/>
  <c r="BQ304" i="48"/>
  <c r="BQ303" i="48"/>
  <c r="BQ302" i="48"/>
  <c r="BQ301" i="48"/>
  <c r="BQ300" i="48"/>
  <c r="BQ299" i="48"/>
  <c r="BQ298" i="48"/>
  <c r="BQ297" i="48"/>
  <c r="BQ296" i="48"/>
  <c r="BQ295" i="48"/>
  <c r="BQ294" i="48"/>
  <c r="BQ293" i="48"/>
  <c r="BQ292" i="48"/>
  <c r="BQ291" i="48"/>
  <c r="BQ290" i="48"/>
  <c r="BM313" i="48"/>
  <c r="BM312" i="48"/>
  <c r="BM311" i="48"/>
  <c r="BM310" i="48"/>
  <c r="BM309" i="48"/>
  <c r="BM308" i="48"/>
  <c r="BM307" i="48"/>
  <c r="BM306" i="48"/>
  <c r="BM305" i="48"/>
  <c r="BM304" i="48"/>
  <c r="BM303" i="48"/>
  <c r="BM302" i="48"/>
  <c r="BM301" i="48"/>
  <c r="BM300" i="48"/>
  <c r="BM299" i="48"/>
  <c r="BM298" i="48"/>
  <c r="BM297" i="48"/>
  <c r="BM296" i="48"/>
  <c r="BM295" i="48"/>
  <c r="BM294" i="48"/>
  <c r="BM293" i="48"/>
  <c r="BM292" i="48"/>
  <c r="BM291" i="48"/>
  <c r="BM290" i="48"/>
  <c r="BI313" i="48"/>
  <c r="BI312" i="48"/>
  <c r="BI311" i="48"/>
  <c r="BI310" i="48"/>
  <c r="BI309" i="48"/>
  <c r="BI308" i="48"/>
  <c r="BI307" i="48"/>
  <c r="BI306" i="48"/>
  <c r="BI305" i="48"/>
  <c r="BI304" i="48"/>
  <c r="BI303" i="48"/>
  <c r="BI302" i="48"/>
  <c r="BI301" i="48"/>
  <c r="BI300" i="48"/>
  <c r="BI299" i="48"/>
  <c r="BI298" i="48"/>
  <c r="BI297" i="48"/>
  <c r="BI296" i="48"/>
  <c r="BI295" i="48"/>
  <c r="BI294" i="48"/>
  <c r="BI293" i="48"/>
  <c r="BI292" i="48"/>
  <c r="BI291" i="48"/>
  <c r="BI290" i="48"/>
  <c r="DA289" i="48"/>
  <c r="DA288" i="48"/>
  <c r="DA287" i="48"/>
  <c r="DA286" i="48"/>
  <c r="DA285" i="48"/>
  <c r="DA284" i="48"/>
  <c r="DA283" i="48"/>
  <c r="DA282" i="48"/>
  <c r="DA281" i="48"/>
  <c r="DA280" i="48"/>
  <c r="DA279" i="48"/>
  <c r="DA278" i="48"/>
  <c r="DA277" i="48"/>
  <c r="DA276" i="48"/>
  <c r="DA275" i="48"/>
  <c r="DA274" i="48"/>
  <c r="DA273" i="48"/>
  <c r="DA272" i="48"/>
  <c r="DA271" i="48"/>
  <c r="DA270" i="48"/>
  <c r="DA269" i="48"/>
  <c r="DA268" i="48"/>
  <c r="DA267" i="48"/>
  <c r="DA266" i="48"/>
  <c r="CW289" i="48"/>
  <c r="CW288" i="48"/>
  <c r="CW287" i="48"/>
  <c r="CW286" i="48"/>
  <c r="CW285" i="48"/>
  <c r="CW284" i="48"/>
  <c r="CW283" i="48"/>
  <c r="CW282" i="48"/>
  <c r="CW281" i="48"/>
  <c r="CW280" i="48"/>
  <c r="CW279" i="48"/>
  <c r="CW278" i="48"/>
  <c r="CW277" i="48"/>
  <c r="CW276" i="48"/>
  <c r="CW275" i="48"/>
  <c r="CW274" i="48"/>
  <c r="CW273" i="48"/>
  <c r="CW272" i="48"/>
  <c r="CW271" i="48"/>
  <c r="CW270" i="48"/>
  <c r="CW269" i="48"/>
  <c r="CW268" i="48"/>
  <c r="CW267" i="48"/>
  <c r="CW266" i="48"/>
  <c r="CS289" i="48"/>
  <c r="CS288" i="48"/>
  <c r="CS287" i="48"/>
  <c r="CS286" i="48"/>
  <c r="CS285" i="48"/>
  <c r="CS284" i="48"/>
  <c r="CS283" i="48"/>
  <c r="CS282" i="48"/>
  <c r="CS281" i="48"/>
  <c r="CS280" i="48"/>
  <c r="CS279" i="48"/>
  <c r="CS278" i="48"/>
  <c r="CS277" i="48"/>
  <c r="CS276" i="48"/>
  <c r="CS275" i="48"/>
  <c r="CS274" i="48"/>
  <c r="CS273" i="48"/>
  <c r="CS272" i="48"/>
  <c r="CS271" i="48"/>
  <c r="CS270" i="48"/>
  <c r="CS269" i="48"/>
  <c r="CS268" i="48"/>
  <c r="CS267" i="48"/>
  <c r="CS266" i="48"/>
  <c r="CO289" i="48"/>
  <c r="CO288" i="48"/>
  <c r="CO287" i="48"/>
  <c r="CO286" i="48"/>
  <c r="CO285" i="48"/>
  <c r="CO284" i="48"/>
  <c r="CO283" i="48"/>
  <c r="CO282" i="48"/>
  <c r="CO281" i="48"/>
  <c r="CO280" i="48"/>
  <c r="CO279" i="48"/>
  <c r="CO278" i="48"/>
  <c r="CO277" i="48"/>
  <c r="CO276" i="48"/>
  <c r="CO275" i="48"/>
  <c r="CO274" i="48"/>
  <c r="CO273" i="48"/>
  <c r="CO272" i="48"/>
  <c r="CO271" i="48"/>
  <c r="CO270" i="48"/>
  <c r="CO269" i="48"/>
  <c r="CO268" i="48"/>
  <c r="CO267" i="48"/>
  <c r="CO266" i="48"/>
  <c r="CK289" i="48"/>
  <c r="CK288" i="48"/>
  <c r="CK287" i="48"/>
  <c r="CK286" i="48"/>
  <c r="CK285" i="48"/>
  <c r="CK284" i="48"/>
  <c r="CK283" i="48"/>
  <c r="CK282" i="48"/>
  <c r="CK281" i="48"/>
  <c r="CK280" i="48"/>
  <c r="CK279" i="48"/>
  <c r="CK278" i="48"/>
  <c r="CK277" i="48"/>
  <c r="CK276" i="48"/>
  <c r="CK275" i="48"/>
  <c r="CK274" i="48"/>
  <c r="CK273" i="48"/>
  <c r="CK270" i="48"/>
  <c r="CK269" i="48"/>
  <c r="CK268" i="48"/>
  <c r="CK267" i="48"/>
  <c r="CK266" i="48"/>
  <c r="CG289" i="48"/>
  <c r="CG288" i="48"/>
  <c r="CG287" i="48"/>
  <c r="CG286" i="48"/>
  <c r="CG285" i="48"/>
  <c r="CG284" i="48"/>
  <c r="CG283" i="48"/>
  <c r="CG282" i="48"/>
  <c r="CG281" i="48"/>
  <c r="CG280" i="48"/>
  <c r="CG279" i="48"/>
  <c r="CG278" i="48"/>
  <c r="CG277" i="48"/>
  <c r="CG276" i="48"/>
  <c r="CG275" i="48"/>
  <c r="CG274" i="48"/>
  <c r="CG273" i="48"/>
  <c r="CG272" i="48"/>
  <c r="CG271" i="48"/>
  <c r="CG270" i="48"/>
  <c r="CG269" i="48"/>
  <c r="CG268" i="48"/>
  <c r="CG267" i="48"/>
  <c r="CG266" i="48"/>
  <c r="CC289" i="48"/>
  <c r="CC288" i="48"/>
  <c r="CC287" i="48"/>
  <c r="CC286" i="48"/>
  <c r="CC285" i="48"/>
  <c r="CC284" i="48"/>
  <c r="CC283" i="48"/>
  <c r="CC282" i="48"/>
  <c r="CC281" i="48"/>
  <c r="CC280" i="48"/>
  <c r="CC279" i="48"/>
  <c r="CC278" i="48"/>
  <c r="CC277" i="48"/>
  <c r="CC276" i="48"/>
  <c r="CC275" i="48"/>
  <c r="CC274" i="48"/>
  <c r="CC273" i="48"/>
  <c r="CC272" i="48"/>
  <c r="CC271" i="48"/>
  <c r="CC270" i="48"/>
  <c r="CC269" i="48"/>
  <c r="CC268" i="48"/>
  <c r="CC267" i="48"/>
  <c r="CC266" i="48"/>
  <c r="BY289" i="48"/>
  <c r="BY288" i="48"/>
  <c r="BY287" i="48"/>
  <c r="BY286" i="48"/>
  <c r="BY285" i="48"/>
  <c r="BY284" i="48"/>
  <c r="BY283" i="48"/>
  <c r="BY282" i="48"/>
  <c r="BY281" i="48"/>
  <c r="BY280" i="48"/>
  <c r="BY279" i="48"/>
  <c r="BY278" i="48"/>
  <c r="BY277" i="48"/>
  <c r="BY276" i="48"/>
  <c r="BY275" i="48"/>
  <c r="BY274" i="48"/>
  <c r="BY273" i="48"/>
  <c r="BY272" i="48"/>
  <c r="BY271" i="48"/>
  <c r="BY270" i="48"/>
  <c r="BY269" i="48"/>
  <c r="BY268" i="48"/>
  <c r="BY267" i="48"/>
  <c r="BY266" i="48"/>
  <c r="BU289" i="48"/>
  <c r="BU288" i="48"/>
  <c r="BU287" i="48"/>
  <c r="BU286" i="48"/>
  <c r="BU285" i="48"/>
  <c r="BU284" i="48"/>
  <c r="BU283" i="48"/>
  <c r="BU282" i="48"/>
  <c r="BU281" i="48"/>
  <c r="BU280" i="48"/>
  <c r="BU279" i="48"/>
  <c r="BU278" i="48"/>
  <c r="BU277" i="48"/>
  <c r="BU276" i="48"/>
  <c r="BU275" i="48"/>
  <c r="BU274" i="48"/>
  <c r="BU273" i="48"/>
  <c r="BU272" i="48"/>
  <c r="BU271" i="48"/>
  <c r="BU270" i="48"/>
  <c r="BU269" i="48"/>
  <c r="BU268" i="48"/>
  <c r="BU267" i="48"/>
  <c r="BU266" i="48"/>
  <c r="BQ289" i="48"/>
  <c r="BQ288" i="48"/>
  <c r="BQ287" i="48"/>
  <c r="BQ286" i="48"/>
  <c r="BQ285" i="48"/>
  <c r="BQ284" i="48"/>
  <c r="BQ283" i="48"/>
  <c r="BQ282" i="48"/>
  <c r="BQ281" i="48"/>
  <c r="BQ280" i="48"/>
  <c r="BQ279" i="48"/>
  <c r="BQ278" i="48"/>
  <c r="BQ277" i="48"/>
  <c r="BQ276" i="48"/>
  <c r="BQ275" i="48"/>
  <c r="BQ274" i="48"/>
  <c r="BQ273" i="48"/>
  <c r="BQ272" i="48"/>
  <c r="BQ271" i="48"/>
  <c r="BQ270" i="48"/>
  <c r="BQ269" i="48"/>
  <c r="BQ268" i="48"/>
  <c r="BQ267" i="48"/>
  <c r="BQ266" i="48"/>
  <c r="BM289" i="48"/>
  <c r="BM288" i="48"/>
  <c r="BM287" i="48"/>
  <c r="BM286" i="48"/>
  <c r="BM285" i="48"/>
  <c r="BM284" i="48"/>
  <c r="BM283" i="48"/>
  <c r="BM282" i="48"/>
  <c r="BM281" i="48"/>
  <c r="BM280" i="48"/>
  <c r="BM279" i="48"/>
  <c r="BM278" i="48"/>
  <c r="BM277" i="48"/>
  <c r="BM276" i="48"/>
  <c r="BM275" i="48"/>
  <c r="BM274" i="48"/>
  <c r="BM273" i="48"/>
  <c r="BM270" i="48"/>
  <c r="BM269" i="48"/>
  <c r="BM268" i="48"/>
  <c r="BM267" i="48"/>
  <c r="BM266" i="48"/>
  <c r="BI289" i="48"/>
  <c r="BI288" i="48"/>
  <c r="BI287" i="48"/>
  <c r="BI286" i="48"/>
  <c r="BI285" i="48"/>
  <c r="BI284" i="48"/>
  <c r="BI283" i="48"/>
  <c r="BI282" i="48"/>
  <c r="BI281" i="48"/>
  <c r="BI280" i="48"/>
  <c r="BI279" i="48"/>
  <c r="BI278" i="48"/>
  <c r="BI277" i="48"/>
  <c r="BI276" i="48"/>
  <c r="BI275" i="48"/>
  <c r="BI274" i="48"/>
  <c r="BI273" i="48"/>
  <c r="BI272" i="48"/>
  <c r="BI271" i="48"/>
  <c r="BI270" i="48"/>
  <c r="BI269" i="48"/>
  <c r="BI268" i="48"/>
  <c r="BI267" i="48"/>
  <c r="BI266" i="48"/>
  <c r="DA265" i="48"/>
  <c r="DA264" i="48"/>
  <c r="DA263" i="48"/>
  <c r="DA262" i="48"/>
  <c r="DA261" i="48"/>
  <c r="DA260" i="48"/>
  <c r="DA259" i="48"/>
  <c r="DA258" i="48"/>
  <c r="DA257" i="48"/>
  <c r="DA256" i="48"/>
  <c r="DA255" i="48"/>
  <c r="DA254" i="48"/>
  <c r="DA253" i="48"/>
  <c r="DA252" i="48"/>
  <c r="DA251" i="48"/>
  <c r="DA250" i="48"/>
  <c r="DA249" i="48"/>
  <c r="DA248" i="48"/>
  <c r="DA247" i="48"/>
  <c r="DA246" i="48"/>
  <c r="DA245" i="48"/>
  <c r="DA244" i="48"/>
  <c r="DA243" i="48"/>
  <c r="DA242" i="48"/>
  <c r="CW265" i="48"/>
  <c r="CW264" i="48"/>
  <c r="CW263" i="48"/>
  <c r="CW262" i="48"/>
  <c r="CW261" i="48"/>
  <c r="CW260" i="48"/>
  <c r="CW259" i="48"/>
  <c r="CW258" i="48"/>
  <c r="CW257" i="48"/>
  <c r="CW256" i="48"/>
  <c r="CW255" i="48"/>
  <c r="CW254" i="48"/>
  <c r="CW253" i="48"/>
  <c r="CW252" i="48"/>
  <c r="CW251" i="48"/>
  <c r="CW250" i="48"/>
  <c r="CW249" i="48"/>
  <c r="CW248" i="48"/>
  <c r="CW247" i="48"/>
  <c r="CW246" i="48"/>
  <c r="CW245" i="48"/>
  <c r="CW244" i="48"/>
  <c r="CW243" i="48"/>
  <c r="CW242" i="48"/>
  <c r="CS265" i="48"/>
  <c r="CS264" i="48"/>
  <c r="CS263" i="48"/>
  <c r="CS262" i="48"/>
  <c r="CS261" i="48"/>
  <c r="CS260" i="48"/>
  <c r="CS259" i="48"/>
  <c r="CS258" i="48"/>
  <c r="CS257" i="48"/>
  <c r="CS256" i="48"/>
  <c r="CS255" i="48"/>
  <c r="CS254" i="48"/>
  <c r="CS253" i="48"/>
  <c r="CS252" i="48"/>
  <c r="CS251" i="48"/>
  <c r="CS250" i="48"/>
  <c r="CS249" i="48"/>
  <c r="CS248" i="48"/>
  <c r="CS247" i="48"/>
  <c r="CS246" i="48"/>
  <c r="CS245" i="48"/>
  <c r="CS244" i="48"/>
  <c r="CS243" i="48"/>
  <c r="CS242" i="48"/>
  <c r="CO265" i="48"/>
  <c r="CO264" i="48"/>
  <c r="CO263" i="48"/>
  <c r="CO262" i="48"/>
  <c r="CO261" i="48"/>
  <c r="CO260" i="48"/>
  <c r="CO259" i="48"/>
  <c r="CO258" i="48"/>
  <c r="CO257" i="48"/>
  <c r="CO256" i="48"/>
  <c r="CO255" i="48"/>
  <c r="CO254" i="48"/>
  <c r="CO253" i="48"/>
  <c r="CO252" i="48"/>
  <c r="CO251" i="48"/>
  <c r="CO250" i="48"/>
  <c r="CO249" i="48"/>
  <c r="CO248" i="48"/>
  <c r="CO247" i="48"/>
  <c r="CO246" i="48"/>
  <c r="CO245" i="48"/>
  <c r="CO244" i="48"/>
  <c r="CO243" i="48"/>
  <c r="CO242" i="48"/>
  <c r="CK265" i="48"/>
  <c r="CK264" i="48"/>
  <c r="CK263" i="48"/>
  <c r="CK262" i="48"/>
  <c r="CK261" i="48"/>
  <c r="CK260" i="48"/>
  <c r="CK259" i="48"/>
  <c r="CK258" i="48"/>
  <c r="CK257" i="48"/>
  <c r="CK256" i="48"/>
  <c r="CK255" i="48"/>
  <c r="CK254" i="48"/>
  <c r="CK253" i="48"/>
  <c r="CK252" i="48"/>
  <c r="CK251" i="48"/>
  <c r="CK250" i="48"/>
  <c r="CK249" i="48"/>
  <c r="CK246" i="48"/>
  <c r="CK245" i="48"/>
  <c r="CK244" i="48"/>
  <c r="CK243" i="48"/>
  <c r="CK242" i="48"/>
  <c r="CG265" i="48"/>
  <c r="CG264" i="48"/>
  <c r="CG263" i="48"/>
  <c r="CG262" i="48"/>
  <c r="CG261" i="48"/>
  <c r="CG260" i="48"/>
  <c r="CG259" i="48"/>
  <c r="CG258" i="48"/>
  <c r="CG257" i="48"/>
  <c r="CG256" i="48"/>
  <c r="CG255" i="48"/>
  <c r="CG254" i="48"/>
  <c r="CG253" i="48"/>
  <c r="CG252" i="48"/>
  <c r="CG251" i="48"/>
  <c r="CG250" i="48"/>
  <c r="CG249" i="48"/>
  <c r="CG248" i="48"/>
  <c r="CG247" i="48"/>
  <c r="CG246" i="48"/>
  <c r="CG245" i="48"/>
  <c r="CG244" i="48"/>
  <c r="CG243" i="48"/>
  <c r="CG242" i="48"/>
  <c r="CC265" i="48"/>
  <c r="CC264" i="48"/>
  <c r="CC263" i="48"/>
  <c r="CC262" i="48"/>
  <c r="CC261" i="48"/>
  <c r="CC260" i="48"/>
  <c r="CC259" i="48"/>
  <c r="CC258" i="48"/>
  <c r="CC257" i="48"/>
  <c r="CC256" i="48"/>
  <c r="CC255" i="48"/>
  <c r="CC254" i="48"/>
  <c r="CC253" i="48"/>
  <c r="CC252" i="48"/>
  <c r="CC251" i="48"/>
  <c r="CC250" i="48"/>
  <c r="CC249" i="48"/>
  <c r="CC248" i="48"/>
  <c r="CC247" i="48"/>
  <c r="CC246" i="48"/>
  <c r="CC245" i="48"/>
  <c r="CC244" i="48"/>
  <c r="CC243" i="48"/>
  <c r="CC242" i="48"/>
  <c r="BY265" i="48"/>
  <c r="BY264" i="48"/>
  <c r="BY263" i="48"/>
  <c r="BY262" i="48"/>
  <c r="BY261" i="48"/>
  <c r="BY260" i="48"/>
  <c r="BY259" i="48"/>
  <c r="BY258" i="48"/>
  <c r="BY257" i="48"/>
  <c r="BY256" i="48"/>
  <c r="BY255" i="48"/>
  <c r="BY254" i="48"/>
  <c r="BY253" i="48"/>
  <c r="BY252" i="48"/>
  <c r="BY251" i="48"/>
  <c r="BY250" i="48"/>
  <c r="BY249" i="48"/>
  <c r="BY248" i="48"/>
  <c r="BY247" i="48"/>
  <c r="BY246" i="48"/>
  <c r="BY245" i="48"/>
  <c r="BY244" i="48"/>
  <c r="BY243" i="48"/>
  <c r="BY242" i="48"/>
  <c r="BU265" i="48"/>
  <c r="BU264" i="48"/>
  <c r="BU263" i="48"/>
  <c r="BU262" i="48"/>
  <c r="BU261" i="48"/>
  <c r="BU260" i="48"/>
  <c r="BU259" i="48"/>
  <c r="BU258" i="48"/>
  <c r="BU257" i="48"/>
  <c r="BU256" i="48"/>
  <c r="BU255" i="48"/>
  <c r="BU254" i="48"/>
  <c r="BU253" i="48"/>
  <c r="BU252" i="48"/>
  <c r="BU251" i="48"/>
  <c r="BU250" i="48"/>
  <c r="BU249" i="48"/>
  <c r="BU248" i="48"/>
  <c r="BU247" i="48"/>
  <c r="BU246" i="48"/>
  <c r="BU245" i="48"/>
  <c r="BU244" i="48"/>
  <c r="BU243" i="48"/>
  <c r="BU242" i="48"/>
  <c r="BQ265" i="48"/>
  <c r="BQ264" i="48"/>
  <c r="BQ263" i="48"/>
  <c r="BQ262" i="48"/>
  <c r="BQ261" i="48"/>
  <c r="BQ260" i="48"/>
  <c r="BQ259" i="48"/>
  <c r="BQ258" i="48"/>
  <c r="BQ257" i="48"/>
  <c r="BQ256" i="48"/>
  <c r="BQ255" i="48"/>
  <c r="BQ254" i="48"/>
  <c r="BQ253" i="48"/>
  <c r="BQ252" i="48"/>
  <c r="BQ251" i="48"/>
  <c r="BQ250" i="48"/>
  <c r="BQ249" i="48"/>
  <c r="BQ248" i="48"/>
  <c r="BQ247" i="48"/>
  <c r="BQ246" i="48"/>
  <c r="BQ245" i="48"/>
  <c r="BQ244" i="48"/>
  <c r="BQ243" i="48"/>
  <c r="BQ242" i="48"/>
  <c r="BM265" i="48"/>
  <c r="BM264" i="48"/>
  <c r="BM263" i="48"/>
  <c r="BM262" i="48"/>
  <c r="BM261" i="48"/>
  <c r="BM260" i="48"/>
  <c r="BM259" i="48"/>
  <c r="BM258" i="48"/>
  <c r="BM257" i="48"/>
  <c r="BM256" i="48"/>
  <c r="BM255" i="48"/>
  <c r="BM254" i="48"/>
  <c r="BM253" i="48"/>
  <c r="BM252" i="48"/>
  <c r="BM251" i="48"/>
  <c r="BM250" i="48"/>
  <c r="BM249" i="48"/>
  <c r="BM246" i="48"/>
  <c r="BM245" i="48"/>
  <c r="BM244" i="48"/>
  <c r="BM243" i="48"/>
  <c r="BM242" i="48"/>
  <c r="BI265" i="48"/>
  <c r="BI264" i="48"/>
  <c r="BI263" i="48"/>
  <c r="BI262" i="48"/>
  <c r="BI261" i="48"/>
  <c r="BI260" i="48"/>
  <c r="BI259" i="48"/>
  <c r="BI258" i="48"/>
  <c r="BI257" i="48"/>
  <c r="BI256" i="48"/>
  <c r="BI255" i="48"/>
  <c r="BI254" i="48"/>
  <c r="BI253" i="48"/>
  <c r="BI252" i="48"/>
  <c r="BI251" i="48"/>
  <c r="BI250" i="48"/>
  <c r="BI249" i="48"/>
  <c r="BI248" i="48"/>
  <c r="BI247" i="48"/>
  <c r="BI246" i="48"/>
  <c r="BI245" i="48"/>
  <c r="BI244" i="48"/>
  <c r="BI243" i="48"/>
  <c r="BI242" i="48"/>
  <c r="BI241" i="48"/>
  <c r="BI240" i="48"/>
  <c r="BI239" i="48"/>
  <c r="BI238" i="48"/>
  <c r="BI237" i="48"/>
  <c r="BI236" i="48"/>
  <c r="BI235" i="48"/>
  <c r="BI234" i="48"/>
  <c r="BI233" i="48"/>
  <c r="BI232" i="48"/>
  <c r="BI231" i="48"/>
  <c r="BI230" i="48"/>
  <c r="BI229" i="48"/>
  <c r="BI228" i="48"/>
  <c r="BI227" i="48"/>
  <c r="BI226" i="48"/>
  <c r="BI225" i="48"/>
  <c r="BI224" i="48"/>
  <c r="BI223" i="48"/>
  <c r="BI222" i="48"/>
  <c r="BI221" i="48"/>
  <c r="BI220" i="48"/>
  <c r="BI219" i="48"/>
  <c r="BI218" i="48"/>
  <c r="BI217" i="48"/>
  <c r="BI216" i="48"/>
  <c r="BI215" i="48"/>
  <c r="BI214" i="48"/>
  <c r="BI213" i="48"/>
  <c r="BI212" i="48"/>
  <c r="BI211" i="48"/>
  <c r="BI210" i="48"/>
  <c r="BI209" i="48"/>
  <c r="BI208" i="48"/>
  <c r="BI207" i="48"/>
  <c r="BI206" i="48"/>
  <c r="BI205" i="48"/>
  <c r="BI204" i="48"/>
  <c r="BI203" i="48"/>
  <c r="BI202" i="48"/>
  <c r="BI201" i="48"/>
  <c r="BI200" i="48"/>
  <c r="BI199" i="48"/>
  <c r="BI198" i="48"/>
  <c r="BI197" i="48"/>
  <c r="BI196" i="48"/>
  <c r="BI195" i="48"/>
  <c r="BI194" i="48"/>
  <c r="BI193" i="48"/>
  <c r="BI192" i="48"/>
  <c r="BI191" i="48"/>
  <c r="BI190" i="48"/>
  <c r="BI189" i="48"/>
  <c r="BI188" i="48"/>
  <c r="BI187" i="48"/>
  <c r="BI186" i="48"/>
  <c r="BI185" i="48"/>
  <c r="BI184" i="48"/>
  <c r="BI183" i="48"/>
  <c r="BI182" i="48"/>
  <c r="BI181" i="48"/>
  <c r="BI180" i="48"/>
  <c r="BI179" i="48"/>
  <c r="BI178" i="48"/>
  <c r="BI177" i="48"/>
  <c r="BI176" i="48"/>
  <c r="BI175" i="48"/>
  <c r="BI174" i="48"/>
  <c r="BI173" i="48"/>
  <c r="BI172" i="48"/>
  <c r="BI171" i="48"/>
  <c r="BI170" i="48"/>
  <c r="BI169" i="48"/>
  <c r="BI168" i="48"/>
  <c r="BI167" i="48"/>
  <c r="BI166" i="48"/>
  <c r="BI165" i="48"/>
  <c r="BI164" i="48"/>
  <c r="BI163" i="48"/>
  <c r="BI162" i="48"/>
  <c r="BI161" i="48"/>
  <c r="BI160" i="48"/>
  <c r="BI159" i="48"/>
  <c r="BI158" i="48"/>
  <c r="BI157" i="48"/>
  <c r="BI156" i="48"/>
  <c r="BI155" i="48"/>
  <c r="BI154" i="48"/>
  <c r="BI153" i="48"/>
  <c r="BI152" i="48"/>
  <c r="BI151" i="48"/>
  <c r="BI150" i="48"/>
  <c r="BI149" i="48"/>
  <c r="BI148" i="48"/>
  <c r="BI147" i="48"/>
  <c r="BI146" i="48"/>
  <c r="BI145" i="48"/>
  <c r="BI144" i="48"/>
  <c r="BI143" i="48"/>
  <c r="BI142" i="48"/>
  <c r="BI141" i="48"/>
  <c r="BI140" i="48"/>
  <c r="BI139" i="48"/>
  <c r="BI138" i="48"/>
  <c r="BI137" i="48"/>
  <c r="BI136" i="48"/>
  <c r="BI135" i="48"/>
  <c r="BI134" i="48"/>
  <c r="BI133" i="48"/>
  <c r="BI132" i="48"/>
  <c r="BI131" i="48"/>
  <c r="BI130" i="48"/>
  <c r="BI129" i="48"/>
  <c r="BI128" i="48"/>
  <c r="BI127" i="48"/>
  <c r="BI126" i="48"/>
  <c r="BI125" i="48"/>
  <c r="BI124" i="48"/>
  <c r="BI123" i="48"/>
  <c r="BI122" i="48"/>
  <c r="BI121" i="48"/>
  <c r="BI120" i="48"/>
  <c r="BI119" i="48"/>
  <c r="BI118" i="48"/>
  <c r="BI117" i="48"/>
  <c r="BI116" i="48"/>
  <c r="BI115" i="48"/>
  <c r="BI114" i="48"/>
  <c r="BI113" i="48"/>
  <c r="BI112" i="48"/>
  <c r="BI111" i="48"/>
  <c r="BI110" i="48"/>
  <c r="BI109" i="48"/>
  <c r="BI108" i="48"/>
  <c r="BI107" i="48"/>
  <c r="BI106" i="48"/>
  <c r="BI105" i="48"/>
  <c r="BI104" i="48"/>
  <c r="BI103" i="48"/>
  <c r="BI102" i="48"/>
  <c r="BI101" i="48"/>
  <c r="BI100" i="48"/>
  <c r="BI99" i="48"/>
  <c r="BI98" i="48"/>
  <c r="BI97" i="48"/>
  <c r="BI96" i="48"/>
  <c r="BI95" i="48"/>
  <c r="BI94" i="48"/>
  <c r="BI93" i="48"/>
  <c r="BI92" i="48"/>
  <c r="BI91" i="48"/>
  <c r="BI90" i="48"/>
  <c r="BI89" i="48"/>
  <c r="BI88" i="48"/>
  <c r="BI87" i="48"/>
  <c r="BI86" i="48"/>
  <c r="BI85" i="48"/>
  <c r="BI84" i="48"/>
  <c r="BI83" i="48"/>
  <c r="BI82" i="48"/>
  <c r="BI81" i="48"/>
  <c r="BI80" i="48"/>
  <c r="BI79" i="48"/>
  <c r="BI78" i="48"/>
  <c r="BI77" i="48"/>
  <c r="BI76" i="48"/>
  <c r="BI75" i="48"/>
  <c r="BI74" i="48"/>
  <c r="BI73" i="48"/>
  <c r="BI72" i="48"/>
  <c r="BI71" i="48"/>
  <c r="BI70" i="48"/>
  <c r="BI69" i="48"/>
  <c r="BI68" i="48"/>
  <c r="BI67" i="48"/>
  <c r="BI66" i="48"/>
  <c r="BI65" i="48"/>
  <c r="BI64" i="48"/>
  <c r="BI63" i="48"/>
  <c r="BI62" i="48"/>
  <c r="BI61" i="48"/>
  <c r="BI60" i="48"/>
  <c r="BI59" i="48"/>
  <c r="BI58" i="48"/>
  <c r="BI57" i="48"/>
  <c r="BI56" i="48"/>
  <c r="BI55" i="48"/>
  <c r="BI54" i="48"/>
  <c r="BI53" i="48"/>
  <c r="BI52" i="48"/>
  <c r="BI51" i="48"/>
  <c r="BI50" i="48"/>
  <c r="BI49" i="48"/>
  <c r="BI48" i="48"/>
  <c r="BI47" i="48"/>
  <c r="BI46" i="48"/>
  <c r="BI45" i="48"/>
  <c r="BI44" i="48"/>
  <c r="BI43" i="48"/>
  <c r="BI42" i="48"/>
  <c r="BI41" i="48"/>
  <c r="BI40" i="48"/>
  <c r="BI39" i="48"/>
  <c r="BI38" i="48"/>
  <c r="BI37" i="48"/>
  <c r="BI36" i="48"/>
  <c r="BI35" i="48"/>
  <c r="BI34" i="48"/>
  <c r="BI33" i="48"/>
  <c r="BI32" i="48"/>
  <c r="BI31" i="48"/>
  <c r="BI30" i="48"/>
  <c r="BI29" i="48"/>
  <c r="BI28" i="48"/>
  <c r="BI27" i="48"/>
  <c r="BI26" i="48"/>
  <c r="BI25" i="48"/>
  <c r="BI24" i="48"/>
  <c r="BI23" i="48"/>
  <c r="BI22" i="48"/>
  <c r="BI21" i="48"/>
  <c r="BI20" i="48"/>
  <c r="BI19" i="48"/>
  <c r="BI18" i="48"/>
  <c r="BI17" i="48"/>
  <c r="BI16" i="48"/>
  <c r="BI15" i="48"/>
  <c r="BI14" i="48"/>
  <c r="BI13" i="48"/>
  <c r="BI12" i="48"/>
  <c r="BI11" i="48"/>
  <c r="BI10" i="48"/>
  <c r="BI9" i="48"/>
  <c r="BI8" i="48"/>
  <c r="BI7" i="48"/>
  <c r="BI6" i="48"/>
  <c r="BI5" i="48"/>
  <c r="BI4" i="48"/>
  <c r="BI3" i="48"/>
  <c r="BI2" i="48"/>
  <c r="C6" i="25"/>
  <c r="A2" i="29"/>
  <c r="N2" i="29" s="1"/>
  <c r="B2" i="29"/>
  <c r="C2" i="29"/>
  <c r="O2" i="29"/>
  <c r="A3" i="29"/>
  <c r="B3" i="29"/>
  <c r="C3" i="29"/>
  <c r="F3" i="29"/>
  <c r="H3" i="29"/>
  <c r="A4" i="29"/>
  <c r="B4" i="29"/>
  <c r="C4" i="29"/>
  <c r="E57" i="1"/>
  <c r="AF15" i="1"/>
  <c r="AE23" i="1"/>
  <c r="G57" i="1"/>
  <c r="AG15" i="1" s="1"/>
  <c r="AF23" i="1" s="1"/>
  <c r="AF24" i="1" s="1"/>
  <c r="J57" i="1"/>
  <c r="AH15" i="1" s="1"/>
  <c r="AG23" i="1" s="1"/>
  <c r="AG24" i="1" s="1"/>
  <c r="M57" i="1"/>
  <c r="AI15" i="1" s="1"/>
  <c r="AH23" i="1" s="1"/>
  <c r="AH24" i="1" s="1"/>
  <c r="O57" i="1"/>
  <c r="AJ15" i="1" s="1"/>
  <c r="AI23" i="1" s="1"/>
  <c r="AI24" i="1" s="1"/>
  <c r="Q57" i="1"/>
  <c r="AK15" i="1" s="1"/>
  <c r="AJ23" i="1" s="1"/>
  <c r="AJ24" i="1" s="1"/>
  <c r="R57" i="1"/>
  <c r="AL15" i="1" s="1"/>
  <c r="AK24" i="1" s="1"/>
  <c r="AN15" i="1"/>
  <c r="AL23" i="1"/>
  <c r="AL24" i="1" s="1"/>
  <c r="W57" i="1"/>
  <c r="AO15" i="1"/>
  <c r="AM23" i="1"/>
  <c r="AM24" i="1" s="1"/>
  <c r="Z57" i="1"/>
  <c r="AP15" i="1"/>
  <c r="AN23" i="1"/>
  <c r="AN24" i="1" s="1"/>
  <c r="AA57" i="1"/>
  <c r="AQ15" i="1"/>
  <c r="AO23" i="1"/>
  <c r="AO24" i="1" s="1"/>
  <c r="AB57" i="1"/>
  <c r="AR15" i="1"/>
  <c r="AP24" i="1"/>
  <c r="A5" i="29"/>
  <c r="B5" i="29"/>
  <c r="C5" i="29"/>
  <c r="D5" i="29"/>
  <c r="E5" i="29"/>
  <c r="F5" i="29"/>
  <c r="A6" i="29"/>
  <c r="B6" i="29"/>
  <c r="C60" i="1"/>
  <c r="AE18" i="1"/>
  <c r="AE19" i="1"/>
  <c r="AG19" i="1"/>
  <c r="AE20" i="1" s="1"/>
  <c r="J60" i="1"/>
  <c r="AG18" i="1"/>
  <c r="K60" i="1"/>
  <c r="AH18" i="1" s="1"/>
  <c r="AF18" i="1"/>
  <c r="AH19" i="1"/>
  <c r="L60" i="1"/>
  <c r="AI18" i="1" s="1"/>
  <c r="AI20" i="1" s="1"/>
  <c r="N60" i="1"/>
  <c r="AJ18" i="1"/>
  <c r="AJ19" i="1" s="1"/>
  <c r="P60" i="1"/>
  <c r="AK18" i="1"/>
  <c r="AK19" i="1"/>
  <c r="Q60" i="1"/>
  <c r="AL18" i="1"/>
  <c r="AL19" i="1"/>
  <c r="R60" i="1"/>
  <c r="AM18" i="1" s="1"/>
  <c r="AM19" i="1" s="1"/>
  <c r="S60" i="1"/>
  <c r="AN18" i="1"/>
  <c r="AN19" i="1" s="1"/>
  <c r="V60" i="1"/>
  <c r="AO18" i="1"/>
  <c r="AO19" i="1"/>
  <c r="W60" i="1"/>
  <c r="AP18" i="1"/>
  <c r="AP19" i="1"/>
  <c r="Y60" i="1"/>
  <c r="AQ18" i="1" s="1"/>
  <c r="AQ19" i="1" s="1"/>
  <c r="AA60" i="1"/>
  <c r="AR18" i="1"/>
  <c r="AR19" i="1" s="1"/>
  <c r="AB60" i="1"/>
  <c r="AS18" i="1"/>
  <c r="AS19" i="1"/>
  <c r="A7" i="29"/>
  <c r="B7" i="29"/>
  <c r="C7" i="29"/>
  <c r="D7" i="29"/>
  <c r="E7" i="29"/>
  <c r="F7" i="29"/>
  <c r="G7" i="29"/>
  <c r="H7" i="29"/>
  <c r="I7" i="29"/>
  <c r="J7" i="29"/>
  <c r="K7" i="29"/>
  <c r="L7" i="29"/>
  <c r="A8" i="29"/>
  <c r="B8" i="29"/>
  <c r="C8" i="29"/>
  <c r="D8" i="29"/>
  <c r="E8" i="29"/>
  <c r="F8" i="29"/>
  <c r="G8" i="29"/>
  <c r="H8" i="29"/>
  <c r="I8" i="29"/>
  <c r="J8" i="29"/>
  <c r="K8" i="29"/>
  <c r="L8" i="29"/>
  <c r="A9" i="29"/>
  <c r="B9" i="29"/>
  <c r="C9" i="29"/>
  <c r="D9" i="29"/>
  <c r="E9" i="29"/>
  <c r="F9" i="29"/>
  <c r="G9" i="29"/>
  <c r="H9" i="29"/>
  <c r="I9" i="29"/>
  <c r="J9" i="29"/>
  <c r="K9" i="29"/>
  <c r="L9" i="29"/>
  <c r="A10" i="29"/>
  <c r="B10" i="29"/>
  <c r="C10" i="29"/>
  <c r="D10" i="29"/>
  <c r="E10" i="29"/>
  <c r="F10" i="29"/>
  <c r="G10" i="29"/>
  <c r="H10" i="29"/>
  <c r="I10" i="29"/>
  <c r="J10" i="29"/>
  <c r="K10" i="29"/>
  <c r="L10" i="29"/>
  <c r="A11" i="29"/>
  <c r="B11" i="29"/>
  <c r="C11" i="29"/>
  <c r="D11" i="29"/>
  <c r="E11" i="29"/>
  <c r="F11" i="29"/>
  <c r="G11" i="29"/>
  <c r="H11" i="29"/>
  <c r="I11" i="29"/>
  <c r="J11" i="29"/>
  <c r="K11" i="29"/>
  <c r="L11" i="29"/>
  <c r="A12" i="29"/>
  <c r="B12" i="29"/>
  <c r="C12" i="29"/>
  <c r="D12" i="29"/>
  <c r="E12" i="29"/>
  <c r="F12" i="29"/>
  <c r="G12" i="29"/>
  <c r="H12" i="29"/>
  <c r="I12" i="29"/>
  <c r="J12" i="29"/>
  <c r="K12" i="29"/>
  <c r="L12" i="29"/>
  <c r="A13" i="29"/>
  <c r="B13" i="29"/>
  <c r="C13" i="29"/>
  <c r="D13" i="29"/>
  <c r="E13" i="29"/>
  <c r="F13" i="29"/>
  <c r="G13" i="29"/>
  <c r="H13" i="29"/>
  <c r="I13" i="29"/>
  <c r="J13" i="29"/>
  <c r="K13" i="29"/>
  <c r="L13" i="29"/>
  <c r="A14" i="29"/>
  <c r="B14" i="29"/>
  <c r="C14" i="29"/>
  <c r="D14" i="29"/>
  <c r="E14" i="29"/>
  <c r="F14" i="29"/>
  <c r="G14" i="29"/>
  <c r="H14" i="29"/>
  <c r="I14" i="29"/>
  <c r="J14" i="29"/>
  <c r="K14" i="29"/>
  <c r="L14" i="29"/>
  <c r="A15" i="29"/>
  <c r="B15" i="29"/>
  <c r="C15" i="29"/>
  <c r="D15" i="29"/>
  <c r="E15" i="29"/>
  <c r="F15" i="29"/>
  <c r="G15" i="29"/>
  <c r="H15" i="29"/>
  <c r="I15" i="29"/>
  <c r="J15" i="29"/>
  <c r="K15" i="29"/>
  <c r="L15" i="29"/>
  <c r="A16" i="29"/>
  <c r="B16" i="29"/>
  <c r="C16" i="29"/>
  <c r="D16" i="29"/>
  <c r="E16" i="29"/>
  <c r="F16" i="29"/>
  <c r="G16" i="29"/>
  <c r="H16" i="29"/>
  <c r="I16" i="29"/>
  <c r="J16" i="29"/>
  <c r="K16" i="29"/>
  <c r="L16" i="29"/>
  <c r="A17" i="29"/>
  <c r="B17" i="29"/>
  <c r="C17" i="29"/>
  <c r="D17" i="29"/>
  <c r="E17" i="29"/>
  <c r="F17" i="29"/>
  <c r="G17" i="29"/>
  <c r="H17" i="29"/>
  <c r="I17" i="29"/>
  <c r="J17" i="29"/>
  <c r="K17" i="29"/>
  <c r="L17" i="29"/>
  <c r="A18" i="29"/>
  <c r="B18" i="29"/>
  <c r="C18" i="29"/>
  <c r="D18" i="29"/>
  <c r="E18" i="29"/>
  <c r="F18" i="29"/>
  <c r="G18" i="29"/>
  <c r="H18" i="29"/>
  <c r="I18" i="29"/>
  <c r="J18" i="29"/>
  <c r="K18" i="29"/>
  <c r="L18" i="29"/>
  <c r="A19" i="29"/>
  <c r="B19" i="29"/>
  <c r="C19" i="29"/>
  <c r="D19" i="29"/>
  <c r="E19" i="29"/>
  <c r="F19" i="29"/>
  <c r="G19" i="29"/>
  <c r="H19" i="29"/>
  <c r="I19" i="29"/>
  <c r="J19" i="29"/>
  <c r="K19" i="29"/>
  <c r="L19" i="29"/>
  <c r="A20" i="29"/>
  <c r="B20" i="29"/>
  <c r="C20" i="29"/>
  <c r="D20" i="29"/>
  <c r="E20" i="29"/>
  <c r="F20" i="29"/>
  <c r="G20" i="29"/>
  <c r="H20" i="29"/>
  <c r="I20" i="29"/>
  <c r="J20" i="29"/>
  <c r="K20" i="29"/>
  <c r="L20" i="29"/>
  <c r="A21" i="29"/>
  <c r="B21" i="29"/>
  <c r="C21" i="29"/>
  <c r="D21" i="29"/>
  <c r="E21" i="29"/>
  <c r="F21" i="29"/>
  <c r="G21" i="29"/>
  <c r="H21" i="29"/>
  <c r="I21" i="29"/>
  <c r="J21" i="29"/>
  <c r="K21" i="29"/>
  <c r="L21" i="29"/>
  <c r="A22" i="29"/>
  <c r="B22" i="29"/>
  <c r="C22" i="29"/>
  <c r="D22" i="29"/>
  <c r="E22" i="29"/>
  <c r="F22" i="29"/>
  <c r="G22" i="29"/>
  <c r="H22" i="29"/>
  <c r="I22" i="29"/>
  <c r="J22" i="29"/>
  <c r="K22" i="29"/>
  <c r="L22" i="29"/>
  <c r="A23" i="29"/>
  <c r="B23" i="29"/>
  <c r="C23" i="29"/>
  <c r="D23" i="29"/>
  <c r="E23" i="29"/>
  <c r="F23" i="29"/>
  <c r="G23" i="29"/>
  <c r="H23" i="29"/>
  <c r="I23" i="29"/>
  <c r="J23" i="29"/>
  <c r="K23" i="29"/>
  <c r="L23" i="29"/>
  <c r="A24" i="29"/>
  <c r="B24" i="29"/>
  <c r="C24" i="29"/>
  <c r="D24" i="29"/>
  <c r="E24" i="29"/>
  <c r="F24" i="29"/>
  <c r="G24" i="29"/>
  <c r="H24" i="29"/>
  <c r="I24" i="29"/>
  <c r="J24" i="29"/>
  <c r="K24" i="29"/>
  <c r="L24" i="29"/>
  <c r="A25" i="29"/>
  <c r="B25" i="29"/>
  <c r="C25" i="29"/>
  <c r="D25" i="29"/>
  <c r="E25" i="29"/>
  <c r="F25" i="29"/>
  <c r="G25" i="29"/>
  <c r="H25" i="29"/>
  <c r="I25" i="29"/>
  <c r="J25" i="29"/>
  <c r="K25" i="29"/>
  <c r="L25" i="29"/>
  <c r="A26" i="29"/>
  <c r="B26" i="29"/>
  <c r="C26" i="29"/>
  <c r="D26" i="29"/>
  <c r="E26" i="29"/>
  <c r="F26" i="29"/>
  <c r="G26" i="29"/>
  <c r="H26" i="29"/>
  <c r="I26" i="29"/>
  <c r="J26" i="29"/>
  <c r="K26" i="29"/>
  <c r="L26" i="29"/>
  <c r="A27" i="29"/>
  <c r="B27" i="29"/>
  <c r="C9" i="47"/>
  <c r="C27" i="29"/>
  <c r="C10" i="47"/>
  <c r="D27" i="29"/>
  <c r="C11" i="47"/>
  <c r="E27" i="29"/>
  <c r="C12" i="47"/>
  <c r="F27" i="29"/>
  <c r="C13" i="47"/>
  <c r="G27" i="29"/>
  <c r="C14" i="47"/>
  <c r="H27" i="29"/>
  <c r="C15" i="47"/>
  <c r="I27" i="29"/>
  <c r="C16" i="47"/>
  <c r="J27" i="29"/>
  <c r="C17" i="47"/>
  <c r="K27" i="29"/>
  <c r="C18" i="47"/>
  <c r="L27" i="29"/>
  <c r="A28" i="29"/>
  <c r="B28" i="29"/>
  <c r="C20" i="47"/>
  <c r="C28" i="29"/>
  <c r="C21" i="47"/>
  <c r="D28" i="29"/>
  <c r="C22" i="47"/>
  <c r="E28" i="29"/>
  <c r="C23" i="47"/>
  <c r="F28" i="29"/>
  <c r="C24" i="47"/>
  <c r="G28" i="29"/>
  <c r="C25" i="47"/>
  <c r="H28" i="29"/>
  <c r="C26" i="47"/>
  <c r="I28" i="29"/>
  <c r="C27" i="47"/>
  <c r="J28" i="29"/>
  <c r="C28" i="47"/>
  <c r="K28" i="29"/>
  <c r="C29" i="47"/>
  <c r="L28" i="29"/>
  <c r="A29" i="29"/>
  <c r="B29" i="29"/>
  <c r="C31" i="47"/>
  <c r="C29" i="29"/>
  <c r="C32" i="47"/>
  <c r="D29" i="29" s="1"/>
  <c r="C33" i="47"/>
  <c r="E29" i="29"/>
  <c r="C34" i="47"/>
  <c r="F29" i="29" s="1"/>
  <c r="C35" i="47"/>
  <c r="G29" i="29"/>
  <c r="C36" i="47"/>
  <c r="H29" i="29" s="1"/>
  <c r="C37" i="47"/>
  <c r="I29" i="29"/>
  <c r="C38" i="47"/>
  <c r="J29" i="29" s="1"/>
  <c r="C39" i="47"/>
  <c r="K29" i="29"/>
  <c r="C40" i="47"/>
  <c r="L29" i="29" s="1"/>
  <c r="M29" i="29"/>
  <c r="A30" i="29"/>
  <c r="B30" i="29"/>
  <c r="D9" i="47"/>
  <c r="C30" i="29"/>
  <c r="D10" i="47"/>
  <c r="D30" i="29" s="1"/>
  <c r="D11" i="47"/>
  <c r="E30" i="29"/>
  <c r="D12" i="47"/>
  <c r="F30" i="29" s="1"/>
  <c r="D13" i="47"/>
  <c r="G30" i="29"/>
  <c r="D14" i="47"/>
  <c r="H30" i="29" s="1"/>
  <c r="D15" i="47"/>
  <c r="I30" i="29"/>
  <c r="D16" i="47"/>
  <c r="J30" i="29" s="1"/>
  <c r="D17" i="47"/>
  <c r="K30" i="29"/>
  <c r="D18" i="47"/>
  <c r="L30" i="29" s="1"/>
  <c r="A31" i="29"/>
  <c r="B31" i="29"/>
  <c r="D20" i="47"/>
  <c r="C31" i="29" s="1"/>
  <c r="D21" i="47"/>
  <c r="D31" i="29"/>
  <c r="D22" i="47"/>
  <c r="E31" i="29" s="1"/>
  <c r="D23" i="47"/>
  <c r="F31" i="29"/>
  <c r="D24" i="47"/>
  <c r="G31" i="29" s="1"/>
  <c r="D25" i="47"/>
  <c r="H31" i="29"/>
  <c r="D26" i="47"/>
  <c r="I31" i="29" s="1"/>
  <c r="D27" i="47"/>
  <c r="J31" i="29"/>
  <c r="D28" i="47"/>
  <c r="K31" i="29" s="1"/>
  <c r="D29" i="47"/>
  <c r="L31" i="29"/>
  <c r="A32" i="29"/>
  <c r="B32" i="29"/>
  <c r="D31" i="47"/>
  <c r="C32" i="29"/>
  <c r="D32" i="47"/>
  <c r="D32" i="29" s="1"/>
  <c r="D33" i="47"/>
  <c r="E32" i="29"/>
  <c r="D34" i="47"/>
  <c r="F32" i="29" s="1"/>
  <c r="D35" i="47"/>
  <c r="G32" i="29"/>
  <c r="D36" i="47"/>
  <c r="H32" i="29" s="1"/>
  <c r="D37" i="47"/>
  <c r="I32" i="29"/>
  <c r="D38" i="47"/>
  <c r="J32" i="29" s="1"/>
  <c r="D39" i="47"/>
  <c r="K32" i="29"/>
  <c r="D40" i="47"/>
  <c r="L32" i="29" s="1"/>
  <c r="D41" i="47"/>
  <c r="M32" i="29"/>
  <c r="A33" i="29"/>
  <c r="B33" i="29"/>
  <c r="E9" i="47"/>
  <c r="C33" i="29"/>
  <c r="E10" i="47"/>
  <c r="D33" i="29" s="1"/>
  <c r="E11" i="47"/>
  <c r="E33" i="29"/>
  <c r="E12" i="47"/>
  <c r="F33" i="29" s="1"/>
  <c r="E13" i="47"/>
  <c r="G33" i="29"/>
  <c r="E14" i="47"/>
  <c r="H33" i="29" s="1"/>
  <c r="E15" i="47"/>
  <c r="I33" i="29"/>
  <c r="E16" i="47"/>
  <c r="J33" i="29" s="1"/>
  <c r="E17" i="47"/>
  <c r="K33" i="29"/>
  <c r="E18" i="47"/>
  <c r="L33" i="29" s="1"/>
  <c r="A34" i="29"/>
  <c r="B34" i="29"/>
  <c r="E20" i="47"/>
  <c r="C34" i="29" s="1"/>
  <c r="E21" i="47"/>
  <c r="D34" i="29"/>
  <c r="E22" i="47"/>
  <c r="E34" i="29" s="1"/>
  <c r="E23" i="47"/>
  <c r="F34" i="29"/>
  <c r="E24" i="47"/>
  <c r="G34" i="29" s="1"/>
  <c r="E25" i="47"/>
  <c r="H34" i="29"/>
  <c r="E26" i="47"/>
  <c r="I34" i="29" s="1"/>
  <c r="E27" i="47"/>
  <c r="J34" i="29"/>
  <c r="E28" i="47"/>
  <c r="K34" i="29" s="1"/>
  <c r="E29" i="47"/>
  <c r="L34" i="29"/>
  <c r="A35" i="29"/>
  <c r="B35" i="29"/>
  <c r="E31" i="47"/>
  <c r="C35" i="29"/>
  <c r="M35" i="29"/>
  <c r="A36" i="29"/>
  <c r="B36" i="29"/>
  <c r="F9" i="47"/>
  <c r="C36" i="29" s="1"/>
  <c r="F10" i="47"/>
  <c r="D36" i="29"/>
  <c r="F11" i="47"/>
  <c r="E36" i="29" s="1"/>
  <c r="F12" i="47"/>
  <c r="F36" i="29"/>
  <c r="F13" i="47"/>
  <c r="G36" i="29" s="1"/>
  <c r="F14" i="47"/>
  <c r="H36" i="29"/>
  <c r="F15" i="47"/>
  <c r="I36" i="29" s="1"/>
  <c r="J36" i="29"/>
  <c r="K36" i="29"/>
  <c r="L36" i="29"/>
  <c r="A37" i="29"/>
  <c r="B37" i="29"/>
  <c r="F20" i="47"/>
  <c r="C37" i="29"/>
  <c r="F21" i="47"/>
  <c r="D37" i="29"/>
  <c r="F22" i="47"/>
  <c r="E37" i="29"/>
  <c r="F23" i="47"/>
  <c r="F37" i="29"/>
  <c r="F24" i="47"/>
  <c r="G37" i="29"/>
  <c r="F25" i="47"/>
  <c r="H37" i="29"/>
  <c r="F26" i="47"/>
  <c r="I37" i="29"/>
  <c r="F27" i="47"/>
  <c r="J37" i="29"/>
  <c r="F28" i="47"/>
  <c r="K37" i="29"/>
  <c r="F29" i="47"/>
  <c r="L37" i="29"/>
  <c r="A38" i="29"/>
  <c r="B38" i="29"/>
  <c r="F31" i="47"/>
  <c r="C38" i="29"/>
  <c r="F32" i="47"/>
  <c r="D38" i="29"/>
  <c r="F33" i="47"/>
  <c r="E38" i="29"/>
  <c r="F34" i="47"/>
  <c r="F38" i="29"/>
  <c r="F35" i="47"/>
  <c r="G38" i="29"/>
  <c r="F36" i="47"/>
  <c r="H38" i="29"/>
  <c r="F37" i="47"/>
  <c r="I38" i="29"/>
  <c r="F38" i="47"/>
  <c r="J38" i="29"/>
  <c r="F39" i="47"/>
  <c r="K38" i="29"/>
  <c r="F40" i="47"/>
  <c r="L38" i="29"/>
  <c r="F41" i="47"/>
  <c r="M38" i="29"/>
  <c r="A39" i="29"/>
  <c r="B39" i="29"/>
  <c r="G9" i="47"/>
  <c r="C39" i="29"/>
  <c r="G10" i="47"/>
  <c r="D39" i="29"/>
  <c r="G11" i="47"/>
  <c r="E39" i="29"/>
  <c r="G12" i="47"/>
  <c r="F39" i="29"/>
  <c r="G13" i="47"/>
  <c r="G39" i="29"/>
  <c r="G14" i="47"/>
  <c r="H39" i="29"/>
  <c r="G15" i="47"/>
  <c r="I39" i="29"/>
  <c r="G16" i="47"/>
  <c r="J39" i="29"/>
  <c r="G17" i="47"/>
  <c r="K39" i="29"/>
  <c r="G18" i="47"/>
  <c r="L39" i="29"/>
  <c r="A40" i="29"/>
  <c r="B40" i="29"/>
  <c r="G20" i="47"/>
  <c r="C40" i="29"/>
  <c r="G21" i="47"/>
  <c r="D40" i="29"/>
  <c r="G22" i="47"/>
  <c r="E40" i="29"/>
  <c r="G23" i="47"/>
  <c r="F40" i="29"/>
  <c r="G24" i="47"/>
  <c r="G40" i="29"/>
  <c r="G25" i="47"/>
  <c r="H40" i="29"/>
  <c r="G26" i="47"/>
  <c r="I40" i="29"/>
  <c r="G27" i="47"/>
  <c r="J40" i="29"/>
  <c r="G28" i="47"/>
  <c r="K40" i="29"/>
  <c r="G29" i="47"/>
  <c r="L40" i="29"/>
  <c r="A41" i="29"/>
  <c r="B41" i="29"/>
  <c r="G31" i="47"/>
  <c r="C41" i="29"/>
  <c r="G32" i="47"/>
  <c r="D41" i="29"/>
  <c r="G33" i="47"/>
  <c r="E41" i="29"/>
  <c r="G34" i="47"/>
  <c r="F41" i="29"/>
  <c r="G35" i="47"/>
  <c r="G41" i="29"/>
  <c r="G36" i="47"/>
  <c r="H41" i="29"/>
  <c r="G37" i="47"/>
  <c r="I41" i="29"/>
  <c r="G38" i="47"/>
  <c r="J41" i="29"/>
  <c r="G39" i="47"/>
  <c r="K41" i="29"/>
  <c r="G40" i="47"/>
  <c r="L41" i="29"/>
  <c r="G41" i="47"/>
  <c r="M41" i="29"/>
  <c r="A42" i="29"/>
  <c r="B42" i="29"/>
  <c r="H9" i="47"/>
  <c r="C42" i="29"/>
  <c r="H10" i="47"/>
  <c r="D42" i="29"/>
  <c r="H11" i="47"/>
  <c r="E42" i="29"/>
  <c r="H12" i="47"/>
  <c r="F42" i="29"/>
  <c r="H13" i="47"/>
  <c r="G42" i="29"/>
  <c r="H14" i="47"/>
  <c r="H42" i="29"/>
  <c r="H15" i="47"/>
  <c r="I42" i="29"/>
  <c r="H16" i="47"/>
  <c r="J42" i="29"/>
  <c r="H18" i="47"/>
  <c r="L42" i="29"/>
  <c r="A43" i="29"/>
  <c r="B43" i="29"/>
  <c r="H20" i="47"/>
  <c r="C43" i="29"/>
  <c r="H21" i="47"/>
  <c r="D43" i="29"/>
  <c r="H22" i="47"/>
  <c r="E43" i="29"/>
  <c r="H23" i="47"/>
  <c r="F43" i="29"/>
  <c r="H24" i="47"/>
  <c r="G43" i="29"/>
  <c r="H25" i="47"/>
  <c r="H43" i="29"/>
  <c r="H26" i="47"/>
  <c r="I43" i="29"/>
  <c r="H27" i="47"/>
  <c r="J43" i="29"/>
  <c r="H28" i="47"/>
  <c r="K43" i="29"/>
  <c r="H29" i="47"/>
  <c r="L43" i="29"/>
  <c r="A44" i="29"/>
  <c r="B44" i="29"/>
  <c r="H31" i="47"/>
  <c r="C44" i="29"/>
  <c r="H32" i="47"/>
  <c r="D44" i="29"/>
  <c r="H34" i="47"/>
  <c r="F44" i="29"/>
  <c r="H35" i="47"/>
  <c r="G44" i="29"/>
  <c r="H36" i="47"/>
  <c r="H44" i="29"/>
  <c r="H37" i="47"/>
  <c r="I44" i="29"/>
  <c r="H38" i="47"/>
  <c r="J44" i="29"/>
  <c r="H39" i="47"/>
  <c r="K44" i="29"/>
  <c r="H40" i="47"/>
  <c r="L44" i="29"/>
  <c r="M44" i="29"/>
  <c r="A45" i="29"/>
  <c r="B45" i="29"/>
  <c r="I9" i="47"/>
  <c r="C45" i="29" s="1"/>
  <c r="I10" i="47"/>
  <c r="D45" i="29"/>
  <c r="I11" i="47"/>
  <c r="E45" i="29" s="1"/>
  <c r="I12" i="47"/>
  <c r="F45" i="29"/>
  <c r="I13" i="47"/>
  <c r="G45" i="29" s="1"/>
  <c r="I14" i="47"/>
  <c r="H45" i="29"/>
  <c r="I15" i="47"/>
  <c r="I45" i="29" s="1"/>
  <c r="I16" i="47"/>
  <c r="J45" i="29"/>
  <c r="I17" i="47"/>
  <c r="K45" i="29" s="1"/>
  <c r="I18" i="47"/>
  <c r="L45" i="29"/>
  <c r="A46" i="29"/>
  <c r="B46" i="29"/>
  <c r="I20" i="47"/>
  <c r="C46" i="29"/>
  <c r="I21" i="47"/>
  <c r="D46" i="29" s="1"/>
  <c r="I22" i="47"/>
  <c r="E46" i="29"/>
  <c r="I23" i="47"/>
  <c r="F46" i="29" s="1"/>
  <c r="I24" i="47"/>
  <c r="G46" i="29"/>
  <c r="I25" i="47"/>
  <c r="H46" i="29" s="1"/>
  <c r="I26" i="47"/>
  <c r="I46" i="29"/>
  <c r="I27" i="47"/>
  <c r="J46" i="29" s="1"/>
  <c r="I28" i="47"/>
  <c r="K46" i="29"/>
  <c r="I29" i="47"/>
  <c r="L46" i="29" s="1"/>
  <c r="A47" i="29"/>
  <c r="B47" i="29"/>
  <c r="I31" i="47"/>
  <c r="C47" i="29" s="1"/>
  <c r="I32" i="47"/>
  <c r="D47" i="29"/>
  <c r="I33" i="47"/>
  <c r="E47" i="29" s="1"/>
  <c r="I34" i="47"/>
  <c r="F47" i="29"/>
  <c r="I35" i="47"/>
  <c r="G47" i="29" s="1"/>
  <c r="I36" i="47"/>
  <c r="H47" i="29"/>
  <c r="I37" i="47"/>
  <c r="I47" i="29" s="1"/>
  <c r="I38" i="47"/>
  <c r="J47" i="29"/>
  <c r="I39" i="47"/>
  <c r="K47" i="29" s="1"/>
  <c r="I40" i="47"/>
  <c r="L47" i="29"/>
  <c r="I41" i="47"/>
  <c r="M47" i="29" s="1"/>
  <c r="A48" i="29"/>
  <c r="B48" i="29"/>
  <c r="J9" i="47"/>
  <c r="C48" i="29" s="1"/>
  <c r="J10" i="47"/>
  <c r="D48" i="29"/>
  <c r="J11" i="47"/>
  <c r="E48" i="29" s="1"/>
  <c r="J12" i="47"/>
  <c r="F48" i="29"/>
  <c r="J13" i="47"/>
  <c r="G48" i="29" s="1"/>
  <c r="J14" i="47"/>
  <c r="H48" i="29"/>
  <c r="J15" i="47"/>
  <c r="I48" i="29" s="1"/>
  <c r="J16" i="47"/>
  <c r="J48" i="29"/>
  <c r="J17" i="47"/>
  <c r="K48" i="29" s="1"/>
  <c r="J18" i="47"/>
  <c r="L48" i="29"/>
  <c r="A49" i="29"/>
  <c r="B49" i="29"/>
  <c r="J20" i="47"/>
  <c r="C49" i="29"/>
  <c r="J21" i="47"/>
  <c r="D49" i="29" s="1"/>
  <c r="J22" i="47"/>
  <c r="E49" i="29"/>
  <c r="J23" i="47"/>
  <c r="F49" i="29" s="1"/>
  <c r="J24" i="47"/>
  <c r="G49" i="29"/>
  <c r="J25" i="47"/>
  <c r="H49" i="29" s="1"/>
  <c r="J26" i="47"/>
  <c r="I49" i="29"/>
  <c r="J27" i="47"/>
  <c r="J49" i="29" s="1"/>
  <c r="J28" i="47"/>
  <c r="K49" i="29"/>
  <c r="J29" i="47"/>
  <c r="L49" i="29" s="1"/>
  <c r="A50" i="29"/>
  <c r="B50" i="29"/>
  <c r="J31" i="47"/>
  <c r="C50" i="29" s="1"/>
  <c r="J32" i="47"/>
  <c r="D50" i="29"/>
  <c r="J33" i="47"/>
  <c r="E50" i="29" s="1"/>
  <c r="J34" i="47"/>
  <c r="F50" i="29"/>
  <c r="J35" i="47"/>
  <c r="G50" i="29" s="1"/>
  <c r="J36" i="47"/>
  <c r="H50" i="29"/>
  <c r="J37" i="47"/>
  <c r="I50" i="29" s="1"/>
  <c r="J38" i="47"/>
  <c r="J50" i="29"/>
  <c r="J39" i="47"/>
  <c r="K50" i="29" s="1"/>
  <c r="J40" i="47"/>
  <c r="L50" i="29"/>
  <c r="M50" i="29"/>
  <c r="A51" i="29"/>
  <c r="B51" i="29"/>
  <c r="K9" i="47"/>
  <c r="C51" i="29"/>
  <c r="K10" i="47"/>
  <c r="D51" i="29"/>
  <c r="K11" i="47"/>
  <c r="E51" i="29"/>
  <c r="K12" i="47"/>
  <c r="F51" i="29"/>
  <c r="K13" i="47"/>
  <c r="G51" i="29"/>
  <c r="K14" i="47"/>
  <c r="H51" i="29"/>
  <c r="K15" i="47"/>
  <c r="I51" i="29"/>
  <c r="K16" i="47"/>
  <c r="J51" i="29"/>
  <c r="K17" i="47"/>
  <c r="K51" i="29"/>
  <c r="K18" i="47"/>
  <c r="L51" i="29"/>
  <c r="A52" i="29"/>
  <c r="B52" i="29"/>
  <c r="K20" i="47"/>
  <c r="C52" i="29"/>
  <c r="K21" i="47"/>
  <c r="D52" i="29"/>
  <c r="K22" i="47"/>
  <c r="E52" i="29"/>
  <c r="K23" i="47"/>
  <c r="F52" i="29"/>
  <c r="K24" i="47"/>
  <c r="G52" i="29"/>
  <c r="K25" i="47"/>
  <c r="H52" i="29"/>
  <c r="K26" i="47"/>
  <c r="I52" i="29"/>
  <c r="K27" i="47"/>
  <c r="J52" i="29"/>
  <c r="K28" i="47"/>
  <c r="K52" i="29"/>
  <c r="K29" i="47"/>
  <c r="L52" i="29"/>
  <c r="A53" i="29"/>
  <c r="B53" i="29"/>
  <c r="K31" i="47"/>
  <c r="C53" i="29"/>
  <c r="K32" i="47"/>
  <c r="D53" i="29"/>
  <c r="K33" i="47"/>
  <c r="E53" i="29"/>
  <c r="K34" i="47"/>
  <c r="F53" i="29"/>
  <c r="K35" i="47"/>
  <c r="G53" i="29"/>
  <c r="K36" i="47"/>
  <c r="H53" i="29"/>
  <c r="K37" i="47"/>
  <c r="I53" i="29"/>
  <c r="K38" i="47"/>
  <c r="J53" i="29"/>
  <c r="K39" i="47"/>
  <c r="K53" i="29"/>
  <c r="K40" i="47"/>
  <c r="L53" i="29"/>
  <c r="K41" i="47"/>
  <c r="M53" i="29"/>
  <c r="A54" i="29"/>
  <c r="B54" i="29"/>
  <c r="L9" i="47"/>
  <c r="C54" i="29"/>
  <c r="L10" i="47"/>
  <c r="D54" i="29"/>
  <c r="L11" i="47"/>
  <c r="E54" i="29"/>
  <c r="L12" i="47"/>
  <c r="F54" i="29"/>
  <c r="L13" i="47"/>
  <c r="G54" i="29"/>
  <c r="L14" i="47"/>
  <c r="H54" i="29"/>
  <c r="L15" i="47"/>
  <c r="I54" i="29"/>
  <c r="L16" i="47"/>
  <c r="J54" i="29"/>
  <c r="L17" i="47"/>
  <c r="K54" i="29"/>
  <c r="L18" i="47"/>
  <c r="L54" i="29"/>
  <c r="A55" i="29"/>
  <c r="B55" i="29"/>
  <c r="L20" i="47"/>
  <c r="C55" i="29"/>
  <c r="L21" i="47"/>
  <c r="D55" i="29"/>
  <c r="L22" i="47"/>
  <c r="E55" i="29"/>
  <c r="L23" i="47"/>
  <c r="F55" i="29"/>
  <c r="L24" i="47"/>
  <c r="G55" i="29"/>
  <c r="L25" i="47"/>
  <c r="H55" i="29"/>
  <c r="L26" i="47"/>
  <c r="I55" i="29"/>
  <c r="L27" i="47"/>
  <c r="J55" i="29"/>
  <c r="L28" i="47"/>
  <c r="K55" i="29"/>
  <c r="L29" i="47"/>
  <c r="L55" i="29"/>
  <c r="A56" i="29"/>
  <c r="B56" i="29"/>
  <c r="L31" i="47"/>
  <c r="C56" i="29"/>
  <c r="L32" i="47"/>
  <c r="D56" i="29"/>
  <c r="L33" i="47"/>
  <c r="E56" i="29"/>
  <c r="L34" i="47"/>
  <c r="F56" i="29"/>
  <c r="L35" i="47"/>
  <c r="G56" i="29"/>
  <c r="L38" i="47"/>
  <c r="J56" i="29"/>
  <c r="L39" i="47"/>
  <c r="K56" i="29"/>
  <c r="A57" i="29"/>
  <c r="B57" i="29"/>
  <c r="M9" i="47"/>
  <c r="C57" i="29"/>
  <c r="M10" i="47"/>
  <c r="D57" i="29"/>
  <c r="M11" i="47"/>
  <c r="E57" i="29"/>
  <c r="M12" i="47"/>
  <c r="F57" i="29"/>
  <c r="M13" i="47"/>
  <c r="G57" i="29"/>
  <c r="M14" i="47"/>
  <c r="H57" i="29"/>
  <c r="M15" i="47"/>
  <c r="I57" i="29"/>
  <c r="M16" i="47"/>
  <c r="J57" i="29"/>
  <c r="M17" i="47"/>
  <c r="K57" i="29"/>
  <c r="M18" i="47"/>
  <c r="L57" i="29"/>
  <c r="A58" i="29"/>
  <c r="B58" i="29"/>
  <c r="M20" i="47"/>
  <c r="C58" i="29"/>
  <c r="M23" i="47"/>
  <c r="F58" i="29"/>
  <c r="M24" i="47"/>
  <c r="G58" i="29"/>
  <c r="M26" i="47"/>
  <c r="I58" i="29"/>
  <c r="M28" i="47"/>
  <c r="K58" i="29"/>
  <c r="A59" i="29"/>
  <c r="B59" i="29"/>
  <c r="M31" i="47"/>
  <c r="C59" i="29"/>
  <c r="M33" i="47"/>
  <c r="E59" i="29"/>
  <c r="M35" i="47"/>
  <c r="G59" i="29"/>
  <c r="M37" i="47"/>
  <c r="I59" i="29"/>
  <c r="M39" i="47"/>
  <c r="K59" i="29"/>
  <c r="L59" i="29"/>
  <c r="M59" i="29"/>
  <c r="A60" i="29"/>
  <c r="B60" i="29"/>
  <c r="N9" i="47"/>
  <c r="C60" i="29"/>
  <c r="N11" i="47"/>
  <c r="E60" i="29"/>
  <c r="N13" i="47"/>
  <c r="G60" i="29"/>
  <c r="N15" i="47"/>
  <c r="I60" i="29"/>
  <c r="N17" i="47"/>
  <c r="K60" i="29"/>
  <c r="A61" i="29"/>
  <c r="B61" i="29"/>
  <c r="N20" i="47"/>
  <c r="C61" i="29"/>
  <c r="N22" i="47"/>
  <c r="E61" i="29"/>
  <c r="N24" i="47"/>
  <c r="G61" i="29"/>
  <c r="N27" i="47"/>
  <c r="J61" i="29"/>
  <c r="N29" i="47"/>
  <c r="L61" i="29"/>
  <c r="A62" i="29"/>
  <c r="B62" i="29"/>
  <c r="N38" i="47"/>
  <c r="J62" i="29"/>
  <c r="A63" i="29"/>
  <c r="B63" i="29"/>
  <c r="A1" i="46"/>
  <c r="A2" i="46"/>
  <c r="I2" i="46" s="1"/>
  <c r="B2" i="46"/>
  <c r="C2" i="46"/>
  <c r="D2" i="46"/>
  <c r="E2" i="46"/>
  <c r="F2" i="46"/>
  <c r="H2" i="46"/>
  <c r="A3" i="46"/>
  <c r="B3" i="46"/>
  <c r="D3" i="46"/>
  <c r="F3" i="46"/>
  <c r="A4" i="46"/>
  <c r="B4" i="46"/>
  <c r="E4" i="46"/>
  <c r="A1" i="43"/>
  <c r="N2" i="43"/>
  <c r="B1" i="43"/>
  <c r="W7" i="18"/>
  <c r="B2" i="43" s="1"/>
  <c r="Z7" i="18"/>
  <c r="C2" i="43"/>
  <c r="D2" i="43"/>
  <c r="O2" i="43"/>
  <c r="B4" i="43"/>
  <c r="C4" i="43"/>
  <c r="D4" i="43"/>
  <c r="E4" i="43"/>
  <c r="F4" i="43"/>
  <c r="G4" i="43"/>
  <c r="H4" i="43"/>
  <c r="I4" i="43"/>
  <c r="J4" i="43"/>
  <c r="K4" i="43"/>
  <c r="B5" i="43"/>
  <c r="C5" i="43"/>
  <c r="D5" i="43"/>
  <c r="E5" i="43"/>
  <c r="F5" i="43"/>
  <c r="G5" i="43"/>
  <c r="H5" i="43"/>
  <c r="I5" i="43"/>
  <c r="J5" i="43"/>
  <c r="K5" i="43"/>
  <c r="B6" i="43"/>
  <c r="C6" i="43"/>
  <c r="D6" i="43"/>
  <c r="E6" i="43"/>
  <c r="F6" i="43"/>
  <c r="G6" i="43"/>
  <c r="H6" i="43"/>
  <c r="I6" i="43"/>
  <c r="J6" i="43"/>
  <c r="B7" i="43"/>
  <c r="C7" i="43"/>
  <c r="D7" i="43"/>
  <c r="E7" i="43"/>
  <c r="F7" i="43"/>
  <c r="G7" i="43"/>
  <c r="H7" i="43"/>
  <c r="I7" i="43"/>
  <c r="J7" i="43"/>
  <c r="K7" i="43"/>
  <c r="B8" i="43"/>
  <c r="C8" i="43"/>
  <c r="D8" i="43"/>
  <c r="E8" i="43"/>
  <c r="F8" i="43"/>
  <c r="G8" i="43"/>
  <c r="H8" i="43"/>
  <c r="I8" i="43"/>
  <c r="J8" i="43"/>
  <c r="K8" i="43"/>
  <c r="B9" i="43"/>
  <c r="C9" i="43"/>
  <c r="D9" i="43"/>
  <c r="E9" i="43"/>
  <c r="F9" i="43"/>
  <c r="G9" i="43"/>
  <c r="H9" i="43"/>
  <c r="I9" i="43"/>
  <c r="J9" i="43"/>
  <c r="B10" i="43"/>
  <c r="C10" i="43"/>
  <c r="D10" i="43"/>
  <c r="E10" i="43"/>
  <c r="F10" i="43"/>
  <c r="G10" i="43"/>
  <c r="H10" i="43"/>
  <c r="I10" i="43"/>
  <c r="J10" i="43"/>
  <c r="K10" i="43"/>
  <c r="B11" i="43"/>
  <c r="C11" i="43"/>
  <c r="D11" i="43"/>
  <c r="E11" i="43"/>
  <c r="F11" i="43"/>
  <c r="G11" i="43"/>
  <c r="H11" i="43"/>
  <c r="I11" i="43"/>
  <c r="J11" i="43"/>
  <c r="K11" i="43"/>
  <c r="B12" i="43"/>
  <c r="C12" i="43"/>
  <c r="D12" i="43"/>
  <c r="E12" i="43"/>
  <c r="F12" i="43"/>
  <c r="G12" i="43"/>
  <c r="H12" i="43"/>
  <c r="I12" i="43"/>
  <c r="J12" i="43"/>
  <c r="B13" i="43"/>
  <c r="C13" i="43"/>
  <c r="D13" i="43"/>
  <c r="E13" i="43"/>
  <c r="F13" i="43"/>
  <c r="G13" i="43"/>
  <c r="H13" i="43"/>
  <c r="I13" i="43"/>
  <c r="J13" i="43"/>
  <c r="K13" i="43"/>
  <c r="B14" i="43"/>
  <c r="C14" i="43"/>
  <c r="D14" i="43"/>
  <c r="E14" i="43"/>
  <c r="F14" i="43"/>
  <c r="G14" i="43"/>
  <c r="H14" i="43"/>
  <c r="I14" i="43"/>
  <c r="J14" i="43"/>
  <c r="K14" i="43"/>
  <c r="B15" i="43"/>
  <c r="C15" i="43"/>
  <c r="D15" i="43"/>
  <c r="E15" i="43"/>
  <c r="F15" i="43"/>
  <c r="G15" i="43"/>
  <c r="H15" i="43"/>
  <c r="I15" i="43"/>
  <c r="J15" i="43"/>
  <c r="B16" i="43"/>
  <c r="C16" i="43"/>
  <c r="D16" i="43"/>
  <c r="E16" i="43"/>
  <c r="F16" i="43"/>
  <c r="G16" i="43"/>
  <c r="H16" i="43"/>
  <c r="I16" i="43"/>
  <c r="J16" i="43"/>
  <c r="K16" i="43"/>
  <c r="B17" i="43"/>
  <c r="C17" i="43"/>
  <c r="D17" i="43"/>
  <c r="E17" i="43"/>
  <c r="F17" i="43"/>
  <c r="G17" i="43"/>
  <c r="H17" i="43"/>
  <c r="I17" i="43"/>
  <c r="J17" i="43"/>
  <c r="K17" i="43"/>
  <c r="B18" i="43"/>
  <c r="C18" i="43"/>
  <c r="D18" i="43"/>
  <c r="E18" i="43"/>
  <c r="F18" i="43"/>
  <c r="G18" i="43"/>
  <c r="H18" i="43"/>
  <c r="I18" i="43"/>
  <c r="J18" i="43"/>
  <c r="B19" i="43"/>
  <c r="C19" i="43"/>
  <c r="D19" i="43"/>
  <c r="E19" i="43"/>
  <c r="F19" i="43"/>
  <c r="G19" i="43"/>
  <c r="H19" i="43"/>
  <c r="I19" i="43"/>
  <c r="J19" i="43"/>
  <c r="K19" i="43"/>
  <c r="B20" i="43"/>
  <c r="C20" i="43"/>
  <c r="D20" i="43"/>
  <c r="E20" i="43"/>
  <c r="F20" i="43"/>
  <c r="G20" i="43"/>
  <c r="H20" i="43"/>
  <c r="I20" i="43"/>
  <c r="J20" i="43"/>
  <c r="K20" i="43"/>
  <c r="B21" i="43"/>
  <c r="C21" i="43"/>
  <c r="D21" i="43"/>
  <c r="E21" i="43"/>
  <c r="F21" i="43"/>
  <c r="G21" i="43"/>
  <c r="H21" i="43"/>
  <c r="I21" i="43"/>
  <c r="J21" i="43"/>
  <c r="B22" i="43"/>
  <c r="C22" i="43"/>
  <c r="D22" i="43"/>
  <c r="E22" i="43"/>
  <c r="F22" i="43"/>
  <c r="G22" i="43"/>
  <c r="H22" i="43"/>
  <c r="I22" i="43"/>
  <c r="J22" i="43"/>
  <c r="K22" i="43"/>
  <c r="B23" i="43"/>
  <c r="C23" i="43"/>
  <c r="D23" i="43"/>
  <c r="E23" i="43"/>
  <c r="F23" i="43"/>
  <c r="G23" i="43"/>
  <c r="H23" i="43"/>
  <c r="I23" i="43"/>
  <c r="J23" i="43"/>
  <c r="K23" i="43"/>
  <c r="B24" i="43"/>
  <c r="C24" i="43"/>
  <c r="D24" i="43"/>
  <c r="E24" i="43"/>
  <c r="F24" i="43"/>
  <c r="G24" i="43"/>
  <c r="H24" i="43"/>
  <c r="I24" i="43"/>
  <c r="J24" i="43"/>
  <c r="B25" i="43"/>
  <c r="C25" i="43"/>
  <c r="D25" i="43"/>
  <c r="E25" i="43"/>
  <c r="F25" i="43"/>
  <c r="G25" i="43"/>
  <c r="H25" i="43"/>
  <c r="I25" i="43"/>
  <c r="J25" i="43"/>
  <c r="K25" i="43"/>
  <c r="B26" i="43"/>
  <c r="C26" i="43"/>
  <c r="D26" i="43"/>
  <c r="E26" i="43"/>
  <c r="F26" i="43"/>
  <c r="G26" i="43"/>
  <c r="H26" i="43"/>
  <c r="I26" i="43"/>
  <c r="J26" i="43"/>
  <c r="K26" i="43"/>
  <c r="B27" i="43"/>
  <c r="C27" i="43"/>
  <c r="D27" i="43"/>
  <c r="E27" i="43"/>
  <c r="F27" i="43"/>
  <c r="G27" i="43"/>
  <c r="H27" i="43"/>
  <c r="I27" i="43"/>
  <c r="J27" i="43"/>
  <c r="B28" i="43"/>
  <c r="C28" i="43"/>
  <c r="D28" i="43"/>
  <c r="E28" i="43"/>
  <c r="F28" i="43"/>
  <c r="G28" i="43"/>
  <c r="H28" i="43"/>
  <c r="I28" i="43"/>
  <c r="J28" i="43"/>
  <c r="K28" i="43"/>
  <c r="B29" i="43"/>
  <c r="C29" i="43"/>
  <c r="D29" i="43"/>
  <c r="E29" i="43"/>
  <c r="F29" i="43"/>
  <c r="G29" i="43"/>
  <c r="H29" i="43"/>
  <c r="I29" i="43"/>
  <c r="J29" i="43"/>
  <c r="K29" i="43"/>
  <c r="B30" i="43"/>
  <c r="C30" i="43"/>
  <c r="D30" i="43"/>
  <c r="E30" i="43"/>
  <c r="F30" i="43"/>
  <c r="G30" i="43"/>
  <c r="H30" i="43"/>
  <c r="I30" i="43"/>
  <c r="J30" i="43"/>
  <c r="B31" i="43"/>
  <c r="C31" i="43"/>
  <c r="D31" i="43"/>
  <c r="E31" i="43"/>
  <c r="F31" i="43"/>
  <c r="G31" i="43"/>
  <c r="H31" i="43"/>
  <c r="I31" i="43"/>
  <c r="J31" i="43"/>
  <c r="K31" i="43"/>
  <c r="B32" i="43"/>
  <c r="C32" i="43"/>
  <c r="D32" i="43"/>
  <c r="E32" i="43"/>
  <c r="F32" i="43"/>
  <c r="G32" i="43"/>
  <c r="H32" i="43"/>
  <c r="I32" i="43"/>
  <c r="J32" i="43"/>
  <c r="K32" i="43"/>
  <c r="B33" i="43"/>
  <c r="C33" i="43"/>
  <c r="D33" i="43"/>
  <c r="E33" i="43"/>
  <c r="F33" i="43"/>
  <c r="G33" i="43"/>
  <c r="H33" i="43"/>
  <c r="I33" i="43"/>
  <c r="J33" i="43"/>
  <c r="B34" i="43"/>
  <c r="C34" i="43"/>
  <c r="D34" i="43"/>
  <c r="E34" i="43"/>
  <c r="F34" i="43"/>
  <c r="G34" i="43"/>
  <c r="H34" i="43"/>
  <c r="I34" i="43"/>
  <c r="J34" i="43"/>
  <c r="K34" i="43"/>
  <c r="B35" i="43"/>
  <c r="C35" i="43"/>
  <c r="D35" i="43"/>
  <c r="E35" i="43"/>
  <c r="F35" i="43"/>
  <c r="G35" i="43"/>
  <c r="H35" i="43"/>
  <c r="I35" i="43"/>
  <c r="J35" i="43"/>
  <c r="K35" i="43"/>
  <c r="B36" i="43"/>
  <c r="C36" i="43"/>
  <c r="D36" i="43"/>
  <c r="E36" i="43"/>
  <c r="F36" i="43"/>
  <c r="G36" i="43"/>
  <c r="H36" i="43"/>
  <c r="I36" i="43"/>
  <c r="J36" i="43"/>
  <c r="B37" i="43"/>
  <c r="C37" i="43"/>
  <c r="D37" i="43"/>
  <c r="E37" i="43"/>
  <c r="F37" i="43"/>
  <c r="G37" i="43"/>
  <c r="H37" i="43"/>
  <c r="I37" i="43"/>
  <c r="J37" i="43"/>
  <c r="K37" i="43"/>
  <c r="B38" i="43"/>
  <c r="C38" i="43"/>
  <c r="D38" i="43"/>
  <c r="E38" i="43"/>
  <c r="F38" i="43"/>
  <c r="G38" i="43"/>
  <c r="H38" i="43"/>
  <c r="I38" i="43"/>
  <c r="J38" i="43"/>
  <c r="K38" i="43"/>
  <c r="B39" i="43"/>
  <c r="C39" i="43"/>
  <c r="D39" i="43"/>
  <c r="E39" i="43"/>
  <c r="F39" i="43"/>
  <c r="G39" i="43"/>
  <c r="H39" i="43"/>
  <c r="I39" i="43"/>
  <c r="J39" i="43"/>
  <c r="B40" i="43"/>
  <c r="C40" i="43"/>
  <c r="D40" i="43"/>
  <c r="E40" i="43"/>
  <c r="F40" i="43"/>
  <c r="G40" i="43"/>
  <c r="H40" i="43"/>
  <c r="I40" i="43"/>
  <c r="J40" i="43"/>
  <c r="K40" i="43"/>
  <c r="B41" i="43"/>
  <c r="C41" i="43"/>
  <c r="D41" i="43"/>
  <c r="E41" i="43"/>
  <c r="F41" i="43"/>
  <c r="G41" i="43"/>
  <c r="H41" i="43"/>
  <c r="I41" i="43"/>
  <c r="J41" i="43"/>
  <c r="K41" i="43"/>
  <c r="B42" i="43"/>
  <c r="C42" i="43"/>
  <c r="D42" i="43"/>
  <c r="E42" i="43"/>
  <c r="F42" i="43"/>
  <c r="G42" i="43"/>
  <c r="H42" i="43"/>
  <c r="I42" i="43"/>
  <c r="J42" i="43"/>
  <c r="B43" i="43"/>
  <c r="C43" i="43"/>
  <c r="D43" i="43"/>
  <c r="E43" i="43"/>
  <c r="F43" i="43"/>
  <c r="G43" i="43"/>
  <c r="H43" i="43"/>
  <c r="I43" i="43"/>
  <c r="J43" i="43"/>
  <c r="K43" i="43"/>
  <c r="B44" i="43"/>
  <c r="C44" i="43"/>
  <c r="D44" i="43"/>
  <c r="E44" i="43"/>
  <c r="F44" i="43"/>
  <c r="G44" i="43"/>
  <c r="H44" i="43"/>
  <c r="I44" i="43"/>
  <c r="J44" i="43"/>
  <c r="K44" i="43"/>
  <c r="B45" i="43"/>
  <c r="C45" i="43"/>
  <c r="D45" i="43"/>
  <c r="E45" i="43"/>
  <c r="F45" i="43"/>
  <c r="G45" i="43"/>
  <c r="H45" i="43"/>
  <c r="I45" i="43"/>
  <c r="J45" i="43"/>
  <c r="B46" i="43"/>
  <c r="C46" i="43"/>
  <c r="D46" i="43"/>
  <c r="E46" i="43"/>
  <c r="F46" i="43"/>
  <c r="G46" i="43"/>
  <c r="H46" i="43"/>
  <c r="I46" i="43"/>
  <c r="J46" i="43"/>
  <c r="K46" i="43"/>
  <c r="B47" i="43"/>
  <c r="C47" i="43"/>
  <c r="D47" i="43"/>
  <c r="E47" i="43"/>
  <c r="F47" i="43"/>
  <c r="G47" i="43"/>
  <c r="H47" i="43"/>
  <c r="I47" i="43"/>
  <c r="J47" i="43"/>
  <c r="K47" i="43"/>
  <c r="B48" i="43"/>
  <c r="C48" i="43"/>
  <c r="D48" i="43"/>
  <c r="E48" i="43"/>
  <c r="F48" i="43"/>
  <c r="G48" i="43"/>
  <c r="H48" i="43"/>
  <c r="I48" i="43"/>
  <c r="J48" i="43"/>
  <c r="B49" i="43"/>
  <c r="C49" i="43"/>
  <c r="D49" i="43"/>
  <c r="E49" i="43"/>
  <c r="F49" i="43"/>
  <c r="G49" i="43"/>
  <c r="H49" i="43"/>
  <c r="I49" i="43"/>
  <c r="J49" i="43"/>
  <c r="K49" i="43"/>
  <c r="B50" i="43"/>
  <c r="C50" i="43"/>
  <c r="D50" i="43"/>
  <c r="E50" i="43"/>
  <c r="F50" i="43"/>
  <c r="G50" i="43"/>
  <c r="H50" i="43"/>
  <c r="I50" i="43"/>
  <c r="J50" i="43"/>
  <c r="K50" i="43"/>
  <c r="B51" i="43"/>
  <c r="C51" i="43"/>
  <c r="D51" i="43"/>
  <c r="E51" i="43"/>
  <c r="F51" i="43"/>
  <c r="G51" i="43"/>
  <c r="H51" i="43"/>
  <c r="I51" i="43"/>
  <c r="J51" i="43"/>
  <c r="B52" i="43"/>
  <c r="C52" i="43"/>
  <c r="D52" i="43"/>
  <c r="E52" i="43"/>
  <c r="F52" i="43"/>
  <c r="G52" i="43"/>
  <c r="H52" i="43"/>
  <c r="I52" i="43"/>
  <c r="J52" i="43"/>
  <c r="K52" i="43"/>
  <c r="B53" i="43"/>
  <c r="C53" i="43"/>
  <c r="D53" i="43"/>
  <c r="E53" i="43"/>
  <c r="F53" i="43"/>
  <c r="G53" i="43"/>
  <c r="H53" i="43"/>
  <c r="I53" i="43"/>
  <c r="J53" i="43"/>
  <c r="K53" i="43"/>
  <c r="B54" i="43"/>
  <c r="C54" i="43"/>
  <c r="D54" i="43"/>
  <c r="E54" i="43"/>
  <c r="F54" i="43"/>
  <c r="G54" i="43"/>
  <c r="H54" i="43"/>
  <c r="I54" i="43"/>
  <c r="J54" i="43"/>
  <c r="B55" i="43"/>
  <c r="C55" i="43"/>
  <c r="D55" i="43"/>
  <c r="E55" i="43"/>
  <c r="F55" i="43"/>
  <c r="G55" i="43"/>
  <c r="H55" i="43"/>
  <c r="I55" i="43"/>
  <c r="J55" i="43"/>
  <c r="K55" i="43"/>
  <c r="B56" i="43"/>
  <c r="C56" i="43"/>
  <c r="D56" i="43"/>
  <c r="E56" i="43"/>
  <c r="F56" i="43"/>
  <c r="G56" i="43"/>
  <c r="H56" i="43"/>
  <c r="I56" i="43"/>
  <c r="J56" i="43"/>
  <c r="K56" i="43"/>
  <c r="AM11" i="18"/>
  <c r="AD11" i="18" s="1"/>
  <c r="AC11" i="18"/>
  <c r="B79" i="43" s="1"/>
  <c r="N56" i="43" s="1"/>
  <c r="AN11" i="18"/>
  <c r="AE11" i="18" s="1"/>
  <c r="B85" i="43" s="1"/>
  <c r="R56" i="43" s="1"/>
  <c r="B57" i="43"/>
  <c r="C57" i="43"/>
  <c r="D57" i="43"/>
  <c r="E57" i="43"/>
  <c r="F57" i="43"/>
  <c r="G57" i="43"/>
  <c r="H57" i="43"/>
  <c r="I57" i="43"/>
  <c r="J57" i="43"/>
  <c r="B58" i="43"/>
  <c r="C58" i="43"/>
  <c r="D58" i="43"/>
  <c r="E58" i="43"/>
  <c r="F58" i="43"/>
  <c r="G58" i="43"/>
  <c r="H58" i="43"/>
  <c r="I58" i="43"/>
  <c r="J58" i="43"/>
  <c r="K58" i="43"/>
  <c r="AM13" i="18"/>
  <c r="AC13" i="18"/>
  <c r="D79" i="43"/>
  <c r="N58" i="43" s="1"/>
  <c r="AD13" i="18"/>
  <c r="AF13" i="18" s="1"/>
  <c r="D88" i="43" s="1"/>
  <c r="T58" i="43" s="1"/>
  <c r="D82" i="43"/>
  <c r="P58" i="43"/>
  <c r="AN13" i="18"/>
  <c r="AE13" i="18"/>
  <c r="D85" i="43"/>
  <c r="R58" i="43"/>
  <c r="B59" i="43"/>
  <c r="C59" i="43"/>
  <c r="D59" i="43"/>
  <c r="E59" i="43"/>
  <c r="F59" i="43"/>
  <c r="G59" i="43"/>
  <c r="H59" i="43"/>
  <c r="I59" i="43"/>
  <c r="J59" i="43"/>
  <c r="K59" i="43"/>
  <c r="B60" i="43"/>
  <c r="C60" i="43"/>
  <c r="D60" i="43"/>
  <c r="E60" i="43"/>
  <c r="F60" i="43"/>
  <c r="G60" i="43"/>
  <c r="H60" i="43"/>
  <c r="I60" i="43"/>
  <c r="J60" i="43"/>
  <c r="AM15" i="18"/>
  <c r="AC15" i="18"/>
  <c r="F79" i="43"/>
  <c r="N60" i="43"/>
  <c r="AD15" i="18"/>
  <c r="F82" i="43"/>
  <c r="P60" i="43"/>
  <c r="AN15" i="18"/>
  <c r="AE15" i="18" s="1"/>
  <c r="F85" i="43" s="1"/>
  <c r="B61" i="43"/>
  <c r="C61" i="43"/>
  <c r="D61" i="43"/>
  <c r="E61" i="43"/>
  <c r="F61" i="43"/>
  <c r="G61" i="43"/>
  <c r="H61" i="43"/>
  <c r="I61" i="43"/>
  <c r="J61" i="43"/>
  <c r="K61" i="43"/>
  <c r="AN16" i="18"/>
  <c r="AE16" i="18"/>
  <c r="G85" i="43"/>
  <c r="R61" i="43" s="1"/>
  <c r="B62" i="43"/>
  <c r="C62" i="43"/>
  <c r="D62" i="43"/>
  <c r="E62" i="43"/>
  <c r="F62" i="43"/>
  <c r="G62" i="43"/>
  <c r="H62" i="43"/>
  <c r="I62" i="43"/>
  <c r="J62" i="43"/>
  <c r="K62" i="43"/>
  <c r="AM17" i="18"/>
  <c r="AC17" i="18" s="1"/>
  <c r="H79" i="43" s="1"/>
  <c r="N62" i="43" s="1"/>
  <c r="AN17" i="18"/>
  <c r="AE17" i="18" s="1"/>
  <c r="H85" i="43" s="1"/>
  <c r="R62" i="43" s="1"/>
  <c r="B63" i="43"/>
  <c r="C63" i="43"/>
  <c r="D63" i="43"/>
  <c r="E63" i="43"/>
  <c r="F63" i="43"/>
  <c r="G63" i="43"/>
  <c r="H63" i="43"/>
  <c r="I63" i="43"/>
  <c r="J63" i="43"/>
  <c r="AM18" i="18"/>
  <c r="AD18" i="18"/>
  <c r="AC18" i="18"/>
  <c r="I79" i="43"/>
  <c r="N63" i="43" s="1"/>
  <c r="AN18" i="18"/>
  <c r="AE18" i="18"/>
  <c r="I85" i="43"/>
  <c r="R63" i="43" s="1"/>
  <c r="B64" i="43"/>
  <c r="C64" i="43"/>
  <c r="D64" i="43"/>
  <c r="E64" i="43"/>
  <c r="F64" i="43"/>
  <c r="G64" i="43"/>
  <c r="H64" i="43"/>
  <c r="I64" i="43"/>
  <c r="J64" i="43"/>
  <c r="K64" i="43"/>
  <c r="AM19" i="18"/>
  <c r="AC19" i="18" s="1"/>
  <c r="J79" i="43" s="1"/>
  <c r="N64" i="43" s="1"/>
  <c r="AD19" i="18"/>
  <c r="AF19" i="18" s="1"/>
  <c r="J88" i="43" s="1"/>
  <c r="T64" i="43" s="1"/>
  <c r="AN19" i="18"/>
  <c r="AE19" i="18" s="1"/>
  <c r="J85" i="43" s="1"/>
  <c r="R64" i="43" s="1"/>
  <c r="B65" i="43"/>
  <c r="C65" i="43"/>
  <c r="D65" i="43"/>
  <c r="E65" i="43"/>
  <c r="F65" i="43"/>
  <c r="G65" i="43"/>
  <c r="H65" i="43"/>
  <c r="I65" i="43"/>
  <c r="J65" i="43"/>
  <c r="K65" i="43"/>
  <c r="AM20" i="18"/>
  <c r="AC20" i="18"/>
  <c r="K79" i="43"/>
  <c r="N65" i="43" s="1"/>
  <c r="AD20" i="18"/>
  <c r="AF20" i="18"/>
  <c r="K88" i="43" s="1"/>
  <c r="T65" i="43" s="1"/>
  <c r="K82" i="43"/>
  <c r="P65" i="43" s="1"/>
  <c r="AN20" i="18"/>
  <c r="AE20" i="18"/>
  <c r="K85" i="43"/>
  <c r="R65" i="43" s="1"/>
  <c r="B66" i="43"/>
  <c r="C66" i="43"/>
  <c r="D66" i="43"/>
  <c r="E66" i="43"/>
  <c r="F66" i="43"/>
  <c r="G66" i="43"/>
  <c r="H66" i="43"/>
  <c r="I66" i="43"/>
  <c r="J66" i="43"/>
  <c r="AM22" i="18"/>
  <c r="AD22" i="18"/>
  <c r="AC22" i="18"/>
  <c r="B80" i="43"/>
  <c r="AN22" i="18"/>
  <c r="AE22" i="18"/>
  <c r="B86" i="43"/>
  <c r="R66" i="43"/>
  <c r="B67" i="43"/>
  <c r="C67" i="43"/>
  <c r="D67" i="43"/>
  <c r="E67" i="43"/>
  <c r="F67" i="43"/>
  <c r="G67" i="43"/>
  <c r="H67" i="43"/>
  <c r="I67" i="43"/>
  <c r="J67" i="43"/>
  <c r="K67" i="43"/>
  <c r="AM23" i="18"/>
  <c r="AC23" i="18"/>
  <c r="C80" i="43" s="1"/>
  <c r="N67" i="43" s="1"/>
  <c r="AD23" i="18"/>
  <c r="AF23" i="18"/>
  <c r="C89" i="43" s="1"/>
  <c r="T67" i="43" s="1"/>
  <c r="AN23" i="18"/>
  <c r="AE23" i="18"/>
  <c r="C86" i="43" s="1"/>
  <c r="R67" i="43" s="1"/>
  <c r="B68" i="43"/>
  <c r="C68" i="43"/>
  <c r="D68" i="43"/>
  <c r="E68" i="43"/>
  <c r="F68" i="43"/>
  <c r="G68" i="43"/>
  <c r="H68" i="43"/>
  <c r="I68" i="43"/>
  <c r="J68" i="43"/>
  <c r="K68" i="43"/>
  <c r="AM24" i="18"/>
  <c r="AD24" i="18"/>
  <c r="AC24" i="18"/>
  <c r="D80" i="43"/>
  <c r="N68" i="43" s="1"/>
  <c r="AN24" i="18"/>
  <c r="AE24" i="18"/>
  <c r="D86" i="43"/>
  <c r="R68" i="43" s="1"/>
  <c r="B69" i="43"/>
  <c r="C69" i="43"/>
  <c r="D69" i="43"/>
  <c r="E69" i="43"/>
  <c r="F69" i="43"/>
  <c r="G69" i="43"/>
  <c r="H69" i="43"/>
  <c r="I69" i="43"/>
  <c r="J69" i="43"/>
  <c r="AM25" i="18"/>
  <c r="AC25" i="18"/>
  <c r="E80" i="43" s="1"/>
  <c r="N69" i="43" s="1"/>
  <c r="AD25" i="18"/>
  <c r="E83" i="43"/>
  <c r="P69" i="43" s="1"/>
  <c r="AN25" i="18"/>
  <c r="AE25" i="18"/>
  <c r="E86" i="43"/>
  <c r="R69" i="43" s="1"/>
  <c r="B70" i="43"/>
  <c r="C70" i="43"/>
  <c r="D70" i="43"/>
  <c r="E70" i="43"/>
  <c r="F70" i="43"/>
  <c r="G70" i="43"/>
  <c r="H70" i="43"/>
  <c r="I70" i="43"/>
  <c r="J70" i="43"/>
  <c r="K70" i="43"/>
  <c r="AM26" i="18"/>
  <c r="AC26" i="18" s="1"/>
  <c r="F80" i="43" s="1"/>
  <c r="N70" i="43" s="1"/>
  <c r="AD26" i="18"/>
  <c r="AF26" i="18" s="1"/>
  <c r="F89" i="43" s="1"/>
  <c r="T70" i="43" s="1"/>
  <c r="AN26" i="18"/>
  <c r="AE26" i="18"/>
  <c r="F86" i="43" s="1"/>
  <c r="R70" i="43" s="1"/>
  <c r="B71" i="43"/>
  <c r="C71" i="43"/>
  <c r="D71" i="43"/>
  <c r="E71" i="43"/>
  <c r="F71" i="43"/>
  <c r="G71" i="43"/>
  <c r="H71" i="43"/>
  <c r="I71" i="43"/>
  <c r="J71" i="43"/>
  <c r="K71" i="43"/>
  <c r="AN27" i="18"/>
  <c r="AE27" i="18" s="1"/>
  <c r="G86" i="43" s="1"/>
  <c r="R71" i="43" s="1"/>
  <c r="B72" i="43"/>
  <c r="C72" i="43"/>
  <c r="D72" i="43"/>
  <c r="E72" i="43"/>
  <c r="F72" i="43"/>
  <c r="G72" i="43"/>
  <c r="H72" i="43"/>
  <c r="I72" i="43"/>
  <c r="J72" i="43"/>
  <c r="AM28" i="18"/>
  <c r="AC28" i="18"/>
  <c r="H80" i="43"/>
  <c r="N72" i="43"/>
  <c r="AN28" i="18"/>
  <c r="AE28" i="18"/>
  <c r="H86" i="43"/>
  <c r="R72" i="43"/>
  <c r="AM29" i="18"/>
  <c r="AC29" i="18"/>
  <c r="I80" i="43"/>
  <c r="N73" i="43"/>
  <c r="AD29" i="18"/>
  <c r="AF29" i="18"/>
  <c r="I89" i="43"/>
  <c r="T73" i="43"/>
  <c r="AN29" i="18"/>
  <c r="AE29" i="18"/>
  <c r="I86" i="43"/>
  <c r="R73" i="43"/>
  <c r="AM30" i="18"/>
  <c r="AC30" i="18"/>
  <c r="J80" i="43"/>
  <c r="N74" i="43"/>
  <c r="AD30" i="18"/>
  <c r="J83" i="43"/>
  <c r="P74" i="43"/>
  <c r="AN30" i="18"/>
  <c r="AE30" i="18" s="1"/>
  <c r="J86" i="43" s="1"/>
  <c r="R74" i="43" s="1"/>
  <c r="AM31" i="18"/>
  <c r="AD31" i="18" s="1"/>
  <c r="AN31" i="18"/>
  <c r="AE31" i="18"/>
  <c r="K86" i="43"/>
  <c r="R75" i="43"/>
  <c r="B76" i="43"/>
  <c r="C76" i="43"/>
  <c r="D76" i="43"/>
  <c r="E76" i="43"/>
  <c r="F76" i="43"/>
  <c r="G76" i="43"/>
  <c r="H76" i="43"/>
  <c r="I76" i="43"/>
  <c r="J76" i="43"/>
  <c r="K76" i="43"/>
  <c r="AM33" i="18"/>
  <c r="AC33" i="18"/>
  <c r="B81" i="43" s="1"/>
  <c r="N76" i="43" s="1"/>
  <c r="AD33" i="18"/>
  <c r="B84" i="43"/>
  <c r="P76" i="43" s="1"/>
  <c r="B77" i="43"/>
  <c r="C77" i="43"/>
  <c r="D77" i="43"/>
  <c r="E77" i="43"/>
  <c r="F77" i="43"/>
  <c r="H77" i="43"/>
  <c r="I77" i="43"/>
  <c r="J77" i="43"/>
  <c r="K77" i="43"/>
  <c r="AM34" i="18"/>
  <c r="AC34" i="18"/>
  <c r="C81" i="43" s="1"/>
  <c r="N77" i="43" s="1"/>
  <c r="AD34" i="18"/>
  <c r="C84" i="43"/>
  <c r="P77" i="43" s="1"/>
  <c r="B78" i="43"/>
  <c r="D78" i="43"/>
  <c r="E78" i="43"/>
  <c r="F78" i="43"/>
  <c r="H78" i="43"/>
  <c r="I78" i="43"/>
  <c r="J78" i="43"/>
  <c r="AM35" i="18"/>
  <c r="AD35" i="18"/>
  <c r="AC35" i="18"/>
  <c r="D81" i="43"/>
  <c r="N78" i="43" s="1"/>
  <c r="AM36" i="18"/>
  <c r="AC36" i="18"/>
  <c r="E81" i="43"/>
  <c r="N79" i="43" s="1"/>
  <c r="AN36" i="18"/>
  <c r="AE36" i="18"/>
  <c r="E87" i="43"/>
  <c r="R79" i="43" s="1"/>
  <c r="AM37" i="18"/>
  <c r="AD37" i="18"/>
  <c r="AM38" i="18"/>
  <c r="AD38" i="18" s="1"/>
  <c r="G84" i="43" s="1"/>
  <c r="P81" i="43" s="1"/>
  <c r="AM39" i="18"/>
  <c r="AD39" i="18" s="1"/>
  <c r="AM40" i="18"/>
  <c r="AD40" i="18" s="1"/>
  <c r="AF40" i="18" s="1"/>
  <c r="I90" i="43" s="1"/>
  <c r="T83" i="43" s="1"/>
  <c r="AC40" i="18"/>
  <c r="I81" i="43" s="1"/>
  <c r="N83" i="43" s="1"/>
  <c r="AM42" i="18"/>
  <c r="AD42" i="18" s="1"/>
  <c r="K84" i="43" s="1"/>
  <c r="P85" i="43" s="1"/>
  <c r="AC42" i="18"/>
  <c r="K81" i="43" s="1"/>
  <c r="N85" i="43" s="1"/>
  <c r="AN38" i="18"/>
  <c r="AE38" i="18"/>
  <c r="G87" i="43"/>
  <c r="R81" i="43" s="1"/>
  <c r="AN39" i="18"/>
  <c r="AE39" i="18"/>
  <c r="H87" i="43"/>
  <c r="R82" i="43" s="1"/>
  <c r="AN40" i="18"/>
  <c r="AE40" i="18" s="1"/>
  <c r="I87" i="43" s="1"/>
  <c r="R83" i="43" s="1"/>
  <c r="AN41" i="18"/>
  <c r="AE41" i="18" s="1"/>
  <c r="J87" i="43" s="1"/>
  <c r="R84" i="43" s="1"/>
  <c r="AN42" i="18"/>
  <c r="AE42" i="18" s="1"/>
  <c r="K87" i="43" s="1"/>
  <c r="R85" i="43" s="1"/>
  <c r="A1" i="42"/>
  <c r="N2" i="42" s="1"/>
  <c r="B1" i="42"/>
  <c r="W7" i="17"/>
  <c r="B2" i="42"/>
  <c r="Z7" i="17"/>
  <c r="C2" i="42" s="1"/>
  <c r="D2" i="42"/>
  <c r="O2" i="42"/>
  <c r="B4" i="42"/>
  <c r="C4" i="42"/>
  <c r="D4" i="42"/>
  <c r="E4" i="42"/>
  <c r="F4" i="42"/>
  <c r="G4" i="42"/>
  <c r="H4" i="42"/>
  <c r="I4" i="42"/>
  <c r="J4" i="42"/>
  <c r="K4" i="42"/>
  <c r="B5" i="42"/>
  <c r="C5" i="42"/>
  <c r="D5" i="42"/>
  <c r="E5" i="42"/>
  <c r="F5" i="42"/>
  <c r="G5" i="42"/>
  <c r="H5" i="42"/>
  <c r="I5" i="42"/>
  <c r="J5" i="42"/>
  <c r="K5" i="42"/>
  <c r="B6" i="42"/>
  <c r="C6" i="42"/>
  <c r="D6" i="42"/>
  <c r="E6" i="42"/>
  <c r="F6" i="42"/>
  <c r="G6" i="42"/>
  <c r="H6" i="42"/>
  <c r="I6" i="42"/>
  <c r="J6" i="42"/>
  <c r="K6" i="42"/>
  <c r="B7" i="42"/>
  <c r="C7" i="42"/>
  <c r="D7" i="42"/>
  <c r="E7" i="42"/>
  <c r="F7" i="42"/>
  <c r="G7" i="42"/>
  <c r="H7" i="42"/>
  <c r="I7" i="42"/>
  <c r="J7" i="42"/>
  <c r="K7" i="42"/>
  <c r="B8" i="42"/>
  <c r="C8" i="42"/>
  <c r="D8" i="42"/>
  <c r="E8" i="42"/>
  <c r="F8" i="42"/>
  <c r="G8" i="42"/>
  <c r="H8" i="42"/>
  <c r="I8" i="42"/>
  <c r="J8" i="42"/>
  <c r="K8" i="42"/>
  <c r="B9" i="42"/>
  <c r="C9" i="42"/>
  <c r="D9" i="42"/>
  <c r="E9" i="42"/>
  <c r="F9" i="42"/>
  <c r="G9" i="42"/>
  <c r="H9" i="42"/>
  <c r="I9" i="42"/>
  <c r="J9" i="42"/>
  <c r="K9" i="42"/>
  <c r="B10" i="42"/>
  <c r="C10" i="42"/>
  <c r="D10" i="42"/>
  <c r="E10" i="42"/>
  <c r="F10" i="42"/>
  <c r="G10" i="42"/>
  <c r="H10" i="42"/>
  <c r="I10" i="42"/>
  <c r="J10" i="42"/>
  <c r="K10" i="42"/>
  <c r="B11" i="42"/>
  <c r="C11" i="42"/>
  <c r="D11" i="42"/>
  <c r="E11" i="42"/>
  <c r="F11" i="42"/>
  <c r="G11" i="42"/>
  <c r="H11" i="42"/>
  <c r="I11" i="42"/>
  <c r="J11" i="42"/>
  <c r="K11" i="42"/>
  <c r="B12" i="42"/>
  <c r="C12" i="42"/>
  <c r="D12" i="42"/>
  <c r="E12" i="42"/>
  <c r="F12" i="42"/>
  <c r="G12" i="42"/>
  <c r="H12" i="42"/>
  <c r="I12" i="42"/>
  <c r="J12" i="42"/>
  <c r="K12" i="42"/>
  <c r="B13" i="42"/>
  <c r="C13" i="42"/>
  <c r="D13" i="42"/>
  <c r="E13" i="42"/>
  <c r="F13" i="42"/>
  <c r="G13" i="42"/>
  <c r="H13" i="42"/>
  <c r="I13" i="42"/>
  <c r="J13" i="42"/>
  <c r="K13" i="42"/>
  <c r="B14" i="42"/>
  <c r="C14" i="42"/>
  <c r="D14" i="42"/>
  <c r="E14" i="42"/>
  <c r="F14" i="42"/>
  <c r="G14" i="42"/>
  <c r="H14" i="42"/>
  <c r="I14" i="42"/>
  <c r="J14" i="42"/>
  <c r="K14" i="42"/>
  <c r="B15" i="42"/>
  <c r="C15" i="42"/>
  <c r="D15" i="42"/>
  <c r="E15" i="42"/>
  <c r="F15" i="42"/>
  <c r="G15" i="42"/>
  <c r="H15" i="42"/>
  <c r="I15" i="42"/>
  <c r="J15" i="42"/>
  <c r="K15" i="42"/>
  <c r="B16" i="42"/>
  <c r="C16" i="42"/>
  <c r="D16" i="42"/>
  <c r="E16" i="42"/>
  <c r="F16" i="42"/>
  <c r="G16" i="42"/>
  <c r="H16" i="42"/>
  <c r="I16" i="42"/>
  <c r="J16" i="42"/>
  <c r="K16" i="42"/>
  <c r="B17" i="42"/>
  <c r="C17" i="42"/>
  <c r="D17" i="42"/>
  <c r="E17" i="42"/>
  <c r="F17" i="42"/>
  <c r="G17" i="42"/>
  <c r="H17" i="42"/>
  <c r="I17" i="42"/>
  <c r="J17" i="42"/>
  <c r="K17" i="42"/>
  <c r="B18" i="42"/>
  <c r="C18" i="42"/>
  <c r="D18" i="42"/>
  <c r="E18" i="42"/>
  <c r="F18" i="42"/>
  <c r="G18" i="42"/>
  <c r="H18" i="42"/>
  <c r="I18" i="42"/>
  <c r="J18" i="42"/>
  <c r="K18" i="42"/>
  <c r="B19" i="42"/>
  <c r="C19" i="42"/>
  <c r="D19" i="42"/>
  <c r="E19" i="42"/>
  <c r="F19" i="42"/>
  <c r="G19" i="42"/>
  <c r="H19" i="42"/>
  <c r="I19" i="42"/>
  <c r="J19" i="42"/>
  <c r="K19" i="42"/>
  <c r="B20" i="42"/>
  <c r="C20" i="42"/>
  <c r="D20" i="42"/>
  <c r="E20" i="42"/>
  <c r="F20" i="42"/>
  <c r="G20" i="42"/>
  <c r="H20" i="42"/>
  <c r="I20" i="42"/>
  <c r="J20" i="42"/>
  <c r="K20" i="42"/>
  <c r="B21" i="42"/>
  <c r="C21" i="42"/>
  <c r="D21" i="42"/>
  <c r="E21" i="42"/>
  <c r="F21" i="42"/>
  <c r="G21" i="42"/>
  <c r="H21" i="42"/>
  <c r="I21" i="42"/>
  <c r="J21" i="42"/>
  <c r="K21" i="42"/>
  <c r="B22" i="42"/>
  <c r="C22" i="42"/>
  <c r="D22" i="42"/>
  <c r="E22" i="42"/>
  <c r="F22" i="42"/>
  <c r="G22" i="42"/>
  <c r="H22" i="42"/>
  <c r="I22" i="42"/>
  <c r="J22" i="42"/>
  <c r="K22" i="42"/>
  <c r="B23" i="42"/>
  <c r="C23" i="42"/>
  <c r="D23" i="42"/>
  <c r="E23" i="42"/>
  <c r="F23" i="42"/>
  <c r="G23" i="42"/>
  <c r="H23" i="42"/>
  <c r="I23" i="42"/>
  <c r="J23" i="42"/>
  <c r="K23" i="42"/>
  <c r="B24" i="42"/>
  <c r="C24" i="42"/>
  <c r="D24" i="42"/>
  <c r="E24" i="42"/>
  <c r="F24" i="42"/>
  <c r="G24" i="42"/>
  <c r="H24" i="42"/>
  <c r="I24" i="42"/>
  <c r="J24" i="42"/>
  <c r="K24" i="42"/>
  <c r="B25" i="42"/>
  <c r="C25" i="42"/>
  <c r="D25" i="42"/>
  <c r="E25" i="42"/>
  <c r="F25" i="42"/>
  <c r="G25" i="42"/>
  <c r="H25" i="42"/>
  <c r="I25" i="42"/>
  <c r="J25" i="42"/>
  <c r="K25" i="42"/>
  <c r="B26" i="42"/>
  <c r="C26" i="42"/>
  <c r="D26" i="42"/>
  <c r="E26" i="42"/>
  <c r="F26" i="42"/>
  <c r="G26" i="42"/>
  <c r="H26" i="42"/>
  <c r="I26" i="42"/>
  <c r="J26" i="42"/>
  <c r="K26" i="42"/>
  <c r="B27" i="42"/>
  <c r="C27" i="42"/>
  <c r="D27" i="42"/>
  <c r="E27" i="42"/>
  <c r="F27" i="42"/>
  <c r="G27" i="42"/>
  <c r="H27" i="42"/>
  <c r="I27" i="42"/>
  <c r="J27" i="42"/>
  <c r="K27" i="42"/>
  <c r="B28" i="42"/>
  <c r="C28" i="42"/>
  <c r="D28" i="42"/>
  <c r="E28" i="42"/>
  <c r="F28" i="42"/>
  <c r="G28" i="42"/>
  <c r="H28" i="42"/>
  <c r="I28" i="42"/>
  <c r="J28" i="42"/>
  <c r="K28" i="42"/>
  <c r="B29" i="42"/>
  <c r="C29" i="42"/>
  <c r="D29" i="42"/>
  <c r="E29" i="42"/>
  <c r="F29" i="42"/>
  <c r="G29" i="42"/>
  <c r="H29" i="42"/>
  <c r="I29" i="42"/>
  <c r="J29" i="42"/>
  <c r="K29" i="42"/>
  <c r="B30" i="42"/>
  <c r="C30" i="42"/>
  <c r="D30" i="42"/>
  <c r="E30" i="42"/>
  <c r="F30" i="42"/>
  <c r="G30" i="42"/>
  <c r="H30" i="42"/>
  <c r="I30" i="42"/>
  <c r="J30" i="42"/>
  <c r="K30" i="42"/>
  <c r="B31" i="42"/>
  <c r="C31" i="42"/>
  <c r="D31" i="42"/>
  <c r="E31" i="42"/>
  <c r="F31" i="42"/>
  <c r="G31" i="42"/>
  <c r="H31" i="42"/>
  <c r="I31" i="42"/>
  <c r="J31" i="42"/>
  <c r="K31" i="42"/>
  <c r="B32" i="42"/>
  <c r="C32" i="42"/>
  <c r="D32" i="42"/>
  <c r="E32" i="42"/>
  <c r="F32" i="42"/>
  <c r="G32" i="42"/>
  <c r="H32" i="42"/>
  <c r="I32" i="42"/>
  <c r="J32" i="42"/>
  <c r="K32" i="42"/>
  <c r="B33" i="42"/>
  <c r="C33" i="42"/>
  <c r="D33" i="42"/>
  <c r="E33" i="42"/>
  <c r="F33" i="42"/>
  <c r="G33" i="42"/>
  <c r="H33" i="42"/>
  <c r="I33" i="42"/>
  <c r="J33" i="42"/>
  <c r="K33" i="42"/>
  <c r="B34" i="42"/>
  <c r="C34" i="42"/>
  <c r="D34" i="42"/>
  <c r="E34" i="42"/>
  <c r="F34" i="42"/>
  <c r="G34" i="42"/>
  <c r="H34" i="42"/>
  <c r="I34" i="42"/>
  <c r="J34" i="42"/>
  <c r="K34" i="42"/>
  <c r="B35" i="42"/>
  <c r="C35" i="42"/>
  <c r="D35" i="42"/>
  <c r="E35" i="42"/>
  <c r="F35" i="42"/>
  <c r="G35" i="42"/>
  <c r="H35" i="42"/>
  <c r="I35" i="42"/>
  <c r="J35" i="42"/>
  <c r="K35" i="42"/>
  <c r="B36" i="42"/>
  <c r="C36" i="42"/>
  <c r="D36" i="42"/>
  <c r="E36" i="42"/>
  <c r="F36" i="42"/>
  <c r="G36" i="42"/>
  <c r="H36" i="42"/>
  <c r="I36" i="42"/>
  <c r="J36" i="42"/>
  <c r="K36" i="42"/>
  <c r="B37" i="42"/>
  <c r="C37" i="42"/>
  <c r="D37" i="42"/>
  <c r="E37" i="42"/>
  <c r="F37" i="42"/>
  <c r="G37" i="42"/>
  <c r="H37" i="42"/>
  <c r="I37" i="42"/>
  <c r="J37" i="42"/>
  <c r="K37" i="42"/>
  <c r="B38" i="42"/>
  <c r="C38" i="42"/>
  <c r="D38" i="42"/>
  <c r="E38" i="42"/>
  <c r="F38" i="42"/>
  <c r="G38" i="42"/>
  <c r="H38" i="42"/>
  <c r="I38" i="42"/>
  <c r="J38" i="42"/>
  <c r="K38" i="42"/>
  <c r="B39" i="42"/>
  <c r="C39" i="42"/>
  <c r="D39" i="42"/>
  <c r="E39" i="42"/>
  <c r="F39" i="42"/>
  <c r="G39" i="42"/>
  <c r="H39" i="42"/>
  <c r="I39" i="42"/>
  <c r="J39" i="42"/>
  <c r="K39" i="42"/>
  <c r="B40" i="42"/>
  <c r="C40" i="42"/>
  <c r="D40" i="42"/>
  <c r="E40" i="42"/>
  <c r="F40" i="42"/>
  <c r="G40" i="42"/>
  <c r="H40" i="42"/>
  <c r="I40" i="42"/>
  <c r="J40" i="42"/>
  <c r="K40" i="42"/>
  <c r="B41" i="42"/>
  <c r="C41" i="42"/>
  <c r="D41" i="42"/>
  <c r="E41" i="42"/>
  <c r="F41" i="42"/>
  <c r="G41" i="42"/>
  <c r="H41" i="42"/>
  <c r="I41" i="42"/>
  <c r="J41" i="42"/>
  <c r="K41" i="42"/>
  <c r="B42" i="42"/>
  <c r="C42" i="42"/>
  <c r="D42" i="42"/>
  <c r="E42" i="42"/>
  <c r="F42" i="42"/>
  <c r="G42" i="42"/>
  <c r="H42" i="42"/>
  <c r="I42" i="42"/>
  <c r="J42" i="42"/>
  <c r="K42" i="42"/>
  <c r="B43" i="42"/>
  <c r="C43" i="42"/>
  <c r="D43" i="42"/>
  <c r="E43" i="42"/>
  <c r="F43" i="42"/>
  <c r="G43" i="42"/>
  <c r="H43" i="42"/>
  <c r="I43" i="42"/>
  <c r="J43" i="42"/>
  <c r="K43" i="42"/>
  <c r="B44" i="42"/>
  <c r="C44" i="42"/>
  <c r="D44" i="42"/>
  <c r="E44" i="42"/>
  <c r="F44" i="42"/>
  <c r="G44" i="42"/>
  <c r="H44" i="42"/>
  <c r="I44" i="42"/>
  <c r="J44" i="42"/>
  <c r="K44" i="42"/>
  <c r="B45" i="42"/>
  <c r="C45" i="42"/>
  <c r="D45" i="42"/>
  <c r="E45" i="42"/>
  <c r="F45" i="42"/>
  <c r="G45" i="42"/>
  <c r="H45" i="42"/>
  <c r="I45" i="42"/>
  <c r="J45" i="42"/>
  <c r="K45" i="42"/>
  <c r="B46" i="42"/>
  <c r="C46" i="42"/>
  <c r="D46" i="42"/>
  <c r="E46" i="42"/>
  <c r="F46" i="42"/>
  <c r="G46" i="42"/>
  <c r="H46" i="42"/>
  <c r="I46" i="42"/>
  <c r="J46" i="42"/>
  <c r="K46" i="42"/>
  <c r="B47" i="42"/>
  <c r="C47" i="42"/>
  <c r="D47" i="42"/>
  <c r="E47" i="42"/>
  <c r="F47" i="42"/>
  <c r="G47" i="42"/>
  <c r="H47" i="42"/>
  <c r="I47" i="42"/>
  <c r="J47" i="42"/>
  <c r="K47" i="42"/>
  <c r="B48" i="42"/>
  <c r="C48" i="42"/>
  <c r="D48" i="42"/>
  <c r="E48" i="42"/>
  <c r="F48" i="42"/>
  <c r="G48" i="42"/>
  <c r="H48" i="42"/>
  <c r="I48" i="42"/>
  <c r="J48" i="42"/>
  <c r="K48" i="42"/>
  <c r="B49" i="42"/>
  <c r="C49" i="42"/>
  <c r="D49" i="42"/>
  <c r="E49" i="42"/>
  <c r="F49" i="42"/>
  <c r="G49" i="42"/>
  <c r="H49" i="42"/>
  <c r="I49" i="42"/>
  <c r="J49" i="42"/>
  <c r="K49" i="42"/>
  <c r="B50" i="42"/>
  <c r="C50" i="42"/>
  <c r="D50" i="42"/>
  <c r="E50" i="42"/>
  <c r="F50" i="42"/>
  <c r="G50" i="42"/>
  <c r="H50" i="42"/>
  <c r="I50" i="42"/>
  <c r="J50" i="42"/>
  <c r="K50" i="42"/>
  <c r="B51" i="42"/>
  <c r="C51" i="42"/>
  <c r="D51" i="42"/>
  <c r="E51" i="42"/>
  <c r="F51" i="42"/>
  <c r="G51" i="42"/>
  <c r="H51" i="42"/>
  <c r="I51" i="42"/>
  <c r="J51" i="42"/>
  <c r="K51" i="42"/>
  <c r="B52" i="42"/>
  <c r="C52" i="42"/>
  <c r="D52" i="42"/>
  <c r="E52" i="42"/>
  <c r="F52" i="42"/>
  <c r="G52" i="42"/>
  <c r="H52" i="42"/>
  <c r="I52" i="42"/>
  <c r="J52" i="42"/>
  <c r="K52" i="42"/>
  <c r="B53" i="42"/>
  <c r="C53" i="42"/>
  <c r="D53" i="42"/>
  <c r="E53" i="42"/>
  <c r="F53" i="42"/>
  <c r="G53" i="42"/>
  <c r="H53" i="42"/>
  <c r="I53" i="42"/>
  <c r="J53" i="42"/>
  <c r="K53" i="42"/>
  <c r="B54" i="42"/>
  <c r="C54" i="42"/>
  <c r="D54" i="42"/>
  <c r="E54" i="42"/>
  <c r="F54" i="42"/>
  <c r="G54" i="42"/>
  <c r="H54" i="42"/>
  <c r="I54" i="42"/>
  <c r="J54" i="42"/>
  <c r="K54" i="42"/>
  <c r="B55" i="42"/>
  <c r="C55" i="42"/>
  <c r="D55" i="42"/>
  <c r="E55" i="42"/>
  <c r="F55" i="42"/>
  <c r="G55" i="42"/>
  <c r="H55" i="42"/>
  <c r="I55" i="42"/>
  <c r="J55" i="42"/>
  <c r="K55" i="42"/>
  <c r="B56" i="42"/>
  <c r="C56" i="42"/>
  <c r="D56" i="42"/>
  <c r="E56" i="42"/>
  <c r="F56" i="42"/>
  <c r="G56" i="42"/>
  <c r="H56" i="42"/>
  <c r="I56" i="42"/>
  <c r="J56" i="42"/>
  <c r="K56" i="42"/>
  <c r="AM11" i="17"/>
  <c r="AD11" i="17" s="1"/>
  <c r="AF11" i="17" s="1"/>
  <c r="AC11" i="17"/>
  <c r="B79" i="42" s="1"/>
  <c r="B88" i="42"/>
  <c r="T56" i="42" s="1"/>
  <c r="AN11" i="17"/>
  <c r="AE11" i="17"/>
  <c r="B85" i="42"/>
  <c r="B57" i="42"/>
  <c r="C57" i="42"/>
  <c r="D57" i="42"/>
  <c r="E57" i="42"/>
  <c r="F57" i="42"/>
  <c r="G57" i="42"/>
  <c r="H57" i="42"/>
  <c r="I57" i="42"/>
  <c r="J57" i="42"/>
  <c r="K57" i="42"/>
  <c r="AM12" i="17"/>
  <c r="AC12" i="17"/>
  <c r="C79" i="42" s="1"/>
  <c r="N57" i="42" s="1"/>
  <c r="AD12" i="17"/>
  <c r="AF12" i="17"/>
  <c r="C88" i="42" s="1"/>
  <c r="T57" i="42" s="1"/>
  <c r="AN12" i="17"/>
  <c r="AE12" i="17"/>
  <c r="C85" i="42" s="1"/>
  <c r="R57" i="42" s="1"/>
  <c r="B58" i="42"/>
  <c r="C58" i="42"/>
  <c r="D58" i="42"/>
  <c r="E58" i="42"/>
  <c r="F58" i="42"/>
  <c r="G58" i="42"/>
  <c r="H58" i="42"/>
  <c r="I58" i="42"/>
  <c r="J58" i="42"/>
  <c r="K58" i="42"/>
  <c r="AM13" i="17"/>
  <c r="AC13" i="17" s="1"/>
  <c r="D79" i="42" s="1"/>
  <c r="N58" i="42"/>
  <c r="AD13" i="17"/>
  <c r="AF13" i="17" s="1"/>
  <c r="D88" i="42" s="1"/>
  <c r="T58" i="42" s="1"/>
  <c r="AN13" i="17"/>
  <c r="AE13" i="17" s="1"/>
  <c r="D85" i="42" s="1"/>
  <c r="R58" i="42"/>
  <c r="B59" i="42"/>
  <c r="C59" i="42"/>
  <c r="D59" i="42"/>
  <c r="E59" i="42"/>
  <c r="F59" i="42"/>
  <c r="G59" i="42"/>
  <c r="H59" i="42"/>
  <c r="I59" i="42"/>
  <c r="J59" i="42"/>
  <c r="K59" i="42"/>
  <c r="AM14" i="17"/>
  <c r="AC14" i="17"/>
  <c r="E79" i="42" s="1"/>
  <c r="N59" i="42" s="1"/>
  <c r="AD14" i="17"/>
  <c r="AF14" i="17"/>
  <c r="E88" i="42" s="1"/>
  <c r="T59" i="42" s="1"/>
  <c r="AN14" i="17"/>
  <c r="AE14" i="17"/>
  <c r="E85" i="42" s="1"/>
  <c r="R59" i="42" s="1"/>
  <c r="B60" i="42"/>
  <c r="C60" i="42"/>
  <c r="D60" i="42"/>
  <c r="E60" i="42"/>
  <c r="F60" i="42"/>
  <c r="G60" i="42"/>
  <c r="H60" i="42"/>
  <c r="I60" i="42"/>
  <c r="J60" i="42"/>
  <c r="K60" i="42"/>
  <c r="AM15" i="17"/>
  <c r="AC15" i="17" s="1"/>
  <c r="F79" i="42" s="1"/>
  <c r="N60" i="42"/>
  <c r="AD15" i="17"/>
  <c r="AF15" i="17" s="1"/>
  <c r="F88" i="42" s="1"/>
  <c r="T60" i="42"/>
  <c r="AN15" i="17"/>
  <c r="AE15" i="17" s="1"/>
  <c r="F85" i="42" s="1"/>
  <c r="R60" i="42"/>
  <c r="B61" i="42"/>
  <c r="C61" i="42"/>
  <c r="D61" i="42"/>
  <c r="E61" i="42"/>
  <c r="F61" i="42"/>
  <c r="G61" i="42"/>
  <c r="H61" i="42"/>
  <c r="I61" i="42"/>
  <c r="J61" i="42"/>
  <c r="K61" i="42"/>
  <c r="AM16" i="17"/>
  <c r="AC16" i="17"/>
  <c r="G79" i="42" s="1"/>
  <c r="N61" i="42" s="1"/>
  <c r="AD16" i="17"/>
  <c r="AF16" i="17"/>
  <c r="G88" i="42" s="1"/>
  <c r="T61" i="42" s="1"/>
  <c r="AN16" i="17"/>
  <c r="AE16" i="17"/>
  <c r="G85" i="42" s="1"/>
  <c r="R61" i="42" s="1"/>
  <c r="B62" i="42"/>
  <c r="C62" i="42"/>
  <c r="D62" i="42"/>
  <c r="E62" i="42"/>
  <c r="F62" i="42"/>
  <c r="G62" i="42"/>
  <c r="H62" i="42"/>
  <c r="I62" i="42"/>
  <c r="J62" i="42"/>
  <c r="K62" i="42"/>
  <c r="AM17" i="17"/>
  <c r="AC17" i="17" s="1"/>
  <c r="H79" i="42" s="1"/>
  <c r="N62" i="42"/>
  <c r="AD17" i="17"/>
  <c r="AF17" i="17" s="1"/>
  <c r="H88" i="42" s="1"/>
  <c r="T62" i="42"/>
  <c r="AN17" i="17"/>
  <c r="AE17" i="17" s="1"/>
  <c r="H85" i="42" s="1"/>
  <c r="R62" i="42"/>
  <c r="B63" i="42"/>
  <c r="C63" i="42"/>
  <c r="D63" i="42"/>
  <c r="E63" i="42"/>
  <c r="F63" i="42"/>
  <c r="G63" i="42"/>
  <c r="H63" i="42"/>
  <c r="I63" i="42"/>
  <c r="J63" i="42"/>
  <c r="K63" i="42"/>
  <c r="AM18" i="17"/>
  <c r="AC18" i="17"/>
  <c r="I79" i="42" s="1"/>
  <c r="N63" i="42" s="1"/>
  <c r="AD18" i="17"/>
  <c r="AF18" i="17"/>
  <c r="I88" i="42" s="1"/>
  <c r="T63" i="42" s="1"/>
  <c r="AN18" i="17"/>
  <c r="AE18" i="17"/>
  <c r="I85" i="42" s="1"/>
  <c r="R63" i="42" s="1"/>
  <c r="B64" i="42"/>
  <c r="C64" i="42"/>
  <c r="D64" i="42"/>
  <c r="E64" i="42"/>
  <c r="F64" i="42"/>
  <c r="G64" i="42"/>
  <c r="H64" i="42"/>
  <c r="I64" i="42"/>
  <c r="J64" i="42"/>
  <c r="K64" i="42"/>
  <c r="AM19" i="17"/>
  <c r="AC19" i="17" s="1"/>
  <c r="J79" i="42" s="1"/>
  <c r="N64" i="42"/>
  <c r="AD19" i="17"/>
  <c r="AF19" i="17" s="1"/>
  <c r="J88" i="42" s="1"/>
  <c r="T64" i="42"/>
  <c r="AN19" i="17"/>
  <c r="AE19" i="17" s="1"/>
  <c r="J85" i="42" s="1"/>
  <c r="R64" i="42"/>
  <c r="B65" i="42"/>
  <c r="C65" i="42"/>
  <c r="D65" i="42"/>
  <c r="E65" i="42"/>
  <c r="F65" i="42"/>
  <c r="G65" i="42"/>
  <c r="H65" i="42"/>
  <c r="I65" i="42"/>
  <c r="J65" i="42"/>
  <c r="K65" i="42"/>
  <c r="AM20" i="17"/>
  <c r="AC20" i="17"/>
  <c r="K79" i="42" s="1"/>
  <c r="N65" i="42" s="1"/>
  <c r="AD20" i="17"/>
  <c r="AF20" i="17"/>
  <c r="K88" i="42" s="1"/>
  <c r="T65" i="42" s="1"/>
  <c r="AN20" i="17"/>
  <c r="AE20" i="17"/>
  <c r="K85" i="42" s="1"/>
  <c r="R65" i="42" s="1"/>
  <c r="B66" i="42"/>
  <c r="C66" i="42"/>
  <c r="D66" i="42"/>
  <c r="E66" i="42"/>
  <c r="F66" i="42"/>
  <c r="G66" i="42"/>
  <c r="H66" i="42"/>
  <c r="I66" i="42"/>
  <c r="J66" i="42"/>
  <c r="K66" i="42"/>
  <c r="AM22" i="17"/>
  <c r="AC22" i="17" s="1"/>
  <c r="B80" i="42" s="1"/>
  <c r="N66" i="42"/>
  <c r="AD22" i="17"/>
  <c r="AF22" i="17" s="1"/>
  <c r="B89" i="42" s="1"/>
  <c r="T66" i="42"/>
  <c r="AN22" i="17"/>
  <c r="AE22" i="17" s="1"/>
  <c r="B86" i="42" s="1"/>
  <c r="R66" i="42"/>
  <c r="B67" i="42"/>
  <c r="C67" i="42"/>
  <c r="D67" i="42"/>
  <c r="E67" i="42"/>
  <c r="F67" i="42"/>
  <c r="G67" i="42"/>
  <c r="H67" i="42"/>
  <c r="I67" i="42"/>
  <c r="J67" i="42"/>
  <c r="K67" i="42"/>
  <c r="AM23" i="17"/>
  <c r="AC23" i="17"/>
  <c r="C80" i="42" s="1"/>
  <c r="N67" i="42" s="1"/>
  <c r="AD23" i="17"/>
  <c r="AF23" i="17"/>
  <c r="C89" i="42" s="1"/>
  <c r="T67" i="42" s="1"/>
  <c r="AN23" i="17"/>
  <c r="AE23" i="17"/>
  <c r="C86" i="42" s="1"/>
  <c r="R67" i="42" s="1"/>
  <c r="B68" i="42"/>
  <c r="C68" i="42"/>
  <c r="D68" i="42"/>
  <c r="E68" i="42"/>
  <c r="F68" i="42"/>
  <c r="G68" i="42"/>
  <c r="H68" i="42"/>
  <c r="I68" i="42"/>
  <c r="J68" i="42"/>
  <c r="K68" i="42"/>
  <c r="AM24" i="17"/>
  <c r="AC24" i="17" s="1"/>
  <c r="D80" i="42"/>
  <c r="N68" i="42" s="1"/>
  <c r="AD24" i="17"/>
  <c r="AF24" i="17" s="1"/>
  <c r="D89" i="42" s="1"/>
  <c r="T68" i="42" s="1"/>
  <c r="AN24" i="17"/>
  <c r="AE24" i="17" s="1"/>
  <c r="D86" i="42"/>
  <c r="R68" i="42" s="1"/>
  <c r="B69" i="42"/>
  <c r="C69" i="42"/>
  <c r="D69" i="42"/>
  <c r="E69" i="42"/>
  <c r="F69" i="42"/>
  <c r="G69" i="42"/>
  <c r="H69" i="42"/>
  <c r="I69" i="42"/>
  <c r="J69" i="42"/>
  <c r="K69" i="42"/>
  <c r="AM25" i="17"/>
  <c r="AC25" i="17" s="1"/>
  <c r="E80" i="42" s="1"/>
  <c r="N69" i="42" s="1"/>
  <c r="AD25" i="17"/>
  <c r="AF25" i="17" s="1"/>
  <c r="E89" i="42" s="1"/>
  <c r="T69" i="42" s="1"/>
  <c r="AN25" i="17"/>
  <c r="AE25" i="17" s="1"/>
  <c r="E86" i="42" s="1"/>
  <c r="R69" i="42" s="1"/>
  <c r="B70" i="42"/>
  <c r="C70" i="42"/>
  <c r="D70" i="42"/>
  <c r="E70" i="42"/>
  <c r="F70" i="42"/>
  <c r="G70" i="42"/>
  <c r="H70" i="42"/>
  <c r="I70" i="42"/>
  <c r="J70" i="42"/>
  <c r="K70" i="42"/>
  <c r="AM26" i="17"/>
  <c r="AC26" i="17" s="1"/>
  <c r="F80" i="42" s="1"/>
  <c r="N70" i="42" s="1"/>
  <c r="AD26" i="17"/>
  <c r="AF26" i="17" s="1"/>
  <c r="F89" i="42"/>
  <c r="T70" i="42" s="1"/>
  <c r="AN26" i="17"/>
  <c r="AE26" i="17" s="1"/>
  <c r="F86" i="42" s="1"/>
  <c r="R70" i="42" s="1"/>
  <c r="B71" i="42"/>
  <c r="C71" i="42"/>
  <c r="D71" i="42"/>
  <c r="E71" i="42"/>
  <c r="F71" i="42"/>
  <c r="G71" i="42"/>
  <c r="H71" i="42"/>
  <c r="I71" i="42"/>
  <c r="J71" i="42"/>
  <c r="K71" i="42"/>
  <c r="AM27" i="17"/>
  <c r="AD27" i="17" s="1"/>
  <c r="AF27" i="17" s="1"/>
  <c r="G89" i="42" s="1"/>
  <c r="T71" i="42" s="1"/>
  <c r="AC27" i="17"/>
  <c r="G80" i="42" s="1"/>
  <c r="N71" i="42" s="1"/>
  <c r="AN27" i="17"/>
  <c r="AE27" i="17"/>
  <c r="G86" i="42" s="1"/>
  <c r="R71" i="42" s="1"/>
  <c r="B72" i="42"/>
  <c r="C72" i="42"/>
  <c r="D72" i="42"/>
  <c r="E72" i="42"/>
  <c r="F72" i="42"/>
  <c r="G72" i="42"/>
  <c r="H72" i="42"/>
  <c r="I72" i="42"/>
  <c r="J72" i="42"/>
  <c r="K72" i="42"/>
  <c r="AM28" i="17"/>
  <c r="AC28" i="17" s="1"/>
  <c r="H80" i="42"/>
  <c r="N72" i="42" s="1"/>
  <c r="AD28" i="17"/>
  <c r="AF28" i="17" s="1"/>
  <c r="H89" i="42" s="1"/>
  <c r="T72" i="42" s="1"/>
  <c r="AN28" i="17"/>
  <c r="AE28" i="17" s="1"/>
  <c r="H86" i="42"/>
  <c r="R72" i="42" s="1"/>
  <c r="AM29" i="17"/>
  <c r="AC29" i="17" s="1"/>
  <c r="I80" i="42" s="1"/>
  <c r="N73" i="42" s="1"/>
  <c r="AD29" i="17"/>
  <c r="I83" i="42"/>
  <c r="P73" i="42" s="1"/>
  <c r="AN29" i="17"/>
  <c r="AE29" i="17"/>
  <c r="I86" i="42" s="1"/>
  <c r="R73" i="42" s="1"/>
  <c r="AM30" i="17"/>
  <c r="AC30" i="17"/>
  <c r="J80" i="42" s="1"/>
  <c r="N74" i="42" s="1"/>
  <c r="AD30" i="17"/>
  <c r="AN30" i="17"/>
  <c r="AE30" i="17" s="1"/>
  <c r="J86" i="42" s="1"/>
  <c r="R74" i="42" s="1"/>
  <c r="AM31" i="17"/>
  <c r="AC31" i="17"/>
  <c r="K80" i="42" s="1"/>
  <c r="N75" i="42" s="1"/>
  <c r="AD31" i="17"/>
  <c r="K83" i="42" s="1"/>
  <c r="P75" i="42" s="1"/>
  <c r="AN31" i="17"/>
  <c r="AE31" i="17" s="1"/>
  <c r="K86" i="42"/>
  <c r="R75" i="42" s="1"/>
  <c r="B76" i="42"/>
  <c r="C76" i="42"/>
  <c r="D76" i="42"/>
  <c r="E76" i="42"/>
  <c r="F76" i="42"/>
  <c r="G76" i="42"/>
  <c r="H76" i="42"/>
  <c r="I76" i="42"/>
  <c r="J76" i="42"/>
  <c r="K76" i="42"/>
  <c r="AM33" i="17"/>
  <c r="AC33" i="17" s="1"/>
  <c r="B81" i="42" s="1"/>
  <c r="N76" i="42" s="1"/>
  <c r="AN33" i="17"/>
  <c r="AE33" i="17"/>
  <c r="B87" i="42"/>
  <c r="R76" i="42" s="1"/>
  <c r="B77" i="42"/>
  <c r="C77" i="42"/>
  <c r="D77" i="42"/>
  <c r="E77" i="42"/>
  <c r="F77" i="42"/>
  <c r="G77" i="42"/>
  <c r="H77" i="42"/>
  <c r="I77" i="42"/>
  <c r="J77" i="42"/>
  <c r="K77" i="42"/>
  <c r="AM34" i="17"/>
  <c r="AD34" i="17" s="1"/>
  <c r="AN34" i="17"/>
  <c r="AE34" i="17"/>
  <c r="C87" i="42"/>
  <c r="R77" i="42" s="1"/>
  <c r="B78" i="42"/>
  <c r="C78" i="42"/>
  <c r="D78" i="42"/>
  <c r="E78" i="42"/>
  <c r="F78" i="42"/>
  <c r="G78" i="42"/>
  <c r="H78" i="42"/>
  <c r="I78" i="42"/>
  <c r="J78" i="42"/>
  <c r="AA42" i="17"/>
  <c r="AB42" i="17"/>
  <c r="AD42" i="17" s="1"/>
  <c r="K84" i="42" s="1"/>
  <c r="P85" i="42" s="1"/>
  <c r="AM35" i="17"/>
  <c r="AC35" i="17"/>
  <c r="D81" i="42"/>
  <c r="N78" i="42" s="1"/>
  <c r="AD35" i="17"/>
  <c r="AF35" i="17"/>
  <c r="D90" i="42"/>
  <c r="T78" i="42" s="1"/>
  <c r="AN35" i="17"/>
  <c r="AE35" i="17"/>
  <c r="D87" i="42"/>
  <c r="R78" i="42" s="1"/>
  <c r="AM36" i="17"/>
  <c r="AC36" i="17"/>
  <c r="E81" i="42"/>
  <c r="N79" i="42" s="1"/>
  <c r="AD36" i="17"/>
  <c r="E84" i="42"/>
  <c r="P79" i="42"/>
  <c r="AN36" i="17"/>
  <c r="AE36" i="17" s="1"/>
  <c r="E87" i="42" s="1"/>
  <c r="R79" i="42" s="1"/>
  <c r="AM37" i="17"/>
  <c r="AC37" i="17"/>
  <c r="F81" i="42" s="1"/>
  <c r="N80" i="42" s="1"/>
  <c r="AD37" i="17"/>
  <c r="AF37" i="17" s="1"/>
  <c r="F90" i="42" s="1"/>
  <c r="T80" i="42" s="1"/>
  <c r="AN37" i="17"/>
  <c r="AE37" i="17"/>
  <c r="F87" i="42" s="1"/>
  <c r="R80" i="42" s="1"/>
  <c r="AM38" i="17"/>
  <c r="AC38" i="17" s="1"/>
  <c r="G81" i="42" s="1"/>
  <c r="N81" i="42" s="1"/>
  <c r="AM39" i="17"/>
  <c r="AD39" i="17" s="1"/>
  <c r="AC39" i="17"/>
  <c r="H81" i="42" s="1"/>
  <c r="N82" i="42" s="1"/>
  <c r="AM40" i="17"/>
  <c r="AC40" i="17"/>
  <c r="I81" i="42" s="1"/>
  <c r="N83" i="42" s="1"/>
  <c r="AM41" i="17"/>
  <c r="AC41" i="17"/>
  <c r="J81" i="42"/>
  <c r="N84" i="42" s="1"/>
  <c r="AN38" i="17"/>
  <c r="AE38" i="17" s="1"/>
  <c r="G87" i="42"/>
  <c r="R81" i="42" s="1"/>
  <c r="H84" i="42"/>
  <c r="P82" i="42"/>
  <c r="AN39" i="17"/>
  <c r="AE39" i="17" s="1"/>
  <c r="H87" i="42"/>
  <c r="R82" i="42" s="1"/>
  <c r="AF39" i="17"/>
  <c r="H90" i="42" s="1"/>
  <c r="T82" i="42" s="1"/>
  <c r="AD40" i="17"/>
  <c r="AF40" i="17" s="1"/>
  <c r="I90" i="42" s="1"/>
  <c r="T83" i="42" s="1"/>
  <c r="AN40" i="17"/>
  <c r="AE40" i="17"/>
  <c r="I87" i="42" s="1"/>
  <c r="R83" i="42" s="1"/>
  <c r="AD41" i="17"/>
  <c r="AF41" i="17" s="1"/>
  <c r="J90" i="42" s="1"/>
  <c r="T84" i="42" s="1"/>
  <c r="AN41" i="17"/>
  <c r="AE41" i="17"/>
  <c r="J87" i="42" s="1"/>
  <c r="R84" i="42" s="1"/>
  <c r="A1" i="41"/>
  <c r="O2" i="41" s="1"/>
  <c r="B1" i="41"/>
  <c r="W7" i="16"/>
  <c r="B2" i="41" s="1"/>
  <c r="Z7" i="16"/>
  <c r="C2" i="41" s="1"/>
  <c r="D2" i="41"/>
  <c r="N2" i="41"/>
  <c r="B4" i="41"/>
  <c r="C4" i="41"/>
  <c r="D4" i="41"/>
  <c r="E4" i="41"/>
  <c r="F4" i="41"/>
  <c r="G4" i="41"/>
  <c r="H4" i="41"/>
  <c r="I4" i="41"/>
  <c r="J4" i="41"/>
  <c r="K4" i="41"/>
  <c r="B5" i="41"/>
  <c r="C5" i="41"/>
  <c r="D5" i="41"/>
  <c r="E5" i="41"/>
  <c r="F5" i="41"/>
  <c r="G5" i="41"/>
  <c r="H5" i="41"/>
  <c r="I5" i="41"/>
  <c r="J5" i="41"/>
  <c r="K5" i="41"/>
  <c r="B6" i="41"/>
  <c r="C6" i="41"/>
  <c r="D6" i="41"/>
  <c r="E6" i="41"/>
  <c r="F6" i="41"/>
  <c r="G6" i="41"/>
  <c r="H6" i="41"/>
  <c r="I6" i="41"/>
  <c r="J6" i="41"/>
  <c r="B7" i="41"/>
  <c r="C7" i="41"/>
  <c r="D7" i="41"/>
  <c r="E7" i="41"/>
  <c r="F7" i="41"/>
  <c r="G7" i="41"/>
  <c r="H7" i="41"/>
  <c r="I7" i="41"/>
  <c r="J7" i="41"/>
  <c r="K7" i="41"/>
  <c r="B8" i="41"/>
  <c r="C8" i="41"/>
  <c r="D8" i="41"/>
  <c r="E8" i="41"/>
  <c r="F8" i="41"/>
  <c r="G8" i="41"/>
  <c r="H8" i="41"/>
  <c r="I8" i="41"/>
  <c r="J8" i="41"/>
  <c r="K8" i="41"/>
  <c r="B9" i="41"/>
  <c r="C9" i="41"/>
  <c r="D9" i="41"/>
  <c r="E9" i="41"/>
  <c r="F9" i="41"/>
  <c r="G9" i="41"/>
  <c r="H9" i="41"/>
  <c r="I9" i="41"/>
  <c r="J9" i="41"/>
  <c r="B10" i="41"/>
  <c r="C10" i="41"/>
  <c r="D10" i="41"/>
  <c r="E10" i="41"/>
  <c r="F10" i="41"/>
  <c r="G10" i="41"/>
  <c r="H10" i="41"/>
  <c r="I10" i="41"/>
  <c r="J10" i="41"/>
  <c r="K10" i="41"/>
  <c r="B11" i="41"/>
  <c r="C11" i="41"/>
  <c r="D11" i="41"/>
  <c r="E11" i="41"/>
  <c r="F11" i="41"/>
  <c r="G11" i="41"/>
  <c r="H11" i="41"/>
  <c r="I11" i="41"/>
  <c r="J11" i="41"/>
  <c r="K11" i="41"/>
  <c r="B12" i="41"/>
  <c r="C12" i="41"/>
  <c r="D12" i="41"/>
  <c r="E12" i="41"/>
  <c r="F12" i="41"/>
  <c r="G12" i="41"/>
  <c r="H12" i="41"/>
  <c r="I12" i="41"/>
  <c r="J12" i="41"/>
  <c r="B13" i="41"/>
  <c r="C13" i="41"/>
  <c r="D13" i="41"/>
  <c r="E13" i="41"/>
  <c r="F13" i="41"/>
  <c r="G13" i="41"/>
  <c r="H13" i="41"/>
  <c r="I13" i="41"/>
  <c r="J13" i="41"/>
  <c r="K13" i="41"/>
  <c r="B14" i="41"/>
  <c r="C14" i="41"/>
  <c r="D14" i="41"/>
  <c r="E14" i="41"/>
  <c r="F14" i="41"/>
  <c r="G14" i="41"/>
  <c r="H14" i="41"/>
  <c r="I14" i="41"/>
  <c r="J14" i="41"/>
  <c r="K14" i="41"/>
  <c r="B15" i="41"/>
  <c r="C15" i="41"/>
  <c r="D15" i="41"/>
  <c r="E15" i="41"/>
  <c r="F15" i="41"/>
  <c r="G15" i="41"/>
  <c r="H15" i="41"/>
  <c r="I15" i="41"/>
  <c r="J15" i="41"/>
  <c r="B16" i="41"/>
  <c r="C16" i="41"/>
  <c r="D16" i="41"/>
  <c r="E16" i="41"/>
  <c r="F16" i="41"/>
  <c r="G16" i="41"/>
  <c r="H16" i="41"/>
  <c r="I16" i="41"/>
  <c r="J16" i="41"/>
  <c r="K16" i="41"/>
  <c r="B17" i="41"/>
  <c r="C17" i="41"/>
  <c r="D17" i="41"/>
  <c r="E17" i="41"/>
  <c r="F17" i="41"/>
  <c r="G17" i="41"/>
  <c r="H17" i="41"/>
  <c r="I17" i="41"/>
  <c r="J17" i="41"/>
  <c r="K17" i="41"/>
  <c r="B18" i="41"/>
  <c r="C18" i="41"/>
  <c r="D18" i="41"/>
  <c r="E18" i="41"/>
  <c r="F18" i="41"/>
  <c r="G18" i="41"/>
  <c r="H18" i="41"/>
  <c r="I18" i="41"/>
  <c r="J18" i="41"/>
  <c r="B19" i="41"/>
  <c r="C19" i="41"/>
  <c r="D19" i="41"/>
  <c r="E19" i="41"/>
  <c r="F19" i="41"/>
  <c r="G19" i="41"/>
  <c r="H19" i="41"/>
  <c r="I19" i="41"/>
  <c r="J19" i="41"/>
  <c r="K19" i="41"/>
  <c r="B20" i="41"/>
  <c r="C20" i="41"/>
  <c r="D20" i="41"/>
  <c r="E20" i="41"/>
  <c r="F20" i="41"/>
  <c r="G20" i="41"/>
  <c r="H20" i="41"/>
  <c r="I20" i="41"/>
  <c r="J20" i="41"/>
  <c r="K20" i="41"/>
  <c r="B21" i="41"/>
  <c r="C21" i="41"/>
  <c r="D21" i="41"/>
  <c r="E21" i="41"/>
  <c r="F21" i="41"/>
  <c r="G21" i="41"/>
  <c r="H21" i="41"/>
  <c r="I21" i="41"/>
  <c r="J21" i="41"/>
  <c r="B22" i="41"/>
  <c r="C22" i="41"/>
  <c r="D22" i="41"/>
  <c r="E22" i="41"/>
  <c r="F22" i="41"/>
  <c r="G22" i="41"/>
  <c r="H22" i="41"/>
  <c r="I22" i="41"/>
  <c r="J22" i="41"/>
  <c r="K22" i="41"/>
  <c r="B23" i="41"/>
  <c r="C23" i="41"/>
  <c r="D23" i="41"/>
  <c r="E23" i="41"/>
  <c r="F23" i="41"/>
  <c r="G23" i="41"/>
  <c r="H23" i="41"/>
  <c r="I23" i="41"/>
  <c r="J23" i="41"/>
  <c r="K23" i="41"/>
  <c r="B24" i="41"/>
  <c r="C24" i="41"/>
  <c r="D24" i="41"/>
  <c r="E24" i="41"/>
  <c r="F24" i="41"/>
  <c r="G24" i="41"/>
  <c r="H24" i="41"/>
  <c r="I24" i="41"/>
  <c r="J24" i="41"/>
  <c r="B25" i="41"/>
  <c r="C25" i="41"/>
  <c r="D25" i="41"/>
  <c r="E25" i="41"/>
  <c r="F25" i="41"/>
  <c r="G25" i="41"/>
  <c r="H25" i="41"/>
  <c r="I25" i="41"/>
  <c r="J25" i="41"/>
  <c r="K25" i="41"/>
  <c r="B26" i="41"/>
  <c r="C26" i="41"/>
  <c r="D26" i="41"/>
  <c r="E26" i="41"/>
  <c r="F26" i="41"/>
  <c r="G26" i="41"/>
  <c r="H26" i="41"/>
  <c r="I26" i="41"/>
  <c r="J26" i="41"/>
  <c r="K26" i="41"/>
  <c r="B27" i="41"/>
  <c r="C27" i="41"/>
  <c r="D27" i="41"/>
  <c r="E27" i="41"/>
  <c r="F27" i="41"/>
  <c r="G27" i="41"/>
  <c r="H27" i="41"/>
  <c r="I27" i="41"/>
  <c r="J27" i="41"/>
  <c r="B28" i="41"/>
  <c r="C28" i="41"/>
  <c r="D28" i="41"/>
  <c r="E28" i="41"/>
  <c r="F28" i="41"/>
  <c r="G28" i="41"/>
  <c r="H28" i="41"/>
  <c r="I28" i="41"/>
  <c r="J28" i="41"/>
  <c r="K28" i="41"/>
  <c r="B29" i="41"/>
  <c r="C29" i="41"/>
  <c r="D29" i="41"/>
  <c r="E29" i="41"/>
  <c r="F29" i="41"/>
  <c r="G29" i="41"/>
  <c r="H29" i="41"/>
  <c r="I29" i="41"/>
  <c r="J29" i="41"/>
  <c r="K29" i="41"/>
  <c r="B30" i="41"/>
  <c r="C30" i="41"/>
  <c r="D30" i="41"/>
  <c r="E30" i="41"/>
  <c r="F30" i="41"/>
  <c r="G30" i="41"/>
  <c r="H30" i="41"/>
  <c r="I30" i="41"/>
  <c r="J30" i="41"/>
  <c r="B31" i="41"/>
  <c r="C31" i="41"/>
  <c r="D31" i="41"/>
  <c r="E31" i="41"/>
  <c r="F31" i="41"/>
  <c r="G31" i="41"/>
  <c r="H31" i="41"/>
  <c r="I31" i="41"/>
  <c r="J31" i="41"/>
  <c r="K31" i="41"/>
  <c r="B32" i="41"/>
  <c r="C32" i="41"/>
  <c r="D32" i="41"/>
  <c r="E32" i="41"/>
  <c r="F32" i="41"/>
  <c r="G32" i="41"/>
  <c r="H32" i="41"/>
  <c r="I32" i="41"/>
  <c r="J32" i="41"/>
  <c r="K32" i="41"/>
  <c r="B33" i="41"/>
  <c r="C33" i="41"/>
  <c r="D33" i="41"/>
  <c r="E33" i="41"/>
  <c r="F33" i="41"/>
  <c r="G33" i="41"/>
  <c r="H33" i="41"/>
  <c r="I33" i="41"/>
  <c r="J33" i="41"/>
  <c r="B34" i="41"/>
  <c r="C34" i="41"/>
  <c r="D34" i="41"/>
  <c r="E34" i="41"/>
  <c r="F34" i="41"/>
  <c r="G34" i="41"/>
  <c r="H34" i="41"/>
  <c r="I34" i="41"/>
  <c r="J34" i="41"/>
  <c r="K34" i="41"/>
  <c r="B35" i="41"/>
  <c r="C35" i="41"/>
  <c r="D35" i="41"/>
  <c r="E35" i="41"/>
  <c r="F35" i="41"/>
  <c r="G35" i="41"/>
  <c r="H35" i="41"/>
  <c r="I35" i="41"/>
  <c r="J35" i="41"/>
  <c r="K35" i="41"/>
  <c r="B36" i="41"/>
  <c r="C36" i="41"/>
  <c r="D36" i="41"/>
  <c r="E36" i="41"/>
  <c r="F36" i="41"/>
  <c r="G36" i="41"/>
  <c r="H36" i="41"/>
  <c r="I36" i="41"/>
  <c r="J36" i="41"/>
  <c r="B37" i="41"/>
  <c r="C37" i="41"/>
  <c r="D37" i="41"/>
  <c r="E37" i="41"/>
  <c r="F37" i="41"/>
  <c r="G37" i="41"/>
  <c r="H37" i="41"/>
  <c r="I37" i="41"/>
  <c r="J37" i="41"/>
  <c r="K37" i="41"/>
  <c r="B38" i="41"/>
  <c r="C38" i="41"/>
  <c r="D38" i="41"/>
  <c r="E38" i="41"/>
  <c r="F38" i="41"/>
  <c r="G38" i="41"/>
  <c r="H38" i="41"/>
  <c r="I38" i="41"/>
  <c r="J38" i="41"/>
  <c r="K38" i="41"/>
  <c r="B39" i="41"/>
  <c r="C39" i="41"/>
  <c r="D39" i="41"/>
  <c r="E39" i="41"/>
  <c r="F39" i="41"/>
  <c r="G39" i="41"/>
  <c r="H39" i="41"/>
  <c r="I39" i="41"/>
  <c r="J39" i="41"/>
  <c r="B40" i="41"/>
  <c r="C40" i="41"/>
  <c r="D40" i="41"/>
  <c r="E40" i="41"/>
  <c r="F40" i="41"/>
  <c r="G40" i="41"/>
  <c r="H40" i="41"/>
  <c r="I40" i="41"/>
  <c r="J40" i="41"/>
  <c r="K40" i="41"/>
  <c r="B41" i="41"/>
  <c r="C41" i="41"/>
  <c r="D41" i="41"/>
  <c r="E41" i="41"/>
  <c r="F41" i="41"/>
  <c r="G41" i="41"/>
  <c r="H41" i="41"/>
  <c r="I41" i="41"/>
  <c r="J41" i="41"/>
  <c r="K41" i="41"/>
  <c r="B42" i="41"/>
  <c r="C42" i="41"/>
  <c r="D42" i="41"/>
  <c r="E42" i="41"/>
  <c r="F42" i="41"/>
  <c r="G42" i="41"/>
  <c r="H42" i="41"/>
  <c r="I42" i="41"/>
  <c r="J42" i="41"/>
  <c r="B43" i="41"/>
  <c r="C43" i="41"/>
  <c r="D43" i="41"/>
  <c r="E43" i="41"/>
  <c r="F43" i="41"/>
  <c r="G43" i="41"/>
  <c r="H43" i="41"/>
  <c r="I43" i="41"/>
  <c r="J43" i="41"/>
  <c r="K43" i="41"/>
  <c r="B44" i="41"/>
  <c r="C44" i="41"/>
  <c r="D44" i="41"/>
  <c r="E44" i="41"/>
  <c r="F44" i="41"/>
  <c r="G44" i="41"/>
  <c r="H44" i="41"/>
  <c r="I44" i="41"/>
  <c r="J44" i="41"/>
  <c r="K44" i="41"/>
  <c r="B45" i="41"/>
  <c r="C45" i="41"/>
  <c r="D45" i="41"/>
  <c r="E45" i="41"/>
  <c r="F45" i="41"/>
  <c r="G45" i="41"/>
  <c r="H45" i="41"/>
  <c r="I45" i="41"/>
  <c r="J45" i="41"/>
  <c r="B46" i="41"/>
  <c r="C46" i="41"/>
  <c r="D46" i="41"/>
  <c r="E46" i="41"/>
  <c r="F46" i="41"/>
  <c r="G46" i="41"/>
  <c r="H46" i="41"/>
  <c r="I46" i="41"/>
  <c r="J46" i="41"/>
  <c r="K46" i="41"/>
  <c r="B47" i="41"/>
  <c r="C47" i="41"/>
  <c r="D47" i="41"/>
  <c r="E47" i="41"/>
  <c r="F47" i="41"/>
  <c r="G47" i="41"/>
  <c r="H47" i="41"/>
  <c r="I47" i="41"/>
  <c r="J47" i="41"/>
  <c r="K47" i="41"/>
  <c r="B48" i="41"/>
  <c r="C48" i="41"/>
  <c r="D48" i="41"/>
  <c r="E48" i="41"/>
  <c r="F48" i="41"/>
  <c r="G48" i="41"/>
  <c r="H48" i="41"/>
  <c r="I48" i="41"/>
  <c r="J48" i="41"/>
  <c r="B49" i="41"/>
  <c r="C49" i="41"/>
  <c r="D49" i="41"/>
  <c r="E49" i="41"/>
  <c r="F49" i="41"/>
  <c r="G49" i="41"/>
  <c r="H49" i="41"/>
  <c r="I49" i="41"/>
  <c r="J49" i="41"/>
  <c r="K49" i="41"/>
  <c r="B50" i="41"/>
  <c r="C50" i="41"/>
  <c r="D50" i="41"/>
  <c r="E50" i="41"/>
  <c r="F50" i="41"/>
  <c r="G50" i="41"/>
  <c r="H50" i="41"/>
  <c r="I50" i="41"/>
  <c r="J50" i="41"/>
  <c r="K50" i="41"/>
  <c r="B51" i="41"/>
  <c r="C51" i="41"/>
  <c r="D51" i="41"/>
  <c r="E51" i="41"/>
  <c r="F51" i="41"/>
  <c r="G51" i="41"/>
  <c r="H51" i="41"/>
  <c r="I51" i="41"/>
  <c r="J51" i="41"/>
  <c r="B52" i="41"/>
  <c r="C52" i="41"/>
  <c r="D52" i="41"/>
  <c r="E52" i="41"/>
  <c r="F52" i="41"/>
  <c r="G52" i="41"/>
  <c r="H52" i="41"/>
  <c r="I52" i="41"/>
  <c r="J52" i="41"/>
  <c r="K52" i="41"/>
  <c r="B53" i="41"/>
  <c r="C53" i="41"/>
  <c r="D53" i="41"/>
  <c r="E53" i="41"/>
  <c r="F53" i="41"/>
  <c r="G53" i="41"/>
  <c r="H53" i="41"/>
  <c r="I53" i="41"/>
  <c r="J53" i="41"/>
  <c r="K53" i="41"/>
  <c r="B54" i="41"/>
  <c r="C54" i="41"/>
  <c r="D54" i="41"/>
  <c r="E54" i="41"/>
  <c r="F54" i="41"/>
  <c r="G54" i="41"/>
  <c r="H54" i="41"/>
  <c r="I54" i="41"/>
  <c r="J54" i="41"/>
  <c r="B55" i="41"/>
  <c r="C55" i="41"/>
  <c r="D55" i="41"/>
  <c r="E55" i="41"/>
  <c r="F55" i="41"/>
  <c r="G55" i="41"/>
  <c r="H55" i="41"/>
  <c r="I55" i="41"/>
  <c r="J55" i="41"/>
  <c r="K55" i="41"/>
  <c r="B56" i="41"/>
  <c r="C56" i="41"/>
  <c r="D56" i="41"/>
  <c r="E56" i="41"/>
  <c r="F56" i="41"/>
  <c r="G56" i="41"/>
  <c r="H56" i="41"/>
  <c r="I56" i="41"/>
  <c r="J56" i="41"/>
  <c r="K56" i="41"/>
  <c r="AM11" i="16"/>
  <c r="AC11" i="16"/>
  <c r="B79" i="41" s="1"/>
  <c r="AD11" i="16"/>
  <c r="AF11" i="16" s="1"/>
  <c r="B88" i="41" s="1"/>
  <c r="T56" i="41" s="1"/>
  <c r="B82" i="41"/>
  <c r="P56" i="41" s="1"/>
  <c r="AN11" i="16"/>
  <c r="AE11" i="16" s="1"/>
  <c r="B85" i="41" s="1"/>
  <c r="R56" i="41" s="1"/>
  <c r="B57" i="41"/>
  <c r="C57" i="41"/>
  <c r="D57" i="41"/>
  <c r="E57" i="41"/>
  <c r="F57" i="41"/>
  <c r="G57" i="41"/>
  <c r="H57" i="41"/>
  <c r="I57" i="41"/>
  <c r="J57" i="41"/>
  <c r="AM12" i="16"/>
  <c r="AC12" i="16"/>
  <c r="C79" i="41" s="1"/>
  <c r="N57" i="41" s="1"/>
  <c r="AD12" i="16"/>
  <c r="C82" i="41"/>
  <c r="P57" i="41" s="1"/>
  <c r="AN12" i="16"/>
  <c r="AE12" i="16" s="1"/>
  <c r="C85" i="41" s="1"/>
  <c r="R57" i="41" s="1"/>
  <c r="AF12" i="16"/>
  <c r="C88" i="41" s="1"/>
  <c r="T57" i="41" s="1"/>
  <c r="B58" i="41"/>
  <c r="C58" i="41"/>
  <c r="D58" i="41"/>
  <c r="E58" i="41"/>
  <c r="F58" i="41"/>
  <c r="G58" i="41"/>
  <c r="H58" i="41"/>
  <c r="I58" i="41"/>
  <c r="J58" i="41"/>
  <c r="K58" i="41"/>
  <c r="AM13" i="16"/>
  <c r="AC13" i="16"/>
  <c r="D79" i="41" s="1"/>
  <c r="N58" i="41" s="1"/>
  <c r="AD13" i="16"/>
  <c r="D82" i="41"/>
  <c r="P58" i="41" s="1"/>
  <c r="AN13" i="16"/>
  <c r="AE13" i="16" s="1"/>
  <c r="D85" i="41" s="1"/>
  <c r="R58" i="41" s="1"/>
  <c r="AF13" i="16"/>
  <c r="D88" i="41" s="1"/>
  <c r="T58" i="41" s="1"/>
  <c r="B59" i="41"/>
  <c r="C59" i="41"/>
  <c r="D59" i="41"/>
  <c r="E59" i="41"/>
  <c r="F59" i="41"/>
  <c r="G59" i="41"/>
  <c r="H59" i="41"/>
  <c r="I59" i="41"/>
  <c r="J59" i="41"/>
  <c r="K59" i="41"/>
  <c r="AM14" i="16"/>
  <c r="AC14" i="16"/>
  <c r="E79" i="41" s="1"/>
  <c r="N59" i="41" s="1"/>
  <c r="AD14" i="16"/>
  <c r="E82" i="41"/>
  <c r="P59" i="41" s="1"/>
  <c r="AN14" i="16"/>
  <c r="AE14" i="16" s="1"/>
  <c r="E85" i="41" s="1"/>
  <c r="R59" i="41" s="1"/>
  <c r="AF14" i="16"/>
  <c r="E88" i="41" s="1"/>
  <c r="T59" i="41" s="1"/>
  <c r="B60" i="41"/>
  <c r="C60" i="41"/>
  <c r="D60" i="41"/>
  <c r="E60" i="41"/>
  <c r="F60" i="41"/>
  <c r="G60" i="41"/>
  <c r="H60" i="41"/>
  <c r="I60" i="41"/>
  <c r="J60" i="41"/>
  <c r="AM15" i="16"/>
  <c r="AC15" i="16" s="1"/>
  <c r="F79" i="41" s="1"/>
  <c r="N60" i="41" s="1"/>
  <c r="AD15" i="16"/>
  <c r="F82" i="41" s="1"/>
  <c r="P60" i="41" s="1"/>
  <c r="AN15" i="16"/>
  <c r="AE15" i="16"/>
  <c r="F85" i="41" s="1"/>
  <c r="R60" i="41" s="1"/>
  <c r="B61" i="41"/>
  <c r="C61" i="41"/>
  <c r="D61" i="41"/>
  <c r="E61" i="41"/>
  <c r="F61" i="41"/>
  <c r="G61" i="41"/>
  <c r="H61" i="41"/>
  <c r="I61" i="41"/>
  <c r="J61" i="41"/>
  <c r="K61" i="41"/>
  <c r="AM16" i="16"/>
  <c r="AC16" i="16" s="1"/>
  <c r="G79" i="41" s="1"/>
  <c r="N61" i="41" s="1"/>
  <c r="AD16" i="16"/>
  <c r="G82" i="41" s="1"/>
  <c r="P61" i="41" s="1"/>
  <c r="AN16" i="16"/>
  <c r="AE16" i="16"/>
  <c r="G85" i="41" s="1"/>
  <c r="R61" i="41" s="1"/>
  <c r="B62" i="41"/>
  <c r="C62" i="41"/>
  <c r="D62" i="41"/>
  <c r="E62" i="41"/>
  <c r="F62" i="41"/>
  <c r="G62" i="41"/>
  <c r="H62" i="41"/>
  <c r="I62" i="41"/>
  <c r="J62" i="41"/>
  <c r="K62" i="41"/>
  <c r="AM17" i="16"/>
  <c r="AC17" i="16" s="1"/>
  <c r="H79" i="41" s="1"/>
  <c r="N62" i="41" s="1"/>
  <c r="AD17" i="16"/>
  <c r="H82" i="41" s="1"/>
  <c r="P62" i="41" s="1"/>
  <c r="AN17" i="16"/>
  <c r="AE17" i="16"/>
  <c r="H85" i="41" s="1"/>
  <c r="R62" i="41" s="1"/>
  <c r="B63" i="41"/>
  <c r="C63" i="41"/>
  <c r="D63" i="41"/>
  <c r="E63" i="41"/>
  <c r="F63" i="41"/>
  <c r="G63" i="41"/>
  <c r="H63" i="41"/>
  <c r="I63" i="41"/>
  <c r="J63" i="41"/>
  <c r="AM18" i="16"/>
  <c r="AC18" i="16"/>
  <c r="I79" i="41" s="1"/>
  <c r="N63" i="41" s="1"/>
  <c r="AD18" i="16"/>
  <c r="AF18" i="16"/>
  <c r="I88" i="41" s="1"/>
  <c r="T63" i="41" s="1"/>
  <c r="AN18" i="16"/>
  <c r="AE18" i="16"/>
  <c r="I85" i="41" s="1"/>
  <c r="R63" i="41" s="1"/>
  <c r="B64" i="41"/>
  <c r="C64" i="41"/>
  <c r="D64" i="41"/>
  <c r="E64" i="41"/>
  <c r="F64" i="41"/>
  <c r="G64" i="41"/>
  <c r="H64" i="41"/>
  <c r="I64" i="41"/>
  <c r="J64" i="41"/>
  <c r="K64" i="41"/>
  <c r="AM19" i="16"/>
  <c r="AC19" i="16"/>
  <c r="J79" i="41" s="1"/>
  <c r="N64" i="41" s="1"/>
  <c r="AD19" i="16"/>
  <c r="AF19" i="16"/>
  <c r="J88" i="41" s="1"/>
  <c r="T64" i="41" s="1"/>
  <c r="AN19" i="16"/>
  <c r="AE19" i="16"/>
  <c r="J85" i="41" s="1"/>
  <c r="R64" i="41" s="1"/>
  <c r="B65" i="41"/>
  <c r="C65" i="41"/>
  <c r="D65" i="41"/>
  <c r="E65" i="41"/>
  <c r="F65" i="41"/>
  <c r="G65" i="41"/>
  <c r="H65" i="41"/>
  <c r="I65" i="41"/>
  <c r="J65" i="41"/>
  <c r="K65" i="41"/>
  <c r="AM20" i="16"/>
  <c r="AC20" i="16"/>
  <c r="K79" i="41" s="1"/>
  <c r="N65" i="41" s="1"/>
  <c r="AD20" i="16"/>
  <c r="AF20" i="16"/>
  <c r="K88" i="41" s="1"/>
  <c r="T65" i="41" s="1"/>
  <c r="AN20" i="16"/>
  <c r="AE20" i="16"/>
  <c r="K85" i="41" s="1"/>
  <c r="R65" i="41" s="1"/>
  <c r="B66" i="41"/>
  <c r="C66" i="41"/>
  <c r="D66" i="41"/>
  <c r="E66" i="41"/>
  <c r="F66" i="41"/>
  <c r="G66" i="41"/>
  <c r="H66" i="41"/>
  <c r="I66" i="41"/>
  <c r="J66" i="41"/>
  <c r="AM22" i="16"/>
  <c r="AC22" i="16" s="1"/>
  <c r="B80" i="41" s="1"/>
  <c r="N66" i="41" s="1"/>
  <c r="AD22" i="16"/>
  <c r="AF22" i="16" s="1"/>
  <c r="B89" i="41" s="1"/>
  <c r="T66" i="41" s="1"/>
  <c r="B83" i="41"/>
  <c r="P66" i="41" s="1"/>
  <c r="AN22" i="16"/>
  <c r="AE22" i="16" s="1"/>
  <c r="B86" i="41" s="1"/>
  <c r="R66" i="41" s="1"/>
  <c r="B67" i="41"/>
  <c r="C67" i="41"/>
  <c r="D67" i="41"/>
  <c r="E67" i="41"/>
  <c r="F67" i="41"/>
  <c r="G67" i="41"/>
  <c r="H67" i="41"/>
  <c r="I67" i="41"/>
  <c r="J67" i="41"/>
  <c r="K67" i="41"/>
  <c r="AM23" i="16"/>
  <c r="AC23" i="16" s="1"/>
  <c r="C80" i="41" s="1"/>
  <c r="N67" i="41" s="1"/>
  <c r="AD23" i="16"/>
  <c r="AF23" i="16" s="1"/>
  <c r="C89" i="41" s="1"/>
  <c r="T67" i="41" s="1"/>
  <c r="C83" i="41"/>
  <c r="P67" i="41" s="1"/>
  <c r="AN23" i="16"/>
  <c r="AE23" i="16" s="1"/>
  <c r="C86" i="41" s="1"/>
  <c r="R67" i="41" s="1"/>
  <c r="B68" i="41"/>
  <c r="C68" i="41"/>
  <c r="D68" i="41"/>
  <c r="E68" i="41"/>
  <c r="F68" i="41"/>
  <c r="G68" i="41"/>
  <c r="H68" i="41"/>
  <c r="I68" i="41"/>
  <c r="J68" i="41"/>
  <c r="K68" i="41"/>
  <c r="AM24" i="16"/>
  <c r="AC24" i="16" s="1"/>
  <c r="D80" i="41" s="1"/>
  <c r="N68" i="41" s="1"/>
  <c r="AD24" i="16"/>
  <c r="AF24" i="16" s="1"/>
  <c r="D89" i="41" s="1"/>
  <c r="T68" i="41" s="1"/>
  <c r="D83" i="41"/>
  <c r="P68" i="41" s="1"/>
  <c r="AN24" i="16"/>
  <c r="AE24" i="16" s="1"/>
  <c r="D86" i="41" s="1"/>
  <c r="R68" i="41" s="1"/>
  <c r="B69" i="41"/>
  <c r="C69" i="41"/>
  <c r="D69" i="41"/>
  <c r="E69" i="41"/>
  <c r="F69" i="41"/>
  <c r="G69" i="41"/>
  <c r="H69" i="41"/>
  <c r="I69" i="41"/>
  <c r="J69" i="41"/>
  <c r="AM25" i="16"/>
  <c r="AC25" i="16"/>
  <c r="E80" i="41" s="1"/>
  <c r="N69" i="41" s="1"/>
  <c r="AD25" i="16"/>
  <c r="E83" i="41"/>
  <c r="P69" i="41" s="1"/>
  <c r="AN25" i="16"/>
  <c r="AE25" i="16" s="1"/>
  <c r="E86" i="41" s="1"/>
  <c r="R69" i="41" s="1"/>
  <c r="AF25" i="16"/>
  <c r="E89" i="41" s="1"/>
  <c r="T69" i="41" s="1"/>
  <c r="B70" i="41"/>
  <c r="C70" i="41"/>
  <c r="D70" i="41"/>
  <c r="E70" i="41"/>
  <c r="F70" i="41"/>
  <c r="G70" i="41"/>
  <c r="H70" i="41"/>
  <c r="I70" i="41"/>
  <c r="J70" i="41"/>
  <c r="K70" i="41"/>
  <c r="AM26" i="16"/>
  <c r="AC26" i="16"/>
  <c r="F80" i="41" s="1"/>
  <c r="N70" i="41" s="1"/>
  <c r="AD26" i="16"/>
  <c r="F83" i="41"/>
  <c r="P70" i="41" s="1"/>
  <c r="AN26" i="16"/>
  <c r="AE26" i="16" s="1"/>
  <c r="F86" i="41" s="1"/>
  <c r="R70" i="41" s="1"/>
  <c r="AF26" i="16"/>
  <c r="F89" i="41" s="1"/>
  <c r="T70" i="41" s="1"/>
  <c r="B71" i="41"/>
  <c r="C71" i="41"/>
  <c r="D71" i="41"/>
  <c r="E71" i="41"/>
  <c r="F71" i="41"/>
  <c r="G71" i="41"/>
  <c r="H71" i="41"/>
  <c r="I71" i="41"/>
  <c r="J71" i="41"/>
  <c r="K71" i="41"/>
  <c r="AM27" i="16"/>
  <c r="AC27" i="16"/>
  <c r="G80" i="41" s="1"/>
  <c r="N71" i="41" s="1"/>
  <c r="AD27" i="16"/>
  <c r="G83" i="41"/>
  <c r="P71" i="41" s="1"/>
  <c r="AN27" i="16"/>
  <c r="AE27" i="16" s="1"/>
  <c r="G86" i="41" s="1"/>
  <c r="R71" i="41" s="1"/>
  <c r="AF27" i="16"/>
  <c r="G89" i="41" s="1"/>
  <c r="T71" i="41" s="1"/>
  <c r="B72" i="41"/>
  <c r="C72" i="41"/>
  <c r="D72" i="41"/>
  <c r="E72" i="41"/>
  <c r="F72" i="41"/>
  <c r="G72" i="41"/>
  <c r="H72" i="41"/>
  <c r="I72" i="41"/>
  <c r="J72" i="41"/>
  <c r="AM28" i="16"/>
  <c r="AC28" i="16" s="1"/>
  <c r="H80" i="41" s="1"/>
  <c r="N72" i="41" s="1"/>
  <c r="AD28" i="16"/>
  <c r="AF28" i="16" s="1"/>
  <c r="H89" i="41" s="1"/>
  <c r="T72" i="41" s="1"/>
  <c r="AN28" i="16"/>
  <c r="AE28" i="16"/>
  <c r="H86" i="41" s="1"/>
  <c r="R72" i="41" s="1"/>
  <c r="AM29" i="16"/>
  <c r="AC29" i="16" s="1"/>
  <c r="I80" i="41" s="1"/>
  <c r="N73" i="41" s="1"/>
  <c r="AD29" i="16"/>
  <c r="AF29" i="16" s="1"/>
  <c r="I89" i="41" s="1"/>
  <c r="T73" i="41" s="1"/>
  <c r="I83" i="41"/>
  <c r="P73" i="41" s="1"/>
  <c r="AN29" i="16"/>
  <c r="AE29" i="16" s="1"/>
  <c r="I86" i="41" s="1"/>
  <c r="R73" i="41" s="1"/>
  <c r="AM30" i="16"/>
  <c r="AC30" i="16" s="1"/>
  <c r="J80" i="41" s="1"/>
  <c r="N74" i="41" s="1"/>
  <c r="AD30" i="16"/>
  <c r="AF30" i="16" s="1"/>
  <c r="J89" i="41" s="1"/>
  <c r="T74" i="41" s="1"/>
  <c r="AN30" i="16"/>
  <c r="AE30" i="16"/>
  <c r="J86" i="41" s="1"/>
  <c r="R74" i="41" s="1"/>
  <c r="AM31" i="16"/>
  <c r="AC31" i="16" s="1"/>
  <c r="K80" i="41" s="1"/>
  <c r="N75" i="41" s="1"/>
  <c r="AD31" i="16"/>
  <c r="AF31" i="16" s="1"/>
  <c r="K89" i="41" s="1"/>
  <c r="T75" i="41" s="1"/>
  <c r="K83" i="41"/>
  <c r="P75" i="41" s="1"/>
  <c r="AN31" i="16"/>
  <c r="AE31" i="16" s="1"/>
  <c r="K86" i="41" s="1"/>
  <c r="R75" i="41" s="1"/>
  <c r="B76" i="41"/>
  <c r="B91" i="41" s="1"/>
  <c r="C76" i="41"/>
  <c r="D76" i="41"/>
  <c r="E76" i="41"/>
  <c r="F76" i="41"/>
  <c r="G76" i="41"/>
  <c r="H76" i="41"/>
  <c r="I76" i="41"/>
  <c r="J76" i="41"/>
  <c r="K76" i="41"/>
  <c r="AM33" i="16"/>
  <c r="AC33" i="16"/>
  <c r="B81" i="41" s="1"/>
  <c r="N76" i="41" s="1"/>
  <c r="AD33" i="16"/>
  <c r="AF33" i="16"/>
  <c r="B90" i="41" s="1"/>
  <c r="T76" i="41" s="1"/>
  <c r="B84" i="41"/>
  <c r="P76" i="41"/>
  <c r="AN33" i="16"/>
  <c r="AE33" i="16"/>
  <c r="B87" i="41" s="1"/>
  <c r="R76" i="41" s="1"/>
  <c r="B77" i="41"/>
  <c r="C77" i="41"/>
  <c r="D77" i="41"/>
  <c r="E77" i="41"/>
  <c r="F77" i="41"/>
  <c r="G77" i="41"/>
  <c r="H77" i="41"/>
  <c r="I77" i="41"/>
  <c r="J77" i="41"/>
  <c r="K77" i="41"/>
  <c r="AM34" i="16"/>
  <c r="AC34" i="16"/>
  <c r="C81" i="41" s="1"/>
  <c r="N77" i="41" s="1"/>
  <c r="AD34" i="16"/>
  <c r="AF34" i="16"/>
  <c r="C90" i="41" s="1"/>
  <c r="T77" i="41" s="1"/>
  <c r="C84" i="41"/>
  <c r="P77" i="41"/>
  <c r="AN34" i="16"/>
  <c r="AE34" i="16"/>
  <c r="C87" i="41" s="1"/>
  <c r="R77" i="41" s="1"/>
  <c r="B78" i="41"/>
  <c r="C78" i="41"/>
  <c r="D78" i="41"/>
  <c r="E78" i="41"/>
  <c r="F78" i="41"/>
  <c r="G78" i="41"/>
  <c r="H78" i="41"/>
  <c r="I78" i="41"/>
  <c r="J78" i="41"/>
  <c r="K78" i="41"/>
  <c r="AM35" i="16"/>
  <c r="AC35" i="16"/>
  <c r="D81" i="41" s="1"/>
  <c r="N78" i="41" s="1"/>
  <c r="AD35" i="16"/>
  <c r="AF35" i="16"/>
  <c r="D90" i="41" s="1"/>
  <c r="T78" i="41" s="1"/>
  <c r="D84" i="41"/>
  <c r="P78" i="41"/>
  <c r="AN35" i="16"/>
  <c r="AE35" i="16"/>
  <c r="D87" i="41" s="1"/>
  <c r="R78" i="41" s="1"/>
  <c r="AM36" i="16"/>
  <c r="AC36" i="16"/>
  <c r="E81" i="41" s="1"/>
  <c r="N79" i="41" s="1"/>
  <c r="AD36" i="16"/>
  <c r="E84" i="41"/>
  <c r="P79" i="41" s="1"/>
  <c r="AN36" i="16"/>
  <c r="AE36" i="16" s="1"/>
  <c r="E87" i="41" s="1"/>
  <c r="R79" i="41" s="1"/>
  <c r="AF36" i="16"/>
  <c r="E90" i="41" s="1"/>
  <c r="T79" i="41" s="1"/>
  <c r="AM37" i="16"/>
  <c r="AC37" i="16"/>
  <c r="F81" i="41" s="1"/>
  <c r="N80" i="41" s="1"/>
  <c r="AD37" i="16"/>
  <c r="AF37" i="16"/>
  <c r="F90" i="41" s="1"/>
  <c r="T80" i="41" s="1"/>
  <c r="F84" i="41"/>
  <c r="P80" i="41"/>
  <c r="AN37" i="16"/>
  <c r="AE37" i="16"/>
  <c r="F87" i="41" s="1"/>
  <c r="R80" i="41" s="1"/>
  <c r="AM38" i="16"/>
  <c r="AC38" i="16"/>
  <c r="G81" i="41" s="1"/>
  <c r="N81" i="41" s="1"/>
  <c r="AM39" i="16"/>
  <c r="AD39" i="16" s="1"/>
  <c r="AF39" i="16" s="1"/>
  <c r="H90" i="41" s="1"/>
  <c r="T82" i="41" s="1"/>
  <c r="AC39" i="16"/>
  <c r="H81" i="41" s="1"/>
  <c r="N82" i="41" s="1"/>
  <c r="AM40" i="16"/>
  <c r="AD40" i="16" s="1"/>
  <c r="AC40" i="16"/>
  <c r="I81" i="41" s="1"/>
  <c r="N83" i="41" s="1"/>
  <c r="AM41" i="16"/>
  <c r="AC41" i="16"/>
  <c r="J81" i="41" s="1"/>
  <c r="N84" i="41" s="1"/>
  <c r="AM42" i="16"/>
  <c r="AC42" i="16"/>
  <c r="K81" i="41" s="1"/>
  <c r="N85" i="41" s="1"/>
  <c r="AD38" i="16"/>
  <c r="G84" i="41"/>
  <c r="P81" i="41" s="1"/>
  <c r="AN38" i="16"/>
  <c r="AE38" i="16" s="1"/>
  <c r="G87" i="41" s="1"/>
  <c r="R81" i="41" s="1"/>
  <c r="AF38" i="16"/>
  <c r="G90" i="41" s="1"/>
  <c r="T81" i="41" s="1"/>
  <c r="AN39" i="16"/>
  <c r="AE39" i="16"/>
  <c r="H87" i="41" s="1"/>
  <c r="R82" i="41" s="1"/>
  <c r="AN40" i="16"/>
  <c r="AE40" i="16"/>
  <c r="I87" i="41" s="1"/>
  <c r="R83" i="41" s="1"/>
  <c r="AD41" i="16"/>
  <c r="AF41" i="16"/>
  <c r="J90" i="41" s="1"/>
  <c r="T84" i="41" s="1"/>
  <c r="AD42" i="16"/>
  <c r="K84" i="41"/>
  <c r="P85" i="41" s="1"/>
  <c r="AN41" i="16"/>
  <c r="AE41" i="16" s="1"/>
  <c r="J87" i="41" s="1"/>
  <c r="R84" i="41" s="1"/>
  <c r="AN42" i="16"/>
  <c r="AE42" i="16" s="1"/>
  <c r="K87" i="41" s="1"/>
  <c r="R85" i="41" s="1"/>
  <c r="AF42" i="16"/>
  <c r="K90" i="41" s="1"/>
  <c r="T85" i="41" s="1"/>
  <c r="A1" i="40"/>
  <c r="N2" i="40"/>
  <c r="B1" i="40"/>
  <c r="W7" i="15"/>
  <c r="B2" i="40" s="1"/>
  <c r="Z7" i="15"/>
  <c r="C2" i="40" s="1"/>
  <c r="D2" i="40"/>
  <c r="O2" i="40"/>
  <c r="B4" i="40"/>
  <c r="C4" i="40"/>
  <c r="D4" i="40"/>
  <c r="E4" i="40"/>
  <c r="F4" i="40"/>
  <c r="G4" i="40"/>
  <c r="H4" i="40"/>
  <c r="I4" i="40"/>
  <c r="J4" i="40"/>
  <c r="K4" i="40"/>
  <c r="B5" i="40"/>
  <c r="C5" i="40"/>
  <c r="D5" i="40"/>
  <c r="E5" i="40"/>
  <c r="F5" i="40"/>
  <c r="G5" i="40"/>
  <c r="H5" i="40"/>
  <c r="I5" i="40"/>
  <c r="J5" i="40"/>
  <c r="K5" i="40"/>
  <c r="B6" i="40"/>
  <c r="C6" i="40"/>
  <c r="D6" i="40"/>
  <c r="E6" i="40"/>
  <c r="F6" i="40"/>
  <c r="G6" i="40"/>
  <c r="H6" i="40"/>
  <c r="I6" i="40"/>
  <c r="J6" i="40"/>
  <c r="B7" i="40"/>
  <c r="C7" i="40"/>
  <c r="D7" i="40"/>
  <c r="E7" i="40"/>
  <c r="F7" i="40"/>
  <c r="G7" i="40"/>
  <c r="H7" i="40"/>
  <c r="I7" i="40"/>
  <c r="J7" i="40"/>
  <c r="K7" i="40"/>
  <c r="B8" i="40"/>
  <c r="C8" i="40"/>
  <c r="D8" i="40"/>
  <c r="E8" i="40"/>
  <c r="F8" i="40"/>
  <c r="G8" i="40"/>
  <c r="H8" i="40"/>
  <c r="I8" i="40"/>
  <c r="J8" i="40"/>
  <c r="K8" i="40"/>
  <c r="B9" i="40"/>
  <c r="C9" i="40"/>
  <c r="D9" i="40"/>
  <c r="E9" i="40"/>
  <c r="F9" i="40"/>
  <c r="G9" i="40"/>
  <c r="H9" i="40"/>
  <c r="I9" i="40"/>
  <c r="J9" i="40"/>
  <c r="B10" i="40"/>
  <c r="C10" i="40"/>
  <c r="D10" i="40"/>
  <c r="E10" i="40"/>
  <c r="F10" i="40"/>
  <c r="G10" i="40"/>
  <c r="H10" i="40"/>
  <c r="I10" i="40"/>
  <c r="J10" i="40"/>
  <c r="K10" i="40"/>
  <c r="B11" i="40"/>
  <c r="C11" i="40"/>
  <c r="D11" i="40"/>
  <c r="E11" i="40"/>
  <c r="F11" i="40"/>
  <c r="G11" i="40"/>
  <c r="H11" i="40"/>
  <c r="I11" i="40"/>
  <c r="J11" i="40"/>
  <c r="K11" i="40"/>
  <c r="B12" i="40"/>
  <c r="C12" i="40"/>
  <c r="D12" i="40"/>
  <c r="E12" i="40"/>
  <c r="F12" i="40"/>
  <c r="G12" i="40"/>
  <c r="H12" i="40"/>
  <c r="I12" i="40"/>
  <c r="J12" i="40"/>
  <c r="B13" i="40"/>
  <c r="C13" i="40"/>
  <c r="D13" i="40"/>
  <c r="E13" i="40"/>
  <c r="F13" i="40"/>
  <c r="G13" i="40"/>
  <c r="H13" i="40"/>
  <c r="I13" i="40"/>
  <c r="J13" i="40"/>
  <c r="K13" i="40"/>
  <c r="B14" i="40"/>
  <c r="C14" i="40"/>
  <c r="D14" i="40"/>
  <c r="E14" i="40"/>
  <c r="F14" i="40"/>
  <c r="G14" i="40"/>
  <c r="H14" i="40"/>
  <c r="I14" i="40"/>
  <c r="J14" i="40"/>
  <c r="K14" i="40"/>
  <c r="B15" i="40"/>
  <c r="C15" i="40"/>
  <c r="D15" i="40"/>
  <c r="E15" i="40"/>
  <c r="F15" i="40"/>
  <c r="G15" i="40"/>
  <c r="H15" i="40"/>
  <c r="I15" i="40"/>
  <c r="J15" i="40"/>
  <c r="B16" i="40"/>
  <c r="C16" i="40"/>
  <c r="D16" i="40"/>
  <c r="E16" i="40"/>
  <c r="F16" i="40"/>
  <c r="G16" i="40"/>
  <c r="H16" i="40"/>
  <c r="I16" i="40"/>
  <c r="J16" i="40"/>
  <c r="K16" i="40"/>
  <c r="B17" i="40"/>
  <c r="C17" i="40"/>
  <c r="D17" i="40"/>
  <c r="E17" i="40"/>
  <c r="F17" i="40"/>
  <c r="G17" i="40"/>
  <c r="H17" i="40"/>
  <c r="I17" i="40"/>
  <c r="J17" i="40"/>
  <c r="K17" i="40"/>
  <c r="B18" i="40"/>
  <c r="C18" i="40"/>
  <c r="D18" i="40"/>
  <c r="E18" i="40"/>
  <c r="F18" i="40"/>
  <c r="G18" i="40"/>
  <c r="H18" i="40"/>
  <c r="I18" i="40"/>
  <c r="J18" i="40"/>
  <c r="B19" i="40"/>
  <c r="C19" i="40"/>
  <c r="D19" i="40"/>
  <c r="E19" i="40"/>
  <c r="F19" i="40"/>
  <c r="G19" i="40"/>
  <c r="H19" i="40"/>
  <c r="I19" i="40"/>
  <c r="J19" i="40"/>
  <c r="K19" i="40"/>
  <c r="B20" i="40"/>
  <c r="C20" i="40"/>
  <c r="D20" i="40"/>
  <c r="E20" i="40"/>
  <c r="F20" i="40"/>
  <c r="G20" i="40"/>
  <c r="H20" i="40"/>
  <c r="I20" i="40"/>
  <c r="J20" i="40"/>
  <c r="K20" i="40"/>
  <c r="B21" i="40"/>
  <c r="C21" i="40"/>
  <c r="D21" i="40"/>
  <c r="E21" i="40"/>
  <c r="F21" i="40"/>
  <c r="G21" i="40"/>
  <c r="H21" i="40"/>
  <c r="I21" i="40"/>
  <c r="J21" i="40"/>
  <c r="B22" i="40"/>
  <c r="C22" i="40"/>
  <c r="D22" i="40"/>
  <c r="E22" i="40"/>
  <c r="F22" i="40"/>
  <c r="G22" i="40"/>
  <c r="H22" i="40"/>
  <c r="I22" i="40"/>
  <c r="J22" i="40"/>
  <c r="K22" i="40"/>
  <c r="B23" i="40"/>
  <c r="C23" i="40"/>
  <c r="D23" i="40"/>
  <c r="E23" i="40"/>
  <c r="F23" i="40"/>
  <c r="G23" i="40"/>
  <c r="H23" i="40"/>
  <c r="I23" i="40"/>
  <c r="J23" i="40"/>
  <c r="K23" i="40"/>
  <c r="B24" i="40"/>
  <c r="C24" i="40"/>
  <c r="D24" i="40"/>
  <c r="E24" i="40"/>
  <c r="F24" i="40"/>
  <c r="G24" i="40"/>
  <c r="H24" i="40"/>
  <c r="I24" i="40"/>
  <c r="J24" i="40"/>
  <c r="B25" i="40"/>
  <c r="C25" i="40"/>
  <c r="D25" i="40"/>
  <c r="E25" i="40"/>
  <c r="F25" i="40"/>
  <c r="G25" i="40"/>
  <c r="H25" i="40"/>
  <c r="I25" i="40"/>
  <c r="J25" i="40"/>
  <c r="K25" i="40"/>
  <c r="B26" i="40"/>
  <c r="C26" i="40"/>
  <c r="D26" i="40"/>
  <c r="E26" i="40"/>
  <c r="F26" i="40"/>
  <c r="G26" i="40"/>
  <c r="H26" i="40"/>
  <c r="I26" i="40"/>
  <c r="J26" i="40"/>
  <c r="K26" i="40"/>
  <c r="B27" i="40"/>
  <c r="C27" i="40"/>
  <c r="D27" i="40"/>
  <c r="E27" i="40"/>
  <c r="F27" i="40"/>
  <c r="G27" i="40"/>
  <c r="H27" i="40"/>
  <c r="I27" i="40"/>
  <c r="J27" i="40"/>
  <c r="B28" i="40"/>
  <c r="C28" i="40"/>
  <c r="D28" i="40"/>
  <c r="E28" i="40"/>
  <c r="F28" i="40"/>
  <c r="G28" i="40"/>
  <c r="H28" i="40"/>
  <c r="I28" i="40"/>
  <c r="J28" i="40"/>
  <c r="K28" i="40"/>
  <c r="B29" i="40"/>
  <c r="C29" i="40"/>
  <c r="D29" i="40"/>
  <c r="E29" i="40"/>
  <c r="F29" i="40"/>
  <c r="G29" i="40"/>
  <c r="H29" i="40"/>
  <c r="I29" i="40"/>
  <c r="J29" i="40"/>
  <c r="K29" i="40"/>
  <c r="B30" i="40"/>
  <c r="C30" i="40"/>
  <c r="D30" i="40"/>
  <c r="E30" i="40"/>
  <c r="F30" i="40"/>
  <c r="G30" i="40"/>
  <c r="H30" i="40"/>
  <c r="I30" i="40"/>
  <c r="J30" i="40"/>
  <c r="B31" i="40"/>
  <c r="C31" i="40"/>
  <c r="D31" i="40"/>
  <c r="E31" i="40"/>
  <c r="F31" i="40"/>
  <c r="G31" i="40"/>
  <c r="H31" i="40"/>
  <c r="I31" i="40"/>
  <c r="J31" i="40"/>
  <c r="K31" i="40"/>
  <c r="B32" i="40"/>
  <c r="C32" i="40"/>
  <c r="D32" i="40"/>
  <c r="E32" i="40"/>
  <c r="F32" i="40"/>
  <c r="G32" i="40"/>
  <c r="H32" i="40"/>
  <c r="I32" i="40"/>
  <c r="J32" i="40"/>
  <c r="K32" i="40"/>
  <c r="B33" i="40"/>
  <c r="C33" i="40"/>
  <c r="D33" i="40"/>
  <c r="E33" i="40"/>
  <c r="F33" i="40"/>
  <c r="G33" i="40"/>
  <c r="H33" i="40"/>
  <c r="I33" i="40"/>
  <c r="J33" i="40"/>
  <c r="B34" i="40"/>
  <c r="C34" i="40"/>
  <c r="D34" i="40"/>
  <c r="E34" i="40"/>
  <c r="F34" i="40"/>
  <c r="G34" i="40"/>
  <c r="H34" i="40"/>
  <c r="I34" i="40"/>
  <c r="J34" i="40"/>
  <c r="K34" i="40"/>
  <c r="B35" i="40"/>
  <c r="C35" i="40"/>
  <c r="D35" i="40"/>
  <c r="E35" i="40"/>
  <c r="F35" i="40"/>
  <c r="G35" i="40"/>
  <c r="H35" i="40"/>
  <c r="I35" i="40"/>
  <c r="J35" i="40"/>
  <c r="K35" i="40"/>
  <c r="B36" i="40"/>
  <c r="C36" i="40"/>
  <c r="D36" i="40"/>
  <c r="E36" i="40"/>
  <c r="F36" i="40"/>
  <c r="G36" i="40"/>
  <c r="H36" i="40"/>
  <c r="I36" i="40"/>
  <c r="J36" i="40"/>
  <c r="B37" i="40"/>
  <c r="C37" i="40"/>
  <c r="D37" i="40"/>
  <c r="E37" i="40"/>
  <c r="F37" i="40"/>
  <c r="G37" i="40"/>
  <c r="H37" i="40"/>
  <c r="I37" i="40"/>
  <c r="J37" i="40"/>
  <c r="K37" i="40"/>
  <c r="B38" i="40"/>
  <c r="C38" i="40"/>
  <c r="D38" i="40"/>
  <c r="E38" i="40"/>
  <c r="F38" i="40"/>
  <c r="G38" i="40"/>
  <c r="H38" i="40"/>
  <c r="I38" i="40"/>
  <c r="J38" i="40"/>
  <c r="K38" i="40"/>
  <c r="B39" i="40"/>
  <c r="C39" i="40"/>
  <c r="D39" i="40"/>
  <c r="E39" i="40"/>
  <c r="F39" i="40"/>
  <c r="G39" i="40"/>
  <c r="H39" i="40"/>
  <c r="I39" i="40"/>
  <c r="J39" i="40"/>
  <c r="B40" i="40"/>
  <c r="C40" i="40"/>
  <c r="D40" i="40"/>
  <c r="E40" i="40"/>
  <c r="F40" i="40"/>
  <c r="G40" i="40"/>
  <c r="H40" i="40"/>
  <c r="I40" i="40"/>
  <c r="J40" i="40"/>
  <c r="K40" i="40"/>
  <c r="B41" i="40"/>
  <c r="C41" i="40"/>
  <c r="D41" i="40"/>
  <c r="E41" i="40"/>
  <c r="F41" i="40"/>
  <c r="G41" i="40"/>
  <c r="H41" i="40"/>
  <c r="I41" i="40"/>
  <c r="J41" i="40"/>
  <c r="K41" i="40"/>
  <c r="B42" i="40"/>
  <c r="C42" i="40"/>
  <c r="D42" i="40"/>
  <c r="E42" i="40"/>
  <c r="F42" i="40"/>
  <c r="G42" i="40"/>
  <c r="H42" i="40"/>
  <c r="I42" i="40"/>
  <c r="J42" i="40"/>
  <c r="B43" i="40"/>
  <c r="C43" i="40"/>
  <c r="D43" i="40"/>
  <c r="E43" i="40"/>
  <c r="F43" i="40"/>
  <c r="G43" i="40"/>
  <c r="H43" i="40"/>
  <c r="I43" i="40"/>
  <c r="J43" i="40"/>
  <c r="K43" i="40"/>
  <c r="B44" i="40"/>
  <c r="C44" i="40"/>
  <c r="D44" i="40"/>
  <c r="E44" i="40"/>
  <c r="F44" i="40"/>
  <c r="G44" i="40"/>
  <c r="H44" i="40"/>
  <c r="I44" i="40"/>
  <c r="J44" i="40"/>
  <c r="K44" i="40"/>
  <c r="B45" i="40"/>
  <c r="C45" i="40"/>
  <c r="D45" i="40"/>
  <c r="E45" i="40"/>
  <c r="F45" i="40"/>
  <c r="G45" i="40"/>
  <c r="H45" i="40"/>
  <c r="I45" i="40"/>
  <c r="J45" i="40"/>
  <c r="B46" i="40"/>
  <c r="C46" i="40"/>
  <c r="D46" i="40"/>
  <c r="E46" i="40"/>
  <c r="F46" i="40"/>
  <c r="G46" i="40"/>
  <c r="H46" i="40"/>
  <c r="I46" i="40"/>
  <c r="J46" i="40"/>
  <c r="K46" i="40"/>
  <c r="B47" i="40"/>
  <c r="C47" i="40"/>
  <c r="D47" i="40"/>
  <c r="E47" i="40"/>
  <c r="F47" i="40"/>
  <c r="G47" i="40"/>
  <c r="H47" i="40"/>
  <c r="I47" i="40"/>
  <c r="J47" i="40"/>
  <c r="K47" i="40"/>
  <c r="B48" i="40"/>
  <c r="C48" i="40"/>
  <c r="D48" i="40"/>
  <c r="E48" i="40"/>
  <c r="F48" i="40"/>
  <c r="G48" i="40"/>
  <c r="H48" i="40"/>
  <c r="I48" i="40"/>
  <c r="J48" i="40"/>
  <c r="B49" i="40"/>
  <c r="C49" i="40"/>
  <c r="D49" i="40"/>
  <c r="E49" i="40"/>
  <c r="F49" i="40"/>
  <c r="G49" i="40"/>
  <c r="H49" i="40"/>
  <c r="I49" i="40"/>
  <c r="J49" i="40"/>
  <c r="K49" i="40"/>
  <c r="B50" i="40"/>
  <c r="C50" i="40"/>
  <c r="D50" i="40"/>
  <c r="E50" i="40"/>
  <c r="F50" i="40"/>
  <c r="G50" i="40"/>
  <c r="H50" i="40"/>
  <c r="I50" i="40"/>
  <c r="J50" i="40"/>
  <c r="K50" i="40"/>
  <c r="B51" i="40"/>
  <c r="C51" i="40"/>
  <c r="D51" i="40"/>
  <c r="E51" i="40"/>
  <c r="F51" i="40"/>
  <c r="G51" i="40"/>
  <c r="H51" i="40"/>
  <c r="I51" i="40"/>
  <c r="J51" i="40"/>
  <c r="B52" i="40"/>
  <c r="C52" i="40"/>
  <c r="D52" i="40"/>
  <c r="E52" i="40"/>
  <c r="F52" i="40"/>
  <c r="G52" i="40"/>
  <c r="H52" i="40"/>
  <c r="I52" i="40"/>
  <c r="J52" i="40"/>
  <c r="K52" i="40"/>
  <c r="B53" i="40"/>
  <c r="C53" i="40"/>
  <c r="D53" i="40"/>
  <c r="E53" i="40"/>
  <c r="F53" i="40"/>
  <c r="G53" i="40"/>
  <c r="H53" i="40"/>
  <c r="I53" i="40"/>
  <c r="J53" i="40"/>
  <c r="K53" i="40"/>
  <c r="B54" i="40"/>
  <c r="C54" i="40"/>
  <c r="D54" i="40"/>
  <c r="E54" i="40"/>
  <c r="F54" i="40"/>
  <c r="G54" i="40"/>
  <c r="H54" i="40"/>
  <c r="I54" i="40"/>
  <c r="J54" i="40"/>
  <c r="B55" i="40"/>
  <c r="C55" i="40"/>
  <c r="D55" i="40"/>
  <c r="E55" i="40"/>
  <c r="F55" i="40"/>
  <c r="G55" i="40"/>
  <c r="H55" i="40"/>
  <c r="I55" i="40"/>
  <c r="J55" i="40"/>
  <c r="K55" i="40"/>
  <c r="B56" i="40"/>
  <c r="C56" i="40"/>
  <c r="D56" i="40"/>
  <c r="E56" i="40"/>
  <c r="F56" i="40"/>
  <c r="G56" i="40"/>
  <c r="H56" i="40"/>
  <c r="I56" i="40"/>
  <c r="J56" i="40"/>
  <c r="K56" i="40"/>
  <c r="AM11" i="15"/>
  <c r="AC11" i="15"/>
  <c r="B79" i="40" s="1"/>
  <c r="N56" i="40" s="1"/>
  <c r="AD11" i="15"/>
  <c r="AF11" i="15" s="1"/>
  <c r="B88" i="40" s="1"/>
  <c r="T56" i="40" s="1"/>
  <c r="B82" i="40"/>
  <c r="P56" i="40" s="1"/>
  <c r="AN11" i="15"/>
  <c r="AE11" i="15" s="1"/>
  <c r="B85" i="40" s="1"/>
  <c r="B57" i="40"/>
  <c r="C57" i="40"/>
  <c r="D57" i="40"/>
  <c r="E57" i="40"/>
  <c r="F57" i="40"/>
  <c r="G57" i="40"/>
  <c r="H57" i="40"/>
  <c r="I57" i="40"/>
  <c r="J57" i="40"/>
  <c r="AM12" i="15"/>
  <c r="AC12" i="15"/>
  <c r="C79" i="40" s="1"/>
  <c r="N57" i="40" s="1"/>
  <c r="AD12" i="15"/>
  <c r="C82" i="40"/>
  <c r="P57" i="40" s="1"/>
  <c r="AN12" i="15"/>
  <c r="AE12" i="15" s="1"/>
  <c r="C85" i="40" s="1"/>
  <c r="R57" i="40" s="1"/>
  <c r="AF12" i="15"/>
  <c r="C88" i="40" s="1"/>
  <c r="T57" i="40" s="1"/>
  <c r="B58" i="40"/>
  <c r="C58" i="40"/>
  <c r="D58" i="40"/>
  <c r="E58" i="40"/>
  <c r="F58" i="40"/>
  <c r="G58" i="40"/>
  <c r="H58" i="40"/>
  <c r="I58" i="40"/>
  <c r="J58" i="40"/>
  <c r="K58" i="40"/>
  <c r="AM13" i="15"/>
  <c r="AC13" i="15"/>
  <c r="D79" i="40" s="1"/>
  <c r="N58" i="40" s="1"/>
  <c r="AD13" i="15"/>
  <c r="D82" i="40"/>
  <c r="P58" i="40" s="1"/>
  <c r="AN13" i="15"/>
  <c r="AE13" i="15" s="1"/>
  <c r="D85" i="40" s="1"/>
  <c r="R58" i="40" s="1"/>
  <c r="AF13" i="15"/>
  <c r="D88" i="40" s="1"/>
  <c r="T58" i="40" s="1"/>
  <c r="B59" i="40"/>
  <c r="C59" i="40"/>
  <c r="D59" i="40"/>
  <c r="E59" i="40"/>
  <c r="F59" i="40"/>
  <c r="G59" i="40"/>
  <c r="H59" i="40"/>
  <c r="I59" i="40"/>
  <c r="J59" i="40"/>
  <c r="K59" i="40"/>
  <c r="AM14" i="15"/>
  <c r="AC14" i="15"/>
  <c r="E79" i="40" s="1"/>
  <c r="N59" i="40" s="1"/>
  <c r="AD14" i="15"/>
  <c r="E82" i="40"/>
  <c r="P59" i="40" s="1"/>
  <c r="AN14" i="15"/>
  <c r="AE14" i="15" s="1"/>
  <c r="E85" i="40" s="1"/>
  <c r="R59" i="40" s="1"/>
  <c r="AF14" i="15"/>
  <c r="E88" i="40" s="1"/>
  <c r="T59" i="40" s="1"/>
  <c r="B60" i="40"/>
  <c r="C60" i="40"/>
  <c r="D60" i="40"/>
  <c r="E60" i="40"/>
  <c r="F60" i="40"/>
  <c r="G60" i="40"/>
  <c r="H60" i="40"/>
  <c r="I60" i="40"/>
  <c r="J60" i="40"/>
  <c r="AM15" i="15"/>
  <c r="AC15" i="15" s="1"/>
  <c r="F79" i="40" s="1"/>
  <c r="N60" i="40" s="1"/>
  <c r="AD15" i="15"/>
  <c r="AF15" i="15" s="1"/>
  <c r="F88" i="40" s="1"/>
  <c r="T60" i="40" s="1"/>
  <c r="AN15" i="15"/>
  <c r="AE15" i="15" s="1"/>
  <c r="F85" i="40" s="1"/>
  <c r="R60" i="40" s="1"/>
  <c r="B61" i="40"/>
  <c r="C61" i="40"/>
  <c r="D61" i="40"/>
  <c r="E61" i="40"/>
  <c r="F61" i="40"/>
  <c r="G61" i="40"/>
  <c r="H61" i="40"/>
  <c r="I61" i="40"/>
  <c r="J61" i="40"/>
  <c r="K61" i="40"/>
  <c r="AM16" i="15"/>
  <c r="AC16" i="15" s="1"/>
  <c r="G79" i="40" s="1"/>
  <c r="N61" i="40" s="1"/>
  <c r="AD16" i="15"/>
  <c r="AF16" i="15" s="1"/>
  <c r="G88" i="40" s="1"/>
  <c r="T61" i="40" s="1"/>
  <c r="AN16" i="15"/>
  <c r="AE16" i="15" s="1"/>
  <c r="G85" i="40" s="1"/>
  <c r="R61" i="40" s="1"/>
  <c r="B62" i="40"/>
  <c r="C62" i="40"/>
  <c r="D62" i="40"/>
  <c r="E62" i="40"/>
  <c r="F62" i="40"/>
  <c r="G62" i="40"/>
  <c r="H62" i="40"/>
  <c r="I62" i="40"/>
  <c r="J62" i="40"/>
  <c r="K62" i="40"/>
  <c r="AM17" i="15"/>
  <c r="AC17" i="15" s="1"/>
  <c r="H79" i="40" s="1"/>
  <c r="N62" i="40" s="1"/>
  <c r="AD17" i="15"/>
  <c r="AF17" i="15" s="1"/>
  <c r="H88" i="40" s="1"/>
  <c r="T62" i="40" s="1"/>
  <c r="AN17" i="15"/>
  <c r="AE17" i="15" s="1"/>
  <c r="H85" i="40" s="1"/>
  <c r="R62" i="40" s="1"/>
  <c r="B63" i="40"/>
  <c r="C63" i="40"/>
  <c r="D63" i="40"/>
  <c r="E63" i="40"/>
  <c r="F63" i="40"/>
  <c r="G63" i="40"/>
  <c r="H63" i="40"/>
  <c r="I63" i="40"/>
  <c r="J63" i="40"/>
  <c r="AM18" i="15"/>
  <c r="AC18" i="15"/>
  <c r="I79" i="40" s="1"/>
  <c r="N63" i="40"/>
  <c r="AD18" i="15"/>
  <c r="AF18" i="15"/>
  <c r="I88" i="40" s="1"/>
  <c r="T63" i="40" s="1"/>
  <c r="I82" i="40"/>
  <c r="P63" i="40"/>
  <c r="AN18" i="15"/>
  <c r="AE18" i="15"/>
  <c r="I85" i="40" s="1"/>
  <c r="R63" i="40" s="1"/>
  <c r="B64" i="40"/>
  <c r="C64" i="40"/>
  <c r="D64" i="40"/>
  <c r="E64" i="40"/>
  <c r="F64" i="40"/>
  <c r="G64" i="40"/>
  <c r="H64" i="40"/>
  <c r="I64" i="40"/>
  <c r="J64" i="40"/>
  <c r="K64" i="40"/>
  <c r="AM19" i="15"/>
  <c r="AC19" i="15"/>
  <c r="J79" i="40" s="1"/>
  <c r="N64" i="40"/>
  <c r="AD19" i="15"/>
  <c r="AF19" i="15"/>
  <c r="J88" i="40" s="1"/>
  <c r="T64" i="40" s="1"/>
  <c r="J82" i="40"/>
  <c r="P64" i="40"/>
  <c r="AN19" i="15"/>
  <c r="AE19" i="15"/>
  <c r="J85" i="40" s="1"/>
  <c r="R64" i="40" s="1"/>
  <c r="B65" i="40"/>
  <c r="C65" i="40"/>
  <c r="D65" i="40"/>
  <c r="E65" i="40"/>
  <c r="F65" i="40"/>
  <c r="G65" i="40"/>
  <c r="H65" i="40"/>
  <c r="I65" i="40"/>
  <c r="J65" i="40"/>
  <c r="K65" i="40"/>
  <c r="AM20" i="15"/>
  <c r="AC20" i="15"/>
  <c r="K79" i="40" s="1"/>
  <c r="N65" i="40"/>
  <c r="AD20" i="15"/>
  <c r="AF20" i="15"/>
  <c r="K88" i="40" s="1"/>
  <c r="T65" i="40" s="1"/>
  <c r="K82" i="40"/>
  <c r="P65" i="40"/>
  <c r="AN20" i="15"/>
  <c r="AE20" i="15"/>
  <c r="K85" i="40" s="1"/>
  <c r="R65" i="40" s="1"/>
  <c r="B66" i="40"/>
  <c r="C66" i="40"/>
  <c r="D66" i="40"/>
  <c r="E66" i="40"/>
  <c r="F66" i="40"/>
  <c r="G66" i="40"/>
  <c r="H66" i="40"/>
  <c r="I66" i="40"/>
  <c r="J66" i="40"/>
  <c r="AM22" i="15"/>
  <c r="AC22" i="15" s="1"/>
  <c r="B80" i="40" s="1"/>
  <c r="N66" i="40" s="1"/>
  <c r="AD22" i="15"/>
  <c r="AN22" i="15"/>
  <c r="AE22" i="15"/>
  <c r="B86" i="40" s="1"/>
  <c r="R66" i="40" s="1"/>
  <c r="B67" i="40"/>
  <c r="C67" i="40"/>
  <c r="D67" i="40"/>
  <c r="E67" i="40"/>
  <c r="F67" i="40"/>
  <c r="G67" i="40"/>
  <c r="H67" i="40"/>
  <c r="I67" i="40"/>
  <c r="J67" i="40"/>
  <c r="K67" i="40"/>
  <c r="AM23" i="15"/>
  <c r="AC23" i="15" s="1"/>
  <c r="C80" i="40" s="1"/>
  <c r="N67" i="40" s="1"/>
  <c r="AD23" i="15"/>
  <c r="AN23" i="15"/>
  <c r="AE23" i="15"/>
  <c r="C86" i="40" s="1"/>
  <c r="R67" i="40" s="1"/>
  <c r="B68" i="40"/>
  <c r="C68" i="40"/>
  <c r="D68" i="40"/>
  <c r="E68" i="40"/>
  <c r="F68" i="40"/>
  <c r="G68" i="40"/>
  <c r="H68" i="40"/>
  <c r="I68" i="40"/>
  <c r="J68" i="40"/>
  <c r="K68" i="40"/>
  <c r="AM24" i="15"/>
  <c r="AC24" i="15" s="1"/>
  <c r="D80" i="40" s="1"/>
  <c r="N68" i="40" s="1"/>
  <c r="AD24" i="15"/>
  <c r="AN24" i="15"/>
  <c r="AE24" i="15"/>
  <c r="D86" i="40" s="1"/>
  <c r="R68" i="40" s="1"/>
  <c r="B69" i="40"/>
  <c r="C69" i="40"/>
  <c r="D69" i="40"/>
  <c r="E69" i="40"/>
  <c r="F69" i="40"/>
  <c r="G69" i="40"/>
  <c r="H69" i="40"/>
  <c r="I69" i="40"/>
  <c r="J69" i="40"/>
  <c r="AM25" i="15"/>
  <c r="AC25" i="15"/>
  <c r="E80" i="40" s="1"/>
  <c r="N69" i="40" s="1"/>
  <c r="AD25" i="15"/>
  <c r="E83" i="40"/>
  <c r="P69" i="40" s="1"/>
  <c r="AN25" i="15"/>
  <c r="AE25" i="15" s="1"/>
  <c r="E86" i="40" s="1"/>
  <c r="R69" i="40" s="1"/>
  <c r="B70" i="40"/>
  <c r="C70" i="40"/>
  <c r="D70" i="40"/>
  <c r="E70" i="40"/>
  <c r="F70" i="40"/>
  <c r="G70" i="40"/>
  <c r="H70" i="40"/>
  <c r="I70" i="40"/>
  <c r="J70" i="40"/>
  <c r="K70" i="40"/>
  <c r="AM26" i="15"/>
  <c r="AC26" i="15"/>
  <c r="F80" i="40" s="1"/>
  <c r="N70" i="40"/>
  <c r="AD26" i="15"/>
  <c r="F83" i="40"/>
  <c r="P70" i="40" s="1"/>
  <c r="AN26" i="15"/>
  <c r="AE26" i="15" s="1"/>
  <c r="F86" i="40"/>
  <c r="R70" i="40" s="1"/>
  <c r="B71" i="40"/>
  <c r="C71" i="40"/>
  <c r="D71" i="40"/>
  <c r="E71" i="40"/>
  <c r="F71" i="40"/>
  <c r="G71" i="40"/>
  <c r="H71" i="40"/>
  <c r="I71" i="40"/>
  <c r="J71" i="40"/>
  <c r="K71" i="40"/>
  <c r="AM27" i="15"/>
  <c r="AC27" i="15"/>
  <c r="G80" i="40" s="1"/>
  <c r="N71" i="40"/>
  <c r="AD27" i="15"/>
  <c r="G83" i="40"/>
  <c r="P71" i="40" s="1"/>
  <c r="AN27" i="15"/>
  <c r="AE27" i="15" s="1"/>
  <c r="G86" i="40"/>
  <c r="R71" i="40" s="1"/>
  <c r="AF27" i="15"/>
  <c r="G89" i="40" s="1"/>
  <c r="T71" i="40" s="1"/>
  <c r="B72" i="40"/>
  <c r="C72" i="40"/>
  <c r="D72" i="40"/>
  <c r="E72" i="40"/>
  <c r="F72" i="40"/>
  <c r="G72" i="40"/>
  <c r="H72" i="40"/>
  <c r="I72" i="40"/>
  <c r="J72" i="40"/>
  <c r="AM28" i="15"/>
  <c r="AD28" i="15" s="1"/>
  <c r="AF28" i="15" s="1"/>
  <c r="H89" i="40" s="1"/>
  <c r="T72" i="40" s="1"/>
  <c r="AC28" i="15"/>
  <c r="H80" i="40" s="1"/>
  <c r="N72" i="40" s="1"/>
  <c r="AN28" i="15"/>
  <c r="AE28" i="15"/>
  <c r="H86" i="40"/>
  <c r="R72" i="40" s="1"/>
  <c r="AM29" i="15"/>
  <c r="AD29" i="15" s="1"/>
  <c r="AN29" i="15"/>
  <c r="AE29" i="15"/>
  <c r="I86" i="40"/>
  <c r="R73" i="40" s="1"/>
  <c r="AM30" i="15"/>
  <c r="AC30" i="15" s="1"/>
  <c r="J80" i="40" s="1"/>
  <c r="N74" i="40" s="1"/>
  <c r="AN30" i="15"/>
  <c r="AE30" i="15" s="1"/>
  <c r="J86" i="40"/>
  <c r="R74" i="40"/>
  <c r="AM31" i="15"/>
  <c r="AC31" i="15" s="1"/>
  <c r="K80" i="40"/>
  <c r="N75" i="40"/>
  <c r="AD31" i="15"/>
  <c r="K83" i="40" s="1"/>
  <c r="P75" i="40" s="1"/>
  <c r="AN31" i="15"/>
  <c r="AE31" i="15"/>
  <c r="K86" i="40" s="1"/>
  <c r="R75" i="40"/>
  <c r="B76" i="40"/>
  <c r="B91" i="40" s="1"/>
  <c r="C76" i="40"/>
  <c r="D76" i="40"/>
  <c r="E76" i="40"/>
  <c r="F76" i="40"/>
  <c r="G76" i="40"/>
  <c r="H76" i="40"/>
  <c r="I76" i="40"/>
  <c r="J76" i="40"/>
  <c r="K76" i="40"/>
  <c r="AM33" i="15"/>
  <c r="AC33" i="15"/>
  <c r="B81" i="40" s="1"/>
  <c r="N76" i="40" s="1"/>
  <c r="AD33" i="15"/>
  <c r="AF33" i="15" s="1"/>
  <c r="B90" i="40" s="1"/>
  <c r="T76" i="40" s="1"/>
  <c r="B84" i="40"/>
  <c r="P76" i="40" s="1"/>
  <c r="AN33" i="15"/>
  <c r="AE33" i="15"/>
  <c r="B87" i="40"/>
  <c r="R76" i="40" s="1"/>
  <c r="B77" i="40"/>
  <c r="C77" i="40"/>
  <c r="D77" i="40"/>
  <c r="E77" i="40"/>
  <c r="F77" i="40"/>
  <c r="G77" i="40"/>
  <c r="H77" i="40"/>
  <c r="I77" i="40"/>
  <c r="J77" i="40"/>
  <c r="K77" i="40"/>
  <c r="AM34" i="15"/>
  <c r="AC34" i="15"/>
  <c r="C81" i="40" s="1"/>
  <c r="N77" i="40" s="1"/>
  <c r="AD34" i="15"/>
  <c r="AF34" i="15" s="1"/>
  <c r="C90" i="40" s="1"/>
  <c r="T77" i="40" s="1"/>
  <c r="C84" i="40"/>
  <c r="P77" i="40" s="1"/>
  <c r="AN34" i="15"/>
  <c r="AE34" i="15"/>
  <c r="C87" i="40"/>
  <c r="R77" i="40" s="1"/>
  <c r="B78" i="40"/>
  <c r="C78" i="40"/>
  <c r="D78" i="40"/>
  <c r="E78" i="40"/>
  <c r="F78" i="40"/>
  <c r="G78" i="40"/>
  <c r="H78" i="40"/>
  <c r="I78" i="40"/>
  <c r="J78" i="40"/>
  <c r="K78" i="40"/>
  <c r="AM35" i="15"/>
  <c r="AC35" i="15"/>
  <c r="D81" i="40" s="1"/>
  <c r="N78" i="40" s="1"/>
  <c r="AD35" i="15"/>
  <c r="AF35" i="15" s="1"/>
  <c r="D90" i="40" s="1"/>
  <c r="T78" i="40" s="1"/>
  <c r="D84" i="40"/>
  <c r="P78" i="40" s="1"/>
  <c r="AN35" i="15"/>
  <c r="AE35" i="15"/>
  <c r="D87" i="40"/>
  <c r="R78" i="40" s="1"/>
  <c r="AM36" i="15"/>
  <c r="AC36" i="15"/>
  <c r="E81" i="40"/>
  <c r="N79" i="40"/>
  <c r="AD36" i="15"/>
  <c r="AF36" i="15"/>
  <c r="E90" i="40"/>
  <c r="T79" i="40"/>
  <c r="AN36" i="15"/>
  <c r="AE36" i="15"/>
  <c r="E87" i="40"/>
  <c r="R79" i="40"/>
  <c r="AM37" i="15"/>
  <c r="AC37" i="15"/>
  <c r="F81" i="40"/>
  <c r="N80" i="40"/>
  <c r="AD37" i="15"/>
  <c r="F84" i="40"/>
  <c r="P80" i="40"/>
  <c r="AN37" i="15"/>
  <c r="AE37" i="15" s="1"/>
  <c r="F87" i="40" s="1"/>
  <c r="R80" i="40" s="1"/>
  <c r="AF37" i="15"/>
  <c r="F90" i="40" s="1"/>
  <c r="T80" i="40" s="1"/>
  <c r="AM38" i="15"/>
  <c r="AC38" i="15"/>
  <c r="G81" i="40" s="1"/>
  <c r="N81" i="40" s="1"/>
  <c r="AM39" i="15"/>
  <c r="AC39" i="15"/>
  <c r="H81" i="40" s="1"/>
  <c r="N82" i="40" s="1"/>
  <c r="AM40" i="15"/>
  <c r="AD40" i="15" s="1"/>
  <c r="AC40" i="15"/>
  <c r="I81" i="40" s="1"/>
  <c r="N83" i="40" s="1"/>
  <c r="AM41" i="15"/>
  <c r="AC41" i="15"/>
  <c r="J81" i="40" s="1"/>
  <c r="N84" i="40" s="1"/>
  <c r="AM42" i="15"/>
  <c r="AC42" i="15"/>
  <c r="K81" i="40" s="1"/>
  <c r="N85" i="40" s="1"/>
  <c r="AD38" i="15"/>
  <c r="AF38" i="15"/>
  <c r="G90" i="40" s="1"/>
  <c r="T81" i="40" s="1"/>
  <c r="AN38" i="15"/>
  <c r="AE38" i="15"/>
  <c r="G87" i="40" s="1"/>
  <c r="R81" i="40" s="1"/>
  <c r="AD39" i="15"/>
  <c r="AF39" i="15"/>
  <c r="H90" i="40" s="1"/>
  <c r="T82" i="40" s="1"/>
  <c r="H84" i="40"/>
  <c r="P82" i="40"/>
  <c r="AN39" i="15"/>
  <c r="AE39" i="15"/>
  <c r="H87" i="40"/>
  <c r="R82" i="40"/>
  <c r="AN40" i="15"/>
  <c r="AE40" i="15" s="1"/>
  <c r="I87" i="40" s="1"/>
  <c r="R83" i="40" s="1"/>
  <c r="AD41" i="15"/>
  <c r="J84" i="40"/>
  <c r="P84" i="40" s="1"/>
  <c r="AN41" i="15"/>
  <c r="AE41" i="15"/>
  <c r="J87" i="40"/>
  <c r="R84" i="40" s="1"/>
  <c r="AN42" i="15"/>
  <c r="AE42" i="15"/>
  <c r="K87" i="40"/>
  <c r="R85" i="40" s="1"/>
  <c r="A1" i="39"/>
  <c r="N2" i="39"/>
  <c r="B1" i="39"/>
  <c r="W7" i="14"/>
  <c r="B2" i="39"/>
  <c r="Z7" i="14"/>
  <c r="C2" i="39"/>
  <c r="D2" i="39"/>
  <c r="O2" i="39"/>
  <c r="B4" i="39"/>
  <c r="C4" i="39"/>
  <c r="D4" i="39"/>
  <c r="E4" i="39"/>
  <c r="F4" i="39"/>
  <c r="G4" i="39"/>
  <c r="H4" i="39"/>
  <c r="I4" i="39"/>
  <c r="J4" i="39"/>
  <c r="K4" i="39"/>
  <c r="B5" i="39"/>
  <c r="C5" i="39"/>
  <c r="D5" i="39"/>
  <c r="E5" i="39"/>
  <c r="F5" i="39"/>
  <c r="G5" i="39"/>
  <c r="H5" i="39"/>
  <c r="I5" i="39"/>
  <c r="J5" i="39"/>
  <c r="K5" i="39"/>
  <c r="B6" i="39"/>
  <c r="C6" i="39"/>
  <c r="D6" i="39"/>
  <c r="E6" i="39"/>
  <c r="F6" i="39"/>
  <c r="G6" i="39"/>
  <c r="H6" i="39"/>
  <c r="I6" i="39"/>
  <c r="J6" i="39"/>
  <c r="K6" i="39"/>
  <c r="B7" i="39"/>
  <c r="C7" i="39"/>
  <c r="D7" i="39"/>
  <c r="E7" i="39"/>
  <c r="F7" i="39"/>
  <c r="G7" i="39"/>
  <c r="H7" i="39"/>
  <c r="I7" i="39"/>
  <c r="J7" i="39"/>
  <c r="K7" i="39"/>
  <c r="B8" i="39"/>
  <c r="C8" i="39"/>
  <c r="D8" i="39"/>
  <c r="E8" i="39"/>
  <c r="F8" i="39"/>
  <c r="G8" i="39"/>
  <c r="H8" i="39"/>
  <c r="I8" i="39"/>
  <c r="J8" i="39"/>
  <c r="K8" i="39"/>
  <c r="B9" i="39"/>
  <c r="C9" i="39"/>
  <c r="D9" i="39"/>
  <c r="E9" i="39"/>
  <c r="F9" i="39"/>
  <c r="G9" i="39"/>
  <c r="H9" i="39"/>
  <c r="I9" i="39"/>
  <c r="J9" i="39"/>
  <c r="K9" i="39"/>
  <c r="B10" i="39"/>
  <c r="C10" i="39"/>
  <c r="D10" i="39"/>
  <c r="E10" i="39"/>
  <c r="F10" i="39"/>
  <c r="G10" i="39"/>
  <c r="H10" i="39"/>
  <c r="I10" i="39"/>
  <c r="J10" i="39"/>
  <c r="K10" i="39"/>
  <c r="B11" i="39"/>
  <c r="C11" i="39"/>
  <c r="D11" i="39"/>
  <c r="E11" i="39"/>
  <c r="F11" i="39"/>
  <c r="G11" i="39"/>
  <c r="H11" i="39"/>
  <c r="I11" i="39"/>
  <c r="J11" i="39"/>
  <c r="K11" i="39"/>
  <c r="B12" i="39"/>
  <c r="C12" i="39"/>
  <c r="D12" i="39"/>
  <c r="E12" i="39"/>
  <c r="F12" i="39"/>
  <c r="G12" i="39"/>
  <c r="H12" i="39"/>
  <c r="I12" i="39"/>
  <c r="J12" i="39"/>
  <c r="K12" i="39"/>
  <c r="B13" i="39"/>
  <c r="C13" i="39"/>
  <c r="D13" i="39"/>
  <c r="E13" i="39"/>
  <c r="F13" i="39"/>
  <c r="G13" i="39"/>
  <c r="H13" i="39"/>
  <c r="I13" i="39"/>
  <c r="J13" i="39"/>
  <c r="K13" i="39"/>
  <c r="B14" i="39"/>
  <c r="C14" i="39"/>
  <c r="D14" i="39"/>
  <c r="E14" i="39"/>
  <c r="F14" i="39"/>
  <c r="G14" i="39"/>
  <c r="H14" i="39"/>
  <c r="I14" i="39"/>
  <c r="J14" i="39"/>
  <c r="K14" i="39"/>
  <c r="B15" i="39"/>
  <c r="C15" i="39"/>
  <c r="D15" i="39"/>
  <c r="E15" i="39"/>
  <c r="F15" i="39"/>
  <c r="G15" i="39"/>
  <c r="H15" i="39"/>
  <c r="I15" i="39"/>
  <c r="J15" i="39"/>
  <c r="B16" i="39"/>
  <c r="C16" i="39"/>
  <c r="D16" i="39"/>
  <c r="E16" i="39"/>
  <c r="F16" i="39"/>
  <c r="G16" i="39"/>
  <c r="H16" i="39"/>
  <c r="I16" i="39"/>
  <c r="J16" i="39"/>
  <c r="K16" i="39"/>
  <c r="B17" i="39"/>
  <c r="C17" i="39"/>
  <c r="D17" i="39"/>
  <c r="E17" i="39"/>
  <c r="F17" i="39"/>
  <c r="G17" i="39"/>
  <c r="H17" i="39"/>
  <c r="I17" i="39"/>
  <c r="J17" i="39"/>
  <c r="K17" i="39"/>
  <c r="B18" i="39"/>
  <c r="C18" i="39"/>
  <c r="D18" i="39"/>
  <c r="E18" i="39"/>
  <c r="F18" i="39"/>
  <c r="G18" i="39"/>
  <c r="H18" i="39"/>
  <c r="I18" i="39"/>
  <c r="J18" i="39"/>
  <c r="B19" i="39"/>
  <c r="C19" i="39"/>
  <c r="D19" i="39"/>
  <c r="E19" i="39"/>
  <c r="F19" i="39"/>
  <c r="G19" i="39"/>
  <c r="H19" i="39"/>
  <c r="I19" i="39"/>
  <c r="J19" i="39"/>
  <c r="K19" i="39"/>
  <c r="B20" i="39"/>
  <c r="C20" i="39"/>
  <c r="D20" i="39"/>
  <c r="E20" i="39"/>
  <c r="F20" i="39"/>
  <c r="G20" i="39"/>
  <c r="H20" i="39"/>
  <c r="I20" i="39"/>
  <c r="J20" i="39"/>
  <c r="K20" i="39"/>
  <c r="B21" i="39"/>
  <c r="C21" i="39"/>
  <c r="D21" i="39"/>
  <c r="E21" i="39"/>
  <c r="F21" i="39"/>
  <c r="G21" i="39"/>
  <c r="H21" i="39"/>
  <c r="I21" i="39"/>
  <c r="J21" i="39"/>
  <c r="B22" i="39"/>
  <c r="C22" i="39"/>
  <c r="D22" i="39"/>
  <c r="E22" i="39"/>
  <c r="F22" i="39"/>
  <c r="G22" i="39"/>
  <c r="H22" i="39"/>
  <c r="I22" i="39"/>
  <c r="J22" i="39"/>
  <c r="K22" i="39"/>
  <c r="B23" i="39"/>
  <c r="C23" i="39"/>
  <c r="D23" i="39"/>
  <c r="E23" i="39"/>
  <c r="F23" i="39"/>
  <c r="G23" i="39"/>
  <c r="H23" i="39"/>
  <c r="I23" i="39"/>
  <c r="J23" i="39"/>
  <c r="K23" i="39"/>
  <c r="B24" i="39"/>
  <c r="C24" i="39"/>
  <c r="D24" i="39"/>
  <c r="E24" i="39"/>
  <c r="F24" i="39"/>
  <c r="G24" i="39"/>
  <c r="H24" i="39"/>
  <c r="I24" i="39"/>
  <c r="J24" i="39"/>
  <c r="B25" i="39"/>
  <c r="C25" i="39"/>
  <c r="D25" i="39"/>
  <c r="E25" i="39"/>
  <c r="F25" i="39"/>
  <c r="G25" i="39"/>
  <c r="H25" i="39"/>
  <c r="I25" i="39"/>
  <c r="J25" i="39"/>
  <c r="K25" i="39"/>
  <c r="B26" i="39"/>
  <c r="C26" i="39"/>
  <c r="D26" i="39"/>
  <c r="E26" i="39"/>
  <c r="F26" i="39"/>
  <c r="G26" i="39"/>
  <c r="H26" i="39"/>
  <c r="I26" i="39"/>
  <c r="J26" i="39"/>
  <c r="K26" i="39"/>
  <c r="B27" i="39"/>
  <c r="C27" i="39"/>
  <c r="D27" i="39"/>
  <c r="E27" i="39"/>
  <c r="F27" i="39"/>
  <c r="G27" i="39"/>
  <c r="H27" i="39"/>
  <c r="I27" i="39"/>
  <c r="J27" i="39"/>
  <c r="B28" i="39"/>
  <c r="C28" i="39"/>
  <c r="D28" i="39"/>
  <c r="E28" i="39"/>
  <c r="F28" i="39"/>
  <c r="G28" i="39"/>
  <c r="H28" i="39"/>
  <c r="I28" i="39"/>
  <c r="J28" i="39"/>
  <c r="K28" i="39"/>
  <c r="B29" i="39"/>
  <c r="C29" i="39"/>
  <c r="D29" i="39"/>
  <c r="E29" i="39"/>
  <c r="F29" i="39"/>
  <c r="G29" i="39"/>
  <c r="H29" i="39"/>
  <c r="I29" i="39"/>
  <c r="J29" i="39"/>
  <c r="K29" i="39"/>
  <c r="B30" i="39"/>
  <c r="C30" i="39"/>
  <c r="D30" i="39"/>
  <c r="E30" i="39"/>
  <c r="F30" i="39"/>
  <c r="G30" i="39"/>
  <c r="H30" i="39"/>
  <c r="I30" i="39"/>
  <c r="J30" i="39"/>
  <c r="B31" i="39"/>
  <c r="C31" i="39"/>
  <c r="D31" i="39"/>
  <c r="E31" i="39"/>
  <c r="F31" i="39"/>
  <c r="G31" i="39"/>
  <c r="H31" i="39"/>
  <c r="I31" i="39"/>
  <c r="J31" i="39"/>
  <c r="K31" i="39"/>
  <c r="B32" i="39"/>
  <c r="C32" i="39"/>
  <c r="D32" i="39"/>
  <c r="E32" i="39"/>
  <c r="F32" i="39"/>
  <c r="G32" i="39"/>
  <c r="H32" i="39"/>
  <c r="I32" i="39"/>
  <c r="J32" i="39"/>
  <c r="K32" i="39"/>
  <c r="B33" i="39"/>
  <c r="C33" i="39"/>
  <c r="D33" i="39"/>
  <c r="E33" i="39"/>
  <c r="F33" i="39"/>
  <c r="G33" i="39"/>
  <c r="H33" i="39"/>
  <c r="I33" i="39"/>
  <c r="J33" i="39"/>
  <c r="B34" i="39"/>
  <c r="C34" i="39"/>
  <c r="D34" i="39"/>
  <c r="E34" i="39"/>
  <c r="F34" i="39"/>
  <c r="G34" i="39"/>
  <c r="H34" i="39"/>
  <c r="I34" i="39"/>
  <c r="J34" i="39"/>
  <c r="K34" i="39"/>
  <c r="B35" i="39"/>
  <c r="C35" i="39"/>
  <c r="D35" i="39"/>
  <c r="E35" i="39"/>
  <c r="F35" i="39"/>
  <c r="G35" i="39"/>
  <c r="H35" i="39"/>
  <c r="I35" i="39"/>
  <c r="J35" i="39"/>
  <c r="K35" i="39"/>
  <c r="B36" i="39"/>
  <c r="C36" i="39"/>
  <c r="D36" i="39"/>
  <c r="E36" i="39"/>
  <c r="F36" i="39"/>
  <c r="G36" i="39"/>
  <c r="H36" i="39"/>
  <c r="I36" i="39"/>
  <c r="J36" i="39"/>
  <c r="B37" i="39"/>
  <c r="C37" i="39"/>
  <c r="D37" i="39"/>
  <c r="E37" i="39"/>
  <c r="F37" i="39"/>
  <c r="G37" i="39"/>
  <c r="H37" i="39"/>
  <c r="I37" i="39"/>
  <c r="J37" i="39"/>
  <c r="K37" i="39"/>
  <c r="B38" i="39"/>
  <c r="C38" i="39"/>
  <c r="D38" i="39"/>
  <c r="E38" i="39"/>
  <c r="F38" i="39"/>
  <c r="G38" i="39"/>
  <c r="H38" i="39"/>
  <c r="I38" i="39"/>
  <c r="J38" i="39"/>
  <c r="K38" i="39"/>
  <c r="B39" i="39"/>
  <c r="C39" i="39"/>
  <c r="D39" i="39"/>
  <c r="E39" i="39"/>
  <c r="F39" i="39"/>
  <c r="G39" i="39"/>
  <c r="H39" i="39"/>
  <c r="I39" i="39"/>
  <c r="J39" i="39"/>
  <c r="B40" i="39"/>
  <c r="C40" i="39"/>
  <c r="D40" i="39"/>
  <c r="E40" i="39"/>
  <c r="F40" i="39"/>
  <c r="G40" i="39"/>
  <c r="H40" i="39"/>
  <c r="I40" i="39"/>
  <c r="J40" i="39"/>
  <c r="K40" i="39"/>
  <c r="B41" i="39"/>
  <c r="C41" i="39"/>
  <c r="D41" i="39"/>
  <c r="E41" i="39"/>
  <c r="F41" i="39"/>
  <c r="G41" i="39"/>
  <c r="H41" i="39"/>
  <c r="I41" i="39"/>
  <c r="J41" i="39"/>
  <c r="K41" i="39"/>
  <c r="B42" i="39"/>
  <c r="C42" i="39"/>
  <c r="D42" i="39"/>
  <c r="E42" i="39"/>
  <c r="F42" i="39"/>
  <c r="G42" i="39"/>
  <c r="H42" i="39"/>
  <c r="I42" i="39"/>
  <c r="J42" i="39"/>
  <c r="B43" i="39"/>
  <c r="C43" i="39"/>
  <c r="D43" i="39"/>
  <c r="E43" i="39"/>
  <c r="F43" i="39"/>
  <c r="G43" i="39"/>
  <c r="H43" i="39"/>
  <c r="I43" i="39"/>
  <c r="J43" i="39"/>
  <c r="K43" i="39"/>
  <c r="B44" i="39"/>
  <c r="C44" i="39"/>
  <c r="D44" i="39"/>
  <c r="E44" i="39"/>
  <c r="F44" i="39"/>
  <c r="G44" i="39"/>
  <c r="H44" i="39"/>
  <c r="I44" i="39"/>
  <c r="J44" i="39"/>
  <c r="K44" i="39"/>
  <c r="B45" i="39"/>
  <c r="C45" i="39"/>
  <c r="D45" i="39"/>
  <c r="E45" i="39"/>
  <c r="F45" i="39"/>
  <c r="G45" i="39"/>
  <c r="H45" i="39"/>
  <c r="I45" i="39"/>
  <c r="J45" i="39"/>
  <c r="B46" i="39"/>
  <c r="C46" i="39"/>
  <c r="D46" i="39"/>
  <c r="E46" i="39"/>
  <c r="F46" i="39"/>
  <c r="G46" i="39"/>
  <c r="H46" i="39"/>
  <c r="I46" i="39"/>
  <c r="J46" i="39"/>
  <c r="K46" i="39"/>
  <c r="B47" i="39"/>
  <c r="C47" i="39"/>
  <c r="D47" i="39"/>
  <c r="E47" i="39"/>
  <c r="F47" i="39"/>
  <c r="G47" i="39"/>
  <c r="H47" i="39"/>
  <c r="I47" i="39"/>
  <c r="J47" i="39"/>
  <c r="K47" i="39"/>
  <c r="B48" i="39"/>
  <c r="C48" i="39"/>
  <c r="D48" i="39"/>
  <c r="E48" i="39"/>
  <c r="F48" i="39"/>
  <c r="G48" i="39"/>
  <c r="H48" i="39"/>
  <c r="I48" i="39"/>
  <c r="J48" i="39"/>
  <c r="B49" i="39"/>
  <c r="C49" i="39"/>
  <c r="D49" i="39"/>
  <c r="E49" i="39"/>
  <c r="F49" i="39"/>
  <c r="G49" i="39"/>
  <c r="H49" i="39"/>
  <c r="I49" i="39"/>
  <c r="J49" i="39"/>
  <c r="K49" i="39"/>
  <c r="B50" i="39"/>
  <c r="C50" i="39"/>
  <c r="D50" i="39"/>
  <c r="E50" i="39"/>
  <c r="F50" i="39"/>
  <c r="G50" i="39"/>
  <c r="H50" i="39"/>
  <c r="I50" i="39"/>
  <c r="J50" i="39"/>
  <c r="K50" i="39"/>
  <c r="B51" i="39"/>
  <c r="C51" i="39"/>
  <c r="D51" i="39"/>
  <c r="E51" i="39"/>
  <c r="F51" i="39"/>
  <c r="G51" i="39"/>
  <c r="H51" i="39"/>
  <c r="I51" i="39"/>
  <c r="J51" i="39"/>
  <c r="B52" i="39"/>
  <c r="C52" i="39"/>
  <c r="D52" i="39"/>
  <c r="E52" i="39"/>
  <c r="F52" i="39"/>
  <c r="G52" i="39"/>
  <c r="H52" i="39"/>
  <c r="I52" i="39"/>
  <c r="J52" i="39"/>
  <c r="K52" i="39"/>
  <c r="B53" i="39"/>
  <c r="C53" i="39"/>
  <c r="D53" i="39"/>
  <c r="E53" i="39"/>
  <c r="F53" i="39"/>
  <c r="G53" i="39"/>
  <c r="H53" i="39"/>
  <c r="I53" i="39"/>
  <c r="J53" i="39"/>
  <c r="K53" i="39"/>
  <c r="B54" i="39"/>
  <c r="C54" i="39"/>
  <c r="D54" i="39"/>
  <c r="E54" i="39"/>
  <c r="F54" i="39"/>
  <c r="G54" i="39"/>
  <c r="H54" i="39"/>
  <c r="I54" i="39"/>
  <c r="J54" i="39"/>
  <c r="B55" i="39"/>
  <c r="C55" i="39"/>
  <c r="D55" i="39"/>
  <c r="E55" i="39"/>
  <c r="F55" i="39"/>
  <c r="G55" i="39"/>
  <c r="H55" i="39"/>
  <c r="I55" i="39"/>
  <c r="J55" i="39"/>
  <c r="K55" i="39"/>
  <c r="B56" i="39"/>
  <c r="C56" i="39"/>
  <c r="D56" i="39"/>
  <c r="E56" i="39"/>
  <c r="F56" i="39"/>
  <c r="G56" i="39"/>
  <c r="H56" i="39"/>
  <c r="I56" i="39"/>
  <c r="J56" i="39"/>
  <c r="K56" i="39"/>
  <c r="AM11" i="14"/>
  <c r="AC11" i="14"/>
  <c r="B79" i="39" s="1"/>
  <c r="N56" i="39" s="1"/>
  <c r="AN11" i="14"/>
  <c r="AE11" i="14"/>
  <c r="B85" i="39" s="1"/>
  <c r="B57" i="39"/>
  <c r="C57" i="39"/>
  <c r="D57" i="39"/>
  <c r="E57" i="39"/>
  <c r="F57" i="39"/>
  <c r="G57" i="39"/>
  <c r="H57" i="39"/>
  <c r="I57" i="39"/>
  <c r="J57" i="39"/>
  <c r="AM12" i="14"/>
  <c r="AC12" i="14"/>
  <c r="C79" i="39" s="1"/>
  <c r="N57" i="39" s="1"/>
  <c r="AD12" i="14"/>
  <c r="AF12" i="14"/>
  <c r="C88" i="39" s="1"/>
  <c r="T57" i="39" s="1"/>
  <c r="C82" i="39"/>
  <c r="P57" i="39"/>
  <c r="AN12" i="14"/>
  <c r="AE12" i="14"/>
  <c r="C85" i="39"/>
  <c r="R57" i="39"/>
  <c r="B58" i="39"/>
  <c r="C58" i="39"/>
  <c r="D58" i="39"/>
  <c r="E58" i="39"/>
  <c r="F58" i="39"/>
  <c r="G58" i="39"/>
  <c r="H58" i="39"/>
  <c r="I58" i="39"/>
  <c r="J58" i="39"/>
  <c r="K58" i="39"/>
  <c r="AM13" i="14"/>
  <c r="AC13" i="14"/>
  <c r="D79" i="39" s="1"/>
  <c r="N58" i="39" s="1"/>
  <c r="AD13" i="14"/>
  <c r="D82" i="39" s="1"/>
  <c r="P58" i="39" s="1"/>
  <c r="AN13" i="14"/>
  <c r="AF13" i="14" s="1"/>
  <c r="D88" i="39" s="1"/>
  <c r="T58" i="39" s="1"/>
  <c r="B59" i="39"/>
  <c r="C59" i="39"/>
  <c r="D59" i="39"/>
  <c r="E59" i="39"/>
  <c r="F59" i="39"/>
  <c r="G59" i="39"/>
  <c r="H59" i="39"/>
  <c r="I59" i="39"/>
  <c r="J59" i="39"/>
  <c r="K59" i="39"/>
  <c r="AM14" i="14"/>
  <c r="AC14" i="14"/>
  <c r="E79" i="39" s="1"/>
  <c r="N59" i="39" s="1"/>
  <c r="AD14" i="14"/>
  <c r="AF14" i="14"/>
  <c r="E88" i="39" s="1"/>
  <c r="T59" i="39" s="1"/>
  <c r="E82" i="39"/>
  <c r="P59" i="39"/>
  <c r="AN14" i="14"/>
  <c r="AE14" i="14"/>
  <c r="E85" i="39"/>
  <c r="R59" i="39"/>
  <c r="B60" i="39"/>
  <c r="C60" i="39"/>
  <c r="D60" i="39"/>
  <c r="E60" i="39"/>
  <c r="F60" i="39"/>
  <c r="G60" i="39"/>
  <c r="H60" i="39"/>
  <c r="I60" i="39"/>
  <c r="J60" i="39"/>
  <c r="AM15" i="14"/>
  <c r="AC15" i="14"/>
  <c r="F79" i="39"/>
  <c r="N60" i="39" s="1"/>
  <c r="AD15" i="14"/>
  <c r="AF15" i="14" s="1"/>
  <c r="F88" i="39" s="1"/>
  <c r="T60" i="39" s="1"/>
  <c r="F82" i="39"/>
  <c r="P60" i="39"/>
  <c r="AN15" i="14"/>
  <c r="AE15" i="14"/>
  <c r="F85" i="39"/>
  <c r="R60" i="39"/>
  <c r="B61" i="39"/>
  <c r="C61" i="39"/>
  <c r="D61" i="39"/>
  <c r="E61" i="39"/>
  <c r="F61" i="39"/>
  <c r="G61" i="39"/>
  <c r="H61" i="39"/>
  <c r="I61" i="39"/>
  <c r="J61" i="39"/>
  <c r="K61" i="39"/>
  <c r="AM16" i="14"/>
  <c r="AC16" i="14"/>
  <c r="G79" i="39"/>
  <c r="N61" i="39" s="1"/>
  <c r="AD16" i="14"/>
  <c r="AF16" i="14" s="1"/>
  <c r="G88" i="39" s="1"/>
  <c r="T61" i="39" s="1"/>
  <c r="G82" i="39"/>
  <c r="P61" i="39"/>
  <c r="AN16" i="14"/>
  <c r="AE16" i="14"/>
  <c r="G85" i="39"/>
  <c r="R61" i="39"/>
  <c r="B62" i="39"/>
  <c r="C62" i="39"/>
  <c r="D62" i="39"/>
  <c r="E62" i="39"/>
  <c r="F62" i="39"/>
  <c r="G62" i="39"/>
  <c r="H62" i="39"/>
  <c r="I62" i="39"/>
  <c r="J62" i="39"/>
  <c r="K62" i="39"/>
  <c r="AM17" i="14"/>
  <c r="AC17" i="14"/>
  <c r="H79" i="39"/>
  <c r="N62" i="39" s="1"/>
  <c r="AD17" i="14"/>
  <c r="AF17" i="14" s="1"/>
  <c r="H88" i="39" s="1"/>
  <c r="T62" i="39" s="1"/>
  <c r="H82" i="39"/>
  <c r="P62" i="39"/>
  <c r="AN17" i="14"/>
  <c r="AE17" i="14"/>
  <c r="H85" i="39"/>
  <c r="R62" i="39"/>
  <c r="B63" i="39"/>
  <c r="C63" i="39"/>
  <c r="D63" i="39"/>
  <c r="E63" i="39"/>
  <c r="F63" i="39"/>
  <c r="G63" i="39"/>
  <c r="H63" i="39"/>
  <c r="I63" i="39"/>
  <c r="J63" i="39"/>
  <c r="AM18" i="14"/>
  <c r="AC18" i="14"/>
  <c r="I79" i="39"/>
  <c r="N63" i="39"/>
  <c r="AD18" i="14"/>
  <c r="I82" i="39"/>
  <c r="P63" i="39"/>
  <c r="AN18" i="14"/>
  <c r="AE18" i="14" s="1"/>
  <c r="I85" i="39" s="1"/>
  <c r="R63" i="39" s="1"/>
  <c r="AF18" i="14"/>
  <c r="I88" i="39" s="1"/>
  <c r="T63" i="39" s="1"/>
  <c r="B64" i="39"/>
  <c r="C64" i="39"/>
  <c r="D64" i="39"/>
  <c r="E64" i="39"/>
  <c r="F64" i="39"/>
  <c r="G64" i="39"/>
  <c r="H64" i="39"/>
  <c r="I64" i="39"/>
  <c r="J64" i="39"/>
  <c r="K64" i="39"/>
  <c r="AM19" i="14"/>
  <c r="AC19" i="14"/>
  <c r="J79" i="39"/>
  <c r="N64" i="39"/>
  <c r="AD19" i="14"/>
  <c r="J82" i="39"/>
  <c r="P64" i="39"/>
  <c r="AN19" i="14"/>
  <c r="AE19" i="14" s="1"/>
  <c r="J85" i="39" s="1"/>
  <c r="R64" i="39" s="1"/>
  <c r="B65" i="39"/>
  <c r="C65" i="39"/>
  <c r="D65" i="39"/>
  <c r="E65" i="39"/>
  <c r="F65" i="39"/>
  <c r="G65" i="39"/>
  <c r="H65" i="39"/>
  <c r="I65" i="39"/>
  <c r="J65" i="39"/>
  <c r="K65" i="39"/>
  <c r="AM20" i="14"/>
  <c r="AC20" i="14"/>
  <c r="K79" i="39"/>
  <c r="N65" i="39" s="1"/>
  <c r="AD20" i="14"/>
  <c r="K82" i="39"/>
  <c r="P65" i="39"/>
  <c r="AN20" i="14"/>
  <c r="AE20" i="14"/>
  <c r="K85" i="39"/>
  <c r="R65" i="39"/>
  <c r="B66" i="39"/>
  <c r="C66" i="39"/>
  <c r="D66" i="39"/>
  <c r="E66" i="39"/>
  <c r="F66" i="39"/>
  <c r="G66" i="39"/>
  <c r="H66" i="39"/>
  <c r="I66" i="39"/>
  <c r="J66" i="39"/>
  <c r="AM22" i="14"/>
  <c r="AC22" i="14"/>
  <c r="B80" i="39"/>
  <c r="N66" i="39" s="1"/>
  <c r="AD22" i="14"/>
  <c r="AN22" i="14"/>
  <c r="AE22" i="14"/>
  <c r="B86" i="39" s="1"/>
  <c r="R66" i="39" s="1"/>
  <c r="B67" i="39"/>
  <c r="C67" i="39"/>
  <c r="D67" i="39"/>
  <c r="E67" i="39"/>
  <c r="F67" i="39"/>
  <c r="G67" i="39"/>
  <c r="H67" i="39"/>
  <c r="I67" i="39"/>
  <c r="J67" i="39"/>
  <c r="K67" i="39"/>
  <c r="AM23" i="14"/>
  <c r="AC23" i="14"/>
  <c r="C80" i="39"/>
  <c r="N67" i="39"/>
  <c r="AD23" i="14"/>
  <c r="AF23" i="14"/>
  <c r="C89" i="39"/>
  <c r="T67" i="39"/>
  <c r="AN23" i="14"/>
  <c r="AE23" i="14"/>
  <c r="C86" i="39"/>
  <c r="R67" i="39"/>
  <c r="B68" i="39"/>
  <c r="C68" i="39"/>
  <c r="D68" i="39"/>
  <c r="E68" i="39"/>
  <c r="F68" i="39"/>
  <c r="G68" i="39"/>
  <c r="H68" i="39"/>
  <c r="I68" i="39"/>
  <c r="J68" i="39"/>
  <c r="K68" i="39"/>
  <c r="AM24" i="14"/>
  <c r="AC24" i="14"/>
  <c r="D80" i="39" s="1"/>
  <c r="N68" i="39" s="1"/>
  <c r="AD24" i="14"/>
  <c r="AF24" i="14"/>
  <c r="D89" i="39" s="1"/>
  <c r="T68" i="39" s="1"/>
  <c r="AN24" i="14"/>
  <c r="AE24" i="14"/>
  <c r="D86" i="39" s="1"/>
  <c r="R68" i="39" s="1"/>
  <c r="B69" i="39"/>
  <c r="C69" i="39"/>
  <c r="D69" i="39"/>
  <c r="E69" i="39"/>
  <c r="F69" i="39"/>
  <c r="G69" i="39"/>
  <c r="H69" i="39"/>
  <c r="I69" i="39"/>
  <c r="J69" i="39"/>
  <c r="AM25" i="14"/>
  <c r="AC25" i="14" s="1"/>
  <c r="E80" i="39" s="1"/>
  <c r="N69" i="39" s="1"/>
  <c r="AD25" i="14"/>
  <c r="AF25" i="14" s="1"/>
  <c r="E89" i="39" s="1"/>
  <c r="T69" i="39" s="1"/>
  <c r="E83" i="39"/>
  <c r="P69" i="39" s="1"/>
  <c r="AN25" i="14"/>
  <c r="AE25" i="14"/>
  <c r="E86" i="39"/>
  <c r="R69" i="39" s="1"/>
  <c r="B70" i="39"/>
  <c r="C70" i="39"/>
  <c r="D70" i="39"/>
  <c r="E70" i="39"/>
  <c r="F70" i="39"/>
  <c r="G70" i="39"/>
  <c r="H70" i="39"/>
  <c r="I70" i="39"/>
  <c r="J70" i="39"/>
  <c r="K70" i="39"/>
  <c r="AM26" i="14"/>
  <c r="AC26" i="14" s="1"/>
  <c r="F80" i="39" s="1"/>
  <c r="N70" i="39" s="1"/>
  <c r="AD26" i="14"/>
  <c r="AF26" i="14" s="1"/>
  <c r="F89" i="39" s="1"/>
  <c r="T70" i="39" s="1"/>
  <c r="F83" i="39"/>
  <c r="P70" i="39" s="1"/>
  <c r="AN26" i="14"/>
  <c r="AE26" i="14"/>
  <c r="F86" i="39"/>
  <c r="R70" i="39" s="1"/>
  <c r="B71" i="39"/>
  <c r="C71" i="39"/>
  <c r="D71" i="39"/>
  <c r="E71" i="39"/>
  <c r="F71" i="39"/>
  <c r="G71" i="39"/>
  <c r="H71" i="39"/>
  <c r="I71" i="39"/>
  <c r="J71" i="39"/>
  <c r="K71" i="39"/>
  <c r="AM27" i="14"/>
  <c r="AC27" i="14" s="1"/>
  <c r="G80" i="39" s="1"/>
  <c r="N71" i="39" s="1"/>
  <c r="AD27" i="14"/>
  <c r="G83" i="39" s="1"/>
  <c r="P71" i="39" s="1"/>
  <c r="AN27" i="14"/>
  <c r="AE27" i="14"/>
  <c r="G86" i="39"/>
  <c r="R71" i="39"/>
  <c r="B72" i="39"/>
  <c r="C72" i="39"/>
  <c r="D72" i="39"/>
  <c r="E72" i="39"/>
  <c r="F72" i="39"/>
  <c r="G72" i="39"/>
  <c r="H72" i="39"/>
  <c r="I72" i="39"/>
  <c r="J72" i="39"/>
  <c r="AM28" i="14"/>
  <c r="AC28" i="14"/>
  <c r="H80" i="39" s="1"/>
  <c r="N72" i="39" s="1"/>
  <c r="AD28" i="14"/>
  <c r="H83" i="39"/>
  <c r="P72" i="39" s="1"/>
  <c r="AN28" i="14"/>
  <c r="AE28" i="14"/>
  <c r="H86" i="39"/>
  <c r="R72" i="39" s="1"/>
  <c r="AM29" i="14"/>
  <c r="AC29" i="14"/>
  <c r="I80" i="39"/>
  <c r="N73" i="39" s="1"/>
  <c r="AN29" i="14"/>
  <c r="AE29" i="14"/>
  <c r="I86" i="39"/>
  <c r="R73" i="39" s="1"/>
  <c r="AM30" i="14"/>
  <c r="AC30" i="14"/>
  <c r="J80" i="39"/>
  <c r="N74" i="39" s="1"/>
  <c r="AD30" i="14"/>
  <c r="J83" i="39"/>
  <c r="P74" i="39"/>
  <c r="AN30" i="14"/>
  <c r="AE30" i="14"/>
  <c r="J86" i="39"/>
  <c r="R74" i="39"/>
  <c r="AM31" i="14"/>
  <c r="AD31" i="14"/>
  <c r="AC31" i="14"/>
  <c r="K80" i="39"/>
  <c r="N75" i="39" s="1"/>
  <c r="AN31" i="14"/>
  <c r="AE31" i="14"/>
  <c r="K86" i="39"/>
  <c r="R75" i="39" s="1"/>
  <c r="B76" i="39"/>
  <c r="C76" i="39"/>
  <c r="B91" i="39" s="1"/>
  <c r="D76" i="39"/>
  <c r="E76" i="39"/>
  <c r="F76" i="39"/>
  <c r="G76" i="39"/>
  <c r="H76" i="39"/>
  <c r="I76" i="39"/>
  <c r="J76" i="39"/>
  <c r="K76" i="39"/>
  <c r="AM33" i="14"/>
  <c r="AC33" i="14"/>
  <c r="B81" i="39"/>
  <c r="N76" i="39"/>
  <c r="AD33" i="14"/>
  <c r="AF33" i="14"/>
  <c r="B90" i="39"/>
  <c r="T76" i="39"/>
  <c r="AN33" i="14"/>
  <c r="AE33" i="14"/>
  <c r="B87" i="39"/>
  <c r="R76" i="39"/>
  <c r="B77" i="39"/>
  <c r="C77" i="39"/>
  <c r="D77" i="39"/>
  <c r="E77" i="39"/>
  <c r="F77" i="39"/>
  <c r="G77" i="39"/>
  <c r="H77" i="39"/>
  <c r="I77" i="39"/>
  <c r="J77" i="39"/>
  <c r="K77" i="39"/>
  <c r="AM34" i="14"/>
  <c r="AC34" i="14"/>
  <c r="C81" i="39" s="1"/>
  <c r="N77" i="39" s="1"/>
  <c r="AD34" i="14"/>
  <c r="C84" i="39" s="1"/>
  <c r="P77" i="39" s="1"/>
  <c r="AF34" i="14"/>
  <c r="C90" i="39" s="1"/>
  <c r="T77" i="39" s="1"/>
  <c r="AN34" i="14"/>
  <c r="AE34" i="14"/>
  <c r="C87" i="39" s="1"/>
  <c r="R77" i="39" s="1"/>
  <c r="B78" i="39"/>
  <c r="C78" i="39"/>
  <c r="D78" i="39"/>
  <c r="E78" i="39"/>
  <c r="F78" i="39"/>
  <c r="G78" i="39"/>
  <c r="H78" i="39"/>
  <c r="I78" i="39"/>
  <c r="J78" i="39"/>
  <c r="K78" i="39"/>
  <c r="AM35" i="14"/>
  <c r="AC35" i="14"/>
  <c r="D81" i="39" s="1"/>
  <c r="N78" i="39" s="1"/>
  <c r="AN35" i="14"/>
  <c r="AE35" i="14"/>
  <c r="D87" i="39" s="1"/>
  <c r="R78" i="39" s="1"/>
  <c r="AM36" i="14"/>
  <c r="AC36" i="14"/>
  <c r="E81" i="39" s="1"/>
  <c r="N79" i="39" s="1"/>
  <c r="AD36" i="14"/>
  <c r="E84" i="39"/>
  <c r="P79" i="39" s="1"/>
  <c r="AN36" i="14"/>
  <c r="AE36" i="14"/>
  <c r="E87" i="39"/>
  <c r="R79" i="39" s="1"/>
  <c r="AM37" i="14"/>
  <c r="AD37" i="14"/>
  <c r="AC37" i="14"/>
  <c r="F81" i="39" s="1"/>
  <c r="N80" i="39" s="1"/>
  <c r="AN37" i="14"/>
  <c r="AE37" i="14"/>
  <c r="F87" i="39" s="1"/>
  <c r="R80" i="39" s="1"/>
  <c r="AM38" i="14"/>
  <c r="AC38" i="14"/>
  <c r="G81" i="39" s="1"/>
  <c r="N81" i="39" s="1"/>
  <c r="AM39" i="14"/>
  <c r="AC39" i="14"/>
  <c r="H81" i="39"/>
  <c r="N82" i="39" s="1"/>
  <c r="AM40" i="14"/>
  <c r="AC40" i="14"/>
  <c r="I81" i="39"/>
  <c r="N83" i="39"/>
  <c r="AM41" i="14"/>
  <c r="AD41" i="14"/>
  <c r="AC41" i="14"/>
  <c r="J81" i="39"/>
  <c r="N84" i="39" s="1"/>
  <c r="AM42" i="14"/>
  <c r="AC42" i="14"/>
  <c r="K81" i="39"/>
  <c r="N85" i="39" s="1"/>
  <c r="AD38" i="14"/>
  <c r="G84" i="39"/>
  <c r="P81" i="39" s="1"/>
  <c r="AN38" i="14"/>
  <c r="AE38" i="14"/>
  <c r="G87" i="39"/>
  <c r="R81" i="39" s="1"/>
  <c r="AD39" i="14"/>
  <c r="H84" i="39"/>
  <c r="P82" i="39" s="1"/>
  <c r="AN39" i="14"/>
  <c r="AE39" i="14"/>
  <c r="H87" i="39"/>
  <c r="R82" i="39" s="1"/>
  <c r="AN40" i="14"/>
  <c r="AE40" i="14"/>
  <c r="I87" i="39"/>
  <c r="R83" i="39" s="1"/>
  <c r="J84" i="39"/>
  <c r="P84" i="39" s="1"/>
  <c r="AD42" i="14"/>
  <c r="K84" i="39"/>
  <c r="P85" i="39" s="1"/>
  <c r="AN41" i="14"/>
  <c r="AE41" i="14"/>
  <c r="J87" i="39"/>
  <c r="R84" i="39" s="1"/>
  <c r="AF41" i="14"/>
  <c r="J90" i="39"/>
  <c r="T84" i="39"/>
  <c r="AN42" i="14"/>
  <c r="AE42" i="14"/>
  <c r="K87" i="39"/>
  <c r="R85" i="39" s="1"/>
  <c r="A1" i="38"/>
  <c r="O2" i="38"/>
  <c r="B1" i="38"/>
  <c r="W7" i="13"/>
  <c r="B2" i="38"/>
  <c r="Z7" i="13"/>
  <c r="C2" i="38"/>
  <c r="D2" i="38"/>
  <c r="B4" i="38"/>
  <c r="C4" i="38"/>
  <c r="D4" i="38"/>
  <c r="E4" i="38"/>
  <c r="F4" i="38"/>
  <c r="G4" i="38"/>
  <c r="H4" i="38"/>
  <c r="I4" i="38"/>
  <c r="J4" i="38"/>
  <c r="K4" i="38"/>
  <c r="B5" i="38"/>
  <c r="C5" i="38"/>
  <c r="D5" i="38"/>
  <c r="E5" i="38"/>
  <c r="F5" i="38"/>
  <c r="G5" i="38"/>
  <c r="H5" i="38"/>
  <c r="I5" i="38"/>
  <c r="J5" i="38"/>
  <c r="K5" i="38"/>
  <c r="B6" i="38"/>
  <c r="C6" i="38"/>
  <c r="D6" i="38"/>
  <c r="E6" i="38"/>
  <c r="F6" i="38"/>
  <c r="G6" i="38"/>
  <c r="H6" i="38"/>
  <c r="I6" i="38"/>
  <c r="J6" i="38"/>
  <c r="B7" i="38"/>
  <c r="C7" i="38"/>
  <c r="D7" i="38"/>
  <c r="E7" i="38"/>
  <c r="F7" i="38"/>
  <c r="G7" i="38"/>
  <c r="H7" i="38"/>
  <c r="I7" i="38"/>
  <c r="J7" i="38"/>
  <c r="K7" i="38"/>
  <c r="B8" i="38"/>
  <c r="C8" i="38"/>
  <c r="D8" i="38"/>
  <c r="E8" i="38"/>
  <c r="F8" i="38"/>
  <c r="G8" i="38"/>
  <c r="H8" i="38"/>
  <c r="I8" i="38"/>
  <c r="J8" i="38"/>
  <c r="K8" i="38"/>
  <c r="B9" i="38"/>
  <c r="C9" i="38"/>
  <c r="D9" i="38"/>
  <c r="E9" i="38"/>
  <c r="F9" i="38"/>
  <c r="G9" i="38"/>
  <c r="H9" i="38"/>
  <c r="I9" i="38"/>
  <c r="J9" i="38"/>
  <c r="B10" i="38"/>
  <c r="C10" i="38"/>
  <c r="D10" i="38"/>
  <c r="E10" i="38"/>
  <c r="F10" i="38"/>
  <c r="G10" i="38"/>
  <c r="H10" i="38"/>
  <c r="I10" i="38"/>
  <c r="J10" i="38"/>
  <c r="K10" i="38"/>
  <c r="B11" i="38"/>
  <c r="C11" i="38"/>
  <c r="D11" i="38"/>
  <c r="E11" i="38"/>
  <c r="F11" i="38"/>
  <c r="G11" i="38"/>
  <c r="H11" i="38"/>
  <c r="I11" i="38"/>
  <c r="J11" i="38"/>
  <c r="K11" i="38"/>
  <c r="B12" i="38"/>
  <c r="C12" i="38"/>
  <c r="D12" i="38"/>
  <c r="E12" i="38"/>
  <c r="F12" i="38"/>
  <c r="G12" i="38"/>
  <c r="H12" i="38"/>
  <c r="I12" i="38"/>
  <c r="J12" i="38"/>
  <c r="B13" i="38"/>
  <c r="C13" i="38"/>
  <c r="D13" i="38"/>
  <c r="E13" i="38"/>
  <c r="F13" i="38"/>
  <c r="G13" i="38"/>
  <c r="H13" i="38"/>
  <c r="I13" i="38"/>
  <c r="J13" i="38"/>
  <c r="K13" i="38"/>
  <c r="B14" i="38"/>
  <c r="C14" i="38"/>
  <c r="D14" i="38"/>
  <c r="E14" i="38"/>
  <c r="F14" i="38"/>
  <c r="G14" i="38"/>
  <c r="H14" i="38"/>
  <c r="I14" i="38"/>
  <c r="J14" i="38"/>
  <c r="K14" i="38"/>
  <c r="B15" i="38"/>
  <c r="C15" i="38"/>
  <c r="D15" i="38"/>
  <c r="E15" i="38"/>
  <c r="F15" i="38"/>
  <c r="G15" i="38"/>
  <c r="H15" i="38"/>
  <c r="I15" i="38"/>
  <c r="J15" i="38"/>
  <c r="B16" i="38"/>
  <c r="C16" i="38"/>
  <c r="D16" i="38"/>
  <c r="E16" i="38"/>
  <c r="F16" i="38"/>
  <c r="G16" i="38"/>
  <c r="H16" i="38"/>
  <c r="I16" i="38"/>
  <c r="J16" i="38"/>
  <c r="K16" i="38"/>
  <c r="B17" i="38"/>
  <c r="C17" i="38"/>
  <c r="D17" i="38"/>
  <c r="E17" i="38"/>
  <c r="F17" i="38"/>
  <c r="G17" i="38"/>
  <c r="H17" i="38"/>
  <c r="I17" i="38"/>
  <c r="J17" i="38"/>
  <c r="K17" i="38"/>
  <c r="B18" i="38"/>
  <c r="C18" i="38"/>
  <c r="D18" i="38"/>
  <c r="E18" i="38"/>
  <c r="F18" i="38"/>
  <c r="G18" i="38"/>
  <c r="H18" i="38"/>
  <c r="I18" i="38"/>
  <c r="J18" i="38"/>
  <c r="B19" i="38"/>
  <c r="C19" i="38"/>
  <c r="D19" i="38"/>
  <c r="E19" i="38"/>
  <c r="F19" i="38"/>
  <c r="G19" i="38"/>
  <c r="H19" i="38"/>
  <c r="I19" i="38"/>
  <c r="J19" i="38"/>
  <c r="K19" i="38"/>
  <c r="B20" i="38"/>
  <c r="C20" i="38"/>
  <c r="D20" i="38"/>
  <c r="E20" i="38"/>
  <c r="F20" i="38"/>
  <c r="G20" i="38"/>
  <c r="H20" i="38"/>
  <c r="I20" i="38"/>
  <c r="J20" i="38"/>
  <c r="K20" i="38"/>
  <c r="B21" i="38"/>
  <c r="C21" i="38"/>
  <c r="D21" i="38"/>
  <c r="E21" i="38"/>
  <c r="F21" i="38"/>
  <c r="G21" i="38"/>
  <c r="H21" i="38"/>
  <c r="I21" i="38"/>
  <c r="J21" i="38"/>
  <c r="B22" i="38"/>
  <c r="C22" i="38"/>
  <c r="D22" i="38"/>
  <c r="E22" i="38"/>
  <c r="F22" i="38"/>
  <c r="G22" i="38"/>
  <c r="H22" i="38"/>
  <c r="I22" i="38"/>
  <c r="J22" i="38"/>
  <c r="K22" i="38"/>
  <c r="B23" i="38"/>
  <c r="C23" i="38"/>
  <c r="D23" i="38"/>
  <c r="E23" i="38"/>
  <c r="F23" i="38"/>
  <c r="G23" i="38"/>
  <c r="H23" i="38"/>
  <c r="I23" i="38"/>
  <c r="J23" i="38"/>
  <c r="K23" i="38"/>
  <c r="B24" i="38"/>
  <c r="C24" i="38"/>
  <c r="D24" i="38"/>
  <c r="E24" i="38"/>
  <c r="F24" i="38"/>
  <c r="G24" i="38"/>
  <c r="H24" i="38"/>
  <c r="I24" i="38"/>
  <c r="J24" i="38"/>
  <c r="B25" i="38"/>
  <c r="C25" i="38"/>
  <c r="D25" i="38"/>
  <c r="E25" i="38"/>
  <c r="F25" i="38"/>
  <c r="G25" i="38"/>
  <c r="H25" i="38"/>
  <c r="I25" i="38"/>
  <c r="J25" i="38"/>
  <c r="K25" i="38"/>
  <c r="B26" i="38"/>
  <c r="C26" i="38"/>
  <c r="D26" i="38"/>
  <c r="E26" i="38"/>
  <c r="F26" i="38"/>
  <c r="G26" i="38"/>
  <c r="H26" i="38"/>
  <c r="I26" i="38"/>
  <c r="J26" i="38"/>
  <c r="K26" i="38"/>
  <c r="B27" i="38"/>
  <c r="C27" i="38"/>
  <c r="D27" i="38"/>
  <c r="E27" i="38"/>
  <c r="F27" i="38"/>
  <c r="G27" i="38"/>
  <c r="H27" i="38"/>
  <c r="I27" i="38"/>
  <c r="J27" i="38"/>
  <c r="B28" i="38"/>
  <c r="C28" i="38"/>
  <c r="D28" i="38"/>
  <c r="E28" i="38"/>
  <c r="F28" i="38"/>
  <c r="G28" i="38"/>
  <c r="H28" i="38"/>
  <c r="I28" i="38"/>
  <c r="J28" i="38"/>
  <c r="K28" i="38"/>
  <c r="B29" i="38"/>
  <c r="C29" i="38"/>
  <c r="D29" i="38"/>
  <c r="E29" i="38"/>
  <c r="F29" i="38"/>
  <c r="G29" i="38"/>
  <c r="H29" i="38"/>
  <c r="I29" i="38"/>
  <c r="J29" i="38"/>
  <c r="K29" i="38"/>
  <c r="B30" i="38"/>
  <c r="C30" i="38"/>
  <c r="D30" i="38"/>
  <c r="E30" i="38"/>
  <c r="F30" i="38"/>
  <c r="G30" i="38"/>
  <c r="H30" i="38"/>
  <c r="I30" i="38"/>
  <c r="J30" i="38"/>
  <c r="B31" i="38"/>
  <c r="C31" i="38"/>
  <c r="D31" i="38"/>
  <c r="E31" i="38"/>
  <c r="F31" i="38"/>
  <c r="G31" i="38"/>
  <c r="H31" i="38"/>
  <c r="I31" i="38"/>
  <c r="J31" i="38"/>
  <c r="K31" i="38"/>
  <c r="B32" i="38"/>
  <c r="C32" i="38"/>
  <c r="D32" i="38"/>
  <c r="E32" i="38"/>
  <c r="F32" i="38"/>
  <c r="G32" i="38"/>
  <c r="H32" i="38"/>
  <c r="I32" i="38"/>
  <c r="J32" i="38"/>
  <c r="K32" i="38"/>
  <c r="B33" i="38"/>
  <c r="C33" i="38"/>
  <c r="D33" i="38"/>
  <c r="E33" i="38"/>
  <c r="F33" i="38"/>
  <c r="G33" i="38"/>
  <c r="H33" i="38"/>
  <c r="I33" i="38"/>
  <c r="J33" i="38"/>
  <c r="B34" i="38"/>
  <c r="C34" i="38"/>
  <c r="D34" i="38"/>
  <c r="E34" i="38"/>
  <c r="F34" i="38"/>
  <c r="G34" i="38"/>
  <c r="H34" i="38"/>
  <c r="I34" i="38"/>
  <c r="J34" i="38"/>
  <c r="K34" i="38"/>
  <c r="B35" i="38"/>
  <c r="C35" i="38"/>
  <c r="D35" i="38"/>
  <c r="E35" i="38"/>
  <c r="F35" i="38"/>
  <c r="G35" i="38"/>
  <c r="H35" i="38"/>
  <c r="I35" i="38"/>
  <c r="J35" i="38"/>
  <c r="K35" i="38"/>
  <c r="B36" i="38"/>
  <c r="C36" i="38"/>
  <c r="D36" i="38"/>
  <c r="E36" i="38"/>
  <c r="F36" i="38"/>
  <c r="G36" i="38"/>
  <c r="H36" i="38"/>
  <c r="I36" i="38"/>
  <c r="J36" i="38"/>
  <c r="B37" i="38"/>
  <c r="C37" i="38"/>
  <c r="D37" i="38"/>
  <c r="E37" i="38"/>
  <c r="F37" i="38"/>
  <c r="G37" i="38"/>
  <c r="H37" i="38"/>
  <c r="I37" i="38"/>
  <c r="J37" i="38"/>
  <c r="K37" i="38"/>
  <c r="B38" i="38"/>
  <c r="C38" i="38"/>
  <c r="D38" i="38"/>
  <c r="E38" i="38"/>
  <c r="F38" i="38"/>
  <c r="G38" i="38"/>
  <c r="H38" i="38"/>
  <c r="I38" i="38"/>
  <c r="J38" i="38"/>
  <c r="K38" i="38"/>
  <c r="B39" i="38"/>
  <c r="C39" i="38"/>
  <c r="D39" i="38"/>
  <c r="E39" i="38"/>
  <c r="F39" i="38"/>
  <c r="G39" i="38"/>
  <c r="H39" i="38"/>
  <c r="I39" i="38"/>
  <c r="J39" i="38"/>
  <c r="B40" i="38"/>
  <c r="C40" i="38"/>
  <c r="D40" i="38"/>
  <c r="E40" i="38"/>
  <c r="F40" i="38"/>
  <c r="G40" i="38"/>
  <c r="H40" i="38"/>
  <c r="I40" i="38"/>
  <c r="J40" i="38"/>
  <c r="K40" i="38"/>
  <c r="B41" i="38"/>
  <c r="C41" i="38"/>
  <c r="D41" i="38"/>
  <c r="E41" i="38"/>
  <c r="F41" i="38"/>
  <c r="G41" i="38"/>
  <c r="H41" i="38"/>
  <c r="I41" i="38"/>
  <c r="J41" i="38"/>
  <c r="K41" i="38"/>
  <c r="B42" i="38"/>
  <c r="C42" i="38"/>
  <c r="D42" i="38"/>
  <c r="E42" i="38"/>
  <c r="F42" i="38"/>
  <c r="G42" i="38"/>
  <c r="H42" i="38"/>
  <c r="I42" i="38"/>
  <c r="J42" i="38"/>
  <c r="B43" i="38"/>
  <c r="C43" i="38"/>
  <c r="D43" i="38"/>
  <c r="E43" i="38"/>
  <c r="F43" i="38"/>
  <c r="G43" i="38"/>
  <c r="H43" i="38"/>
  <c r="I43" i="38"/>
  <c r="J43" i="38"/>
  <c r="K43" i="38"/>
  <c r="B44" i="38"/>
  <c r="C44" i="38"/>
  <c r="D44" i="38"/>
  <c r="E44" i="38"/>
  <c r="F44" i="38"/>
  <c r="G44" i="38"/>
  <c r="H44" i="38"/>
  <c r="I44" i="38"/>
  <c r="J44" i="38"/>
  <c r="K44" i="38"/>
  <c r="B45" i="38"/>
  <c r="C45" i="38"/>
  <c r="D45" i="38"/>
  <c r="E45" i="38"/>
  <c r="F45" i="38"/>
  <c r="G45" i="38"/>
  <c r="H45" i="38"/>
  <c r="I45" i="38"/>
  <c r="J45" i="38"/>
  <c r="B46" i="38"/>
  <c r="C46" i="38"/>
  <c r="D46" i="38"/>
  <c r="E46" i="38"/>
  <c r="F46" i="38"/>
  <c r="G46" i="38"/>
  <c r="H46" i="38"/>
  <c r="I46" i="38"/>
  <c r="J46" i="38"/>
  <c r="K46" i="38"/>
  <c r="B47" i="38"/>
  <c r="C47" i="38"/>
  <c r="D47" i="38"/>
  <c r="E47" i="38"/>
  <c r="F47" i="38"/>
  <c r="G47" i="38"/>
  <c r="H47" i="38"/>
  <c r="I47" i="38"/>
  <c r="J47" i="38"/>
  <c r="K47" i="38"/>
  <c r="B48" i="38"/>
  <c r="C48" i="38"/>
  <c r="D48" i="38"/>
  <c r="E48" i="38"/>
  <c r="F48" i="38"/>
  <c r="G48" i="38"/>
  <c r="H48" i="38"/>
  <c r="I48" i="38"/>
  <c r="J48" i="38"/>
  <c r="B49" i="38"/>
  <c r="C49" i="38"/>
  <c r="D49" i="38"/>
  <c r="E49" i="38"/>
  <c r="F49" i="38"/>
  <c r="G49" i="38"/>
  <c r="H49" i="38"/>
  <c r="I49" i="38"/>
  <c r="J49" i="38"/>
  <c r="K49" i="38"/>
  <c r="B50" i="38"/>
  <c r="C50" i="38"/>
  <c r="D50" i="38"/>
  <c r="E50" i="38"/>
  <c r="F50" i="38"/>
  <c r="G50" i="38"/>
  <c r="H50" i="38"/>
  <c r="I50" i="38"/>
  <c r="J50" i="38"/>
  <c r="K50" i="38"/>
  <c r="B51" i="38"/>
  <c r="C51" i="38"/>
  <c r="D51" i="38"/>
  <c r="E51" i="38"/>
  <c r="F51" i="38"/>
  <c r="G51" i="38"/>
  <c r="H51" i="38"/>
  <c r="I51" i="38"/>
  <c r="J51" i="38"/>
  <c r="B52" i="38"/>
  <c r="C52" i="38"/>
  <c r="D52" i="38"/>
  <c r="E52" i="38"/>
  <c r="F52" i="38"/>
  <c r="G52" i="38"/>
  <c r="H52" i="38"/>
  <c r="I52" i="38"/>
  <c r="J52" i="38"/>
  <c r="K52" i="38"/>
  <c r="B53" i="38"/>
  <c r="C53" i="38"/>
  <c r="D53" i="38"/>
  <c r="E53" i="38"/>
  <c r="F53" i="38"/>
  <c r="G53" i="38"/>
  <c r="H53" i="38"/>
  <c r="I53" i="38"/>
  <c r="J53" i="38"/>
  <c r="K53" i="38"/>
  <c r="B54" i="38"/>
  <c r="C54" i="38"/>
  <c r="D54" i="38"/>
  <c r="E54" i="38"/>
  <c r="F54" i="38"/>
  <c r="G54" i="38"/>
  <c r="H54" i="38"/>
  <c r="I54" i="38"/>
  <c r="J54" i="38"/>
  <c r="B55" i="38"/>
  <c r="C55" i="38"/>
  <c r="D55" i="38"/>
  <c r="E55" i="38"/>
  <c r="F55" i="38"/>
  <c r="G55" i="38"/>
  <c r="H55" i="38"/>
  <c r="I55" i="38"/>
  <c r="J55" i="38"/>
  <c r="K55" i="38"/>
  <c r="B56" i="38"/>
  <c r="C56" i="38"/>
  <c r="D56" i="38"/>
  <c r="E56" i="38"/>
  <c r="F56" i="38"/>
  <c r="G56" i="38"/>
  <c r="H56" i="38"/>
  <c r="I56" i="38"/>
  <c r="J56" i="38"/>
  <c r="K56" i="38"/>
  <c r="AM11" i="13"/>
  <c r="AD11" i="13" s="1"/>
  <c r="AF11" i="13" s="1"/>
  <c r="B88" i="38" s="1"/>
  <c r="T56" i="38" s="1"/>
  <c r="AC11" i="13"/>
  <c r="B79" i="38" s="1"/>
  <c r="AN11" i="13"/>
  <c r="AE11" i="13"/>
  <c r="B85" i="38"/>
  <c r="B57" i="38"/>
  <c r="C57" i="38"/>
  <c r="D57" i="38"/>
  <c r="E57" i="38"/>
  <c r="F57" i="38"/>
  <c r="G57" i="38"/>
  <c r="H57" i="38"/>
  <c r="I57" i="38"/>
  <c r="J57" i="38"/>
  <c r="AM12" i="13"/>
  <c r="AC12" i="13" s="1"/>
  <c r="C79" i="38" s="1"/>
  <c r="N57" i="38" s="1"/>
  <c r="AN12" i="13"/>
  <c r="AE12" i="13" s="1"/>
  <c r="C85" i="38" s="1"/>
  <c r="R57" i="38" s="1"/>
  <c r="B58" i="38"/>
  <c r="C58" i="38"/>
  <c r="D58" i="38"/>
  <c r="E58" i="38"/>
  <c r="F58" i="38"/>
  <c r="G58" i="38"/>
  <c r="H58" i="38"/>
  <c r="I58" i="38"/>
  <c r="J58" i="38"/>
  <c r="K58" i="38"/>
  <c r="AM13" i="13"/>
  <c r="AC13" i="13"/>
  <c r="D79" i="38"/>
  <c r="N58" i="38" s="1"/>
  <c r="AD13" i="13"/>
  <c r="AF13" i="13"/>
  <c r="D88" i="38" s="1"/>
  <c r="T58" i="38" s="1"/>
  <c r="AN13" i="13"/>
  <c r="AE13" i="13"/>
  <c r="D85" i="38"/>
  <c r="R58" i="38" s="1"/>
  <c r="B59" i="38"/>
  <c r="C59" i="38"/>
  <c r="D59" i="38"/>
  <c r="E59" i="38"/>
  <c r="F59" i="38"/>
  <c r="G59" i="38"/>
  <c r="H59" i="38"/>
  <c r="I59" i="38"/>
  <c r="J59" i="38"/>
  <c r="K59" i="38"/>
  <c r="AM14" i="13"/>
  <c r="AC14" i="13" s="1"/>
  <c r="E79" i="38" s="1"/>
  <c r="N59" i="38"/>
  <c r="AN14" i="13"/>
  <c r="AE14" i="13" s="1"/>
  <c r="E85" i="38" s="1"/>
  <c r="R59" i="38"/>
  <c r="B60" i="38"/>
  <c r="C60" i="38"/>
  <c r="D60" i="38"/>
  <c r="E60" i="38"/>
  <c r="F60" i="38"/>
  <c r="G60" i="38"/>
  <c r="H60" i="38"/>
  <c r="I60" i="38"/>
  <c r="J60" i="38"/>
  <c r="AM15" i="13"/>
  <c r="AC15" i="13"/>
  <c r="F79" i="38"/>
  <c r="N60" i="38" s="1"/>
  <c r="AD15" i="13"/>
  <c r="F82" i="38"/>
  <c r="P60" i="38"/>
  <c r="AN15" i="13"/>
  <c r="AF15" i="13" s="1"/>
  <c r="F88" i="38" s="1"/>
  <c r="T60" i="38" s="1"/>
  <c r="AE15" i="13"/>
  <c r="F85" i="38" s="1"/>
  <c r="R60" i="38" s="1"/>
  <c r="B61" i="38"/>
  <c r="C61" i="38"/>
  <c r="D61" i="38"/>
  <c r="E61" i="38"/>
  <c r="F61" i="38"/>
  <c r="G61" i="38"/>
  <c r="H61" i="38"/>
  <c r="I61" i="38"/>
  <c r="J61" i="38"/>
  <c r="K61" i="38"/>
  <c r="AM16" i="13"/>
  <c r="AC16" i="13"/>
  <c r="G79" i="38"/>
  <c r="N61" i="38"/>
  <c r="AD16" i="13"/>
  <c r="G82" i="38"/>
  <c r="P61" i="38"/>
  <c r="AN16" i="13"/>
  <c r="AF16" i="13" s="1"/>
  <c r="G88" i="38" s="1"/>
  <c r="T61" i="38" s="1"/>
  <c r="B62" i="38"/>
  <c r="C62" i="38"/>
  <c r="D62" i="38"/>
  <c r="E62" i="38"/>
  <c r="F62" i="38"/>
  <c r="G62" i="38"/>
  <c r="H62" i="38"/>
  <c r="I62" i="38"/>
  <c r="J62" i="38"/>
  <c r="K62" i="38"/>
  <c r="AM17" i="13"/>
  <c r="AC17" i="13"/>
  <c r="H79" i="38"/>
  <c r="N62" i="38"/>
  <c r="AD17" i="13"/>
  <c r="H82" i="38"/>
  <c r="P62" i="38"/>
  <c r="AN17" i="13"/>
  <c r="AF17" i="13" s="1"/>
  <c r="H88" i="38" s="1"/>
  <c r="T62" i="38" s="1"/>
  <c r="AE17" i="13"/>
  <c r="H85" i="38" s="1"/>
  <c r="R62" i="38" s="1"/>
  <c r="B63" i="38"/>
  <c r="C63" i="38"/>
  <c r="D63" i="38"/>
  <c r="E63" i="38"/>
  <c r="F63" i="38"/>
  <c r="G63" i="38"/>
  <c r="H63" i="38"/>
  <c r="I63" i="38"/>
  <c r="J63" i="38"/>
  <c r="AM18" i="13"/>
  <c r="AC18" i="13" s="1"/>
  <c r="I79" i="38" s="1"/>
  <c r="N63" i="38" s="1"/>
  <c r="AN18" i="13"/>
  <c r="AE18" i="13"/>
  <c r="I85" i="38" s="1"/>
  <c r="R63" i="38" s="1"/>
  <c r="B64" i="38"/>
  <c r="C64" i="38"/>
  <c r="D64" i="38"/>
  <c r="E64" i="38"/>
  <c r="F64" i="38"/>
  <c r="G64" i="38"/>
  <c r="H64" i="38"/>
  <c r="I64" i="38"/>
  <c r="J64" i="38"/>
  <c r="K64" i="38"/>
  <c r="AM19" i="13"/>
  <c r="AC19" i="13" s="1"/>
  <c r="J79" i="38" s="1"/>
  <c r="N64" i="38"/>
  <c r="AD19" i="13"/>
  <c r="J82" i="38" s="1"/>
  <c r="P64" i="38" s="1"/>
  <c r="AN19" i="13"/>
  <c r="AE19" i="13" s="1"/>
  <c r="J85" i="38" s="1"/>
  <c r="R64" i="38" s="1"/>
  <c r="B65" i="38"/>
  <c r="C65" i="38"/>
  <c r="D65" i="38"/>
  <c r="E65" i="38"/>
  <c r="F65" i="38"/>
  <c r="G65" i="38"/>
  <c r="H65" i="38"/>
  <c r="I65" i="38"/>
  <c r="J65" i="38"/>
  <c r="K65" i="38"/>
  <c r="AM20" i="13"/>
  <c r="AC20" i="13" s="1"/>
  <c r="K79" i="38" s="1"/>
  <c r="N65" i="38"/>
  <c r="AD20" i="13"/>
  <c r="K82" i="38" s="1"/>
  <c r="P65" i="38" s="1"/>
  <c r="AN20" i="13"/>
  <c r="AE20" i="13"/>
  <c r="K85" i="38" s="1"/>
  <c r="R65" i="38"/>
  <c r="AF20" i="13"/>
  <c r="K88" i="38" s="1"/>
  <c r="T65" i="38" s="1"/>
  <c r="B66" i="38"/>
  <c r="C66" i="38"/>
  <c r="D66" i="38"/>
  <c r="E66" i="38"/>
  <c r="F66" i="38"/>
  <c r="G66" i="38"/>
  <c r="H66" i="38"/>
  <c r="I66" i="38"/>
  <c r="J66" i="38"/>
  <c r="AM22" i="13"/>
  <c r="AD22" i="13" s="1"/>
  <c r="AC22" i="13"/>
  <c r="B80" i="38" s="1"/>
  <c r="N66" i="38" s="1"/>
  <c r="AN22" i="13"/>
  <c r="AE22" i="13" s="1"/>
  <c r="B86" i="38" s="1"/>
  <c r="R66" i="38" s="1"/>
  <c r="B67" i="38"/>
  <c r="C67" i="38"/>
  <c r="D67" i="38"/>
  <c r="E67" i="38"/>
  <c r="F67" i="38"/>
  <c r="G67" i="38"/>
  <c r="H67" i="38"/>
  <c r="I67" i="38"/>
  <c r="J67" i="38"/>
  <c r="K67" i="38"/>
  <c r="AM23" i="13"/>
  <c r="AD23" i="13" s="1"/>
  <c r="AN23" i="13"/>
  <c r="AE23" i="13"/>
  <c r="C86" i="38"/>
  <c r="R67" i="38" s="1"/>
  <c r="B68" i="38"/>
  <c r="C68" i="38"/>
  <c r="D68" i="38"/>
  <c r="E68" i="38"/>
  <c r="F68" i="38"/>
  <c r="G68" i="38"/>
  <c r="H68" i="38"/>
  <c r="I68" i="38"/>
  <c r="J68" i="38"/>
  <c r="K68" i="38"/>
  <c r="AM24" i="13"/>
  <c r="AC24" i="13"/>
  <c r="D80" i="38" s="1"/>
  <c r="N68" i="38"/>
  <c r="AD24" i="13"/>
  <c r="D83" i="38" s="1"/>
  <c r="P68" i="38" s="1"/>
  <c r="AN24" i="13"/>
  <c r="AE24" i="13"/>
  <c r="D86" i="38"/>
  <c r="R68" i="38" s="1"/>
  <c r="B69" i="38"/>
  <c r="C69" i="38"/>
  <c r="D69" i="38"/>
  <c r="E69" i="38"/>
  <c r="F69" i="38"/>
  <c r="G69" i="38"/>
  <c r="H69" i="38"/>
  <c r="I69" i="38"/>
  <c r="J69" i="38"/>
  <c r="AM25" i="13"/>
  <c r="AC25" i="13"/>
  <c r="E80" i="38"/>
  <c r="N69" i="38" s="1"/>
  <c r="AD25" i="13"/>
  <c r="AF25" i="13" s="1"/>
  <c r="E89" i="38" s="1"/>
  <c r="T69" i="38" s="1"/>
  <c r="AN25" i="13"/>
  <c r="AE25" i="13"/>
  <c r="E86" i="38" s="1"/>
  <c r="R69" i="38" s="1"/>
  <c r="B70" i="38"/>
  <c r="C70" i="38"/>
  <c r="D70" i="38"/>
  <c r="E70" i="38"/>
  <c r="F70" i="38"/>
  <c r="G70" i="38"/>
  <c r="H70" i="38"/>
  <c r="I70" i="38"/>
  <c r="J70" i="38"/>
  <c r="K70" i="38"/>
  <c r="AM26" i="13"/>
  <c r="AC26" i="13" s="1"/>
  <c r="F80" i="38" s="1"/>
  <c r="N70" i="38" s="1"/>
  <c r="AN26" i="13"/>
  <c r="AE26" i="13" s="1"/>
  <c r="F86" i="38"/>
  <c r="R70" i="38"/>
  <c r="B71" i="38"/>
  <c r="C71" i="38"/>
  <c r="D71" i="38"/>
  <c r="E71" i="38"/>
  <c r="F71" i="38"/>
  <c r="G71" i="38"/>
  <c r="H71" i="38"/>
  <c r="I71" i="38"/>
  <c r="J71" i="38"/>
  <c r="K71" i="38"/>
  <c r="AM27" i="13"/>
  <c r="AD27" i="13" s="1"/>
  <c r="AF27" i="13" s="1"/>
  <c r="G89" i="38" s="1"/>
  <c r="T71" i="38" s="1"/>
  <c r="AC27" i="13"/>
  <c r="G80" i="38" s="1"/>
  <c r="N71" i="38" s="1"/>
  <c r="AN27" i="13"/>
  <c r="AE27" i="13"/>
  <c r="G86" i="38"/>
  <c r="R71" i="38" s="1"/>
  <c r="B72" i="38"/>
  <c r="C72" i="38"/>
  <c r="D72" i="38"/>
  <c r="E72" i="38"/>
  <c r="F72" i="38"/>
  <c r="G72" i="38"/>
  <c r="H72" i="38"/>
  <c r="I72" i="38"/>
  <c r="J72" i="38"/>
  <c r="AM28" i="13"/>
  <c r="AC28" i="13"/>
  <c r="H80" i="38" s="1"/>
  <c r="N72" i="38"/>
  <c r="AD28" i="13"/>
  <c r="H83" i="38" s="1"/>
  <c r="P72" i="38" s="1"/>
  <c r="AN28" i="13"/>
  <c r="AE28" i="13"/>
  <c r="H86" i="38"/>
  <c r="R72" i="38"/>
  <c r="AM29" i="13"/>
  <c r="AC29" i="13"/>
  <c r="I80" i="38"/>
  <c r="N73" i="38"/>
  <c r="AD29" i="13"/>
  <c r="I83" i="38"/>
  <c r="P73" i="38"/>
  <c r="AN29" i="13"/>
  <c r="AE29" i="13" s="1"/>
  <c r="I86" i="38" s="1"/>
  <c r="R73" i="38" s="1"/>
  <c r="AM30" i="13"/>
  <c r="AC30" i="13"/>
  <c r="J80" i="38" s="1"/>
  <c r="N74" i="38"/>
  <c r="AD30" i="13"/>
  <c r="J83" i="38" s="1"/>
  <c r="P74" i="38" s="1"/>
  <c r="AN30" i="13"/>
  <c r="AE30" i="13"/>
  <c r="J86" i="38"/>
  <c r="R74" i="38"/>
  <c r="AM31" i="13"/>
  <c r="AC31" i="13"/>
  <c r="K80" i="38"/>
  <c r="N75" i="38"/>
  <c r="AD31" i="13"/>
  <c r="K83" i="38"/>
  <c r="P75" i="38"/>
  <c r="AN31" i="13"/>
  <c r="AE31" i="13" s="1"/>
  <c r="K86" i="38" s="1"/>
  <c r="R75" i="38" s="1"/>
  <c r="B76" i="38"/>
  <c r="C76" i="38"/>
  <c r="D76" i="38"/>
  <c r="E76" i="38"/>
  <c r="B91" i="38" s="1"/>
  <c r="F76" i="38"/>
  <c r="G76" i="38"/>
  <c r="H76" i="38"/>
  <c r="I76" i="38"/>
  <c r="J76" i="38"/>
  <c r="K76" i="38"/>
  <c r="AM33" i="13"/>
  <c r="AC33" i="13"/>
  <c r="B81" i="38" s="1"/>
  <c r="N76" i="38" s="1"/>
  <c r="AD33" i="13"/>
  <c r="B84" i="38"/>
  <c r="P76" i="38" s="1"/>
  <c r="AN33" i="13"/>
  <c r="AE33" i="13" s="1"/>
  <c r="B87" i="38"/>
  <c r="R76" i="38"/>
  <c r="B77" i="38"/>
  <c r="C77" i="38"/>
  <c r="D77" i="38"/>
  <c r="E77" i="38"/>
  <c r="F77" i="38"/>
  <c r="G77" i="38"/>
  <c r="H77" i="38"/>
  <c r="I77" i="38"/>
  <c r="J77" i="38"/>
  <c r="K77" i="38"/>
  <c r="AM34" i="13"/>
  <c r="AC34" i="13"/>
  <c r="C81" i="38"/>
  <c r="N77" i="38"/>
  <c r="AD34" i="13"/>
  <c r="C84" i="38"/>
  <c r="P77" i="38"/>
  <c r="AN34" i="13"/>
  <c r="AE34" i="13" s="1"/>
  <c r="C87" i="38" s="1"/>
  <c r="R77" i="38" s="1"/>
  <c r="B78" i="38"/>
  <c r="C78" i="38"/>
  <c r="D78" i="38"/>
  <c r="E78" i="38"/>
  <c r="F78" i="38"/>
  <c r="G78" i="38"/>
  <c r="H78" i="38"/>
  <c r="I78" i="38"/>
  <c r="J78" i="38"/>
  <c r="K78" i="38"/>
  <c r="AM35" i="13"/>
  <c r="AC35" i="13"/>
  <c r="D81" i="38" s="1"/>
  <c r="N78" i="38" s="1"/>
  <c r="AD35" i="13"/>
  <c r="D84" i="38"/>
  <c r="P78" i="38" s="1"/>
  <c r="AN35" i="13"/>
  <c r="AE35" i="13" s="1"/>
  <c r="D87" i="38"/>
  <c r="R78" i="38"/>
  <c r="AM36" i="13"/>
  <c r="AD36" i="13" s="1"/>
  <c r="AC36" i="13"/>
  <c r="E81" i="38" s="1"/>
  <c r="N79" i="38" s="1"/>
  <c r="AN36" i="13"/>
  <c r="AE36" i="13"/>
  <c r="E87" i="38" s="1"/>
  <c r="R79" i="38" s="1"/>
  <c r="AM37" i="13"/>
  <c r="AC37" i="13"/>
  <c r="F81" i="38" s="1"/>
  <c r="N80" i="38" s="1"/>
  <c r="AD37" i="13"/>
  <c r="F84" i="38"/>
  <c r="P80" i="38" s="1"/>
  <c r="AN37" i="13"/>
  <c r="AE37" i="13" s="1"/>
  <c r="F87" i="38"/>
  <c r="R80" i="38"/>
  <c r="AM38" i="13"/>
  <c r="AD38" i="13" s="1"/>
  <c r="AC38" i="13"/>
  <c r="G81" i="38" s="1"/>
  <c r="N81" i="38" s="1"/>
  <c r="AM39" i="13"/>
  <c r="AC39" i="13"/>
  <c r="H81" i="38" s="1"/>
  <c r="N82" i="38"/>
  <c r="AM40" i="13"/>
  <c r="AC40" i="13"/>
  <c r="I81" i="38" s="1"/>
  <c r="N83" i="38"/>
  <c r="AM41" i="13"/>
  <c r="AD41" i="13" s="1"/>
  <c r="AM42" i="13"/>
  <c r="AC42" i="13"/>
  <c r="K81" i="38"/>
  <c r="N85" i="38" s="1"/>
  <c r="AN38" i="13"/>
  <c r="AE38" i="13" s="1"/>
  <c r="G87" i="38" s="1"/>
  <c r="R81" i="38" s="1"/>
  <c r="AD39" i="13"/>
  <c r="AF39" i="13" s="1"/>
  <c r="H90" i="38" s="1"/>
  <c r="T82" i="38" s="1"/>
  <c r="AN39" i="13"/>
  <c r="AE39" i="13"/>
  <c r="H87" i="38" s="1"/>
  <c r="R82" i="38" s="1"/>
  <c r="AD40" i="13"/>
  <c r="AF40" i="13" s="1"/>
  <c r="I90" i="38" s="1"/>
  <c r="T83" i="38" s="1"/>
  <c r="I84" i="38"/>
  <c r="P83" i="38"/>
  <c r="AN40" i="13"/>
  <c r="AE40" i="13"/>
  <c r="I87" i="38"/>
  <c r="R83" i="38"/>
  <c r="AD42" i="13"/>
  <c r="K84" i="38" s="1"/>
  <c r="P85" i="38" s="1"/>
  <c r="AN41" i="13"/>
  <c r="AE41" i="13"/>
  <c r="J87" i="38" s="1"/>
  <c r="R84" i="38" s="1"/>
  <c r="AN42" i="13"/>
  <c r="AE42" i="13"/>
  <c r="K87" i="38" s="1"/>
  <c r="R85" i="38" s="1"/>
  <c r="A1" i="37"/>
  <c r="N2" i="37" s="1"/>
  <c r="B1" i="37"/>
  <c r="W7" i="12"/>
  <c r="B2" i="37"/>
  <c r="Z7" i="12"/>
  <c r="C2" i="37" s="1"/>
  <c r="D2" i="37"/>
  <c r="O2" i="37"/>
  <c r="B4" i="37"/>
  <c r="C4" i="37"/>
  <c r="D4" i="37"/>
  <c r="E4" i="37"/>
  <c r="F4" i="37"/>
  <c r="G4" i="37"/>
  <c r="H4" i="37"/>
  <c r="I4" i="37"/>
  <c r="J4" i="37"/>
  <c r="K4" i="37"/>
  <c r="B5" i="37"/>
  <c r="C5" i="37"/>
  <c r="D5" i="37"/>
  <c r="E5" i="37"/>
  <c r="F5" i="37"/>
  <c r="G5" i="37"/>
  <c r="H5" i="37"/>
  <c r="I5" i="37"/>
  <c r="J5" i="37"/>
  <c r="K5" i="37"/>
  <c r="B6" i="37"/>
  <c r="C6" i="37"/>
  <c r="D6" i="37"/>
  <c r="E6" i="37"/>
  <c r="F6" i="37"/>
  <c r="G6" i="37"/>
  <c r="H6" i="37"/>
  <c r="I6" i="37"/>
  <c r="J6" i="37"/>
  <c r="K6" i="37"/>
  <c r="B7" i="37"/>
  <c r="C7" i="37"/>
  <c r="D7" i="37"/>
  <c r="E7" i="37"/>
  <c r="F7" i="37"/>
  <c r="G7" i="37"/>
  <c r="H7" i="37"/>
  <c r="I7" i="37"/>
  <c r="J7" i="37"/>
  <c r="K7" i="37"/>
  <c r="B8" i="37"/>
  <c r="C8" i="37"/>
  <c r="D8" i="37"/>
  <c r="E8" i="37"/>
  <c r="F8" i="37"/>
  <c r="G8" i="37"/>
  <c r="H8" i="37"/>
  <c r="I8" i="37"/>
  <c r="J8" i="37"/>
  <c r="K8" i="37"/>
  <c r="B9" i="37"/>
  <c r="C9" i="37"/>
  <c r="D9" i="37"/>
  <c r="E9" i="37"/>
  <c r="F9" i="37"/>
  <c r="G9" i="37"/>
  <c r="H9" i="37"/>
  <c r="I9" i="37"/>
  <c r="J9" i="37"/>
  <c r="K9" i="37"/>
  <c r="B10" i="37"/>
  <c r="C10" i="37"/>
  <c r="D10" i="37"/>
  <c r="E10" i="37"/>
  <c r="F10" i="37"/>
  <c r="G10" i="37"/>
  <c r="H10" i="37"/>
  <c r="I10" i="37"/>
  <c r="J10" i="37"/>
  <c r="K10" i="37"/>
  <c r="B11" i="37"/>
  <c r="C11" i="37"/>
  <c r="D11" i="37"/>
  <c r="E11" i="37"/>
  <c r="F11" i="37"/>
  <c r="G11" i="37"/>
  <c r="H11" i="37"/>
  <c r="I11" i="37"/>
  <c r="J11" i="37"/>
  <c r="K11" i="37"/>
  <c r="B12" i="37"/>
  <c r="C12" i="37"/>
  <c r="D12" i="37"/>
  <c r="E12" i="37"/>
  <c r="F12" i="37"/>
  <c r="G12" i="37"/>
  <c r="H12" i="37"/>
  <c r="I12" i="37"/>
  <c r="J12" i="37"/>
  <c r="K12" i="37"/>
  <c r="B13" i="37"/>
  <c r="C13" i="37"/>
  <c r="D13" i="37"/>
  <c r="E13" i="37"/>
  <c r="F13" i="37"/>
  <c r="G13" i="37"/>
  <c r="H13" i="37"/>
  <c r="I13" i="37"/>
  <c r="J13" i="37"/>
  <c r="K13" i="37"/>
  <c r="B14" i="37"/>
  <c r="C14" i="37"/>
  <c r="D14" i="37"/>
  <c r="E14" i="37"/>
  <c r="F14" i="37"/>
  <c r="G14" i="37"/>
  <c r="H14" i="37"/>
  <c r="I14" i="37"/>
  <c r="J14" i="37"/>
  <c r="K14" i="37"/>
  <c r="B15" i="37"/>
  <c r="C15" i="37"/>
  <c r="D15" i="37"/>
  <c r="E15" i="37"/>
  <c r="F15" i="37"/>
  <c r="G15" i="37"/>
  <c r="H15" i="37"/>
  <c r="I15" i="37"/>
  <c r="J15" i="37"/>
  <c r="K15" i="37"/>
  <c r="B16" i="37"/>
  <c r="C16" i="37"/>
  <c r="D16" i="37"/>
  <c r="E16" i="37"/>
  <c r="F16" i="37"/>
  <c r="G16" i="37"/>
  <c r="H16" i="37"/>
  <c r="I16" i="37"/>
  <c r="J16" i="37"/>
  <c r="K16" i="37"/>
  <c r="B17" i="37"/>
  <c r="C17" i="37"/>
  <c r="D17" i="37"/>
  <c r="E17" i="37"/>
  <c r="F17" i="37"/>
  <c r="G17" i="37"/>
  <c r="H17" i="37"/>
  <c r="I17" i="37"/>
  <c r="J17" i="37"/>
  <c r="K17" i="37"/>
  <c r="B18" i="37"/>
  <c r="C18" i="37"/>
  <c r="D18" i="37"/>
  <c r="E18" i="37"/>
  <c r="F18" i="37"/>
  <c r="G18" i="37"/>
  <c r="H18" i="37"/>
  <c r="I18" i="37"/>
  <c r="J18" i="37"/>
  <c r="K18" i="37"/>
  <c r="B19" i="37"/>
  <c r="C19" i="37"/>
  <c r="D19" i="37"/>
  <c r="E19" i="37"/>
  <c r="F19" i="37"/>
  <c r="G19" i="37"/>
  <c r="H19" i="37"/>
  <c r="I19" i="37"/>
  <c r="J19" i="37"/>
  <c r="K19" i="37"/>
  <c r="B20" i="37"/>
  <c r="C20" i="37"/>
  <c r="D20" i="37"/>
  <c r="E20" i="37"/>
  <c r="F20" i="37"/>
  <c r="G20" i="37"/>
  <c r="H20" i="37"/>
  <c r="I20" i="37"/>
  <c r="J20" i="37"/>
  <c r="K20" i="37"/>
  <c r="B21" i="37"/>
  <c r="C21" i="37"/>
  <c r="D21" i="37"/>
  <c r="E21" i="37"/>
  <c r="F21" i="37"/>
  <c r="G21" i="37"/>
  <c r="H21" i="37"/>
  <c r="I21" i="37"/>
  <c r="J21" i="37"/>
  <c r="K21" i="37"/>
  <c r="B22" i="37"/>
  <c r="C22" i="37"/>
  <c r="D22" i="37"/>
  <c r="E22" i="37"/>
  <c r="F22" i="37"/>
  <c r="G22" i="37"/>
  <c r="H22" i="37"/>
  <c r="I22" i="37"/>
  <c r="J22" i="37"/>
  <c r="K22" i="37"/>
  <c r="B23" i="37"/>
  <c r="C23" i="37"/>
  <c r="D23" i="37"/>
  <c r="E23" i="37"/>
  <c r="F23" i="37"/>
  <c r="G23" i="37"/>
  <c r="H23" i="37"/>
  <c r="I23" i="37"/>
  <c r="J23" i="37"/>
  <c r="K23" i="37"/>
  <c r="B24" i="37"/>
  <c r="C24" i="37"/>
  <c r="D24" i="37"/>
  <c r="E24" i="37"/>
  <c r="F24" i="37"/>
  <c r="G24" i="37"/>
  <c r="H24" i="37"/>
  <c r="I24" i="37"/>
  <c r="J24" i="37"/>
  <c r="K24" i="37"/>
  <c r="B25" i="37"/>
  <c r="C25" i="37"/>
  <c r="D25" i="37"/>
  <c r="E25" i="37"/>
  <c r="F25" i="37"/>
  <c r="G25" i="37"/>
  <c r="H25" i="37"/>
  <c r="I25" i="37"/>
  <c r="J25" i="37"/>
  <c r="K25" i="37"/>
  <c r="B26" i="37"/>
  <c r="C26" i="37"/>
  <c r="D26" i="37"/>
  <c r="E26" i="37"/>
  <c r="F26" i="37"/>
  <c r="G26" i="37"/>
  <c r="H26" i="37"/>
  <c r="I26" i="37"/>
  <c r="J26" i="37"/>
  <c r="K26" i="37"/>
  <c r="B27" i="37"/>
  <c r="C27" i="37"/>
  <c r="D27" i="37"/>
  <c r="E27" i="37"/>
  <c r="F27" i="37"/>
  <c r="G27" i="37"/>
  <c r="H27" i="37"/>
  <c r="I27" i="37"/>
  <c r="J27" i="37"/>
  <c r="K27" i="37"/>
  <c r="B28" i="37"/>
  <c r="C28" i="37"/>
  <c r="D28" i="37"/>
  <c r="E28" i="37"/>
  <c r="F28" i="37"/>
  <c r="G28" i="37"/>
  <c r="H28" i="37"/>
  <c r="I28" i="37"/>
  <c r="J28" i="37"/>
  <c r="K28" i="37"/>
  <c r="B29" i="37"/>
  <c r="C29" i="37"/>
  <c r="D29" i="37"/>
  <c r="E29" i="37"/>
  <c r="F29" i="37"/>
  <c r="G29" i="37"/>
  <c r="H29" i="37"/>
  <c r="I29" i="37"/>
  <c r="J29" i="37"/>
  <c r="K29" i="37"/>
  <c r="B30" i="37"/>
  <c r="C30" i="37"/>
  <c r="D30" i="37"/>
  <c r="E30" i="37"/>
  <c r="F30" i="37"/>
  <c r="G30" i="37"/>
  <c r="H30" i="37"/>
  <c r="I30" i="37"/>
  <c r="J30" i="37"/>
  <c r="K30" i="37"/>
  <c r="B31" i="37"/>
  <c r="C31" i="37"/>
  <c r="D31" i="37"/>
  <c r="E31" i="37"/>
  <c r="F31" i="37"/>
  <c r="G31" i="37"/>
  <c r="H31" i="37"/>
  <c r="I31" i="37"/>
  <c r="J31" i="37"/>
  <c r="K31" i="37"/>
  <c r="B32" i="37"/>
  <c r="C32" i="37"/>
  <c r="D32" i="37"/>
  <c r="E32" i="37"/>
  <c r="F32" i="37"/>
  <c r="G32" i="37"/>
  <c r="H32" i="37"/>
  <c r="I32" i="37"/>
  <c r="J32" i="37"/>
  <c r="K32" i="37"/>
  <c r="B33" i="37"/>
  <c r="C33" i="37"/>
  <c r="D33" i="37"/>
  <c r="E33" i="37"/>
  <c r="F33" i="37"/>
  <c r="G33" i="37"/>
  <c r="H33" i="37"/>
  <c r="I33" i="37"/>
  <c r="J33" i="37"/>
  <c r="K33" i="37"/>
  <c r="B34" i="37"/>
  <c r="C34" i="37"/>
  <c r="D34" i="37"/>
  <c r="E34" i="37"/>
  <c r="F34" i="37"/>
  <c r="G34" i="37"/>
  <c r="H34" i="37"/>
  <c r="I34" i="37"/>
  <c r="J34" i="37"/>
  <c r="K34" i="37"/>
  <c r="B35" i="37"/>
  <c r="C35" i="37"/>
  <c r="D35" i="37"/>
  <c r="E35" i="37"/>
  <c r="F35" i="37"/>
  <c r="G35" i="37"/>
  <c r="H35" i="37"/>
  <c r="I35" i="37"/>
  <c r="J35" i="37"/>
  <c r="K35" i="37"/>
  <c r="B36" i="37"/>
  <c r="C36" i="37"/>
  <c r="D36" i="37"/>
  <c r="E36" i="37"/>
  <c r="F36" i="37"/>
  <c r="G36" i="37"/>
  <c r="H36" i="37"/>
  <c r="I36" i="37"/>
  <c r="J36" i="37"/>
  <c r="K36" i="37"/>
  <c r="B37" i="37"/>
  <c r="C37" i="37"/>
  <c r="D37" i="37"/>
  <c r="E37" i="37"/>
  <c r="F37" i="37"/>
  <c r="G37" i="37"/>
  <c r="H37" i="37"/>
  <c r="I37" i="37"/>
  <c r="J37" i="37"/>
  <c r="K37" i="37"/>
  <c r="B38" i="37"/>
  <c r="C38" i="37"/>
  <c r="D38" i="37"/>
  <c r="E38" i="37"/>
  <c r="F38" i="37"/>
  <c r="G38" i="37"/>
  <c r="H38" i="37"/>
  <c r="I38" i="37"/>
  <c r="J38" i="37"/>
  <c r="K38" i="37"/>
  <c r="B39" i="37"/>
  <c r="C39" i="37"/>
  <c r="D39" i="37"/>
  <c r="E39" i="37"/>
  <c r="F39" i="37"/>
  <c r="G39" i="37"/>
  <c r="H39" i="37"/>
  <c r="I39" i="37"/>
  <c r="J39" i="37"/>
  <c r="K39" i="37"/>
  <c r="B40" i="37"/>
  <c r="C40" i="37"/>
  <c r="D40" i="37"/>
  <c r="E40" i="37"/>
  <c r="F40" i="37"/>
  <c r="G40" i="37"/>
  <c r="H40" i="37"/>
  <c r="I40" i="37"/>
  <c r="J40" i="37"/>
  <c r="K40" i="37"/>
  <c r="B41" i="37"/>
  <c r="C41" i="37"/>
  <c r="D41" i="37"/>
  <c r="E41" i="37"/>
  <c r="F41" i="37"/>
  <c r="G41" i="37"/>
  <c r="H41" i="37"/>
  <c r="I41" i="37"/>
  <c r="J41" i="37"/>
  <c r="K41" i="37"/>
  <c r="B42" i="37"/>
  <c r="C42" i="37"/>
  <c r="D42" i="37"/>
  <c r="E42" i="37"/>
  <c r="F42" i="37"/>
  <c r="G42" i="37"/>
  <c r="H42" i="37"/>
  <c r="I42" i="37"/>
  <c r="J42" i="37"/>
  <c r="K42" i="37"/>
  <c r="B43" i="37"/>
  <c r="C43" i="37"/>
  <c r="D43" i="37"/>
  <c r="E43" i="37"/>
  <c r="F43" i="37"/>
  <c r="G43" i="37"/>
  <c r="H43" i="37"/>
  <c r="I43" i="37"/>
  <c r="J43" i="37"/>
  <c r="K43" i="37"/>
  <c r="B44" i="37"/>
  <c r="C44" i="37"/>
  <c r="D44" i="37"/>
  <c r="E44" i="37"/>
  <c r="F44" i="37"/>
  <c r="G44" i="37"/>
  <c r="H44" i="37"/>
  <c r="I44" i="37"/>
  <c r="J44" i="37"/>
  <c r="K44" i="37"/>
  <c r="B45" i="37"/>
  <c r="C45" i="37"/>
  <c r="D45" i="37"/>
  <c r="E45" i="37"/>
  <c r="F45" i="37"/>
  <c r="G45" i="37"/>
  <c r="H45" i="37"/>
  <c r="I45" i="37"/>
  <c r="J45" i="37"/>
  <c r="K45" i="37"/>
  <c r="B46" i="37"/>
  <c r="C46" i="37"/>
  <c r="D46" i="37"/>
  <c r="E46" i="37"/>
  <c r="F46" i="37"/>
  <c r="G46" i="37"/>
  <c r="H46" i="37"/>
  <c r="I46" i="37"/>
  <c r="J46" i="37"/>
  <c r="K46" i="37"/>
  <c r="B47" i="37"/>
  <c r="C47" i="37"/>
  <c r="D47" i="37"/>
  <c r="E47" i="37"/>
  <c r="F47" i="37"/>
  <c r="G47" i="37"/>
  <c r="H47" i="37"/>
  <c r="I47" i="37"/>
  <c r="J47" i="37"/>
  <c r="K47" i="37"/>
  <c r="B48" i="37"/>
  <c r="C48" i="37"/>
  <c r="D48" i="37"/>
  <c r="E48" i="37"/>
  <c r="F48" i="37"/>
  <c r="G48" i="37"/>
  <c r="H48" i="37"/>
  <c r="I48" i="37"/>
  <c r="J48" i="37"/>
  <c r="K48" i="37"/>
  <c r="B49" i="37"/>
  <c r="C49" i="37"/>
  <c r="D49" i="37"/>
  <c r="E49" i="37"/>
  <c r="F49" i="37"/>
  <c r="G49" i="37"/>
  <c r="H49" i="37"/>
  <c r="I49" i="37"/>
  <c r="J49" i="37"/>
  <c r="K49" i="37"/>
  <c r="B50" i="37"/>
  <c r="C50" i="37"/>
  <c r="D50" i="37"/>
  <c r="E50" i="37"/>
  <c r="F50" i="37"/>
  <c r="G50" i="37"/>
  <c r="H50" i="37"/>
  <c r="I50" i="37"/>
  <c r="J50" i="37"/>
  <c r="K50" i="37"/>
  <c r="B51" i="37"/>
  <c r="C51" i="37"/>
  <c r="D51" i="37"/>
  <c r="E51" i="37"/>
  <c r="F51" i="37"/>
  <c r="G51" i="37"/>
  <c r="H51" i="37"/>
  <c r="I51" i="37"/>
  <c r="J51" i="37"/>
  <c r="K51" i="37"/>
  <c r="B52" i="37"/>
  <c r="C52" i="37"/>
  <c r="D52" i="37"/>
  <c r="E52" i="37"/>
  <c r="F52" i="37"/>
  <c r="G52" i="37"/>
  <c r="H52" i="37"/>
  <c r="I52" i="37"/>
  <c r="J52" i="37"/>
  <c r="K52" i="37"/>
  <c r="B53" i="37"/>
  <c r="C53" i="37"/>
  <c r="D53" i="37"/>
  <c r="E53" i="37"/>
  <c r="F53" i="37"/>
  <c r="G53" i="37"/>
  <c r="H53" i="37"/>
  <c r="I53" i="37"/>
  <c r="J53" i="37"/>
  <c r="K53" i="37"/>
  <c r="B54" i="37"/>
  <c r="C54" i="37"/>
  <c r="D54" i="37"/>
  <c r="E54" i="37"/>
  <c r="F54" i="37"/>
  <c r="G54" i="37"/>
  <c r="H54" i="37"/>
  <c r="I54" i="37"/>
  <c r="J54" i="37"/>
  <c r="K54" i="37"/>
  <c r="B55" i="37"/>
  <c r="C55" i="37"/>
  <c r="D55" i="37"/>
  <c r="E55" i="37"/>
  <c r="F55" i="37"/>
  <c r="G55" i="37"/>
  <c r="H55" i="37"/>
  <c r="I55" i="37"/>
  <c r="J55" i="37"/>
  <c r="K55" i="37"/>
  <c r="B56" i="37"/>
  <c r="C56" i="37"/>
  <c r="D56" i="37"/>
  <c r="E56" i="37"/>
  <c r="F56" i="37"/>
  <c r="G56" i="37"/>
  <c r="H56" i="37"/>
  <c r="I56" i="37"/>
  <c r="J56" i="37"/>
  <c r="K56" i="37"/>
  <c r="AM11" i="12"/>
  <c r="AD11" i="12" s="1"/>
  <c r="AC11" i="12"/>
  <c r="B79" i="37" s="1"/>
  <c r="AN11" i="12"/>
  <c r="AE11" i="12"/>
  <c r="B85" i="37"/>
  <c r="B57" i="37"/>
  <c r="C57" i="37"/>
  <c r="D57" i="37"/>
  <c r="E57" i="37"/>
  <c r="F57" i="37"/>
  <c r="G57" i="37"/>
  <c r="H57" i="37"/>
  <c r="I57" i="37"/>
  <c r="J57" i="37"/>
  <c r="K57" i="37"/>
  <c r="AM12" i="12"/>
  <c r="AC12" i="12"/>
  <c r="C79" i="37"/>
  <c r="N57" i="37"/>
  <c r="AD12" i="12"/>
  <c r="C82" i="37"/>
  <c r="P57" i="37"/>
  <c r="AN12" i="12"/>
  <c r="AE12" i="12" s="1"/>
  <c r="C85" i="37" s="1"/>
  <c r="R57" i="37" s="1"/>
  <c r="AF12" i="12"/>
  <c r="C88" i="37" s="1"/>
  <c r="T57" i="37" s="1"/>
  <c r="B58" i="37"/>
  <c r="C58" i="37"/>
  <c r="D58" i="37"/>
  <c r="E58" i="37"/>
  <c r="F58" i="37"/>
  <c r="G58" i="37"/>
  <c r="H58" i="37"/>
  <c r="I58" i="37"/>
  <c r="J58" i="37"/>
  <c r="K58" i="37"/>
  <c r="AM13" i="12"/>
  <c r="AC13" i="12"/>
  <c r="D79" i="37"/>
  <c r="N58" i="37"/>
  <c r="AD13" i="12"/>
  <c r="D82" i="37"/>
  <c r="P58" i="37"/>
  <c r="AN13" i="12"/>
  <c r="AE13" i="12" s="1"/>
  <c r="D85" i="37" s="1"/>
  <c r="R58" i="37" s="1"/>
  <c r="AF13" i="12"/>
  <c r="D88" i="37" s="1"/>
  <c r="T58" i="37" s="1"/>
  <c r="B59" i="37"/>
  <c r="C59" i="37"/>
  <c r="D59" i="37"/>
  <c r="E59" i="37"/>
  <c r="F59" i="37"/>
  <c r="G59" i="37"/>
  <c r="H59" i="37"/>
  <c r="I59" i="37"/>
  <c r="J59" i="37"/>
  <c r="K59" i="37"/>
  <c r="AM14" i="12"/>
  <c r="AC14" i="12"/>
  <c r="E79" i="37"/>
  <c r="N59" i="37"/>
  <c r="AD14" i="12"/>
  <c r="E82" i="37"/>
  <c r="P59" i="37"/>
  <c r="AN14" i="12"/>
  <c r="AE14" i="12" s="1"/>
  <c r="E85" i="37" s="1"/>
  <c r="R59" i="37" s="1"/>
  <c r="AF14" i="12"/>
  <c r="E88" i="37" s="1"/>
  <c r="T59" i="37" s="1"/>
  <c r="B60" i="37"/>
  <c r="C60" i="37"/>
  <c r="D60" i="37"/>
  <c r="E60" i="37"/>
  <c r="F60" i="37"/>
  <c r="G60" i="37"/>
  <c r="H60" i="37"/>
  <c r="I60" i="37"/>
  <c r="J60" i="37"/>
  <c r="K60" i="37"/>
  <c r="AM15" i="12"/>
  <c r="AC15" i="12"/>
  <c r="F79" i="37"/>
  <c r="N60" i="37"/>
  <c r="AD15" i="12"/>
  <c r="F82" i="37"/>
  <c r="P60" i="37"/>
  <c r="AN15" i="12"/>
  <c r="AE15" i="12" s="1"/>
  <c r="F85" i="37" s="1"/>
  <c r="R60" i="37" s="1"/>
  <c r="AF15" i="12"/>
  <c r="F88" i="37" s="1"/>
  <c r="T60" i="37" s="1"/>
  <c r="B61" i="37"/>
  <c r="C61" i="37"/>
  <c r="D61" i="37"/>
  <c r="E61" i="37"/>
  <c r="F61" i="37"/>
  <c r="G61" i="37"/>
  <c r="H61" i="37"/>
  <c r="I61" i="37"/>
  <c r="J61" i="37"/>
  <c r="K61" i="37"/>
  <c r="AM16" i="12"/>
  <c r="AC16" i="12"/>
  <c r="G79" i="37"/>
  <c r="N61" i="37"/>
  <c r="AD16" i="12"/>
  <c r="G82" i="37"/>
  <c r="P61" i="37"/>
  <c r="AN16" i="12"/>
  <c r="AE16" i="12" s="1"/>
  <c r="G85" i="37" s="1"/>
  <c r="R61" i="37" s="1"/>
  <c r="AF16" i="12"/>
  <c r="G88" i="37" s="1"/>
  <c r="T61" i="37" s="1"/>
  <c r="B62" i="37"/>
  <c r="C62" i="37"/>
  <c r="D62" i="37"/>
  <c r="E62" i="37"/>
  <c r="F62" i="37"/>
  <c r="G62" i="37"/>
  <c r="H62" i="37"/>
  <c r="I62" i="37"/>
  <c r="J62" i="37"/>
  <c r="K62" i="37"/>
  <c r="AM17" i="12"/>
  <c r="AC17" i="12"/>
  <c r="H79" i="37"/>
  <c r="N62" i="37"/>
  <c r="AD17" i="12"/>
  <c r="H82" i="37"/>
  <c r="P62" i="37"/>
  <c r="AN17" i="12"/>
  <c r="AE17" i="12" s="1"/>
  <c r="H85" i="37" s="1"/>
  <c r="R62" i="37" s="1"/>
  <c r="AF17" i="12"/>
  <c r="H88" i="37" s="1"/>
  <c r="T62" i="37" s="1"/>
  <c r="B63" i="37"/>
  <c r="C63" i="37"/>
  <c r="D63" i="37"/>
  <c r="E63" i="37"/>
  <c r="F63" i="37"/>
  <c r="G63" i="37"/>
  <c r="H63" i="37"/>
  <c r="I63" i="37"/>
  <c r="J63" i="37"/>
  <c r="K63" i="37"/>
  <c r="AM18" i="12"/>
  <c r="AC18" i="12"/>
  <c r="I79" i="37"/>
  <c r="N63" i="37"/>
  <c r="AD18" i="12"/>
  <c r="I82" i="37"/>
  <c r="P63" i="37"/>
  <c r="AN18" i="12"/>
  <c r="AE18" i="12" s="1"/>
  <c r="I85" i="37" s="1"/>
  <c r="R63" i="37" s="1"/>
  <c r="AF18" i="12"/>
  <c r="I88" i="37" s="1"/>
  <c r="T63" i="37" s="1"/>
  <c r="B64" i="37"/>
  <c r="C64" i="37"/>
  <c r="D64" i="37"/>
  <c r="E64" i="37"/>
  <c r="F64" i="37"/>
  <c r="G64" i="37"/>
  <c r="H64" i="37"/>
  <c r="I64" i="37"/>
  <c r="J64" i="37"/>
  <c r="K64" i="37"/>
  <c r="B65" i="37"/>
  <c r="C65" i="37"/>
  <c r="D65" i="37"/>
  <c r="E65" i="37"/>
  <c r="F65" i="37"/>
  <c r="G65" i="37"/>
  <c r="H65" i="37"/>
  <c r="I65" i="37"/>
  <c r="J65" i="37"/>
  <c r="K65" i="37"/>
  <c r="AM20" i="12"/>
  <c r="AC20" i="12"/>
  <c r="K79" i="37" s="1"/>
  <c r="N65" i="37" s="1"/>
  <c r="AD20" i="12"/>
  <c r="AF20" i="12" s="1"/>
  <c r="K88" i="37" s="1"/>
  <c r="T65" i="37" s="1"/>
  <c r="K82" i="37"/>
  <c r="P65" i="37" s="1"/>
  <c r="AN20" i="12"/>
  <c r="AE20" i="12"/>
  <c r="K85" i="37"/>
  <c r="R65" i="37" s="1"/>
  <c r="B66" i="37"/>
  <c r="C66" i="37"/>
  <c r="D66" i="37"/>
  <c r="E66" i="37"/>
  <c r="F66" i="37"/>
  <c r="G66" i="37"/>
  <c r="H66" i="37"/>
  <c r="I66" i="37"/>
  <c r="J66" i="37"/>
  <c r="K66" i="37"/>
  <c r="AM22" i="12"/>
  <c r="AC22" i="12"/>
  <c r="B80" i="37" s="1"/>
  <c r="N66" i="37" s="1"/>
  <c r="AD22" i="12"/>
  <c r="AF22" i="12" s="1"/>
  <c r="B89" i="37" s="1"/>
  <c r="T66" i="37" s="1"/>
  <c r="B83" i="37"/>
  <c r="P66" i="37" s="1"/>
  <c r="AN22" i="12"/>
  <c r="AE22" i="12"/>
  <c r="B86" i="37"/>
  <c r="R66" i="37" s="1"/>
  <c r="B67" i="37"/>
  <c r="C67" i="37"/>
  <c r="D67" i="37"/>
  <c r="E67" i="37"/>
  <c r="F67" i="37"/>
  <c r="G67" i="37"/>
  <c r="H67" i="37"/>
  <c r="I67" i="37"/>
  <c r="J67" i="37"/>
  <c r="K67" i="37"/>
  <c r="AM23" i="12"/>
  <c r="AC23" i="12"/>
  <c r="C80" i="37" s="1"/>
  <c r="N67" i="37" s="1"/>
  <c r="AD23" i="12"/>
  <c r="AF23" i="12" s="1"/>
  <c r="C89" i="37" s="1"/>
  <c r="T67" i="37" s="1"/>
  <c r="C83" i="37"/>
  <c r="P67" i="37" s="1"/>
  <c r="AN23" i="12"/>
  <c r="AE23" i="12"/>
  <c r="C86" i="37"/>
  <c r="R67" i="37" s="1"/>
  <c r="B68" i="37"/>
  <c r="C68" i="37"/>
  <c r="D68" i="37"/>
  <c r="E68" i="37"/>
  <c r="F68" i="37"/>
  <c r="G68" i="37"/>
  <c r="H68" i="37"/>
  <c r="I68" i="37"/>
  <c r="J68" i="37"/>
  <c r="K68" i="37"/>
  <c r="AM24" i="12"/>
  <c r="AC24" i="12"/>
  <c r="D80" i="37" s="1"/>
  <c r="N68" i="37" s="1"/>
  <c r="AD24" i="12"/>
  <c r="AF24" i="12" s="1"/>
  <c r="D89" i="37" s="1"/>
  <c r="T68" i="37" s="1"/>
  <c r="D83" i="37"/>
  <c r="P68" i="37" s="1"/>
  <c r="AN24" i="12"/>
  <c r="AE24" i="12"/>
  <c r="D86" i="37"/>
  <c r="R68" i="37" s="1"/>
  <c r="B69" i="37"/>
  <c r="C69" i="37"/>
  <c r="D69" i="37"/>
  <c r="E69" i="37"/>
  <c r="F69" i="37"/>
  <c r="G69" i="37"/>
  <c r="H69" i="37"/>
  <c r="I69" i="37"/>
  <c r="J69" i="37"/>
  <c r="K69" i="37"/>
  <c r="AM25" i="12"/>
  <c r="AC25" i="12"/>
  <c r="E80" i="37" s="1"/>
  <c r="N69" i="37" s="1"/>
  <c r="AD25" i="12"/>
  <c r="AF25" i="12" s="1"/>
  <c r="E89" i="37" s="1"/>
  <c r="T69" i="37" s="1"/>
  <c r="E83" i="37"/>
  <c r="P69" i="37" s="1"/>
  <c r="AN25" i="12"/>
  <c r="AE25" i="12"/>
  <c r="E86" i="37"/>
  <c r="R69" i="37" s="1"/>
  <c r="B70" i="37"/>
  <c r="C70" i="37"/>
  <c r="D70" i="37"/>
  <c r="E70" i="37"/>
  <c r="F70" i="37"/>
  <c r="G70" i="37"/>
  <c r="H70" i="37"/>
  <c r="I70" i="37"/>
  <c r="J70" i="37"/>
  <c r="K70" i="37"/>
  <c r="AM26" i="12"/>
  <c r="AC26" i="12"/>
  <c r="F80" i="37" s="1"/>
  <c r="N70" i="37" s="1"/>
  <c r="AD26" i="12"/>
  <c r="AF26" i="12" s="1"/>
  <c r="F89" i="37" s="1"/>
  <c r="T70" i="37" s="1"/>
  <c r="F83" i="37"/>
  <c r="P70" i="37" s="1"/>
  <c r="AN26" i="12"/>
  <c r="AE26" i="12"/>
  <c r="F86" i="37"/>
  <c r="R70" i="37" s="1"/>
  <c r="B71" i="37"/>
  <c r="C71" i="37"/>
  <c r="D71" i="37"/>
  <c r="E71" i="37"/>
  <c r="F71" i="37"/>
  <c r="G71" i="37"/>
  <c r="H71" i="37"/>
  <c r="I71" i="37"/>
  <c r="J71" i="37"/>
  <c r="K71" i="37"/>
  <c r="AM27" i="12"/>
  <c r="AC27" i="12"/>
  <c r="G80" i="37" s="1"/>
  <c r="N71" i="37" s="1"/>
  <c r="AD27" i="12"/>
  <c r="AF27" i="12" s="1"/>
  <c r="G89" i="37" s="1"/>
  <c r="T71" i="37" s="1"/>
  <c r="G83" i="37"/>
  <c r="P71" i="37" s="1"/>
  <c r="AN27" i="12"/>
  <c r="AE27" i="12"/>
  <c r="G86" i="37"/>
  <c r="R71" i="37" s="1"/>
  <c r="B72" i="37"/>
  <c r="C72" i="37"/>
  <c r="D72" i="37"/>
  <c r="E72" i="37"/>
  <c r="F72" i="37"/>
  <c r="G72" i="37"/>
  <c r="H72" i="37"/>
  <c r="I72" i="37"/>
  <c r="J72" i="37"/>
  <c r="K72" i="37"/>
  <c r="AM28" i="12"/>
  <c r="AC28" i="12"/>
  <c r="H80" i="37" s="1"/>
  <c r="N72" i="37" s="1"/>
  <c r="AD28" i="12"/>
  <c r="AF28" i="12" s="1"/>
  <c r="H89" i="37" s="1"/>
  <c r="T72" i="37" s="1"/>
  <c r="H83" i="37"/>
  <c r="P72" i="37" s="1"/>
  <c r="AN28" i="12"/>
  <c r="AE28" i="12"/>
  <c r="H86" i="37"/>
  <c r="R72" i="37" s="1"/>
  <c r="AM29" i="12"/>
  <c r="AC29" i="12"/>
  <c r="I80" i="37"/>
  <c r="N73" i="37"/>
  <c r="AD29" i="12"/>
  <c r="I83" i="37"/>
  <c r="P73" i="37"/>
  <c r="AN29" i="12"/>
  <c r="AF29" i="12" s="1"/>
  <c r="I89" i="37" s="1"/>
  <c r="T73" i="37" s="1"/>
  <c r="AE29" i="12"/>
  <c r="I86" i="37" s="1"/>
  <c r="R73" i="37" s="1"/>
  <c r="AM30" i="12"/>
  <c r="AC30" i="12"/>
  <c r="J80" i="37" s="1"/>
  <c r="N74" i="37" s="1"/>
  <c r="AD30" i="12"/>
  <c r="AF30" i="12" s="1"/>
  <c r="J89" i="37" s="1"/>
  <c r="T74" i="37" s="1"/>
  <c r="J83" i="37"/>
  <c r="P74" i="37" s="1"/>
  <c r="AN30" i="12"/>
  <c r="AE30" i="12"/>
  <c r="J86" i="37"/>
  <c r="R74" i="37" s="1"/>
  <c r="AM31" i="12"/>
  <c r="AC31" i="12"/>
  <c r="K80" i="37"/>
  <c r="N75" i="37"/>
  <c r="AD31" i="12"/>
  <c r="K83" i="37"/>
  <c r="P75" i="37"/>
  <c r="AN31" i="12"/>
  <c r="AF31" i="12" s="1"/>
  <c r="K89" i="37" s="1"/>
  <c r="T75" i="37" s="1"/>
  <c r="AE31" i="12"/>
  <c r="K86" i="37" s="1"/>
  <c r="R75" i="37" s="1"/>
  <c r="B76" i="37"/>
  <c r="C76" i="37"/>
  <c r="D76" i="37"/>
  <c r="E76" i="37"/>
  <c r="F76" i="37"/>
  <c r="G76" i="37"/>
  <c r="H76" i="37"/>
  <c r="I76" i="37"/>
  <c r="K76" i="37"/>
  <c r="AM33" i="12"/>
  <c r="AC33" i="12" s="1"/>
  <c r="B81" i="37" s="1"/>
  <c r="N76" i="37" s="1"/>
  <c r="AD33" i="12"/>
  <c r="AF33" i="12" s="1"/>
  <c r="B90" i="37" s="1"/>
  <c r="T76" i="37" s="1"/>
  <c r="B84" i="37"/>
  <c r="P76" i="37" s="1"/>
  <c r="AN33" i="12"/>
  <c r="AE33" i="12"/>
  <c r="B87" i="37"/>
  <c r="R76" i="37" s="1"/>
  <c r="B77" i="37"/>
  <c r="C77" i="37"/>
  <c r="D77" i="37"/>
  <c r="E77" i="37"/>
  <c r="F77" i="37"/>
  <c r="G77" i="37"/>
  <c r="H77" i="37"/>
  <c r="I77" i="37"/>
  <c r="J77" i="37"/>
  <c r="K77" i="37"/>
  <c r="AM34" i="12"/>
  <c r="AC34" i="12" s="1"/>
  <c r="AN34" i="12"/>
  <c r="AE34" i="12"/>
  <c r="B78" i="37"/>
  <c r="C78" i="37"/>
  <c r="E78" i="37"/>
  <c r="F78" i="37"/>
  <c r="G78" i="37"/>
  <c r="H78" i="37"/>
  <c r="I78" i="37"/>
  <c r="J78" i="37"/>
  <c r="K78" i="37"/>
  <c r="AM36" i="12"/>
  <c r="AC36" i="12"/>
  <c r="E81" i="37"/>
  <c r="N79" i="37"/>
  <c r="AD36" i="12"/>
  <c r="E84" i="37"/>
  <c r="P79" i="37"/>
  <c r="AN36" i="12"/>
  <c r="AE36" i="12" s="1"/>
  <c r="E87" i="37" s="1"/>
  <c r="R79" i="37" s="1"/>
  <c r="AF36" i="12"/>
  <c r="E90" i="37" s="1"/>
  <c r="T79" i="37" s="1"/>
  <c r="AM37" i="12"/>
  <c r="AC37" i="12"/>
  <c r="F81" i="37" s="1"/>
  <c r="N80" i="37" s="1"/>
  <c r="AD37" i="12"/>
  <c r="AF37" i="12"/>
  <c r="F90" i="37" s="1"/>
  <c r="T80" i="37" s="1"/>
  <c r="F84" i="37"/>
  <c r="P80" i="37"/>
  <c r="AN37" i="12"/>
  <c r="AE37" i="12"/>
  <c r="F87" i="37"/>
  <c r="R80" i="37"/>
  <c r="AM38" i="12"/>
  <c r="AC38" i="12"/>
  <c r="G81" i="37"/>
  <c r="N81" i="37"/>
  <c r="AM39" i="12"/>
  <c r="AC39" i="12"/>
  <c r="H81" i="37"/>
  <c r="N82" i="37"/>
  <c r="AM40" i="12"/>
  <c r="AC40" i="12"/>
  <c r="I81" i="37"/>
  <c r="N83" i="37"/>
  <c r="AM41" i="12"/>
  <c r="AC41" i="12"/>
  <c r="J81" i="37"/>
  <c r="N84" i="37"/>
  <c r="AM42" i="12"/>
  <c r="AD42" i="12"/>
  <c r="AD38" i="12"/>
  <c r="AF38" i="12" s="1"/>
  <c r="G90" i="37" s="1"/>
  <c r="T81" i="37" s="1"/>
  <c r="G84" i="37"/>
  <c r="P81" i="37" s="1"/>
  <c r="AN38" i="12"/>
  <c r="AE38" i="12"/>
  <c r="G87" i="37"/>
  <c r="R81" i="37" s="1"/>
  <c r="AD39" i="12"/>
  <c r="AF39" i="12"/>
  <c r="H90" i="37"/>
  <c r="T82" i="37"/>
  <c r="AN39" i="12"/>
  <c r="AE39" i="12"/>
  <c r="H87" i="37"/>
  <c r="R82" i="37"/>
  <c r="AD40" i="12"/>
  <c r="I84" i="37"/>
  <c r="P83" i="37"/>
  <c r="AN40" i="12"/>
  <c r="AF40" i="12" s="1"/>
  <c r="I90" i="37" s="1"/>
  <c r="T83" i="37" s="1"/>
  <c r="AE40" i="12"/>
  <c r="I87" i="37" s="1"/>
  <c r="R83" i="37" s="1"/>
  <c r="AD41" i="12"/>
  <c r="AF41" i="12"/>
  <c r="J90" i="37" s="1"/>
  <c r="T84" i="37" s="1"/>
  <c r="AN41" i="12"/>
  <c r="AE41" i="12"/>
  <c r="J87" i="37" s="1"/>
  <c r="R84" i="37" s="1"/>
  <c r="AN42" i="12"/>
  <c r="AE42" i="12"/>
  <c r="K87" i="37" s="1"/>
  <c r="R85" i="37" s="1"/>
  <c r="A1" i="36"/>
  <c r="N2" i="36"/>
  <c r="B1" i="36"/>
  <c r="W7" i="11"/>
  <c r="B2" i="36"/>
  <c r="Z7" i="11"/>
  <c r="C2" i="36" s="1"/>
  <c r="D2" i="36"/>
  <c r="O2" i="36"/>
  <c r="B4" i="36"/>
  <c r="C4" i="36"/>
  <c r="D4" i="36"/>
  <c r="E4" i="36"/>
  <c r="F4" i="36"/>
  <c r="G4" i="36"/>
  <c r="H4" i="36"/>
  <c r="I4" i="36"/>
  <c r="J4" i="36"/>
  <c r="K4" i="36"/>
  <c r="B5" i="36"/>
  <c r="C5" i="36"/>
  <c r="D5" i="36"/>
  <c r="E5" i="36"/>
  <c r="F5" i="36"/>
  <c r="G5" i="36"/>
  <c r="H5" i="36"/>
  <c r="I5" i="36"/>
  <c r="J5" i="36"/>
  <c r="K5" i="36"/>
  <c r="B6" i="36"/>
  <c r="C6" i="36"/>
  <c r="D6" i="36"/>
  <c r="E6" i="36"/>
  <c r="F6" i="36"/>
  <c r="G6" i="36"/>
  <c r="H6" i="36"/>
  <c r="I6" i="36"/>
  <c r="J6" i="36"/>
  <c r="B7" i="36"/>
  <c r="C7" i="36"/>
  <c r="D7" i="36"/>
  <c r="E7" i="36"/>
  <c r="F7" i="36"/>
  <c r="G7" i="36"/>
  <c r="H7" i="36"/>
  <c r="I7" i="36"/>
  <c r="J7" i="36"/>
  <c r="K7" i="36"/>
  <c r="B8" i="36"/>
  <c r="C8" i="36"/>
  <c r="D8" i="36"/>
  <c r="E8" i="36"/>
  <c r="F8" i="36"/>
  <c r="G8" i="36"/>
  <c r="H8" i="36"/>
  <c r="I8" i="36"/>
  <c r="J8" i="36"/>
  <c r="K8" i="36"/>
  <c r="B9" i="36"/>
  <c r="C9" i="36"/>
  <c r="D9" i="36"/>
  <c r="E9" i="36"/>
  <c r="F9" i="36"/>
  <c r="G9" i="36"/>
  <c r="H9" i="36"/>
  <c r="I9" i="36"/>
  <c r="J9" i="36"/>
  <c r="B10" i="36"/>
  <c r="C10" i="36"/>
  <c r="D10" i="36"/>
  <c r="E10" i="36"/>
  <c r="F10" i="36"/>
  <c r="G10" i="36"/>
  <c r="H10" i="36"/>
  <c r="I10" i="36"/>
  <c r="J10" i="36"/>
  <c r="K10" i="36"/>
  <c r="B11" i="36"/>
  <c r="C11" i="36"/>
  <c r="D11" i="36"/>
  <c r="E11" i="36"/>
  <c r="F11" i="36"/>
  <c r="G11" i="36"/>
  <c r="H11" i="36"/>
  <c r="I11" i="36"/>
  <c r="J11" i="36"/>
  <c r="K11" i="36"/>
  <c r="B12" i="36"/>
  <c r="C12" i="36"/>
  <c r="D12" i="36"/>
  <c r="E12" i="36"/>
  <c r="F12" i="36"/>
  <c r="G12" i="36"/>
  <c r="H12" i="36"/>
  <c r="I12" i="36"/>
  <c r="J12" i="36"/>
  <c r="B13" i="36"/>
  <c r="C13" i="36"/>
  <c r="D13" i="36"/>
  <c r="E13" i="36"/>
  <c r="F13" i="36"/>
  <c r="G13" i="36"/>
  <c r="H13" i="36"/>
  <c r="I13" i="36"/>
  <c r="J13" i="36"/>
  <c r="K13" i="36"/>
  <c r="B14" i="36"/>
  <c r="C14" i="36"/>
  <c r="D14" i="36"/>
  <c r="E14" i="36"/>
  <c r="F14" i="36"/>
  <c r="G14" i="36"/>
  <c r="H14" i="36"/>
  <c r="I14" i="36"/>
  <c r="J14" i="36"/>
  <c r="K14" i="36"/>
  <c r="B15" i="36"/>
  <c r="C15" i="36"/>
  <c r="D15" i="36"/>
  <c r="E15" i="36"/>
  <c r="F15" i="36"/>
  <c r="G15" i="36"/>
  <c r="H15" i="36"/>
  <c r="I15" i="36"/>
  <c r="J15" i="36"/>
  <c r="B16" i="36"/>
  <c r="C16" i="36"/>
  <c r="D16" i="36"/>
  <c r="E16" i="36"/>
  <c r="F16" i="36"/>
  <c r="G16" i="36"/>
  <c r="H16" i="36"/>
  <c r="I16" i="36"/>
  <c r="J16" i="36"/>
  <c r="K16" i="36"/>
  <c r="B17" i="36"/>
  <c r="C17" i="36"/>
  <c r="D17" i="36"/>
  <c r="E17" i="36"/>
  <c r="F17" i="36"/>
  <c r="G17" i="36"/>
  <c r="H17" i="36"/>
  <c r="I17" i="36"/>
  <c r="J17" i="36"/>
  <c r="K17" i="36"/>
  <c r="B18" i="36"/>
  <c r="C18" i="36"/>
  <c r="D18" i="36"/>
  <c r="E18" i="36"/>
  <c r="F18" i="36"/>
  <c r="G18" i="36"/>
  <c r="H18" i="36"/>
  <c r="I18" i="36"/>
  <c r="J18" i="36"/>
  <c r="B19" i="36"/>
  <c r="C19" i="36"/>
  <c r="D19" i="36"/>
  <c r="E19" i="36"/>
  <c r="F19" i="36"/>
  <c r="G19" i="36"/>
  <c r="H19" i="36"/>
  <c r="I19" i="36"/>
  <c r="J19" i="36"/>
  <c r="K19" i="36"/>
  <c r="B20" i="36"/>
  <c r="C20" i="36"/>
  <c r="D20" i="36"/>
  <c r="E20" i="36"/>
  <c r="F20" i="36"/>
  <c r="G20" i="36"/>
  <c r="H20" i="36"/>
  <c r="I20" i="36"/>
  <c r="J20" i="36"/>
  <c r="K20" i="36"/>
  <c r="B21" i="36"/>
  <c r="C21" i="36"/>
  <c r="D21" i="36"/>
  <c r="E21" i="36"/>
  <c r="F21" i="36"/>
  <c r="G21" i="36"/>
  <c r="H21" i="36"/>
  <c r="I21" i="36"/>
  <c r="J21" i="36"/>
  <c r="B22" i="36"/>
  <c r="C22" i="36"/>
  <c r="D22" i="36"/>
  <c r="E22" i="36"/>
  <c r="F22" i="36"/>
  <c r="G22" i="36"/>
  <c r="H22" i="36"/>
  <c r="I22" i="36"/>
  <c r="J22" i="36"/>
  <c r="K22" i="36"/>
  <c r="B23" i="36"/>
  <c r="C23" i="36"/>
  <c r="D23" i="36"/>
  <c r="E23" i="36"/>
  <c r="F23" i="36"/>
  <c r="G23" i="36"/>
  <c r="H23" i="36"/>
  <c r="I23" i="36"/>
  <c r="J23" i="36"/>
  <c r="K23" i="36"/>
  <c r="B24" i="36"/>
  <c r="C24" i="36"/>
  <c r="D24" i="36"/>
  <c r="E24" i="36"/>
  <c r="F24" i="36"/>
  <c r="G24" i="36"/>
  <c r="H24" i="36"/>
  <c r="I24" i="36"/>
  <c r="J24" i="36"/>
  <c r="B25" i="36"/>
  <c r="C25" i="36"/>
  <c r="D25" i="36"/>
  <c r="E25" i="36"/>
  <c r="F25" i="36"/>
  <c r="G25" i="36"/>
  <c r="H25" i="36"/>
  <c r="I25" i="36"/>
  <c r="J25" i="36"/>
  <c r="K25" i="36"/>
  <c r="B26" i="36"/>
  <c r="C26" i="36"/>
  <c r="D26" i="36"/>
  <c r="E26" i="36"/>
  <c r="F26" i="36"/>
  <c r="G26" i="36"/>
  <c r="H26" i="36"/>
  <c r="I26" i="36"/>
  <c r="J26" i="36"/>
  <c r="K26" i="36"/>
  <c r="B27" i="36"/>
  <c r="C27" i="36"/>
  <c r="D27" i="36"/>
  <c r="E27" i="36"/>
  <c r="F27" i="36"/>
  <c r="G27" i="36"/>
  <c r="H27" i="36"/>
  <c r="I27" i="36"/>
  <c r="J27" i="36"/>
  <c r="B28" i="36"/>
  <c r="C28" i="36"/>
  <c r="D28" i="36"/>
  <c r="E28" i="36"/>
  <c r="F28" i="36"/>
  <c r="G28" i="36"/>
  <c r="H28" i="36"/>
  <c r="I28" i="36"/>
  <c r="J28" i="36"/>
  <c r="K28" i="36"/>
  <c r="B29" i="36"/>
  <c r="C29" i="36"/>
  <c r="D29" i="36"/>
  <c r="E29" i="36"/>
  <c r="F29" i="36"/>
  <c r="G29" i="36"/>
  <c r="H29" i="36"/>
  <c r="I29" i="36"/>
  <c r="J29" i="36"/>
  <c r="K29" i="36"/>
  <c r="B30" i="36"/>
  <c r="C30" i="36"/>
  <c r="D30" i="36"/>
  <c r="E30" i="36"/>
  <c r="F30" i="36"/>
  <c r="G30" i="36"/>
  <c r="H30" i="36"/>
  <c r="I30" i="36"/>
  <c r="J30" i="36"/>
  <c r="B31" i="36"/>
  <c r="C31" i="36"/>
  <c r="D31" i="36"/>
  <c r="E31" i="36"/>
  <c r="F31" i="36"/>
  <c r="G31" i="36"/>
  <c r="H31" i="36"/>
  <c r="I31" i="36"/>
  <c r="J31" i="36"/>
  <c r="K31" i="36"/>
  <c r="B32" i="36"/>
  <c r="C32" i="36"/>
  <c r="D32" i="36"/>
  <c r="E32" i="36"/>
  <c r="F32" i="36"/>
  <c r="G32" i="36"/>
  <c r="H32" i="36"/>
  <c r="I32" i="36"/>
  <c r="J32" i="36"/>
  <c r="K32" i="36"/>
  <c r="B33" i="36"/>
  <c r="C33" i="36"/>
  <c r="D33" i="36"/>
  <c r="E33" i="36"/>
  <c r="F33" i="36"/>
  <c r="G33" i="36"/>
  <c r="H33" i="36"/>
  <c r="I33" i="36"/>
  <c r="J33" i="36"/>
  <c r="B34" i="36"/>
  <c r="C34" i="36"/>
  <c r="D34" i="36"/>
  <c r="E34" i="36"/>
  <c r="F34" i="36"/>
  <c r="G34" i="36"/>
  <c r="H34" i="36"/>
  <c r="I34" i="36"/>
  <c r="J34" i="36"/>
  <c r="K34" i="36"/>
  <c r="B35" i="36"/>
  <c r="C35" i="36"/>
  <c r="D35" i="36"/>
  <c r="E35" i="36"/>
  <c r="F35" i="36"/>
  <c r="G35" i="36"/>
  <c r="H35" i="36"/>
  <c r="I35" i="36"/>
  <c r="J35" i="36"/>
  <c r="K35" i="36"/>
  <c r="B36" i="36"/>
  <c r="C36" i="36"/>
  <c r="D36" i="36"/>
  <c r="E36" i="36"/>
  <c r="F36" i="36"/>
  <c r="G36" i="36"/>
  <c r="H36" i="36"/>
  <c r="I36" i="36"/>
  <c r="J36" i="36"/>
  <c r="B37" i="36"/>
  <c r="C37" i="36"/>
  <c r="D37" i="36"/>
  <c r="E37" i="36"/>
  <c r="F37" i="36"/>
  <c r="G37" i="36"/>
  <c r="H37" i="36"/>
  <c r="I37" i="36"/>
  <c r="J37" i="36"/>
  <c r="K37" i="36"/>
  <c r="B38" i="36"/>
  <c r="C38" i="36"/>
  <c r="D38" i="36"/>
  <c r="E38" i="36"/>
  <c r="F38" i="36"/>
  <c r="G38" i="36"/>
  <c r="H38" i="36"/>
  <c r="I38" i="36"/>
  <c r="J38" i="36"/>
  <c r="K38" i="36"/>
  <c r="B39" i="36"/>
  <c r="C39" i="36"/>
  <c r="D39" i="36"/>
  <c r="E39" i="36"/>
  <c r="F39" i="36"/>
  <c r="G39" i="36"/>
  <c r="H39" i="36"/>
  <c r="I39" i="36"/>
  <c r="J39" i="36"/>
  <c r="B40" i="36"/>
  <c r="C40" i="36"/>
  <c r="D40" i="36"/>
  <c r="E40" i="36"/>
  <c r="F40" i="36"/>
  <c r="G40" i="36"/>
  <c r="H40" i="36"/>
  <c r="I40" i="36"/>
  <c r="J40" i="36"/>
  <c r="K40" i="36"/>
  <c r="B41" i="36"/>
  <c r="C41" i="36"/>
  <c r="D41" i="36"/>
  <c r="E41" i="36"/>
  <c r="F41" i="36"/>
  <c r="G41" i="36"/>
  <c r="H41" i="36"/>
  <c r="I41" i="36"/>
  <c r="J41" i="36"/>
  <c r="K41" i="36"/>
  <c r="B42" i="36"/>
  <c r="C42" i="36"/>
  <c r="D42" i="36"/>
  <c r="E42" i="36"/>
  <c r="F42" i="36"/>
  <c r="G42" i="36"/>
  <c r="H42" i="36"/>
  <c r="I42" i="36"/>
  <c r="J42" i="36"/>
  <c r="B43" i="36"/>
  <c r="C43" i="36"/>
  <c r="D43" i="36"/>
  <c r="E43" i="36"/>
  <c r="F43" i="36"/>
  <c r="G43" i="36"/>
  <c r="H43" i="36"/>
  <c r="I43" i="36"/>
  <c r="J43" i="36"/>
  <c r="K43" i="36"/>
  <c r="B44" i="36"/>
  <c r="C44" i="36"/>
  <c r="D44" i="36"/>
  <c r="E44" i="36"/>
  <c r="F44" i="36"/>
  <c r="G44" i="36"/>
  <c r="H44" i="36"/>
  <c r="I44" i="36"/>
  <c r="J44" i="36"/>
  <c r="K44" i="36"/>
  <c r="B45" i="36"/>
  <c r="C45" i="36"/>
  <c r="D45" i="36"/>
  <c r="E45" i="36"/>
  <c r="F45" i="36"/>
  <c r="G45" i="36"/>
  <c r="H45" i="36"/>
  <c r="I45" i="36"/>
  <c r="J45" i="36"/>
  <c r="B46" i="36"/>
  <c r="C46" i="36"/>
  <c r="D46" i="36"/>
  <c r="E46" i="36"/>
  <c r="F46" i="36"/>
  <c r="G46" i="36"/>
  <c r="H46" i="36"/>
  <c r="I46" i="36"/>
  <c r="J46" i="36"/>
  <c r="K46" i="36"/>
  <c r="B47" i="36"/>
  <c r="C47" i="36"/>
  <c r="D47" i="36"/>
  <c r="E47" i="36"/>
  <c r="F47" i="36"/>
  <c r="G47" i="36"/>
  <c r="H47" i="36"/>
  <c r="I47" i="36"/>
  <c r="J47" i="36"/>
  <c r="K47" i="36"/>
  <c r="B48" i="36"/>
  <c r="C48" i="36"/>
  <c r="D48" i="36"/>
  <c r="E48" i="36"/>
  <c r="F48" i="36"/>
  <c r="G48" i="36"/>
  <c r="H48" i="36"/>
  <c r="I48" i="36"/>
  <c r="J48" i="36"/>
  <c r="B49" i="36"/>
  <c r="C49" i="36"/>
  <c r="D49" i="36"/>
  <c r="E49" i="36"/>
  <c r="F49" i="36"/>
  <c r="G49" i="36"/>
  <c r="H49" i="36"/>
  <c r="I49" i="36"/>
  <c r="J49" i="36"/>
  <c r="K49" i="36"/>
  <c r="B50" i="36"/>
  <c r="C50" i="36"/>
  <c r="D50" i="36"/>
  <c r="E50" i="36"/>
  <c r="F50" i="36"/>
  <c r="G50" i="36"/>
  <c r="H50" i="36"/>
  <c r="I50" i="36"/>
  <c r="J50" i="36"/>
  <c r="K50" i="36"/>
  <c r="B51" i="36"/>
  <c r="C51" i="36"/>
  <c r="D51" i="36"/>
  <c r="E51" i="36"/>
  <c r="F51" i="36"/>
  <c r="G51" i="36"/>
  <c r="H51" i="36"/>
  <c r="I51" i="36"/>
  <c r="J51" i="36"/>
  <c r="B52" i="36"/>
  <c r="C52" i="36"/>
  <c r="D52" i="36"/>
  <c r="E52" i="36"/>
  <c r="F52" i="36"/>
  <c r="G52" i="36"/>
  <c r="H52" i="36"/>
  <c r="I52" i="36"/>
  <c r="J52" i="36"/>
  <c r="K52" i="36"/>
  <c r="B53" i="36"/>
  <c r="C53" i="36"/>
  <c r="D53" i="36"/>
  <c r="E53" i="36"/>
  <c r="F53" i="36"/>
  <c r="G53" i="36"/>
  <c r="H53" i="36"/>
  <c r="I53" i="36"/>
  <c r="J53" i="36"/>
  <c r="K53" i="36"/>
  <c r="B54" i="36"/>
  <c r="C54" i="36"/>
  <c r="D54" i="36"/>
  <c r="E54" i="36"/>
  <c r="F54" i="36"/>
  <c r="G54" i="36"/>
  <c r="H54" i="36"/>
  <c r="I54" i="36"/>
  <c r="J54" i="36"/>
  <c r="B55" i="36"/>
  <c r="C55" i="36"/>
  <c r="D55" i="36"/>
  <c r="E55" i="36"/>
  <c r="F55" i="36"/>
  <c r="G55" i="36"/>
  <c r="H55" i="36"/>
  <c r="I55" i="36"/>
  <c r="J55" i="36"/>
  <c r="K55" i="36"/>
  <c r="B56" i="36"/>
  <c r="C56" i="36"/>
  <c r="D56" i="36"/>
  <c r="E56" i="36"/>
  <c r="F56" i="36"/>
  <c r="G56" i="36"/>
  <c r="H56" i="36"/>
  <c r="I56" i="36"/>
  <c r="J56" i="36"/>
  <c r="K56" i="36"/>
  <c r="AM11" i="11"/>
  <c r="AC11" i="11"/>
  <c r="B79" i="36"/>
  <c r="AD11" i="11"/>
  <c r="AF11" i="11" s="1"/>
  <c r="B88" i="36" s="1"/>
  <c r="T56" i="36" s="1"/>
  <c r="AN11" i="11"/>
  <c r="AE11" i="11"/>
  <c r="B85" i="36" s="1"/>
  <c r="B57" i="36"/>
  <c r="C57" i="36"/>
  <c r="D57" i="36"/>
  <c r="E57" i="36"/>
  <c r="F57" i="36"/>
  <c r="G57" i="36"/>
  <c r="H57" i="36"/>
  <c r="I57" i="36"/>
  <c r="J57" i="36"/>
  <c r="AM12" i="11"/>
  <c r="AC12" i="11"/>
  <c r="C79" i="36"/>
  <c r="N57" i="36" s="1"/>
  <c r="AD12" i="11"/>
  <c r="AF12" i="11" s="1"/>
  <c r="C88" i="36" s="1"/>
  <c r="T57" i="36" s="1"/>
  <c r="C82" i="36"/>
  <c r="P57" i="36"/>
  <c r="AN12" i="11"/>
  <c r="AE12" i="11"/>
  <c r="C85" i="36"/>
  <c r="R57" i="36"/>
  <c r="B58" i="36"/>
  <c r="C58" i="36"/>
  <c r="D58" i="36"/>
  <c r="E58" i="36"/>
  <c r="F58" i="36"/>
  <c r="G58" i="36"/>
  <c r="H58" i="36"/>
  <c r="I58" i="36"/>
  <c r="J58" i="36"/>
  <c r="K58" i="36"/>
  <c r="AM13" i="11"/>
  <c r="AC13" i="11"/>
  <c r="D79" i="36"/>
  <c r="N58" i="36" s="1"/>
  <c r="AD13" i="11"/>
  <c r="AF13" i="11" s="1"/>
  <c r="D88" i="36" s="1"/>
  <c r="T58" i="36" s="1"/>
  <c r="D82" i="36"/>
  <c r="P58" i="36"/>
  <c r="AN13" i="11"/>
  <c r="AE13" i="11"/>
  <c r="D85" i="36"/>
  <c r="R58" i="36"/>
  <c r="B59" i="36"/>
  <c r="C59" i="36"/>
  <c r="D59" i="36"/>
  <c r="E59" i="36"/>
  <c r="F59" i="36"/>
  <c r="G59" i="36"/>
  <c r="H59" i="36"/>
  <c r="I59" i="36"/>
  <c r="J59" i="36"/>
  <c r="K59" i="36"/>
  <c r="AM14" i="11"/>
  <c r="AC14" i="11"/>
  <c r="E79" i="36"/>
  <c r="N59" i="36" s="1"/>
  <c r="AD14" i="11"/>
  <c r="AF14" i="11" s="1"/>
  <c r="E88" i="36" s="1"/>
  <c r="T59" i="36" s="1"/>
  <c r="E82" i="36"/>
  <c r="P59" i="36"/>
  <c r="AN14" i="11"/>
  <c r="AE14" i="11"/>
  <c r="E85" i="36"/>
  <c r="R59" i="36"/>
  <c r="B60" i="36"/>
  <c r="C60" i="36"/>
  <c r="D60" i="36"/>
  <c r="E60" i="36"/>
  <c r="F60" i="36"/>
  <c r="G60" i="36"/>
  <c r="H60" i="36"/>
  <c r="I60" i="36"/>
  <c r="J60" i="36"/>
  <c r="AM15" i="11"/>
  <c r="AC15" i="11"/>
  <c r="F79" i="36"/>
  <c r="N60" i="36"/>
  <c r="AD15" i="11"/>
  <c r="AF15" i="11"/>
  <c r="F88" i="36"/>
  <c r="T60" i="36"/>
  <c r="AN15" i="11"/>
  <c r="AE15" i="11"/>
  <c r="F85" i="36"/>
  <c r="R60" i="36"/>
  <c r="B61" i="36"/>
  <c r="C61" i="36"/>
  <c r="D61" i="36"/>
  <c r="E61" i="36"/>
  <c r="F61" i="36"/>
  <c r="G61" i="36"/>
  <c r="H61" i="36"/>
  <c r="I61" i="36"/>
  <c r="J61" i="36"/>
  <c r="K61" i="36"/>
  <c r="AM16" i="11"/>
  <c r="AC16" i="11"/>
  <c r="G79" i="36" s="1"/>
  <c r="N61" i="36" s="1"/>
  <c r="AD16" i="11"/>
  <c r="AF16" i="11"/>
  <c r="G88" i="36" s="1"/>
  <c r="T61" i="36" s="1"/>
  <c r="AN16" i="11"/>
  <c r="AE16" i="11"/>
  <c r="G85" i="36" s="1"/>
  <c r="R61" i="36" s="1"/>
  <c r="B62" i="36"/>
  <c r="C62" i="36"/>
  <c r="D62" i="36"/>
  <c r="E62" i="36"/>
  <c r="F62" i="36"/>
  <c r="G62" i="36"/>
  <c r="H62" i="36"/>
  <c r="I62" i="36"/>
  <c r="J62" i="36"/>
  <c r="K62" i="36"/>
  <c r="AM17" i="11"/>
  <c r="AC17" i="11"/>
  <c r="H79" i="36"/>
  <c r="N62" i="36"/>
  <c r="AD17" i="11"/>
  <c r="AF17" i="11"/>
  <c r="H88" i="36"/>
  <c r="T62" i="36"/>
  <c r="AN17" i="11"/>
  <c r="AE17" i="11"/>
  <c r="H85" i="36"/>
  <c r="R62" i="36"/>
  <c r="B63" i="36"/>
  <c r="C63" i="36"/>
  <c r="D63" i="36"/>
  <c r="E63" i="36"/>
  <c r="F63" i="36"/>
  <c r="G63" i="36"/>
  <c r="H63" i="36"/>
  <c r="I63" i="36"/>
  <c r="J63" i="36"/>
  <c r="AM18" i="11"/>
  <c r="AC18" i="11"/>
  <c r="I79" i="36"/>
  <c r="N63" i="36" s="1"/>
  <c r="AD18" i="11"/>
  <c r="AF18" i="11" s="1"/>
  <c r="I88" i="36" s="1"/>
  <c r="T63" i="36" s="1"/>
  <c r="I82" i="36"/>
  <c r="P63" i="36"/>
  <c r="AN18" i="11"/>
  <c r="AE18" i="11"/>
  <c r="I85" i="36"/>
  <c r="R63" i="36"/>
  <c r="B64" i="36"/>
  <c r="C64" i="36"/>
  <c r="D64" i="36"/>
  <c r="E64" i="36"/>
  <c r="F64" i="36"/>
  <c r="G64" i="36"/>
  <c r="H64" i="36"/>
  <c r="I64" i="36"/>
  <c r="J64" i="36"/>
  <c r="K64" i="36"/>
  <c r="AM19" i="11"/>
  <c r="AC19" i="11"/>
  <c r="J79" i="36"/>
  <c r="N64" i="36" s="1"/>
  <c r="AD19" i="11"/>
  <c r="AF19" i="11" s="1"/>
  <c r="J88" i="36" s="1"/>
  <c r="T64" i="36" s="1"/>
  <c r="J82" i="36"/>
  <c r="P64" i="36"/>
  <c r="AN19" i="11"/>
  <c r="AE19" i="11"/>
  <c r="J85" i="36"/>
  <c r="R64" i="36"/>
  <c r="B65" i="36"/>
  <c r="C65" i="36"/>
  <c r="D65" i="36"/>
  <c r="E65" i="36"/>
  <c r="F65" i="36"/>
  <c r="G65" i="36"/>
  <c r="H65" i="36"/>
  <c r="I65" i="36"/>
  <c r="J65" i="36"/>
  <c r="K65" i="36"/>
  <c r="AM20" i="11"/>
  <c r="AC20" i="11"/>
  <c r="K79" i="36"/>
  <c r="N65" i="36" s="1"/>
  <c r="AD20" i="11"/>
  <c r="AF20" i="11" s="1"/>
  <c r="K88" i="36" s="1"/>
  <c r="T65" i="36" s="1"/>
  <c r="K82" i="36"/>
  <c r="P65" i="36"/>
  <c r="AN20" i="11"/>
  <c r="AE20" i="11"/>
  <c r="K85" i="36"/>
  <c r="R65" i="36"/>
  <c r="B66" i="36"/>
  <c r="C66" i="36"/>
  <c r="D66" i="36"/>
  <c r="E66" i="36"/>
  <c r="F66" i="36"/>
  <c r="G66" i="36"/>
  <c r="H66" i="36"/>
  <c r="I66" i="36"/>
  <c r="J66" i="36"/>
  <c r="AM22" i="11"/>
  <c r="AC22" i="11"/>
  <c r="B80" i="36"/>
  <c r="N66" i="36"/>
  <c r="AD22" i="11"/>
  <c r="B83" i="36"/>
  <c r="P66" i="36"/>
  <c r="AN22" i="11"/>
  <c r="AE22" i="11" s="1"/>
  <c r="B86" i="36" s="1"/>
  <c r="R66" i="36" s="1"/>
  <c r="AF22" i="11"/>
  <c r="B89" i="36" s="1"/>
  <c r="T66" i="36" s="1"/>
  <c r="B67" i="36"/>
  <c r="C67" i="36"/>
  <c r="D67" i="36"/>
  <c r="E67" i="36"/>
  <c r="F67" i="36"/>
  <c r="G67" i="36"/>
  <c r="H67" i="36"/>
  <c r="I67" i="36"/>
  <c r="J67" i="36"/>
  <c r="K67" i="36"/>
  <c r="AM23" i="11"/>
  <c r="AC23" i="11"/>
  <c r="C80" i="36"/>
  <c r="N67" i="36"/>
  <c r="AD23" i="11"/>
  <c r="C83" i="36"/>
  <c r="P67" i="36"/>
  <c r="AN23" i="11"/>
  <c r="AE23" i="11" s="1"/>
  <c r="C86" i="36" s="1"/>
  <c r="R67" i="36" s="1"/>
  <c r="AF23" i="11"/>
  <c r="C89" i="36" s="1"/>
  <c r="T67" i="36" s="1"/>
  <c r="B68" i="36"/>
  <c r="C68" i="36"/>
  <c r="D68" i="36"/>
  <c r="E68" i="36"/>
  <c r="F68" i="36"/>
  <c r="G68" i="36"/>
  <c r="H68" i="36"/>
  <c r="I68" i="36"/>
  <c r="J68" i="36"/>
  <c r="K68" i="36"/>
  <c r="AM24" i="11"/>
  <c r="AC24" i="11"/>
  <c r="D80" i="36"/>
  <c r="N68" i="36"/>
  <c r="AD24" i="11"/>
  <c r="D83" i="36"/>
  <c r="P68" i="36"/>
  <c r="AN24" i="11"/>
  <c r="AE24" i="11" s="1"/>
  <c r="D86" i="36" s="1"/>
  <c r="R68" i="36" s="1"/>
  <c r="AF24" i="11"/>
  <c r="D89" i="36" s="1"/>
  <c r="T68" i="36" s="1"/>
  <c r="B69" i="36"/>
  <c r="C69" i="36"/>
  <c r="D69" i="36"/>
  <c r="E69" i="36"/>
  <c r="F69" i="36"/>
  <c r="G69" i="36"/>
  <c r="H69" i="36"/>
  <c r="I69" i="36"/>
  <c r="J69" i="36"/>
  <c r="AM25" i="11"/>
  <c r="AC25" i="11" s="1"/>
  <c r="E80" i="36" s="1"/>
  <c r="N69" i="36" s="1"/>
  <c r="AD25" i="11"/>
  <c r="AF25" i="11" s="1"/>
  <c r="E89" i="36" s="1"/>
  <c r="T69" i="36" s="1"/>
  <c r="AN25" i="11"/>
  <c r="AE25" i="11"/>
  <c r="E86" i="36" s="1"/>
  <c r="R69" i="36" s="1"/>
  <c r="B70" i="36"/>
  <c r="C70" i="36"/>
  <c r="D70" i="36"/>
  <c r="E70" i="36"/>
  <c r="F70" i="36"/>
  <c r="G70" i="36"/>
  <c r="H70" i="36"/>
  <c r="I70" i="36"/>
  <c r="J70" i="36"/>
  <c r="K70" i="36"/>
  <c r="AM26" i="11"/>
  <c r="AC26" i="11" s="1"/>
  <c r="F80" i="36" s="1"/>
  <c r="N70" i="36" s="1"/>
  <c r="AD26" i="11"/>
  <c r="AF26" i="11" s="1"/>
  <c r="F89" i="36" s="1"/>
  <c r="T70" i="36" s="1"/>
  <c r="AN26" i="11"/>
  <c r="AE26" i="11"/>
  <c r="F86" i="36" s="1"/>
  <c r="R70" i="36" s="1"/>
  <c r="B71" i="36"/>
  <c r="C71" i="36"/>
  <c r="D71" i="36"/>
  <c r="E71" i="36"/>
  <c r="F71" i="36"/>
  <c r="G71" i="36"/>
  <c r="H71" i="36"/>
  <c r="I71" i="36"/>
  <c r="J71" i="36"/>
  <c r="K71" i="36"/>
  <c r="AM27" i="11"/>
  <c r="AC27" i="11" s="1"/>
  <c r="G80" i="36" s="1"/>
  <c r="N71" i="36" s="1"/>
  <c r="AD27" i="11"/>
  <c r="AF27" i="11" s="1"/>
  <c r="G89" i="36" s="1"/>
  <c r="T71" i="36" s="1"/>
  <c r="AN27" i="11"/>
  <c r="AE27" i="11"/>
  <c r="G86" i="36" s="1"/>
  <c r="R71" i="36" s="1"/>
  <c r="B72" i="36"/>
  <c r="C72" i="36"/>
  <c r="D72" i="36"/>
  <c r="E72" i="36"/>
  <c r="F72" i="36"/>
  <c r="G72" i="36"/>
  <c r="H72" i="36"/>
  <c r="I72" i="36"/>
  <c r="J72" i="36"/>
  <c r="AM28" i="11"/>
  <c r="AC28" i="11"/>
  <c r="H80" i="36" s="1"/>
  <c r="N72" i="36" s="1"/>
  <c r="AD28" i="11"/>
  <c r="AF28" i="11"/>
  <c r="H89" i="36" s="1"/>
  <c r="T72" i="36" s="1"/>
  <c r="AN28" i="11"/>
  <c r="AE28" i="11"/>
  <c r="H86" i="36" s="1"/>
  <c r="R72" i="36" s="1"/>
  <c r="AM29" i="11"/>
  <c r="AC29" i="11"/>
  <c r="I80" i="36" s="1"/>
  <c r="N73" i="36" s="1"/>
  <c r="AD29" i="11"/>
  <c r="AF29" i="11" s="1"/>
  <c r="I89" i="36" s="1"/>
  <c r="T73" i="36" s="1"/>
  <c r="I83" i="36"/>
  <c r="P73" i="36" s="1"/>
  <c r="AN29" i="11"/>
  <c r="AE29" i="11"/>
  <c r="I86" i="36"/>
  <c r="R73" i="36" s="1"/>
  <c r="AM30" i="11"/>
  <c r="AC30" i="11"/>
  <c r="J80" i="36"/>
  <c r="N74" i="36"/>
  <c r="AD30" i="11"/>
  <c r="AF30" i="11"/>
  <c r="J89" i="36"/>
  <c r="T74" i="36"/>
  <c r="AN30" i="11"/>
  <c r="AE30" i="11"/>
  <c r="J86" i="36"/>
  <c r="R74" i="36"/>
  <c r="AM31" i="11"/>
  <c r="AC31" i="11"/>
  <c r="K80" i="36"/>
  <c r="N75" i="36"/>
  <c r="AD31" i="11"/>
  <c r="K83" i="36"/>
  <c r="P75" i="36"/>
  <c r="AN31" i="11"/>
  <c r="AE31" i="11" s="1"/>
  <c r="K86" i="36" s="1"/>
  <c r="R75" i="36" s="1"/>
  <c r="AF31" i="11"/>
  <c r="K89" i="36" s="1"/>
  <c r="T75" i="36" s="1"/>
  <c r="B76" i="36"/>
  <c r="C76" i="36"/>
  <c r="D76" i="36"/>
  <c r="E76" i="36"/>
  <c r="F76" i="36"/>
  <c r="B91" i="36" s="1"/>
  <c r="G76" i="36"/>
  <c r="H76" i="36"/>
  <c r="I76" i="36"/>
  <c r="J76" i="36"/>
  <c r="K76" i="36"/>
  <c r="AM33" i="11"/>
  <c r="AC33" i="11"/>
  <c r="B81" i="36"/>
  <c r="N76" i="36" s="1"/>
  <c r="AD33" i="11"/>
  <c r="AF33" i="11" s="1"/>
  <c r="B90" i="36" s="1"/>
  <c r="T76" i="36" s="1"/>
  <c r="B84" i="36"/>
  <c r="P76" i="36"/>
  <c r="AN33" i="11"/>
  <c r="AE33" i="11"/>
  <c r="B87" i="36"/>
  <c r="R76" i="36"/>
  <c r="B77" i="36"/>
  <c r="C77" i="36"/>
  <c r="D77" i="36"/>
  <c r="E77" i="36"/>
  <c r="F77" i="36"/>
  <c r="G77" i="36"/>
  <c r="H77" i="36"/>
  <c r="I77" i="36"/>
  <c r="J77" i="36"/>
  <c r="K77" i="36"/>
  <c r="AM34" i="11"/>
  <c r="AC34" i="11"/>
  <c r="C81" i="36"/>
  <c r="N77" i="36" s="1"/>
  <c r="AD34" i="11"/>
  <c r="AF34" i="11" s="1"/>
  <c r="C90" i="36" s="1"/>
  <c r="T77" i="36" s="1"/>
  <c r="C84" i="36"/>
  <c r="P77" i="36"/>
  <c r="AN34" i="11"/>
  <c r="AE34" i="11"/>
  <c r="C87" i="36"/>
  <c r="R77" i="36"/>
  <c r="B78" i="36"/>
  <c r="C78" i="36"/>
  <c r="D78" i="36"/>
  <c r="E78" i="36"/>
  <c r="F78" i="36"/>
  <c r="G78" i="36"/>
  <c r="H78" i="36"/>
  <c r="I78" i="36"/>
  <c r="J78" i="36"/>
  <c r="K78" i="36"/>
  <c r="AM35" i="11"/>
  <c r="AC35" i="11"/>
  <c r="D81" i="36"/>
  <c r="N78" i="36" s="1"/>
  <c r="AD35" i="11"/>
  <c r="AF35" i="11" s="1"/>
  <c r="D90" i="36" s="1"/>
  <c r="T78" i="36" s="1"/>
  <c r="D84" i="36"/>
  <c r="P78" i="36"/>
  <c r="AN35" i="11"/>
  <c r="AE35" i="11"/>
  <c r="D87" i="36"/>
  <c r="R78" i="36"/>
  <c r="AM36" i="11"/>
  <c r="AC36" i="11" s="1"/>
  <c r="E81" i="36" s="1"/>
  <c r="N79" i="36" s="1"/>
  <c r="AD36" i="11"/>
  <c r="AF36" i="11" s="1"/>
  <c r="E90" i="36" s="1"/>
  <c r="T79" i="36" s="1"/>
  <c r="AN36" i="11"/>
  <c r="AE36" i="11" s="1"/>
  <c r="E87" i="36" s="1"/>
  <c r="R79" i="36" s="1"/>
  <c r="AM37" i="11"/>
  <c r="AC37" i="11" s="1"/>
  <c r="F81" i="36" s="1"/>
  <c r="N80" i="36" s="1"/>
  <c r="AD37" i="11"/>
  <c r="AF37" i="11" s="1"/>
  <c r="F90" i="36" s="1"/>
  <c r="T80" i="36" s="1"/>
  <c r="AN37" i="11"/>
  <c r="AE37" i="11"/>
  <c r="F87" i="36" s="1"/>
  <c r="R80" i="36" s="1"/>
  <c r="AM38" i="11"/>
  <c r="AC38" i="11"/>
  <c r="G81" i="36"/>
  <c r="N81" i="36" s="1"/>
  <c r="AM39" i="11"/>
  <c r="AC39" i="11"/>
  <c r="H81" i="36"/>
  <c r="N82" i="36" s="1"/>
  <c r="AM40" i="11"/>
  <c r="AC40" i="11"/>
  <c r="I81" i="36"/>
  <c r="N83" i="36" s="1"/>
  <c r="AM41" i="11"/>
  <c r="AC41" i="11"/>
  <c r="J81" i="36"/>
  <c r="N84" i="36" s="1"/>
  <c r="AM42" i="11"/>
  <c r="AC42" i="11"/>
  <c r="K81" i="36"/>
  <c r="N85" i="36" s="1"/>
  <c r="AD38" i="11"/>
  <c r="AF38" i="11"/>
  <c r="G90" i="36"/>
  <c r="T81" i="36" s="1"/>
  <c r="AN38" i="11"/>
  <c r="AE38" i="11"/>
  <c r="G87" i="36"/>
  <c r="R81" i="36" s="1"/>
  <c r="AD39" i="11"/>
  <c r="H84" i="36"/>
  <c r="P82" i="36"/>
  <c r="AN39" i="11"/>
  <c r="AF39" i="11" s="1"/>
  <c r="H90" i="36" s="1"/>
  <c r="T82" i="36" s="1"/>
  <c r="AD40" i="11"/>
  <c r="AF40" i="11" s="1"/>
  <c r="I90" i="36" s="1"/>
  <c r="T83" i="36" s="1"/>
  <c r="AN40" i="11"/>
  <c r="AE40" i="11"/>
  <c r="I87" i="36" s="1"/>
  <c r="R83" i="36" s="1"/>
  <c r="AD41" i="11"/>
  <c r="J84" i="36"/>
  <c r="P84" i="36"/>
  <c r="AN41" i="11"/>
  <c r="AE41" i="11"/>
  <c r="J87" i="36"/>
  <c r="R84" i="36"/>
  <c r="AN42" i="11"/>
  <c r="AE42" i="11"/>
  <c r="K87" i="36"/>
  <c r="R85" i="36"/>
  <c r="A1" i="35"/>
  <c r="N2" i="35"/>
  <c r="B1" i="35"/>
  <c r="W7" i="10"/>
  <c r="B2" i="35" s="1"/>
  <c r="Z7" i="10"/>
  <c r="C2" i="35"/>
  <c r="D2" i="35"/>
  <c r="O2" i="35"/>
  <c r="B4" i="35"/>
  <c r="C4" i="35"/>
  <c r="D4" i="35"/>
  <c r="E4" i="35"/>
  <c r="F4" i="35"/>
  <c r="G4" i="35"/>
  <c r="H4" i="35"/>
  <c r="I4" i="35"/>
  <c r="J4" i="35"/>
  <c r="K4" i="35"/>
  <c r="B5" i="35"/>
  <c r="C5" i="35"/>
  <c r="D5" i="35"/>
  <c r="E5" i="35"/>
  <c r="F5" i="35"/>
  <c r="G5" i="35"/>
  <c r="H5" i="35"/>
  <c r="I5" i="35"/>
  <c r="J5" i="35"/>
  <c r="K5" i="35"/>
  <c r="B6" i="35"/>
  <c r="C6" i="35"/>
  <c r="D6" i="35"/>
  <c r="E6" i="35"/>
  <c r="F6" i="35"/>
  <c r="G6" i="35"/>
  <c r="H6" i="35"/>
  <c r="I6" i="35"/>
  <c r="J6" i="35"/>
  <c r="K6" i="35"/>
  <c r="B7" i="35"/>
  <c r="C7" i="35"/>
  <c r="D7" i="35"/>
  <c r="E7" i="35"/>
  <c r="F7" i="35"/>
  <c r="G7" i="35"/>
  <c r="H7" i="35"/>
  <c r="I7" i="35"/>
  <c r="J7" i="35"/>
  <c r="K7" i="35"/>
  <c r="B8" i="35"/>
  <c r="C8" i="35"/>
  <c r="D8" i="35"/>
  <c r="E8" i="35"/>
  <c r="F8" i="35"/>
  <c r="G8" i="35"/>
  <c r="H8" i="35"/>
  <c r="I8" i="35"/>
  <c r="J8" i="35"/>
  <c r="K8" i="35"/>
  <c r="B9" i="35"/>
  <c r="C9" i="35"/>
  <c r="D9" i="35"/>
  <c r="E9" i="35"/>
  <c r="F9" i="35"/>
  <c r="G9" i="35"/>
  <c r="H9" i="35"/>
  <c r="I9" i="35"/>
  <c r="J9" i="35"/>
  <c r="K9" i="35"/>
  <c r="B10" i="35"/>
  <c r="C10" i="35"/>
  <c r="D10" i="35"/>
  <c r="E10" i="35"/>
  <c r="F10" i="35"/>
  <c r="G10" i="35"/>
  <c r="H10" i="35"/>
  <c r="I10" i="35"/>
  <c r="J10" i="35"/>
  <c r="K10" i="35"/>
  <c r="B11" i="35"/>
  <c r="C11" i="35"/>
  <c r="D11" i="35"/>
  <c r="E11" i="35"/>
  <c r="F11" i="35"/>
  <c r="G11" i="35"/>
  <c r="H11" i="35"/>
  <c r="I11" i="35"/>
  <c r="J11" i="35"/>
  <c r="K11" i="35"/>
  <c r="B12" i="35"/>
  <c r="C12" i="35"/>
  <c r="D12" i="35"/>
  <c r="E12" i="35"/>
  <c r="F12" i="35"/>
  <c r="G12" i="35"/>
  <c r="H12" i="35"/>
  <c r="I12" i="35"/>
  <c r="J12" i="35"/>
  <c r="K12" i="35"/>
  <c r="B13" i="35"/>
  <c r="C13" i="35"/>
  <c r="D13" i="35"/>
  <c r="E13" i="35"/>
  <c r="F13" i="35"/>
  <c r="G13" i="35"/>
  <c r="H13" i="35"/>
  <c r="I13" i="35"/>
  <c r="J13" i="35"/>
  <c r="K13" i="35"/>
  <c r="B14" i="35"/>
  <c r="C14" i="35"/>
  <c r="D14" i="35"/>
  <c r="E14" i="35"/>
  <c r="F14" i="35"/>
  <c r="G14" i="35"/>
  <c r="H14" i="35"/>
  <c r="I14" i="35"/>
  <c r="J14" i="35"/>
  <c r="K14" i="35"/>
  <c r="B15" i="35"/>
  <c r="C15" i="35"/>
  <c r="D15" i="35"/>
  <c r="E15" i="35"/>
  <c r="F15" i="35"/>
  <c r="G15" i="35"/>
  <c r="H15" i="35"/>
  <c r="I15" i="35"/>
  <c r="J15" i="35"/>
  <c r="K15" i="35"/>
  <c r="B16" i="35"/>
  <c r="C16" i="35"/>
  <c r="D16" i="35"/>
  <c r="E16" i="35"/>
  <c r="F16" i="35"/>
  <c r="G16" i="35"/>
  <c r="H16" i="35"/>
  <c r="I16" i="35"/>
  <c r="J16" i="35"/>
  <c r="K16" i="35"/>
  <c r="B17" i="35"/>
  <c r="C17" i="35"/>
  <c r="D17" i="35"/>
  <c r="E17" i="35"/>
  <c r="F17" i="35"/>
  <c r="G17" i="35"/>
  <c r="H17" i="35"/>
  <c r="I17" i="35"/>
  <c r="J17" i="35"/>
  <c r="K17" i="35"/>
  <c r="B18" i="35"/>
  <c r="C18" i="35"/>
  <c r="D18" i="35"/>
  <c r="E18" i="35"/>
  <c r="F18" i="35"/>
  <c r="G18" i="35"/>
  <c r="H18" i="35"/>
  <c r="I18" i="35"/>
  <c r="J18" i="35"/>
  <c r="K18" i="35"/>
  <c r="B19" i="35"/>
  <c r="C19" i="35"/>
  <c r="D19" i="35"/>
  <c r="E19" i="35"/>
  <c r="F19" i="35"/>
  <c r="G19" i="35"/>
  <c r="H19" i="35"/>
  <c r="I19" i="35"/>
  <c r="J19" i="35"/>
  <c r="K19" i="35"/>
  <c r="B20" i="35"/>
  <c r="C20" i="35"/>
  <c r="D20" i="35"/>
  <c r="E20" i="35"/>
  <c r="F20" i="35"/>
  <c r="G20" i="35"/>
  <c r="H20" i="35"/>
  <c r="I20" i="35"/>
  <c r="J20" i="35"/>
  <c r="K20" i="35"/>
  <c r="B21" i="35"/>
  <c r="C21" i="35"/>
  <c r="D21" i="35"/>
  <c r="E21" i="35"/>
  <c r="F21" i="35"/>
  <c r="G21" i="35"/>
  <c r="H21" i="35"/>
  <c r="I21" i="35"/>
  <c r="J21" i="35"/>
  <c r="K21" i="35"/>
  <c r="B22" i="35"/>
  <c r="C22" i="35"/>
  <c r="D22" i="35"/>
  <c r="E22" i="35"/>
  <c r="F22" i="35"/>
  <c r="G22" i="35"/>
  <c r="H22" i="35"/>
  <c r="I22" i="35"/>
  <c r="J22" i="35"/>
  <c r="K22" i="35"/>
  <c r="B23" i="35"/>
  <c r="C23" i="35"/>
  <c r="D23" i="35"/>
  <c r="E23" i="35"/>
  <c r="F23" i="35"/>
  <c r="G23" i="35"/>
  <c r="H23" i="35"/>
  <c r="I23" i="35"/>
  <c r="J23" i="35"/>
  <c r="K23" i="35"/>
  <c r="B24" i="35"/>
  <c r="C24" i="35"/>
  <c r="D24" i="35"/>
  <c r="E24" i="35"/>
  <c r="F24" i="35"/>
  <c r="G24" i="35"/>
  <c r="H24" i="35"/>
  <c r="I24" i="35"/>
  <c r="J24" i="35"/>
  <c r="K24" i="35"/>
  <c r="B25" i="35"/>
  <c r="C25" i="35"/>
  <c r="D25" i="35"/>
  <c r="E25" i="35"/>
  <c r="F25" i="35"/>
  <c r="G25" i="35"/>
  <c r="H25" i="35"/>
  <c r="I25" i="35"/>
  <c r="J25" i="35"/>
  <c r="K25" i="35"/>
  <c r="B26" i="35"/>
  <c r="C26" i="35"/>
  <c r="D26" i="35"/>
  <c r="E26" i="35"/>
  <c r="F26" i="35"/>
  <c r="G26" i="35"/>
  <c r="H26" i="35"/>
  <c r="I26" i="35"/>
  <c r="J26" i="35"/>
  <c r="K26" i="35"/>
  <c r="B27" i="35"/>
  <c r="C27" i="35"/>
  <c r="D27" i="35"/>
  <c r="E27" i="35"/>
  <c r="F27" i="35"/>
  <c r="G27" i="35"/>
  <c r="H27" i="35"/>
  <c r="I27" i="35"/>
  <c r="J27" i="35"/>
  <c r="K27" i="35"/>
  <c r="B28" i="35"/>
  <c r="C28" i="35"/>
  <c r="D28" i="35"/>
  <c r="E28" i="35"/>
  <c r="F28" i="35"/>
  <c r="G28" i="35"/>
  <c r="H28" i="35"/>
  <c r="I28" i="35"/>
  <c r="J28" i="35"/>
  <c r="K28" i="35"/>
  <c r="B29" i="35"/>
  <c r="C29" i="35"/>
  <c r="D29" i="35"/>
  <c r="E29" i="35"/>
  <c r="F29" i="35"/>
  <c r="G29" i="35"/>
  <c r="H29" i="35"/>
  <c r="I29" i="35"/>
  <c r="J29" i="35"/>
  <c r="K29" i="35"/>
  <c r="B30" i="35"/>
  <c r="C30" i="35"/>
  <c r="D30" i="35"/>
  <c r="E30" i="35"/>
  <c r="F30" i="35"/>
  <c r="G30" i="35"/>
  <c r="H30" i="35"/>
  <c r="I30" i="35"/>
  <c r="J30" i="35"/>
  <c r="K30" i="35"/>
  <c r="B31" i="35"/>
  <c r="C31" i="35"/>
  <c r="D31" i="35"/>
  <c r="E31" i="35"/>
  <c r="F31" i="35"/>
  <c r="G31" i="35"/>
  <c r="H31" i="35"/>
  <c r="I31" i="35"/>
  <c r="J31" i="35"/>
  <c r="K31" i="35"/>
  <c r="B32" i="35"/>
  <c r="C32" i="35"/>
  <c r="D32" i="35"/>
  <c r="E32" i="35"/>
  <c r="F32" i="35"/>
  <c r="G32" i="35"/>
  <c r="H32" i="35"/>
  <c r="I32" i="35"/>
  <c r="J32" i="35"/>
  <c r="K32" i="35"/>
  <c r="B33" i="35"/>
  <c r="C33" i="35"/>
  <c r="D33" i="35"/>
  <c r="E33" i="35"/>
  <c r="F33" i="35"/>
  <c r="G33" i="35"/>
  <c r="H33" i="35"/>
  <c r="I33" i="35"/>
  <c r="J33" i="35"/>
  <c r="K33" i="35"/>
  <c r="B34" i="35"/>
  <c r="C34" i="35"/>
  <c r="D34" i="35"/>
  <c r="E34" i="35"/>
  <c r="F34" i="35"/>
  <c r="G34" i="35"/>
  <c r="H34" i="35"/>
  <c r="I34" i="35"/>
  <c r="J34" i="35"/>
  <c r="K34" i="35"/>
  <c r="B35" i="35"/>
  <c r="C35" i="35"/>
  <c r="D35" i="35"/>
  <c r="E35" i="35"/>
  <c r="F35" i="35"/>
  <c r="G35" i="35"/>
  <c r="H35" i="35"/>
  <c r="I35" i="35"/>
  <c r="J35" i="35"/>
  <c r="K35" i="35"/>
  <c r="B36" i="35"/>
  <c r="C36" i="35"/>
  <c r="D36" i="35"/>
  <c r="E36" i="35"/>
  <c r="F36" i="35"/>
  <c r="G36" i="35"/>
  <c r="H36" i="35"/>
  <c r="I36" i="35"/>
  <c r="J36" i="35"/>
  <c r="K36" i="35"/>
  <c r="B37" i="35"/>
  <c r="C37" i="35"/>
  <c r="D37" i="35"/>
  <c r="E37" i="35"/>
  <c r="F37" i="35"/>
  <c r="G37" i="35"/>
  <c r="H37" i="35"/>
  <c r="I37" i="35"/>
  <c r="J37" i="35"/>
  <c r="K37" i="35"/>
  <c r="B38" i="35"/>
  <c r="C38" i="35"/>
  <c r="D38" i="35"/>
  <c r="E38" i="35"/>
  <c r="F38" i="35"/>
  <c r="G38" i="35"/>
  <c r="H38" i="35"/>
  <c r="I38" i="35"/>
  <c r="J38" i="35"/>
  <c r="K38" i="35"/>
  <c r="B39" i="35"/>
  <c r="C39" i="35"/>
  <c r="D39" i="35"/>
  <c r="E39" i="35"/>
  <c r="F39" i="35"/>
  <c r="G39" i="35"/>
  <c r="H39" i="35"/>
  <c r="I39" i="35"/>
  <c r="J39" i="35"/>
  <c r="K39" i="35"/>
  <c r="B40" i="35"/>
  <c r="C40" i="35"/>
  <c r="D40" i="35"/>
  <c r="E40" i="35"/>
  <c r="F40" i="35"/>
  <c r="G40" i="35"/>
  <c r="H40" i="35"/>
  <c r="I40" i="35"/>
  <c r="J40" i="35"/>
  <c r="K40" i="35"/>
  <c r="B41" i="35"/>
  <c r="C41" i="35"/>
  <c r="D41" i="35"/>
  <c r="E41" i="35"/>
  <c r="F41" i="35"/>
  <c r="G41" i="35"/>
  <c r="H41" i="35"/>
  <c r="I41" i="35"/>
  <c r="J41" i="35"/>
  <c r="K41" i="35"/>
  <c r="B42" i="35"/>
  <c r="C42" i="35"/>
  <c r="D42" i="35"/>
  <c r="E42" i="35"/>
  <c r="F42" i="35"/>
  <c r="G42" i="35"/>
  <c r="H42" i="35"/>
  <c r="I42" i="35"/>
  <c r="J42" i="35"/>
  <c r="K42" i="35"/>
  <c r="B43" i="35"/>
  <c r="C43" i="35"/>
  <c r="D43" i="35"/>
  <c r="E43" i="35"/>
  <c r="F43" i="35"/>
  <c r="G43" i="35"/>
  <c r="H43" i="35"/>
  <c r="I43" i="35"/>
  <c r="J43" i="35"/>
  <c r="K43" i="35"/>
  <c r="B44" i="35"/>
  <c r="C44" i="35"/>
  <c r="D44" i="35"/>
  <c r="E44" i="35"/>
  <c r="F44" i="35"/>
  <c r="G44" i="35"/>
  <c r="H44" i="35"/>
  <c r="I44" i="35"/>
  <c r="J44" i="35"/>
  <c r="K44" i="35"/>
  <c r="B45" i="35"/>
  <c r="C45" i="35"/>
  <c r="D45" i="35"/>
  <c r="E45" i="35"/>
  <c r="F45" i="35"/>
  <c r="G45" i="35"/>
  <c r="H45" i="35"/>
  <c r="I45" i="35"/>
  <c r="J45" i="35"/>
  <c r="K45" i="35"/>
  <c r="B46" i="35"/>
  <c r="C46" i="35"/>
  <c r="D46" i="35"/>
  <c r="E46" i="35"/>
  <c r="F46" i="35"/>
  <c r="G46" i="35"/>
  <c r="H46" i="35"/>
  <c r="I46" i="35"/>
  <c r="J46" i="35"/>
  <c r="K46" i="35"/>
  <c r="B47" i="35"/>
  <c r="C47" i="35"/>
  <c r="D47" i="35"/>
  <c r="E47" i="35"/>
  <c r="F47" i="35"/>
  <c r="G47" i="35"/>
  <c r="H47" i="35"/>
  <c r="I47" i="35"/>
  <c r="J47" i="35"/>
  <c r="K47" i="35"/>
  <c r="B48" i="35"/>
  <c r="C48" i="35"/>
  <c r="D48" i="35"/>
  <c r="E48" i="35"/>
  <c r="F48" i="35"/>
  <c r="G48" i="35"/>
  <c r="H48" i="35"/>
  <c r="I48" i="35"/>
  <c r="J48" i="35"/>
  <c r="K48" i="35"/>
  <c r="B49" i="35"/>
  <c r="C49" i="35"/>
  <c r="D49" i="35"/>
  <c r="E49" i="35"/>
  <c r="F49" i="35"/>
  <c r="G49" i="35"/>
  <c r="H49" i="35"/>
  <c r="I49" i="35"/>
  <c r="J49" i="35"/>
  <c r="K49" i="35"/>
  <c r="B50" i="35"/>
  <c r="C50" i="35"/>
  <c r="D50" i="35"/>
  <c r="E50" i="35"/>
  <c r="F50" i="35"/>
  <c r="G50" i="35"/>
  <c r="H50" i="35"/>
  <c r="I50" i="35"/>
  <c r="J50" i="35"/>
  <c r="K50" i="35"/>
  <c r="B51" i="35"/>
  <c r="C51" i="35"/>
  <c r="D51" i="35"/>
  <c r="E51" i="35"/>
  <c r="F51" i="35"/>
  <c r="G51" i="35"/>
  <c r="H51" i="35"/>
  <c r="I51" i="35"/>
  <c r="J51" i="35"/>
  <c r="K51" i="35"/>
  <c r="B52" i="35"/>
  <c r="C52" i="35"/>
  <c r="D52" i="35"/>
  <c r="E52" i="35"/>
  <c r="F52" i="35"/>
  <c r="G52" i="35"/>
  <c r="H52" i="35"/>
  <c r="I52" i="35"/>
  <c r="J52" i="35"/>
  <c r="K52" i="35"/>
  <c r="B53" i="35"/>
  <c r="C53" i="35"/>
  <c r="D53" i="35"/>
  <c r="E53" i="35"/>
  <c r="F53" i="35"/>
  <c r="G53" i="35"/>
  <c r="H53" i="35"/>
  <c r="I53" i="35"/>
  <c r="J53" i="35"/>
  <c r="K53" i="35"/>
  <c r="B54" i="35"/>
  <c r="C54" i="35"/>
  <c r="D54" i="35"/>
  <c r="E54" i="35"/>
  <c r="F54" i="35"/>
  <c r="G54" i="35"/>
  <c r="H54" i="35"/>
  <c r="I54" i="35"/>
  <c r="J54" i="35"/>
  <c r="K54" i="35"/>
  <c r="B55" i="35"/>
  <c r="C55" i="35"/>
  <c r="D55" i="35"/>
  <c r="E55" i="35"/>
  <c r="F55" i="35"/>
  <c r="G55" i="35"/>
  <c r="H55" i="35"/>
  <c r="I55" i="35"/>
  <c r="J55" i="35"/>
  <c r="K55" i="35"/>
  <c r="B56" i="35"/>
  <c r="C56" i="35"/>
  <c r="D56" i="35"/>
  <c r="E56" i="35"/>
  <c r="F56" i="35"/>
  <c r="G56" i="35"/>
  <c r="H56" i="35"/>
  <c r="I56" i="35"/>
  <c r="J56" i="35"/>
  <c r="K56" i="35"/>
  <c r="AM11" i="10"/>
  <c r="AC11" i="10" s="1"/>
  <c r="B79" i="35" s="1"/>
  <c r="N56" i="35" s="1"/>
  <c r="AN11" i="10"/>
  <c r="AE11" i="10"/>
  <c r="B85" i="35" s="1"/>
  <c r="B57" i="35"/>
  <c r="C57" i="35"/>
  <c r="D57" i="35"/>
  <c r="E57" i="35"/>
  <c r="F57" i="35"/>
  <c r="G57" i="35"/>
  <c r="H57" i="35"/>
  <c r="I57" i="35"/>
  <c r="J57" i="35"/>
  <c r="K57" i="35"/>
  <c r="AM12" i="10"/>
  <c r="AD12" i="10" s="1"/>
  <c r="AN12" i="10"/>
  <c r="AE12" i="10"/>
  <c r="C85" i="35"/>
  <c r="R57" i="35" s="1"/>
  <c r="B58" i="35"/>
  <c r="C58" i="35"/>
  <c r="D58" i="35"/>
  <c r="E58" i="35"/>
  <c r="F58" i="35"/>
  <c r="G58" i="35"/>
  <c r="H58" i="35"/>
  <c r="I58" i="35"/>
  <c r="J58" i="35"/>
  <c r="K58" i="35"/>
  <c r="AM13" i="10"/>
  <c r="AC13" i="10" s="1"/>
  <c r="D79" i="35" s="1"/>
  <c r="N58" i="35" s="1"/>
  <c r="AN13" i="10"/>
  <c r="AE13" i="10"/>
  <c r="D85" i="35" s="1"/>
  <c r="R58" i="35" s="1"/>
  <c r="B59" i="35"/>
  <c r="C59" i="35"/>
  <c r="D59" i="35"/>
  <c r="E59" i="35"/>
  <c r="F59" i="35"/>
  <c r="G59" i="35"/>
  <c r="H59" i="35"/>
  <c r="I59" i="35"/>
  <c r="J59" i="35"/>
  <c r="K59" i="35"/>
  <c r="AM14" i="10"/>
  <c r="AC14" i="10"/>
  <c r="E79" i="35" s="1"/>
  <c r="N59" i="35" s="1"/>
  <c r="AD14" i="10"/>
  <c r="AF14" i="10" s="1"/>
  <c r="E88" i="35" s="1"/>
  <c r="T59" i="35" s="1"/>
  <c r="AN14" i="10"/>
  <c r="AE14" i="10"/>
  <c r="E85" i="35" s="1"/>
  <c r="R59" i="35" s="1"/>
  <c r="B60" i="35"/>
  <c r="C60" i="35"/>
  <c r="D60" i="35"/>
  <c r="E60" i="35"/>
  <c r="F60" i="35"/>
  <c r="G60" i="35"/>
  <c r="H60" i="35"/>
  <c r="I60" i="35"/>
  <c r="J60" i="35"/>
  <c r="K60" i="35"/>
  <c r="AM15" i="10"/>
  <c r="AC15" i="10"/>
  <c r="F79" i="35" s="1"/>
  <c r="N60" i="35" s="1"/>
  <c r="AD15" i="10"/>
  <c r="AF15" i="10" s="1"/>
  <c r="F88" i="35" s="1"/>
  <c r="T60" i="35" s="1"/>
  <c r="AN15" i="10"/>
  <c r="AE15" i="10"/>
  <c r="F85" i="35"/>
  <c r="R60" i="35" s="1"/>
  <c r="B61" i="35"/>
  <c r="C61" i="35"/>
  <c r="D61" i="35"/>
  <c r="E61" i="35"/>
  <c r="F61" i="35"/>
  <c r="G61" i="35"/>
  <c r="H61" i="35"/>
  <c r="I61" i="35"/>
  <c r="J61" i="35"/>
  <c r="K61" i="35"/>
  <c r="AM16" i="10"/>
  <c r="AD16" i="10" s="1"/>
  <c r="AN16" i="10"/>
  <c r="AE16" i="10"/>
  <c r="G85" i="35"/>
  <c r="R61" i="35" s="1"/>
  <c r="B62" i="35"/>
  <c r="C62" i="35"/>
  <c r="D62" i="35"/>
  <c r="E62" i="35"/>
  <c r="F62" i="35"/>
  <c r="G62" i="35"/>
  <c r="H62" i="35"/>
  <c r="I62" i="35"/>
  <c r="J62" i="35"/>
  <c r="K62" i="35"/>
  <c r="AM17" i="10"/>
  <c r="AC17" i="10" s="1"/>
  <c r="H79" i="35" s="1"/>
  <c r="N62" i="35" s="1"/>
  <c r="AN17" i="10"/>
  <c r="AE17" i="10"/>
  <c r="H85" i="35" s="1"/>
  <c r="R62" i="35" s="1"/>
  <c r="B63" i="35"/>
  <c r="C63" i="35"/>
  <c r="D63" i="35"/>
  <c r="E63" i="35"/>
  <c r="F63" i="35"/>
  <c r="G63" i="35"/>
  <c r="H63" i="35"/>
  <c r="I63" i="35"/>
  <c r="J63" i="35"/>
  <c r="K63" i="35"/>
  <c r="AM18" i="10"/>
  <c r="AC18" i="10"/>
  <c r="I79" i="35" s="1"/>
  <c r="N63" i="35" s="1"/>
  <c r="AD18" i="10"/>
  <c r="AF18" i="10" s="1"/>
  <c r="I88" i="35" s="1"/>
  <c r="T63" i="35" s="1"/>
  <c r="AN18" i="10"/>
  <c r="AE18" i="10"/>
  <c r="I85" i="35" s="1"/>
  <c r="R63" i="35" s="1"/>
  <c r="B64" i="35"/>
  <c r="C64" i="35"/>
  <c r="D64" i="35"/>
  <c r="E64" i="35"/>
  <c r="F64" i="35"/>
  <c r="G64" i="35"/>
  <c r="H64" i="35"/>
  <c r="I64" i="35"/>
  <c r="J64" i="35"/>
  <c r="K64" i="35"/>
  <c r="AM19" i="10"/>
  <c r="AC19" i="10"/>
  <c r="J79" i="35" s="1"/>
  <c r="N64" i="35" s="1"/>
  <c r="AD19" i="10"/>
  <c r="AF19" i="10" s="1"/>
  <c r="J88" i="35" s="1"/>
  <c r="T64" i="35" s="1"/>
  <c r="AN19" i="10"/>
  <c r="AE19" i="10"/>
  <c r="J85" i="35"/>
  <c r="R64" i="35" s="1"/>
  <c r="B65" i="35"/>
  <c r="C65" i="35"/>
  <c r="D65" i="35"/>
  <c r="E65" i="35"/>
  <c r="F65" i="35"/>
  <c r="G65" i="35"/>
  <c r="H65" i="35"/>
  <c r="I65" i="35"/>
  <c r="J65" i="35"/>
  <c r="K65" i="35"/>
  <c r="AM20" i="10"/>
  <c r="AD20" i="10" s="1"/>
  <c r="AN20" i="10"/>
  <c r="AE20" i="10"/>
  <c r="K85" i="35"/>
  <c r="R65" i="35" s="1"/>
  <c r="B66" i="35"/>
  <c r="C66" i="35"/>
  <c r="D66" i="35"/>
  <c r="E66" i="35"/>
  <c r="F66" i="35"/>
  <c r="G66" i="35"/>
  <c r="H66" i="35"/>
  <c r="I66" i="35"/>
  <c r="J66" i="35"/>
  <c r="K66" i="35"/>
  <c r="AM22" i="10"/>
  <c r="AC22" i="10" s="1"/>
  <c r="B80" i="35" s="1"/>
  <c r="N66" i="35" s="1"/>
  <c r="AN22" i="10"/>
  <c r="AE22" i="10"/>
  <c r="B86" i="35" s="1"/>
  <c r="R66" i="35" s="1"/>
  <c r="B67" i="35"/>
  <c r="C67" i="35"/>
  <c r="D67" i="35"/>
  <c r="E67" i="35"/>
  <c r="F67" i="35"/>
  <c r="G67" i="35"/>
  <c r="H67" i="35"/>
  <c r="I67" i="35"/>
  <c r="J67" i="35"/>
  <c r="K67" i="35"/>
  <c r="AM23" i="10"/>
  <c r="AC23" i="10"/>
  <c r="C80" i="35" s="1"/>
  <c r="N67" i="35" s="1"/>
  <c r="AD23" i="10"/>
  <c r="AF23" i="10" s="1"/>
  <c r="C89" i="35" s="1"/>
  <c r="T67" i="35" s="1"/>
  <c r="AN23" i="10"/>
  <c r="AE23" i="10"/>
  <c r="C86" i="35" s="1"/>
  <c r="R67" i="35" s="1"/>
  <c r="B68" i="35"/>
  <c r="C68" i="35"/>
  <c r="D68" i="35"/>
  <c r="E68" i="35"/>
  <c r="F68" i="35"/>
  <c r="G68" i="35"/>
  <c r="H68" i="35"/>
  <c r="I68" i="35"/>
  <c r="J68" i="35"/>
  <c r="K68" i="35"/>
  <c r="AM24" i="10"/>
  <c r="AC24" i="10"/>
  <c r="D80" i="35" s="1"/>
  <c r="N68" i="35" s="1"/>
  <c r="AD24" i="10"/>
  <c r="AF24" i="10" s="1"/>
  <c r="D89" i="35" s="1"/>
  <c r="T68" i="35" s="1"/>
  <c r="AN24" i="10"/>
  <c r="AE24" i="10"/>
  <c r="D86" i="35"/>
  <c r="R68" i="35" s="1"/>
  <c r="B69" i="35"/>
  <c r="C69" i="35"/>
  <c r="D69" i="35"/>
  <c r="E69" i="35"/>
  <c r="F69" i="35"/>
  <c r="G69" i="35"/>
  <c r="H69" i="35"/>
  <c r="I69" i="35"/>
  <c r="J69" i="35"/>
  <c r="K69" i="35"/>
  <c r="AM25" i="10"/>
  <c r="AD25" i="10" s="1"/>
  <c r="AN25" i="10"/>
  <c r="AE25" i="10"/>
  <c r="E86" i="35"/>
  <c r="R69" i="35" s="1"/>
  <c r="B70" i="35"/>
  <c r="C70" i="35"/>
  <c r="D70" i="35"/>
  <c r="E70" i="35"/>
  <c r="F70" i="35"/>
  <c r="G70" i="35"/>
  <c r="H70" i="35"/>
  <c r="I70" i="35"/>
  <c r="J70" i="35"/>
  <c r="K70" i="35"/>
  <c r="AM26" i="10"/>
  <c r="AC26" i="10" s="1"/>
  <c r="F80" i="35" s="1"/>
  <c r="N70" i="35" s="1"/>
  <c r="AN26" i="10"/>
  <c r="AE26" i="10"/>
  <c r="F86" i="35" s="1"/>
  <c r="R70" i="35" s="1"/>
  <c r="B71" i="35"/>
  <c r="C71" i="35"/>
  <c r="D71" i="35"/>
  <c r="E71" i="35"/>
  <c r="F71" i="35"/>
  <c r="G71" i="35"/>
  <c r="H71" i="35"/>
  <c r="I71" i="35"/>
  <c r="J71" i="35"/>
  <c r="K71" i="35"/>
  <c r="AM27" i="10"/>
  <c r="AC27" i="10"/>
  <c r="G80" i="35" s="1"/>
  <c r="N71" i="35" s="1"/>
  <c r="AD27" i="10"/>
  <c r="AF27" i="10" s="1"/>
  <c r="G89" i="35" s="1"/>
  <c r="T71" i="35" s="1"/>
  <c r="AN27" i="10"/>
  <c r="AE27" i="10"/>
  <c r="G86" i="35" s="1"/>
  <c r="R71" i="35" s="1"/>
  <c r="B72" i="35"/>
  <c r="C72" i="35"/>
  <c r="D72" i="35"/>
  <c r="E72" i="35"/>
  <c r="F72" i="35"/>
  <c r="G72" i="35"/>
  <c r="H72" i="35"/>
  <c r="I72" i="35"/>
  <c r="J72" i="35"/>
  <c r="K72" i="35"/>
  <c r="AM28" i="10"/>
  <c r="AC28" i="10"/>
  <c r="H80" i="35" s="1"/>
  <c r="N72" i="35" s="1"/>
  <c r="AD28" i="10"/>
  <c r="AF28" i="10" s="1"/>
  <c r="H89" i="35" s="1"/>
  <c r="T72" i="35" s="1"/>
  <c r="AN28" i="10"/>
  <c r="AE28" i="10"/>
  <c r="H86" i="35"/>
  <c r="R72" i="35" s="1"/>
  <c r="AM29" i="10"/>
  <c r="AC29" i="10"/>
  <c r="I80" i="35"/>
  <c r="N73" i="35" s="1"/>
  <c r="AD29" i="10"/>
  <c r="AN29" i="10"/>
  <c r="AE29" i="10"/>
  <c r="I86" i="35" s="1"/>
  <c r="R73" i="35" s="1"/>
  <c r="AM30" i="10"/>
  <c r="AC30" i="10"/>
  <c r="J80" i="35" s="1"/>
  <c r="N74" i="35" s="1"/>
  <c r="AD30" i="10"/>
  <c r="AF30" i="10" s="1"/>
  <c r="J89" i="35" s="1"/>
  <c r="J83" i="35"/>
  <c r="P74" i="35"/>
  <c r="AN30" i="10"/>
  <c r="AE30" i="10"/>
  <c r="J86" i="35"/>
  <c r="R74" i="35"/>
  <c r="T74" i="35"/>
  <c r="AM31" i="10"/>
  <c r="AC31" i="10" s="1"/>
  <c r="K80" i="35"/>
  <c r="N75" i="35"/>
  <c r="AD31" i="10"/>
  <c r="AN31" i="10"/>
  <c r="AE31" i="10"/>
  <c r="K86" i="35"/>
  <c r="R75" i="35" s="1"/>
  <c r="B76" i="35"/>
  <c r="C76" i="35"/>
  <c r="D76" i="35"/>
  <c r="E76" i="35"/>
  <c r="F76" i="35"/>
  <c r="G76" i="35"/>
  <c r="H76" i="35"/>
  <c r="I76" i="35"/>
  <c r="J76" i="35"/>
  <c r="K76" i="35"/>
  <c r="AM33" i="10"/>
  <c r="AC33" i="10" s="1"/>
  <c r="B81" i="35" s="1"/>
  <c r="N76" i="35" s="1"/>
  <c r="AN33" i="10"/>
  <c r="AE33" i="10"/>
  <c r="B87" i="35" s="1"/>
  <c r="R76" i="35" s="1"/>
  <c r="B77" i="35"/>
  <c r="C77" i="35"/>
  <c r="D77" i="35"/>
  <c r="E77" i="35"/>
  <c r="F77" i="35"/>
  <c r="G77" i="35"/>
  <c r="H77" i="35"/>
  <c r="I77" i="35"/>
  <c r="J77" i="35"/>
  <c r="K77" i="35"/>
  <c r="AM34" i="10"/>
  <c r="AC34" i="10" s="1"/>
  <c r="C81" i="35" s="1"/>
  <c r="N77" i="35" s="1"/>
  <c r="AD34" i="10"/>
  <c r="AN34" i="10"/>
  <c r="AE34" i="10" s="1"/>
  <c r="C87" i="35" s="1"/>
  <c r="R77" i="35" s="1"/>
  <c r="B78" i="35"/>
  <c r="C78" i="35"/>
  <c r="D78" i="35"/>
  <c r="E78" i="35"/>
  <c r="F78" i="35"/>
  <c r="G78" i="35"/>
  <c r="H78" i="35"/>
  <c r="I78" i="35"/>
  <c r="J78" i="35"/>
  <c r="K78" i="35"/>
  <c r="AM35" i="10"/>
  <c r="AC35" i="10"/>
  <c r="D81" i="35" s="1"/>
  <c r="N78" i="35" s="1"/>
  <c r="AN35" i="10"/>
  <c r="AE35" i="10"/>
  <c r="D87" i="35" s="1"/>
  <c r="R78" i="35" s="1"/>
  <c r="AM36" i="10"/>
  <c r="AC36" i="10"/>
  <c r="E81" i="35" s="1"/>
  <c r="N79" i="35" s="1"/>
  <c r="AD36" i="10"/>
  <c r="AF36" i="10" s="1"/>
  <c r="E90" i="35" s="1"/>
  <c r="T79" i="35" s="1"/>
  <c r="E84" i="35"/>
  <c r="P79" i="35" s="1"/>
  <c r="AN36" i="10"/>
  <c r="AE36" i="10"/>
  <c r="E87" i="35"/>
  <c r="R79" i="35" s="1"/>
  <c r="AM37" i="10"/>
  <c r="AC37" i="10" s="1"/>
  <c r="F81" i="35" s="1"/>
  <c r="N80" i="35" s="1"/>
  <c r="AN37" i="10"/>
  <c r="AE37" i="10" s="1"/>
  <c r="F87" i="35" s="1"/>
  <c r="R80" i="35" s="1"/>
  <c r="AM38" i="10"/>
  <c r="AC38" i="10" s="1"/>
  <c r="G81" i="35" s="1"/>
  <c r="N81" i="35" s="1"/>
  <c r="AM39" i="10"/>
  <c r="AC39" i="10" s="1"/>
  <c r="H81" i="35" s="1"/>
  <c r="N82" i="35" s="1"/>
  <c r="AM40" i="10"/>
  <c r="AC40" i="10" s="1"/>
  <c r="I81" i="35" s="1"/>
  <c r="N83" i="35" s="1"/>
  <c r="AM41" i="10"/>
  <c r="AD41" i="10" s="1"/>
  <c r="J84" i="35" s="1"/>
  <c r="P84" i="35" s="1"/>
  <c r="AC41" i="10"/>
  <c r="J81" i="35" s="1"/>
  <c r="N84" i="35" s="1"/>
  <c r="AM42" i="10"/>
  <c r="AC42" i="10" s="1"/>
  <c r="K81" i="35" s="1"/>
  <c r="N85" i="35" s="1"/>
  <c r="AD38" i="10"/>
  <c r="AF38" i="10" s="1"/>
  <c r="G90" i="35" s="1"/>
  <c r="T81" i="35" s="1"/>
  <c r="AN38" i="10"/>
  <c r="AE38" i="10"/>
  <c r="G87" i="35" s="1"/>
  <c r="R81" i="35" s="1"/>
  <c r="AN39" i="10"/>
  <c r="AE39" i="10" s="1"/>
  <c r="H87" i="35" s="1"/>
  <c r="R82" i="35" s="1"/>
  <c r="AD40" i="10"/>
  <c r="AN40" i="10"/>
  <c r="AE40" i="10" s="1"/>
  <c r="I87" i="35" s="1"/>
  <c r="R83" i="35" s="1"/>
  <c r="AN41" i="10"/>
  <c r="AE41" i="10"/>
  <c r="J87" i="35"/>
  <c r="R84" i="35" s="1"/>
  <c r="AN42" i="10"/>
  <c r="AE42" i="10"/>
  <c r="K87" i="35"/>
  <c r="R85" i="35" s="1"/>
  <c r="A1" i="34"/>
  <c r="B1" i="34"/>
  <c r="W7" i="9"/>
  <c r="B2" i="34" s="1"/>
  <c r="Z7" i="9"/>
  <c r="C2" i="34"/>
  <c r="D2" i="34"/>
  <c r="N2" i="34"/>
  <c r="O2" i="34"/>
  <c r="B4" i="34"/>
  <c r="C4" i="34"/>
  <c r="D4" i="34"/>
  <c r="E4" i="34"/>
  <c r="F4" i="34"/>
  <c r="G4" i="34"/>
  <c r="H4" i="34"/>
  <c r="I4" i="34"/>
  <c r="J4" i="34"/>
  <c r="K4" i="34"/>
  <c r="B5" i="34"/>
  <c r="C5" i="34"/>
  <c r="D5" i="34"/>
  <c r="E5" i="34"/>
  <c r="F5" i="34"/>
  <c r="G5" i="34"/>
  <c r="H5" i="34"/>
  <c r="I5" i="34"/>
  <c r="J5" i="34"/>
  <c r="K5" i="34"/>
  <c r="B6" i="34"/>
  <c r="C6" i="34"/>
  <c r="D6" i="34"/>
  <c r="E6" i="34"/>
  <c r="F6" i="34"/>
  <c r="G6" i="34"/>
  <c r="H6" i="34"/>
  <c r="I6" i="34"/>
  <c r="J6" i="34"/>
  <c r="K6" i="34"/>
  <c r="B7" i="34"/>
  <c r="C7" i="34"/>
  <c r="D7" i="34"/>
  <c r="E7" i="34"/>
  <c r="F7" i="34"/>
  <c r="G7" i="34"/>
  <c r="H7" i="34"/>
  <c r="I7" i="34"/>
  <c r="J7" i="34"/>
  <c r="K7" i="34"/>
  <c r="B8" i="34"/>
  <c r="C8" i="34"/>
  <c r="D8" i="34"/>
  <c r="E8" i="34"/>
  <c r="F8" i="34"/>
  <c r="G8" i="34"/>
  <c r="H8" i="34"/>
  <c r="I8" i="34"/>
  <c r="J8" i="34"/>
  <c r="K8" i="34"/>
  <c r="B9" i="34"/>
  <c r="C9" i="34"/>
  <c r="D9" i="34"/>
  <c r="E9" i="34"/>
  <c r="F9" i="34"/>
  <c r="G9" i="34"/>
  <c r="H9" i="34"/>
  <c r="I9" i="34"/>
  <c r="J9" i="34"/>
  <c r="K9" i="34"/>
  <c r="B10" i="34"/>
  <c r="C10" i="34"/>
  <c r="D10" i="34"/>
  <c r="E10" i="34"/>
  <c r="F10" i="34"/>
  <c r="G10" i="34"/>
  <c r="H10" i="34"/>
  <c r="I10" i="34"/>
  <c r="J10" i="34"/>
  <c r="K10" i="34"/>
  <c r="B11" i="34"/>
  <c r="C11" i="34"/>
  <c r="D11" i="34"/>
  <c r="E11" i="34"/>
  <c r="F11" i="34"/>
  <c r="G11" i="34"/>
  <c r="H11" i="34"/>
  <c r="I11" i="34"/>
  <c r="J11" i="34"/>
  <c r="K11" i="34"/>
  <c r="B12" i="34"/>
  <c r="C12" i="34"/>
  <c r="D12" i="34"/>
  <c r="E12" i="34"/>
  <c r="F12" i="34"/>
  <c r="G12" i="34"/>
  <c r="H12" i="34"/>
  <c r="I12" i="34"/>
  <c r="J12" i="34"/>
  <c r="K12" i="34"/>
  <c r="B13" i="34"/>
  <c r="C13" i="34"/>
  <c r="D13" i="34"/>
  <c r="E13" i="34"/>
  <c r="F13" i="34"/>
  <c r="G13" i="34"/>
  <c r="H13" i="34"/>
  <c r="I13" i="34"/>
  <c r="J13" i="34"/>
  <c r="K13" i="34"/>
  <c r="B14" i="34"/>
  <c r="C14" i="34"/>
  <c r="D14" i="34"/>
  <c r="E14" i="34"/>
  <c r="F14" i="34"/>
  <c r="G14" i="34"/>
  <c r="H14" i="34"/>
  <c r="I14" i="34"/>
  <c r="J14" i="34"/>
  <c r="K14" i="34"/>
  <c r="B15" i="34"/>
  <c r="C15" i="34"/>
  <c r="D15" i="34"/>
  <c r="E15" i="34"/>
  <c r="F15" i="34"/>
  <c r="G15" i="34"/>
  <c r="H15" i="34"/>
  <c r="I15" i="34"/>
  <c r="J15" i="34"/>
  <c r="K15" i="34"/>
  <c r="B16" i="34"/>
  <c r="C16" i="34"/>
  <c r="D16" i="34"/>
  <c r="E16" i="34"/>
  <c r="F16" i="34"/>
  <c r="G16" i="34"/>
  <c r="H16" i="34"/>
  <c r="I16" i="34"/>
  <c r="J16" i="34"/>
  <c r="K16" i="34"/>
  <c r="B17" i="34"/>
  <c r="C17" i="34"/>
  <c r="D17" i="34"/>
  <c r="E17" i="34"/>
  <c r="F17" i="34"/>
  <c r="G17" i="34"/>
  <c r="H17" i="34"/>
  <c r="I17" i="34"/>
  <c r="J17" i="34"/>
  <c r="K17" i="34"/>
  <c r="B18" i="34"/>
  <c r="C18" i="34"/>
  <c r="D18" i="34"/>
  <c r="E18" i="34"/>
  <c r="F18" i="34"/>
  <c r="G18" i="34"/>
  <c r="H18" i="34"/>
  <c r="I18" i="34"/>
  <c r="J18" i="34"/>
  <c r="K18" i="34"/>
  <c r="B19" i="34"/>
  <c r="C19" i="34"/>
  <c r="D19" i="34"/>
  <c r="E19" i="34"/>
  <c r="F19" i="34"/>
  <c r="G19" i="34"/>
  <c r="H19" i="34"/>
  <c r="I19" i="34"/>
  <c r="J19" i="34"/>
  <c r="K19" i="34"/>
  <c r="B20" i="34"/>
  <c r="C20" i="34"/>
  <c r="D20" i="34"/>
  <c r="E20" i="34"/>
  <c r="F20" i="34"/>
  <c r="G20" i="34"/>
  <c r="H20" i="34"/>
  <c r="I20" i="34"/>
  <c r="J20" i="34"/>
  <c r="K20" i="34"/>
  <c r="B21" i="34"/>
  <c r="C21" i="34"/>
  <c r="D21" i="34"/>
  <c r="E21" i="34"/>
  <c r="F21" i="34"/>
  <c r="G21" i="34"/>
  <c r="H21" i="34"/>
  <c r="I21" i="34"/>
  <c r="J21" i="34"/>
  <c r="K21" i="34"/>
  <c r="B22" i="34"/>
  <c r="C22" i="34"/>
  <c r="D22" i="34"/>
  <c r="E22" i="34"/>
  <c r="F22" i="34"/>
  <c r="G22" i="34"/>
  <c r="H22" i="34"/>
  <c r="I22" i="34"/>
  <c r="J22" i="34"/>
  <c r="K22" i="34"/>
  <c r="B23" i="34"/>
  <c r="C23" i="34"/>
  <c r="D23" i="34"/>
  <c r="E23" i="34"/>
  <c r="F23" i="34"/>
  <c r="G23" i="34"/>
  <c r="H23" i="34"/>
  <c r="I23" i="34"/>
  <c r="J23" i="34"/>
  <c r="K23" i="34"/>
  <c r="B24" i="34"/>
  <c r="C24" i="34"/>
  <c r="D24" i="34"/>
  <c r="E24" i="34"/>
  <c r="F24" i="34"/>
  <c r="G24" i="34"/>
  <c r="H24" i="34"/>
  <c r="I24" i="34"/>
  <c r="J24" i="34"/>
  <c r="K24" i="34"/>
  <c r="B25" i="34"/>
  <c r="C25" i="34"/>
  <c r="D25" i="34"/>
  <c r="E25" i="34"/>
  <c r="F25" i="34"/>
  <c r="G25" i="34"/>
  <c r="H25" i="34"/>
  <c r="I25" i="34"/>
  <c r="J25" i="34"/>
  <c r="K25" i="34"/>
  <c r="B26" i="34"/>
  <c r="C26" i="34"/>
  <c r="D26" i="34"/>
  <c r="E26" i="34"/>
  <c r="F26" i="34"/>
  <c r="G26" i="34"/>
  <c r="H26" i="34"/>
  <c r="I26" i="34"/>
  <c r="J26" i="34"/>
  <c r="K26" i="34"/>
  <c r="B27" i="34"/>
  <c r="C27" i="34"/>
  <c r="D27" i="34"/>
  <c r="E27" i="34"/>
  <c r="F27" i="34"/>
  <c r="G27" i="34"/>
  <c r="H27" i="34"/>
  <c r="I27" i="34"/>
  <c r="J27" i="34"/>
  <c r="K27" i="34"/>
  <c r="B28" i="34"/>
  <c r="C28" i="34"/>
  <c r="D28" i="34"/>
  <c r="E28" i="34"/>
  <c r="F28" i="34"/>
  <c r="G28" i="34"/>
  <c r="H28" i="34"/>
  <c r="I28" i="34"/>
  <c r="J28" i="34"/>
  <c r="K28" i="34"/>
  <c r="B29" i="34"/>
  <c r="C29" i="34"/>
  <c r="D29" i="34"/>
  <c r="E29" i="34"/>
  <c r="F29" i="34"/>
  <c r="G29" i="34"/>
  <c r="H29" i="34"/>
  <c r="I29" i="34"/>
  <c r="J29" i="34"/>
  <c r="K29" i="34"/>
  <c r="B30" i="34"/>
  <c r="C30" i="34"/>
  <c r="D30" i="34"/>
  <c r="E30" i="34"/>
  <c r="F30" i="34"/>
  <c r="G30" i="34"/>
  <c r="H30" i="34"/>
  <c r="I30" i="34"/>
  <c r="J30" i="34"/>
  <c r="K30" i="34"/>
  <c r="B31" i="34"/>
  <c r="C31" i="34"/>
  <c r="D31" i="34"/>
  <c r="E31" i="34"/>
  <c r="F31" i="34"/>
  <c r="G31" i="34"/>
  <c r="H31" i="34"/>
  <c r="I31" i="34"/>
  <c r="J31" i="34"/>
  <c r="K31" i="34"/>
  <c r="B32" i="34"/>
  <c r="C32" i="34"/>
  <c r="D32" i="34"/>
  <c r="E32" i="34"/>
  <c r="F32" i="34"/>
  <c r="G32" i="34"/>
  <c r="H32" i="34"/>
  <c r="I32" i="34"/>
  <c r="J32" i="34"/>
  <c r="K32" i="34"/>
  <c r="B33" i="34"/>
  <c r="C33" i="34"/>
  <c r="D33" i="34"/>
  <c r="E33" i="34"/>
  <c r="F33" i="34"/>
  <c r="G33" i="34"/>
  <c r="H33" i="34"/>
  <c r="I33" i="34"/>
  <c r="J33" i="34"/>
  <c r="K33" i="34"/>
  <c r="B34" i="34"/>
  <c r="C34" i="34"/>
  <c r="D34" i="34"/>
  <c r="E34" i="34"/>
  <c r="F34" i="34"/>
  <c r="G34" i="34"/>
  <c r="H34" i="34"/>
  <c r="I34" i="34"/>
  <c r="J34" i="34"/>
  <c r="K34" i="34"/>
  <c r="B35" i="34"/>
  <c r="C35" i="34"/>
  <c r="D35" i="34"/>
  <c r="E35" i="34"/>
  <c r="F35" i="34"/>
  <c r="G35" i="34"/>
  <c r="H35" i="34"/>
  <c r="I35" i="34"/>
  <c r="J35" i="34"/>
  <c r="K35" i="34"/>
  <c r="B36" i="34"/>
  <c r="C36" i="34"/>
  <c r="D36" i="34"/>
  <c r="E36" i="34"/>
  <c r="F36" i="34"/>
  <c r="G36" i="34"/>
  <c r="H36" i="34"/>
  <c r="I36" i="34"/>
  <c r="J36" i="34"/>
  <c r="K36" i="34"/>
  <c r="B37" i="34"/>
  <c r="C37" i="34"/>
  <c r="D37" i="34"/>
  <c r="E37" i="34"/>
  <c r="F37" i="34"/>
  <c r="G37" i="34"/>
  <c r="H37" i="34"/>
  <c r="I37" i="34"/>
  <c r="J37" i="34"/>
  <c r="K37" i="34"/>
  <c r="B38" i="34"/>
  <c r="C38" i="34"/>
  <c r="D38" i="34"/>
  <c r="E38" i="34"/>
  <c r="F38" i="34"/>
  <c r="G38" i="34"/>
  <c r="H38" i="34"/>
  <c r="I38" i="34"/>
  <c r="J38" i="34"/>
  <c r="K38" i="34"/>
  <c r="B39" i="34"/>
  <c r="C39" i="34"/>
  <c r="D39" i="34"/>
  <c r="E39" i="34"/>
  <c r="F39" i="34"/>
  <c r="G39" i="34"/>
  <c r="H39" i="34"/>
  <c r="I39" i="34"/>
  <c r="J39" i="34"/>
  <c r="K39" i="34"/>
  <c r="B40" i="34"/>
  <c r="C40" i="34"/>
  <c r="D40" i="34"/>
  <c r="E40" i="34"/>
  <c r="F40" i="34"/>
  <c r="G40" i="34"/>
  <c r="H40" i="34"/>
  <c r="I40" i="34"/>
  <c r="J40" i="34"/>
  <c r="K40" i="34"/>
  <c r="B41" i="34"/>
  <c r="C41" i="34"/>
  <c r="D41" i="34"/>
  <c r="E41" i="34"/>
  <c r="F41" i="34"/>
  <c r="G41" i="34"/>
  <c r="H41" i="34"/>
  <c r="I41" i="34"/>
  <c r="J41" i="34"/>
  <c r="K41" i="34"/>
  <c r="B42" i="34"/>
  <c r="C42" i="34"/>
  <c r="D42" i="34"/>
  <c r="E42" i="34"/>
  <c r="F42" i="34"/>
  <c r="G42" i="34"/>
  <c r="H42" i="34"/>
  <c r="I42" i="34"/>
  <c r="J42" i="34"/>
  <c r="K42" i="34"/>
  <c r="B43" i="34"/>
  <c r="C43" i="34"/>
  <c r="D43" i="34"/>
  <c r="E43" i="34"/>
  <c r="F43" i="34"/>
  <c r="G43" i="34"/>
  <c r="H43" i="34"/>
  <c r="I43" i="34"/>
  <c r="J43" i="34"/>
  <c r="K43" i="34"/>
  <c r="B44" i="34"/>
  <c r="C44" i="34"/>
  <c r="D44" i="34"/>
  <c r="E44" i="34"/>
  <c r="F44" i="34"/>
  <c r="G44" i="34"/>
  <c r="H44" i="34"/>
  <c r="I44" i="34"/>
  <c r="J44" i="34"/>
  <c r="K44" i="34"/>
  <c r="B45" i="34"/>
  <c r="C45" i="34"/>
  <c r="D45" i="34"/>
  <c r="E45" i="34"/>
  <c r="F45" i="34"/>
  <c r="G45" i="34"/>
  <c r="H45" i="34"/>
  <c r="I45" i="34"/>
  <c r="J45" i="34"/>
  <c r="K45" i="34"/>
  <c r="B46" i="34"/>
  <c r="C46" i="34"/>
  <c r="D46" i="34"/>
  <c r="E46" i="34"/>
  <c r="F46" i="34"/>
  <c r="G46" i="34"/>
  <c r="H46" i="34"/>
  <c r="I46" i="34"/>
  <c r="J46" i="34"/>
  <c r="K46" i="34"/>
  <c r="B47" i="34"/>
  <c r="C47" i="34"/>
  <c r="D47" i="34"/>
  <c r="E47" i="34"/>
  <c r="F47" i="34"/>
  <c r="G47" i="34"/>
  <c r="H47" i="34"/>
  <c r="I47" i="34"/>
  <c r="J47" i="34"/>
  <c r="K47" i="34"/>
  <c r="B48" i="34"/>
  <c r="C48" i="34"/>
  <c r="D48" i="34"/>
  <c r="E48" i="34"/>
  <c r="F48" i="34"/>
  <c r="G48" i="34"/>
  <c r="H48" i="34"/>
  <c r="I48" i="34"/>
  <c r="J48" i="34"/>
  <c r="K48" i="34"/>
  <c r="B49" i="34"/>
  <c r="C49" i="34"/>
  <c r="D49" i="34"/>
  <c r="E49" i="34"/>
  <c r="F49" i="34"/>
  <c r="G49" i="34"/>
  <c r="H49" i="34"/>
  <c r="I49" i="34"/>
  <c r="J49" i="34"/>
  <c r="K49" i="34"/>
  <c r="B50" i="34"/>
  <c r="C50" i="34"/>
  <c r="D50" i="34"/>
  <c r="E50" i="34"/>
  <c r="F50" i="34"/>
  <c r="G50" i="34"/>
  <c r="H50" i="34"/>
  <c r="I50" i="34"/>
  <c r="J50" i="34"/>
  <c r="K50" i="34"/>
  <c r="B51" i="34"/>
  <c r="C51" i="34"/>
  <c r="D51" i="34"/>
  <c r="E51" i="34"/>
  <c r="F51" i="34"/>
  <c r="G51" i="34"/>
  <c r="H51" i="34"/>
  <c r="I51" i="34"/>
  <c r="J51" i="34"/>
  <c r="K51" i="34"/>
  <c r="B52" i="34"/>
  <c r="C52" i="34"/>
  <c r="D52" i="34"/>
  <c r="E52" i="34"/>
  <c r="F52" i="34"/>
  <c r="G52" i="34"/>
  <c r="H52" i="34"/>
  <c r="I52" i="34"/>
  <c r="J52" i="34"/>
  <c r="K52" i="34"/>
  <c r="B53" i="34"/>
  <c r="C53" i="34"/>
  <c r="D53" i="34"/>
  <c r="E53" i="34"/>
  <c r="F53" i="34"/>
  <c r="G53" i="34"/>
  <c r="H53" i="34"/>
  <c r="I53" i="34"/>
  <c r="J53" i="34"/>
  <c r="K53" i="34"/>
  <c r="B54" i="34"/>
  <c r="C54" i="34"/>
  <c r="D54" i="34"/>
  <c r="E54" i="34"/>
  <c r="F54" i="34"/>
  <c r="G54" i="34"/>
  <c r="H54" i="34"/>
  <c r="I54" i="34"/>
  <c r="J54" i="34"/>
  <c r="K54" i="34"/>
  <c r="B55" i="34"/>
  <c r="C55" i="34"/>
  <c r="D55" i="34"/>
  <c r="E55" i="34"/>
  <c r="F55" i="34"/>
  <c r="G55" i="34"/>
  <c r="H55" i="34"/>
  <c r="I55" i="34"/>
  <c r="J55" i="34"/>
  <c r="K55" i="34"/>
  <c r="B56" i="34"/>
  <c r="C56" i="34"/>
  <c r="D56" i="34"/>
  <c r="E56" i="34"/>
  <c r="F56" i="34"/>
  <c r="G56" i="34"/>
  <c r="H56" i="34"/>
  <c r="I56" i="34"/>
  <c r="J56" i="34"/>
  <c r="K56" i="34"/>
  <c r="AM11" i="9"/>
  <c r="AD11" i="9" s="1"/>
  <c r="AN11" i="9"/>
  <c r="AE11" i="9"/>
  <c r="B85" i="34"/>
  <c r="R56" i="34" s="1"/>
  <c r="B57" i="34"/>
  <c r="C57" i="34"/>
  <c r="D57" i="34"/>
  <c r="E57" i="34"/>
  <c r="F57" i="34"/>
  <c r="G57" i="34"/>
  <c r="H57" i="34"/>
  <c r="I57" i="34"/>
  <c r="J57" i="34"/>
  <c r="K57" i="34"/>
  <c r="AM12" i="9"/>
  <c r="AC12" i="9" s="1"/>
  <c r="C79" i="34" s="1"/>
  <c r="N57" i="34" s="1"/>
  <c r="AN12" i="9"/>
  <c r="AE12" i="9"/>
  <c r="C85" i="34"/>
  <c r="B58" i="34"/>
  <c r="C58" i="34"/>
  <c r="D58" i="34"/>
  <c r="E58" i="34"/>
  <c r="F58" i="34"/>
  <c r="G58" i="34"/>
  <c r="H58" i="34"/>
  <c r="I58" i="34"/>
  <c r="J58" i="34"/>
  <c r="K58" i="34"/>
  <c r="AM13" i="9"/>
  <c r="AC13" i="9"/>
  <c r="D79" i="34"/>
  <c r="N58" i="34" s="1"/>
  <c r="AD13" i="9"/>
  <c r="AF13" i="9"/>
  <c r="D88" i="34"/>
  <c r="T58" i="34" s="1"/>
  <c r="AN13" i="9"/>
  <c r="AE13" i="9"/>
  <c r="D85" i="34"/>
  <c r="R58" i="34" s="1"/>
  <c r="B59" i="34"/>
  <c r="C59" i="34"/>
  <c r="D59" i="34"/>
  <c r="E59" i="34"/>
  <c r="F59" i="34"/>
  <c r="G59" i="34"/>
  <c r="H59" i="34"/>
  <c r="I59" i="34"/>
  <c r="J59" i="34"/>
  <c r="K59" i="34"/>
  <c r="AM14" i="9"/>
  <c r="AC14" i="9" s="1"/>
  <c r="E79" i="34" s="1"/>
  <c r="N59" i="34" s="1"/>
  <c r="AD14" i="9"/>
  <c r="E82" i="34" s="1"/>
  <c r="P59" i="34" s="1"/>
  <c r="AN14" i="9"/>
  <c r="AE14" i="9" s="1"/>
  <c r="E85" i="34" s="1"/>
  <c r="R59" i="34" s="1"/>
  <c r="B60" i="34"/>
  <c r="C60" i="34"/>
  <c r="D60" i="34"/>
  <c r="E60" i="34"/>
  <c r="F60" i="34"/>
  <c r="G60" i="34"/>
  <c r="H60" i="34"/>
  <c r="I60" i="34"/>
  <c r="J60" i="34"/>
  <c r="K60" i="34"/>
  <c r="AM15" i="9"/>
  <c r="AD15" i="9" s="1"/>
  <c r="AN15" i="9"/>
  <c r="AE15" i="9"/>
  <c r="F85" i="34"/>
  <c r="R60" i="34" s="1"/>
  <c r="B61" i="34"/>
  <c r="C61" i="34"/>
  <c r="D61" i="34"/>
  <c r="E61" i="34"/>
  <c r="F61" i="34"/>
  <c r="G61" i="34"/>
  <c r="H61" i="34"/>
  <c r="I61" i="34"/>
  <c r="J61" i="34"/>
  <c r="K61" i="34"/>
  <c r="AM16" i="9"/>
  <c r="AC16" i="9" s="1"/>
  <c r="G79" i="34" s="1"/>
  <c r="N61" i="34" s="1"/>
  <c r="AN16" i="9"/>
  <c r="AE16" i="9"/>
  <c r="G85" i="34"/>
  <c r="R61" i="34"/>
  <c r="B62" i="34"/>
  <c r="C62" i="34"/>
  <c r="D62" i="34"/>
  <c r="E62" i="34"/>
  <c r="F62" i="34"/>
  <c r="G62" i="34"/>
  <c r="H62" i="34"/>
  <c r="I62" i="34"/>
  <c r="J62" i="34"/>
  <c r="K62" i="34"/>
  <c r="AM17" i="9"/>
  <c r="AC17" i="9"/>
  <c r="H79" i="34" s="1"/>
  <c r="N62" i="34" s="1"/>
  <c r="AD17" i="9"/>
  <c r="AF17" i="9"/>
  <c r="H88" i="34" s="1"/>
  <c r="T62" i="34" s="1"/>
  <c r="AN17" i="9"/>
  <c r="AE17" i="9"/>
  <c r="H85" i="34" s="1"/>
  <c r="R62" i="34" s="1"/>
  <c r="B63" i="34"/>
  <c r="C63" i="34"/>
  <c r="D63" i="34"/>
  <c r="E63" i="34"/>
  <c r="F63" i="34"/>
  <c r="G63" i="34"/>
  <c r="H63" i="34"/>
  <c r="I63" i="34"/>
  <c r="J63" i="34"/>
  <c r="K63" i="34"/>
  <c r="AM18" i="9"/>
  <c r="AC18" i="9"/>
  <c r="I79" i="34"/>
  <c r="N63" i="34"/>
  <c r="AD18" i="9"/>
  <c r="AF18" i="9"/>
  <c r="I88" i="34" s="1"/>
  <c r="T63" i="34" s="1"/>
  <c r="I82" i="34"/>
  <c r="P63" i="34"/>
  <c r="AN18" i="9"/>
  <c r="AE18" i="9"/>
  <c r="I85" i="34"/>
  <c r="R63" i="34"/>
  <c r="B64" i="34"/>
  <c r="C64" i="34"/>
  <c r="D64" i="34"/>
  <c r="E64" i="34"/>
  <c r="F64" i="34"/>
  <c r="G64" i="34"/>
  <c r="H64" i="34"/>
  <c r="I64" i="34"/>
  <c r="J64" i="34"/>
  <c r="K64" i="34"/>
  <c r="AM19" i="9"/>
  <c r="AD19" i="9"/>
  <c r="AN19" i="9"/>
  <c r="AE19" i="9"/>
  <c r="J85" i="34" s="1"/>
  <c r="R64" i="34" s="1"/>
  <c r="B65" i="34"/>
  <c r="C65" i="34"/>
  <c r="D65" i="34"/>
  <c r="E65" i="34"/>
  <c r="F65" i="34"/>
  <c r="G65" i="34"/>
  <c r="H65" i="34"/>
  <c r="I65" i="34"/>
  <c r="J65" i="34"/>
  <c r="K65" i="34"/>
  <c r="AM20" i="9"/>
  <c r="AD20" i="9"/>
  <c r="AC20" i="9"/>
  <c r="K79" i="34"/>
  <c r="N65" i="34" s="1"/>
  <c r="AN20" i="9"/>
  <c r="AE20" i="9"/>
  <c r="K85" i="34"/>
  <c r="R65" i="34" s="1"/>
  <c r="B66" i="34"/>
  <c r="C66" i="34"/>
  <c r="D66" i="34"/>
  <c r="E66" i="34"/>
  <c r="F66" i="34"/>
  <c r="G66" i="34"/>
  <c r="H66" i="34"/>
  <c r="I66" i="34"/>
  <c r="J66" i="34"/>
  <c r="K66" i="34"/>
  <c r="AM22" i="9"/>
  <c r="AC22" i="9" s="1"/>
  <c r="B80" i="34" s="1"/>
  <c r="N66" i="34" s="1"/>
  <c r="AD22" i="9"/>
  <c r="AF22" i="9" s="1"/>
  <c r="B89" i="34" s="1"/>
  <c r="T66" i="34" s="1"/>
  <c r="AN22" i="9"/>
  <c r="AE22" i="9" s="1"/>
  <c r="B86" i="34" s="1"/>
  <c r="R66" i="34" s="1"/>
  <c r="B67" i="34"/>
  <c r="C67" i="34"/>
  <c r="D67" i="34"/>
  <c r="E67" i="34"/>
  <c r="F67" i="34"/>
  <c r="G67" i="34"/>
  <c r="H67" i="34"/>
  <c r="I67" i="34"/>
  <c r="J67" i="34"/>
  <c r="K67" i="34"/>
  <c r="AM23" i="9"/>
  <c r="AC23" i="9"/>
  <c r="C80" i="34"/>
  <c r="N67" i="34" s="1"/>
  <c r="AD23" i="9"/>
  <c r="AF23" i="9"/>
  <c r="C89" i="34" s="1"/>
  <c r="T67" i="34" s="1"/>
  <c r="C83" i="34"/>
  <c r="P67" i="34" s="1"/>
  <c r="AN23" i="9"/>
  <c r="AE23" i="9"/>
  <c r="C86" i="34"/>
  <c r="R67" i="34" s="1"/>
  <c r="B68" i="34"/>
  <c r="C68" i="34"/>
  <c r="D68" i="34"/>
  <c r="E68" i="34"/>
  <c r="F68" i="34"/>
  <c r="G68" i="34"/>
  <c r="H68" i="34"/>
  <c r="I68" i="34"/>
  <c r="J68" i="34"/>
  <c r="K68" i="34"/>
  <c r="AM24" i="9"/>
  <c r="AD24" i="9"/>
  <c r="AN24" i="9"/>
  <c r="AE24" i="9" s="1"/>
  <c r="D86" i="34" s="1"/>
  <c r="R68" i="34" s="1"/>
  <c r="B69" i="34"/>
  <c r="C69" i="34"/>
  <c r="D69" i="34"/>
  <c r="E69" i="34"/>
  <c r="F69" i="34"/>
  <c r="G69" i="34"/>
  <c r="H69" i="34"/>
  <c r="I69" i="34"/>
  <c r="J69" i="34"/>
  <c r="K69" i="34"/>
  <c r="AM25" i="9"/>
  <c r="AD25" i="9"/>
  <c r="AC25" i="9"/>
  <c r="E80" i="34" s="1"/>
  <c r="N69" i="34" s="1"/>
  <c r="AN25" i="9"/>
  <c r="AE25" i="9"/>
  <c r="E86" i="34" s="1"/>
  <c r="R69" i="34" s="1"/>
  <c r="B70" i="34"/>
  <c r="C70" i="34"/>
  <c r="D70" i="34"/>
  <c r="E70" i="34"/>
  <c r="F70" i="34"/>
  <c r="G70" i="34"/>
  <c r="H70" i="34"/>
  <c r="I70" i="34"/>
  <c r="J70" i="34"/>
  <c r="K70" i="34"/>
  <c r="AM26" i="9"/>
  <c r="AC26" i="9"/>
  <c r="F80" i="34"/>
  <c r="N70" i="34"/>
  <c r="AD26" i="9"/>
  <c r="AF26" i="9"/>
  <c r="F89" i="34"/>
  <c r="T70" i="34"/>
  <c r="AN26" i="9"/>
  <c r="AE26" i="9"/>
  <c r="F86" i="34"/>
  <c r="R70" i="34"/>
  <c r="B71" i="34"/>
  <c r="C71" i="34"/>
  <c r="D71" i="34"/>
  <c r="E71" i="34"/>
  <c r="F71" i="34"/>
  <c r="G71" i="34"/>
  <c r="H71" i="34"/>
  <c r="I71" i="34"/>
  <c r="J71" i="34"/>
  <c r="K71" i="34"/>
  <c r="AM27" i="9"/>
  <c r="AC27" i="9"/>
  <c r="G80" i="34" s="1"/>
  <c r="N71" i="34" s="1"/>
  <c r="AD27" i="9"/>
  <c r="G83" i="34" s="1"/>
  <c r="P71" i="34" s="1"/>
  <c r="AF27" i="9"/>
  <c r="G89" i="34" s="1"/>
  <c r="T71" i="34" s="1"/>
  <c r="AN27" i="9"/>
  <c r="AE27" i="9"/>
  <c r="G86" i="34" s="1"/>
  <c r="R71" i="34" s="1"/>
  <c r="B72" i="34"/>
  <c r="C72" i="34"/>
  <c r="D72" i="34"/>
  <c r="E72" i="34"/>
  <c r="F72" i="34"/>
  <c r="G72" i="34"/>
  <c r="H72" i="34"/>
  <c r="I72" i="34"/>
  <c r="J72" i="34"/>
  <c r="K72" i="34"/>
  <c r="AM28" i="9"/>
  <c r="AD28" i="9"/>
  <c r="AN28" i="9"/>
  <c r="AE28" i="9"/>
  <c r="H86" i="34"/>
  <c r="R72" i="34"/>
  <c r="AM29" i="9"/>
  <c r="AC29" i="9"/>
  <c r="I80" i="34"/>
  <c r="N73" i="34"/>
  <c r="AD29" i="9"/>
  <c r="I83" i="34"/>
  <c r="P73" i="34"/>
  <c r="AN29" i="9"/>
  <c r="AE29" i="9" s="1"/>
  <c r="I86" i="34" s="1"/>
  <c r="R73" i="34" s="1"/>
  <c r="AM30" i="9"/>
  <c r="AC30" i="9" s="1"/>
  <c r="J80" i="34" s="1"/>
  <c r="N74" i="34" s="1"/>
  <c r="AN30" i="9"/>
  <c r="AE30" i="9"/>
  <c r="J86" i="34"/>
  <c r="R74" i="34"/>
  <c r="AM31" i="9"/>
  <c r="AC31" i="9"/>
  <c r="K80" i="34"/>
  <c r="N75" i="34"/>
  <c r="AD31" i="9"/>
  <c r="K83" i="34"/>
  <c r="P75" i="34"/>
  <c r="AN31" i="9"/>
  <c r="AE31" i="9" s="1"/>
  <c r="K86" i="34" s="1"/>
  <c r="R75" i="34" s="1"/>
  <c r="B76" i="34"/>
  <c r="C76" i="34"/>
  <c r="D76" i="34"/>
  <c r="E76" i="34"/>
  <c r="F76" i="34"/>
  <c r="G76" i="34"/>
  <c r="H76" i="34"/>
  <c r="I76" i="34"/>
  <c r="J76" i="34"/>
  <c r="K76" i="34"/>
  <c r="AM33" i="9"/>
  <c r="AC33" i="9"/>
  <c r="B81" i="34"/>
  <c r="N76" i="34" s="1"/>
  <c r="AD33" i="9"/>
  <c r="B84" i="34"/>
  <c r="P76" i="34"/>
  <c r="AN33" i="9"/>
  <c r="AE33" i="9"/>
  <c r="B87" i="34"/>
  <c r="R76" i="34"/>
  <c r="B77" i="34"/>
  <c r="C77" i="34"/>
  <c r="D77" i="34"/>
  <c r="E77" i="34"/>
  <c r="F77" i="34"/>
  <c r="G77" i="34"/>
  <c r="H77" i="34"/>
  <c r="I77" i="34"/>
  <c r="J77" i="34"/>
  <c r="K77" i="34"/>
  <c r="AM34" i="9"/>
  <c r="AC34" i="9"/>
  <c r="C81" i="34" s="1"/>
  <c r="N77" i="34" s="1"/>
  <c r="AD34" i="9"/>
  <c r="AF34" i="9" s="1"/>
  <c r="C90" i="34" s="1"/>
  <c r="T77" i="34" s="1"/>
  <c r="C84" i="34"/>
  <c r="P77" i="34" s="1"/>
  <c r="AN34" i="9"/>
  <c r="AE34" i="9"/>
  <c r="C87" i="34"/>
  <c r="R77" i="34" s="1"/>
  <c r="B78" i="34"/>
  <c r="C78" i="34"/>
  <c r="A1" i="33"/>
  <c r="N2" i="33"/>
  <c r="B1" i="33"/>
  <c r="W7" i="8"/>
  <c r="B2" i="33"/>
  <c r="Z7" i="8"/>
  <c r="C2" i="33" s="1"/>
  <c r="D2" i="33"/>
  <c r="O2" i="33"/>
  <c r="B4" i="33"/>
  <c r="C4" i="33"/>
  <c r="D4" i="33"/>
  <c r="E4" i="33"/>
  <c r="F4" i="33"/>
  <c r="G4" i="33"/>
  <c r="H4" i="33"/>
  <c r="I4" i="33"/>
  <c r="J4" i="33"/>
  <c r="K4" i="33"/>
  <c r="B5" i="33"/>
  <c r="C5" i="33"/>
  <c r="D5" i="33"/>
  <c r="E5" i="33"/>
  <c r="F5" i="33"/>
  <c r="G5" i="33"/>
  <c r="H5" i="33"/>
  <c r="I5" i="33"/>
  <c r="J5" i="33"/>
  <c r="K5" i="33"/>
  <c r="B6" i="33"/>
  <c r="C6" i="33"/>
  <c r="D6" i="33"/>
  <c r="E6" i="33"/>
  <c r="F6" i="33"/>
  <c r="G6" i="33"/>
  <c r="H6" i="33"/>
  <c r="I6" i="33"/>
  <c r="J6" i="33"/>
  <c r="B7" i="33"/>
  <c r="C7" i="33"/>
  <c r="D7" i="33"/>
  <c r="E7" i="33"/>
  <c r="F7" i="33"/>
  <c r="G7" i="33"/>
  <c r="H7" i="33"/>
  <c r="I7" i="33"/>
  <c r="J7" i="33"/>
  <c r="K7" i="33"/>
  <c r="B8" i="33"/>
  <c r="C8" i="33"/>
  <c r="D8" i="33"/>
  <c r="E8" i="33"/>
  <c r="F8" i="33"/>
  <c r="G8" i="33"/>
  <c r="H8" i="33"/>
  <c r="I8" i="33"/>
  <c r="J8" i="33"/>
  <c r="K8" i="33"/>
  <c r="B9" i="33"/>
  <c r="C9" i="33"/>
  <c r="D9" i="33"/>
  <c r="E9" i="33"/>
  <c r="F9" i="33"/>
  <c r="G9" i="33"/>
  <c r="H9" i="33"/>
  <c r="I9" i="33"/>
  <c r="J9" i="33"/>
  <c r="B10" i="33"/>
  <c r="C10" i="33"/>
  <c r="D10" i="33"/>
  <c r="E10" i="33"/>
  <c r="F10" i="33"/>
  <c r="G10" i="33"/>
  <c r="H10" i="33"/>
  <c r="I10" i="33"/>
  <c r="J10" i="33"/>
  <c r="K10" i="33"/>
  <c r="B11" i="33"/>
  <c r="C11" i="33"/>
  <c r="D11" i="33"/>
  <c r="E11" i="33"/>
  <c r="F11" i="33"/>
  <c r="G11" i="33"/>
  <c r="H11" i="33"/>
  <c r="I11" i="33"/>
  <c r="J11" i="33"/>
  <c r="K11" i="33"/>
  <c r="B12" i="33"/>
  <c r="C12" i="33"/>
  <c r="D12" i="33"/>
  <c r="E12" i="33"/>
  <c r="F12" i="33"/>
  <c r="G12" i="33"/>
  <c r="H12" i="33"/>
  <c r="I12" i="33"/>
  <c r="J12" i="33"/>
  <c r="B13" i="33"/>
  <c r="C13" i="33"/>
  <c r="D13" i="33"/>
  <c r="E13" i="33"/>
  <c r="F13" i="33"/>
  <c r="G13" i="33"/>
  <c r="H13" i="33"/>
  <c r="I13" i="33"/>
  <c r="J13" i="33"/>
  <c r="K13" i="33"/>
  <c r="B14" i="33"/>
  <c r="C14" i="33"/>
  <c r="D14" i="33"/>
  <c r="E14" i="33"/>
  <c r="F14" i="33"/>
  <c r="G14" i="33"/>
  <c r="H14" i="33"/>
  <c r="I14" i="33"/>
  <c r="J14" i="33"/>
  <c r="K14" i="33"/>
  <c r="B15" i="33"/>
  <c r="C15" i="33"/>
  <c r="D15" i="33"/>
  <c r="E15" i="33"/>
  <c r="F15" i="33"/>
  <c r="G15" i="33"/>
  <c r="H15" i="33"/>
  <c r="I15" i="33"/>
  <c r="J15" i="33"/>
  <c r="B16" i="33"/>
  <c r="C16" i="33"/>
  <c r="D16" i="33"/>
  <c r="E16" i="33"/>
  <c r="F16" i="33"/>
  <c r="G16" i="33"/>
  <c r="H16" i="33"/>
  <c r="I16" i="33"/>
  <c r="J16" i="33"/>
  <c r="K16" i="33"/>
  <c r="B17" i="33"/>
  <c r="C17" i="33"/>
  <c r="D17" i="33"/>
  <c r="E17" i="33"/>
  <c r="F17" i="33"/>
  <c r="G17" i="33"/>
  <c r="H17" i="33"/>
  <c r="I17" i="33"/>
  <c r="J17" i="33"/>
  <c r="K17" i="33"/>
  <c r="B18" i="33"/>
  <c r="C18" i="33"/>
  <c r="D18" i="33"/>
  <c r="E18" i="33"/>
  <c r="F18" i="33"/>
  <c r="G18" i="33"/>
  <c r="H18" i="33"/>
  <c r="I18" i="33"/>
  <c r="J18" i="33"/>
  <c r="B19" i="33"/>
  <c r="C19" i="33"/>
  <c r="D19" i="33"/>
  <c r="E19" i="33"/>
  <c r="F19" i="33"/>
  <c r="G19" i="33"/>
  <c r="H19" i="33"/>
  <c r="I19" i="33"/>
  <c r="J19" i="33"/>
  <c r="K19" i="33"/>
  <c r="B20" i="33"/>
  <c r="C20" i="33"/>
  <c r="D20" i="33"/>
  <c r="E20" i="33"/>
  <c r="F20" i="33"/>
  <c r="G20" i="33"/>
  <c r="H20" i="33"/>
  <c r="I20" i="33"/>
  <c r="J20" i="33"/>
  <c r="K20" i="33"/>
  <c r="B21" i="33"/>
  <c r="C21" i="33"/>
  <c r="D21" i="33"/>
  <c r="E21" i="33"/>
  <c r="F21" i="33"/>
  <c r="G21" i="33"/>
  <c r="H21" i="33"/>
  <c r="I21" i="33"/>
  <c r="J21" i="33"/>
  <c r="B22" i="33"/>
  <c r="C22" i="33"/>
  <c r="D22" i="33"/>
  <c r="E22" i="33"/>
  <c r="F22" i="33"/>
  <c r="G22" i="33"/>
  <c r="H22" i="33"/>
  <c r="I22" i="33"/>
  <c r="J22" i="33"/>
  <c r="K22" i="33"/>
  <c r="B23" i="33"/>
  <c r="C23" i="33"/>
  <c r="D23" i="33"/>
  <c r="E23" i="33"/>
  <c r="F23" i="33"/>
  <c r="G23" i="33"/>
  <c r="H23" i="33"/>
  <c r="I23" i="33"/>
  <c r="J23" i="33"/>
  <c r="K23" i="33"/>
  <c r="B24" i="33"/>
  <c r="C24" i="33"/>
  <c r="D24" i="33"/>
  <c r="E24" i="33"/>
  <c r="F24" i="33"/>
  <c r="G24" i="33"/>
  <c r="H24" i="33"/>
  <c r="I24" i="33"/>
  <c r="J24" i="33"/>
  <c r="B25" i="33"/>
  <c r="C25" i="33"/>
  <c r="D25" i="33"/>
  <c r="E25" i="33"/>
  <c r="F25" i="33"/>
  <c r="G25" i="33"/>
  <c r="H25" i="33"/>
  <c r="I25" i="33"/>
  <c r="J25" i="33"/>
  <c r="K25" i="33"/>
  <c r="B26" i="33"/>
  <c r="C26" i="33"/>
  <c r="D26" i="33"/>
  <c r="E26" i="33"/>
  <c r="F26" i="33"/>
  <c r="G26" i="33"/>
  <c r="H26" i="33"/>
  <c r="I26" i="33"/>
  <c r="J26" i="33"/>
  <c r="K26" i="33"/>
  <c r="B27" i="33"/>
  <c r="C27" i="33"/>
  <c r="D27" i="33"/>
  <c r="E27" i="33"/>
  <c r="F27" i="33"/>
  <c r="G27" i="33"/>
  <c r="H27" i="33"/>
  <c r="I27" i="33"/>
  <c r="J27" i="33"/>
  <c r="B28" i="33"/>
  <c r="C28" i="33"/>
  <c r="D28" i="33"/>
  <c r="E28" i="33"/>
  <c r="F28" i="33"/>
  <c r="G28" i="33"/>
  <c r="H28" i="33"/>
  <c r="I28" i="33"/>
  <c r="J28" i="33"/>
  <c r="K28" i="33"/>
  <c r="B29" i="33"/>
  <c r="C29" i="33"/>
  <c r="D29" i="33"/>
  <c r="E29" i="33"/>
  <c r="F29" i="33"/>
  <c r="G29" i="33"/>
  <c r="H29" i="33"/>
  <c r="I29" i="33"/>
  <c r="J29" i="33"/>
  <c r="K29" i="33"/>
  <c r="B30" i="33"/>
  <c r="C30" i="33"/>
  <c r="D30" i="33"/>
  <c r="E30" i="33"/>
  <c r="F30" i="33"/>
  <c r="G30" i="33"/>
  <c r="H30" i="33"/>
  <c r="I30" i="33"/>
  <c r="J30" i="33"/>
  <c r="B31" i="33"/>
  <c r="C31" i="33"/>
  <c r="D31" i="33"/>
  <c r="E31" i="33"/>
  <c r="F31" i="33"/>
  <c r="G31" i="33"/>
  <c r="H31" i="33"/>
  <c r="I31" i="33"/>
  <c r="J31" i="33"/>
  <c r="K31" i="33"/>
  <c r="B32" i="33"/>
  <c r="C32" i="33"/>
  <c r="D32" i="33"/>
  <c r="E32" i="33"/>
  <c r="F32" i="33"/>
  <c r="G32" i="33"/>
  <c r="H32" i="33"/>
  <c r="I32" i="33"/>
  <c r="J32" i="33"/>
  <c r="K32" i="33"/>
  <c r="B33" i="33"/>
  <c r="C33" i="33"/>
  <c r="D33" i="33"/>
  <c r="E33" i="33"/>
  <c r="F33" i="33"/>
  <c r="G33" i="33"/>
  <c r="H33" i="33"/>
  <c r="I33" i="33"/>
  <c r="J33" i="33"/>
  <c r="B34" i="33"/>
  <c r="C34" i="33"/>
  <c r="D34" i="33"/>
  <c r="E34" i="33"/>
  <c r="F34" i="33"/>
  <c r="G34" i="33"/>
  <c r="H34" i="33"/>
  <c r="I34" i="33"/>
  <c r="J34" i="33"/>
  <c r="K34" i="33"/>
  <c r="B35" i="33"/>
  <c r="C35" i="33"/>
  <c r="D35" i="33"/>
  <c r="E35" i="33"/>
  <c r="F35" i="33"/>
  <c r="G35" i="33"/>
  <c r="H35" i="33"/>
  <c r="I35" i="33"/>
  <c r="J35" i="33"/>
  <c r="K35" i="33"/>
  <c r="B36" i="33"/>
  <c r="C36" i="33"/>
  <c r="D36" i="33"/>
  <c r="E36" i="33"/>
  <c r="F36" i="33"/>
  <c r="G36" i="33"/>
  <c r="H36" i="33"/>
  <c r="I36" i="33"/>
  <c r="J36" i="33"/>
  <c r="B37" i="33"/>
  <c r="C37" i="33"/>
  <c r="D37" i="33"/>
  <c r="E37" i="33"/>
  <c r="F37" i="33"/>
  <c r="G37" i="33"/>
  <c r="H37" i="33"/>
  <c r="I37" i="33"/>
  <c r="J37" i="33"/>
  <c r="K37" i="33"/>
  <c r="B38" i="33"/>
  <c r="C38" i="33"/>
  <c r="D38" i="33"/>
  <c r="E38" i="33"/>
  <c r="F38" i="33"/>
  <c r="G38" i="33"/>
  <c r="H38" i="33"/>
  <c r="I38" i="33"/>
  <c r="J38" i="33"/>
  <c r="K38" i="33"/>
  <c r="B39" i="33"/>
  <c r="C39" i="33"/>
  <c r="D39" i="33"/>
  <c r="E39" i="33"/>
  <c r="F39" i="33"/>
  <c r="G39" i="33"/>
  <c r="H39" i="33"/>
  <c r="I39" i="33"/>
  <c r="J39" i="33"/>
  <c r="B40" i="33"/>
  <c r="C40" i="33"/>
  <c r="D40" i="33"/>
  <c r="E40" i="33"/>
  <c r="F40" i="33"/>
  <c r="G40" i="33"/>
  <c r="H40" i="33"/>
  <c r="I40" i="33"/>
  <c r="J40" i="33"/>
  <c r="K40" i="33"/>
  <c r="B41" i="33"/>
  <c r="C41" i="33"/>
  <c r="D41" i="33"/>
  <c r="E41" i="33"/>
  <c r="F41" i="33"/>
  <c r="G41" i="33"/>
  <c r="H41" i="33"/>
  <c r="I41" i="33"/>
  <c r="J41" i="33"/>
  <c r="K41" i="33"/>
  <c r="B42" i="33"/>
  <c r="C42" i="33"/>
  <c r="D42" i="33"/>
  <c r="E42" i="33"/>
  <c r="F42" i="33"/>
  <c r="G42" i="33"/>
  <c r="H42" i="33"/>
  <c r="I42" i="33"/>
  <c r="J42" i="33"/>
  <c r="B43" i="33"/>
  <c r="C43" i="33"/>
  <c r="D43" i="33"/>
  <c r="E43" i="33"/>
  <c r="F43" i="33"/>
  <c r="G43" i="33"/>
  <c r="H43" i="33"/>
  <c r="I43" i="33"/>
  <c r="J43" i="33"/>
  <c r="K43" i="33"/>
  <c r="B44" i="33"/>
  <c r="C44" i="33"/>
  <c r="D44" i="33"/>
  <c r="E44" i="33"/>
  <c r="F44" i="33"/>
  <c r="G44" i="33"/>
  <c r="H44" i="33"/>
  <c r="I44" i="33"/>
  <c r="J44" i="33"/>
  <c r="K44" i="33"/>
  <c r="B45" i="33"/>
  <c r="C45" i="33"/>
  <c r="D45" i="33"/>
  <c r="E45" i="33"/>
  <c r="F45" i="33"/>
  <c r="G45" i="33"/>
  <c r="H45" i="33"/>
  <c r="I45" i="33"/>
  <c r="J45" i="33"/>
  <c r="B46" i="33"/>
  <c r="C46" i="33"/>
  <c r="D46" i="33"/>
  <c r="E46" i="33"/>
  <c r="F46" i="33"/>
  <c r="G46" i="33"/>
  <c r="H46" i="33"/>
  <c r="I46" i="33"/>
  <c r="J46" i="33"/>
  <c r="K46" i="33"/>
  <c r="B47" i="33"/>
  <c r="C47" i="33"/>
  <c r="D47" i="33"/>
  <c r="E47" i="33"/>
  <c r="F47" i="33"/>
  <c r="G47" i="33"/>
  <c r="H47" i="33"/>
  <c r="I47" i="33"/>
  <c r="J47" i="33"/>
  <c r="K47" i="33"/>
  <c r="B48" i="33"/>
  <c r="C48" i="33"/>
  <c r="D48" i="33"/>
  <c r="E48" i="33"/>
  <c r="F48" i="33"/>
  <c r="G48" i="33"/>
  <c r="H48" i="33"/>
  <c r="I48" i="33"/>
  <c r="J48" i="33"/>
  <c r="B49" i="33"/>
  <c r="C49" i="33"/>
  <c r="D49" i="33"/>
  <c r="E49" i="33"/>
  <c r="F49" i="33"/>
  <c r="G49" i="33"/>
  <c r="H49" i="33"/>
  <c r="I49" i="33"/>
  <c r="J49" i="33"/>
  <c r="K49" i="33"/>
  <c r="B50" i="33"/>
  <c r="C50" i="33"/>
  <c r="D50" i="33"/>
  <c r="E50" i="33"/>
  <c r="F50" i="33"/>
  <c r="G50" i="33"/>
  <c r="H50" i="33"/>
  <c r="I50" i="33"/>
  <c r="J50" i="33"/>
  <c r="K50" i="33"/>
  <c r="B51" i="33"/>
  <c r="C51" i="33"/>
  <c r="D51" i="33"/>
  <c r="E51" i="33"/>
  <c r="F51" i="33"/>
  <c r="G51" i="33"/>
  <c r="H51" i="33"/>
  <c r="I51" i="33"/>
  <c r="J51" i="33"/>
  <c r="B52" i="33"/>
  <c r="C52" i="33"/>
  <c r="D52" i="33"/>
  <c r="E52" i="33"/>
  <c r="F52" i="33"/>
  <c r="G52" i="33"/>
  <c r="H52" i="33"/>
  <c r="I52" i="33"/>
  <c r="J52" i="33"/>
  <c r="K52" i="33"/>
  <c r="B53" i="33"/>
  <c r="C53" i="33"/>
  <c r="D53" i="33"/>
  <c r="E53" i="33"/>
  <c r="F53" i="33"/>
  <c r="G53" i="33"/>
  <c r="H53" i="33"/>
  <c r="I53" i="33"/>
  <c r="J53" i="33"/>
  <c r="K53" i="33"/>
  <c r="B54" i="33"/>
  <c r="C54" i="33"/>
  <c r="D54" i="33"/>
  <c r="E54" i="33"/>
  <c r="F54" i="33"/>
  <c r="G54" i="33"/>
  <c r="H54" i="33"/>
  <c r="I54" i="33"/>
  <c r="J54" i="33"/>
  <c r="B55" i="33"/>
  <c r="C55" i="33"/>
  <c r="D55" i="33"/>
  <c r="E55" i="33"/>
  <c r="F55" i="33"/>
  <c r="G55" i="33"/>
  <c r="H55" i="33"/>
  <c r="I55" i="33"/>
  <c r="J55" i="33"/>
  <c r="K55" i="33"/>
  <c r="B56" i="33"/>
  <c r="C56" i="33"/>
  <c r="D56" i="33"/>
  <c r="E56" i="33"/>
  <c r="F56" i="33"/>
  <c r="G56" i="33"/>
  <c r="H56" i="33"/>
  <c r="I56" i="33"/>
  <c r="J56" i="33"/>
  <c r="K56" i="33"/>
  <c r="AM11" i="8"/>
  <c r="AC11" i="8"/>
  <c r="AD11" i="8"/>
  <c r="AF11" i="8"/>
  <c r="B88" i="33" s="1"/>
  <c r="T56" i="33" s="1"/>
  <c r="AN11" i="8"/>
  <c r="AE11" i="8"/>
  <c r="B85" i="33" s="1"/>
  <c r="B57" i="33"/>
  <c r="C57" i="33"/>
  <c r="D57" i="33"/>
  <c r="E57" i="33"/>
  <c r="F57" i="33"/>
  <c r="G57" i="33"/>
  <c r="H57" i="33"/>
  <c r="I57" i="33"/>
  <c r="J57" i="33"/>
  <c r="AM12" i="8"/>
  <c r="AC12" i="8"/>
  <c r="C79" i="33" s="1"/>
  <c r="N57" i="33" s="1"/>
  <c r="AD12" i="8"/>
  <c r="AF12" i="8"/>
  <c r="C88" i="33" s="1"/>
  <c r="T57" i="33" s="1"/>
  <c r="C82" i="33"/>
  <c r="P57" i="33"/>
  <c r="AN12" i="8"/>
  <c r="AE12" i="8"/>
  <c r="C85" i="33"/>
  <c r="R57" i="33"/>
  <c r="B58" i="33"/>
  <c r="C58" i="33"/>
  <c r="D58" i="33"/>
  <c r="E58" i="33"/>
  <c r="F58" i="33"/>
  <c r="G58" i="33"/>
  <c r="H58" i="33"/>
  <c r="I58" i="33"/>
  <c r="J58" i="33"/>
  <c r="K58" i="33"/>
  <c r="AM13" i="8"/>
  <c r="AC13" i="8"/>
  <c r="D79" i="33" s="1"/>
  <c r="N58" i="33" s="1"/>
  <c r="AD13" i="8"/>
  <c r="AF13" i="8"/>
  <c r="D88" i="33" s="1"/>
  <c r="T58" i="33" s="1"/>
  <c r="D82" i="33"/>
  <c r="P58" i="33"/>
  <c r="AN13" i="8"/>
  <c r="AE13" i="8"/>
  <c r="D85" i="33"/>
  <c r="R58" i="33"/>
  <c r="B59" i="33"/>
  <c r="C59" i="33"/>
  <c r="D59" i="33"/>
  <c r="E59" i="33"/>
  <c r="F59" i="33"/>
  <c r="G59" i="33"/>
  <c r="H59" i="33"/>
  <c r="I59" i="33"/>
  <c r="J59" i="33"/>
  <c r="K59" i="33"/>
  <c r="AM14" i="8"/>
  <c r="AC14" i="8"/>
  <c r="E79" i="33" s="1"/>
  <c r="N59" i="33" s="1"/>
  <c r="AD14" i="8"/>
  <c r="AF14" i="8"/>
  <c r="E88" i="33" s="1"/>
  <c r="T59" i="33" s="1"/>
  <c r="E82" i="33"/>
  <c r="P59" i="33"/>
  <c r="AN14" i="8"/>
  <c r="AE14" i="8"/>
  <c r="E85" i="33"/>
  <c r="R59" i="33"/>
  <c r="B60" i="33"/>
  <c r="C60" i="33"/>
  <c r="D60" i="33"/>
  <c r="E60" i="33"/>
  <c r="F60" i="33"/>
  <c r="G60" i="33"/>
  <c r="H60" i="33"/>
  <c r="I60" i="33"/>
  <c r="J60" i="33"/>
  <c r="AM15" i="8"/>
  <c r="AC15" i="8"/>
  <c r="F79" i="33"/>
  <c r="N60" i="33" s="1"/>
  <c r="AD15" i="8"/>
  <c r="F82" i="33"/>
  <c r="P60" i="33"/>
  <c r="AN15" i="8"/>
  <c r="AF15" i="8" s="1"/>
  <c r="F88" i="33" s="1"/>
  <c r="T60" i="33" s="1"/>
  <c r="B61" i="33"/>
  <c r="C61" i="33"/>
  <c r="D61" i="33"/>
  <c r="E61" i="33"/>
  <c r="F61" i="33"/>
  <c r="G61" i="33"/>
  <c r="H61" i="33"/>
  <c r="I61" i="33"/>
  <c r="J61" i="33"/>
  <c r="K61" i="33"/>
  <c r="AM16" i="8"/>
  <c r="AC16" i="8"/>
  <c r="G79" i="33"/>
  <c r="N61" i="33" s="1"/>
  <c r="AD16" i="8"/>
  <c r="G82" i="33"/>
  <c r="P61" i="33"/>
  <c r="AN16" i="8"/>
  <c r="AF16" i="8" s="1"/>
  <c r="G88" i="33" s="1"/>
  <c r="T61" i="33" s="1"/>
  <c r="B62" i="33"/>
  <c r="C62" i="33"/>
  <c r="D62" i="33"/>
  <c r="E62" i="33"/>
  <c r="F62" i="33"/>
  <c r="G62" i="33"/>
  <c r="H62" i="33"/>
  <c r="I62" i="33"/>
  <c r="J62" i="33"/>
  <c r="K62" i="33"/>
  <c r="AM17" i="8"/>
  <c r="AC17" i="8"/>
  <c r="H79" i="33"/>
  <c r="N62" i="33" s="1"/>
  <c r="AD17" i="8"/>
  <c r="H82" i="33"/>
  <c r="P62" i="33"/>
  <c r="AN17" i="8"/>
  <c r="AF17" i="8" s="1"/>
  <c r="H88" i="33" s="1"/>
  <c r="T62" i="33" s="1"/>
  <c r="B63" i="33"/>
  <c r="C63" i="33"/>
  <c r="D63" i="33"/>
  <c r="E63" i="33"/>
  <c r="F63" i="33"/>
  <c r="G63" i="33"/>
  <c r="H63" i="33"/>
  <c r="I63" i="33"/>
  <c r="J63" i="33"/>
  <c r="AM18" i="8"/>
  <c r="AC18" i="8"/>
  <c r="I79" i="33"/>
  <c r="N63" i="33"/>
  <c r="AD18" i="8"/>
  <c r="I82" i="33"/>
  <c r="P63" i="33"/>
  <c r="AN18" i="8"/>
  <c r="AE18" i="8" s="1"/>
  <c r="I85" i="33" s="1"/>
  <c r="R63" i="33" s="1"/>
  <c r="AF18" i="8"/>
  <c r="I88" i="33" s="1"/>
  <c r="T63" i="33" s="1"/>
  <c r="B64" i="33"/>
  <c r="C64" i="33"/>
  <c r="D64" i="33"/>
  <c r="E64" i="33"/>
  <c r="F64" i="33"/>
  <c r="G64" i="33"/>
  <c r="H64" i="33"/>
  <c r="I64" i="33"/>
  <c r="J64" i="33"/>
  <c r="K64" i="33"/>
  <c r="AM19" i="8"/>
  <c r="AC19" i="8"/>
  <c r="J79" i="33"/>
  <c r="N64" i="33"/>
  <c r="AD19" i="8"/>
  <c r="J82" i="33"/>
  <c r="P64" i="33"/>
  <c r="AN19" i="8"/>
  <c r="AE19" i="8" s="1"/>
  <c r="J85" i="33" s="1"/>
  <c r="R64" i="33" s="1"/>
  <c r="AF19" i="8"/>
  <c r="J88" i="33" s="1"/>
  <c r="T64" i="33" s="1"/>
  <c r="B65" i="33"/>
  <c r="C65" i="33"/>
  <c r="D65" i="33"/>
  <c r="E65" i="33"/>
  <c r="F65" i="33"/>
  <c r="G65" i="33"/>
  <c r="H65" i="33"/>
  <c r="I65" i="33"/>
  <c r="J65" i="33"/>
  <c r="K65" i="33"/>
  <c r="AM20" i="8"/>
  <c r="AC20" i="8"/>
  <c r="K79" i="33"/>
  <c r="N65" i="33"/>
  <c r="AD20" i="8"/>
  <c r="K82" i="33"/>
  <c r="P65" i="33"/>
  <c r="AN20" i="8"/>
  <c r="AE20" i="8" s="1"/>
  <c r="K85" i="33" s="1"/>
  <c r="R65" i="33" s="1"/>
  <c r="AF20" i="8"/>
  <c r="K88" i="33" s="1"/>
  <c r="T65" i="33" s="1"/>
  <c r="B66" i="33"/>
  <c r="C66" i="33"/>
  <c r="D66" i="33"/>
  <c r="E66" i="33"/>
  <c r="F66" i="33"/>
  <c r="G66" i="33"/>
  <c r="H66" i="33"/>
  <c r="I66" i="33"/>
  <c r="J66" i="33"/>
  <c r="AM22" i="8"/>
  <c r="AC22" i="8" s="1"/>
  <c r="B80" i="33" s="1"/>
  <c r="N66" i="33" s="1"/>
  <c r="AD22" i="8"/>
  <c r="AF22" i="8" s="1"/>
  <c r="B89" i="33" s="1"/>
  <c r="T66" i="33" s="1"/>
  <c r="AN22" i="8"/>
  <c r="AE22" i="8" s="1"/>
  <c r="B86" i="33" s="1"/>
  <c r="R66" i="33" s="1"/>
  <c r="B67" i="33"/>
  <c r="C67" i="33"/>
  <c r="D67" i="33"/>
  <c r="E67" i="33"/>
  <c r="F67" i="33"/>
  <c r="G67" i="33"/>
  <c r="H67" i="33"/>
  <c r="I67" i="33"/>
  <c r="J67" i="33"/>
  <c r="K67" i="33"/>
  <c r="AM23" i="8"/>
  <c r="AC23" i="8"/>
  <c r="C80" i="33"/>
  <c r="N67" i="33" s="1"/>
  <c r="AD23" i="8"/>
  <c r="AF23" i="8"/>
  <c r="C89" i="33"/>
  <c r="T67" i="33" s="1"/>
  <c r="AN23" i="8"/>
  <c r="AE23" i="8"/>
  <c r="C86" i="33"/>
  <c r="R67" i="33" s="1"/>
  <c r="B68" i="33"/>
  <c r="C68" i="33"/>
  <c r="D68" i="33"/>
  <c r="E68" i="33"/>
  <c r="F68" i="33"/>
  <c r="G68" i="33"/>
  <c r="H68" i="33"/>
  <c r="I68" i="33"/>
  <c r="J68" i="33"/>
  <c r="K68" i="33"/>
  <c r="AM24" i="8"/>
  <c r="AC24" i="8" s="1"/>
  <c r="D80" i="33" s="1"/>
  <c r="N68" i="33" s="1"/>
  <c r="AD24" i="8"/>
  <c r="AF24" i="8" s="1"/>
  <c r="D89" i="33" s="1"/>
  <c r="T68" i="33" s="1"/>
  <c r="AN24" i="8"/>
  <c r="AE24" i="8" s="1"/>
  <c r="D86" i="33" s="1"/>
  <c r="R68" i="33" s="1"/>
  <c r="B69" i="33"/>
  <c r="C69" i="33"/>
  <c r="D69" i="33"/>
  <c r="E69" i="33"/>
  <c r="F69" i="33"/>
  <c r="G69" i="33"/>
  <c r="H69" i="33"/>
  <c r="I69" i="33"/>
  <c r="J69" i="33"/>
  <c r="K69" i="33"/>
  <c r="AM25" i="8"/>
  <c r="AC25" i="8"/>
  <c r="E80" i="33"/>
  <c r="N69" i="33" s="1"/>
  <c r="AD25" i="8"/>
  <c r="AF25" i="8"/>
  <c r="E89" i="33"/>
  <c r="T69" i="33" s="1"/>
  <c r="AN25" i="8"/>
  <c r="AE25" i="8"/>
  <c r="E86" i="33"/>
  <c r="R69" i="33" s="1"/>
  <c r="B70" i="33"/>
  <c r="C70" i="33"/>
  <c r="D70" i="33"/>
  <c r="E70" i="33"/>
  <c r="F70" i="33"/>
  <c r="G70" i="33"/>
  <c r="H70" i="33"/>
  <c r="I70" i="33"/>
  <c r="J70" i="33"/>
  <c r="K70" i="33"/>
  <c r="AM26" i="8"/>
  <c r="AC26" i="8" s="1"/>
  <c r="F80" i="33" s="1"/>
  <c r="N70" i="33" s="1"/>
  <c r="AD26" i="8"/>
  <c r="AF26" i="8" s="1"/>
  <c r="F89" i="33" s="1"/>
  <c r="T70" i="33" s="1"/>
  <c r="AN26" i="8"/>
  <c r="AE26" i="8" s="1"/>
  <c r="F86" i="33" s="1"/>
  <c r="R70" i="33" s="1"/>
  <c r="B71" i="33"/>
  <c r="C71" i="33"/>
  <c r="D71" i="33"/>
  <c r="E71" i="33"/>
  <c r="F71" i="33"/>
  <c r="G71" i="33"/>
  <c r="H71" i="33"/>
  <c r="I71" i="33"/>
  <c r="J71" i="33"/>
  <c r="K71" i="33"/>
  <c r="AM27" i="8"/>
  <c r="AC27" i="8"/>
  <c r="G80" i="33"/>
  <c r="N71" i="33" s="1"/>
  <c r="AD27" i="8"/>
  <c r="AF27" i="8"/>
  <c r="G89" i="33"/>
  <c r="T71" i="33" s="1"/>
  <c r="AN27" i="8"/>
  <c r="AE27" i="8"/>
  <c r="G86" i="33"/>
  <c r="R71" i="33" s="1"/>
  <c r="B72" i="33"/>
  <c r="C72" i="33"/>
  <c r="D72" i="33"/>
  <c r="E72" i="33"/>
  <c r="F72" i="33"/>
  <c r="G72" i="33"/>
  <c r="H72" i="33"/>
  <c r="I72" i="33"/>
  <c r="J72" i="33"/>
  <c r="K72" i="33"/>
  <c r="AM28" i="8"/>
  <c r="AC28" i="8" s="1"/>
  <c r="H80" i="33" s="1"/>
  <c r="N72" i="33" s="1"/>
  <c r="AD28" i="8"/>
  <c r="AF28" i="8" s="1"/>
  <c r="H89" i="33" s="1"/>
  <c r="T72" i="33" s="1"/>
  <c r="AN28" i="8"/>
  <c r="AE28" i="8" s="1"/>
  <c r="H86" i="33" s="1"/>
  <c r="R72" i="33" s="1"/>
  <c r="AM29" i="8"/>
  <c r="AC29" i="8" s="1"/>
  <c r="I80" i="33" s="1"/>
  <c r="N73" i="33" s="1"/>
  <c r="AD29" i="8"/>
  <c r="AF29" i="8" s="1"/>
  <c r="I89" i="33" s="1"/>
  <c r="T73" i="33" s="1"/>
  <c r="I83" i="33"/>
  <c r="P73" i="33" s="1"/>
  <c r="AN29" i="8"/>
  <c r="AE29" i="8"/>
  <c r="I86" i="33"/>
  <c r="R73" i="33" s="1"/>
  <c r="AM30" i="8"/>
  <c r="AC30" i="8"/>
  <c r="J80" i="33"/>
  <c r="N74" i="33" s="1"/>
  <c r="AD30" i="8"/>
  <c r="AF30" i="8"/>
  <c r="J89" i="33"/>
  <c r="T74" i="33" s="1"/>
  <c r="AN30" i="8"/>
  <c r="AE30" i="8"/>
  <c r="J86" i="33"/>
  <c r="R74" i="33" s="1"/>
  <c r="AM31" i="8"/>
  <c r="AC31" i="8"/>
  <c r="K80" i="33"/>
  <c r="N75" i="33" s="1"/>
  <c r="AD31" i="8"/>
  <c r="K83" i="33"/>
  <c r="P75" i="33"/>
  <c r="AN31" i="8"/>
  <c r="AF31" i="8" s="1"/>
  <c r="K89" i="33" s="1"/>
  <c r="T75" i="33" s="1"/>
  <c r="B76" i="33"/>
  <c r="B91" i="33" s="1"/>
  <c r="C76" i="33"/>
  <c r="D76" i="33"/>
  <c r="E76" i="33"/>
  <c r="F76" i="33"/>
  <c r="G76" i="33"/>
  <c r="H76" i="33"/>
  <c r="I76" i="33"/>
  <c r="J76" i="33"/>
  <c r="K76" i="33"/>
  <c r="AM33" i="8"/>
  <c r="AC33" i="8"/>
  <c r="B81" i="33" s="1"/>
  <c r="N76" i="33" s="1"/>
  <c r="AD33" i="8"/>
  <c r="AF33" i="8"/>
  <c r="B90" i="33" s="1"/>
  <c r="T76" i="33" s="1"/>
  <c r="B84" i="33"/>
  <c r="P76" i="33"/>
  <c r="AN33" i="8"/>
  <c r="AE33" i="8"/>
  <c r="B87" i="33"/>
  <c r="R76" i="33"/>
  <c r="B77" i="33"/>
  <c r="C77" i="33"/>
  <c r="D77" i="33"/>
  <c r="E77" i="33"/>
  <c r="F77" i="33"/>
  <c r="G77" i="33"/>
  <c r="H77" i="33"/>
  <c r="I77" i="33"/>
  <c r="J77" i="33"/>
  <c r="K77" i="33"/>
  <c r="AM34" i="8"/>
  <c r="AC34" i="8"/>
  <c r="C81" i="33" s="1"/>
  <c r="N77" i="33" s="1"/>
  <c r="AD34" i="8"/>
  <c r="AF34" i="8"/>
  <c r="C90" i="33" s="1"/>
  <c r="T77" i="33" s="1"/>
  <c r="C84" i="33"/>
  <c r="P77" i="33"/>
  <c r="AN34" i="8"/>
  <c r="AE34" i="8"/>
  <c r="C87" i="33"/>
  <c r="R77" i="33"/>
  <c r="B78" i="33"/>
  <c r="C78" i="33"/>
  <c r="D78" i="33"/>
  <c r="E78" i="33"/>
  <c r="F78" i="33"/>
  <c r="G78" i="33"/>
  <c r="H78" i="33"/>
  <c r="I78" i="33"/>
  <c r="J78" i="33"/>
  <c r="K78" i="33"/>
  <c r="AM35" i="8"/>
  <c r="AC35" i="8"/>
  <c r="D81" i="33" s="1"/>
  <c r="N78" i="33" s="1"/>
  <c r="AD35" i="8"/>
  <c r="AF35" i="8"/>
  <c r="D90" i="33" s="1"/>
  <c r="T78" i="33" s="1"/>
  <c r="D84" i="33"/>
  <c r="P78" i="33"/>
  <c r="AN35" i="8"/>
  <c r="AE35" i="8"/>
  <c r="D87" i="33"/>
  <c r="R78" i="33"/>
  <c r="AM36" i="8"/>
  <c r="AC36" i="8"/>
  <c r="E81" i="33"/>
  <c r="N79" i="33"/>
  <c r="AD36" i="8"/>
  <c r="AF36" i="8"/>
  <c r="E90" i="33"/>
  <c r="T79" i="33"/>
  <c r="AN36" i="8"/>
  <c r="AE36" i="8"/>
  <c r="E87" i="33"/>
  <c r="R79" i="33"/>
  <c r="AM37" i="8"/>
  <c r="AC37" i="8"/>
  <c r="F81" i="33"/>
  <c r="N80" i="33"/>
  <c r="AD37" i="8"/>
  <c r="F84" i="33"/>
  <c r="P80" i="33"/>
  <c r="AN37" i="8"/>
  <c r="AF37" i="8" s="1"/>
  <c r="F90" i="33" s="1"/>
  <c r="T80" i="33" s="1"/>
  <c r="AE37" i="8"/>
  <c r="F87" i="33" s="1"/>
  <c r="R80" i="33" s="1"/>
  <c r="AM38" i="8"/>
  <c r="AC38" i="8"/>
  <c r="G81" i="33" s="1"/>
  <c r="N81" i="33" s="1"/>
  <c r="AM39" i="8"/>
  <c r="AC39" i="8"/>
  <c r="H81" i="33" s="1"/>
  <c r="N82" i="33" s="1"/>
  <c r="AM40" i="8"/>
  <c r="AD40" i="8" s="1"/>
  <c r="AC40" i="8"/>
  <c r="I81" i="33" s="1"/>
  <c r="N83" i="33" s="1"/>
  <c r="AM41" i="8"/>
  <c r="AC41" i="8"/>
  <c r="J81" i="33" s="1"/>
  <c r="N84" i="33" s="1"/>
  <c r="AM42" i="8"/>
  <c r="AD42" i="8"/>
  <c r="AD38" i="8"/>
  <c r="AF38" i="8" s="1"/>
  <c r="G90" i="33" s="1"/>
  <c r="T81" i="33" s="1"/>
  <c r="AN38" i="8"/>
  <c r="AE38" i="8" s="1"/>
  <c r="G87" i="33" s="1"/>
  <c r="R81" i="33" s="1"/>
  <c r="AD39" i="8"/>
  <c r="AF39" i="8" s="1"/>
  <c r="H90" i="33" s="1"/>
  <c r="T82" i="33" s="1"/>
  <c r="H84" i="33"/>
  <c r="P82" i="33" s="1"/>
  <c r="AN39" i="8"/>
  <c r="AE39" i="8"/>
  <c r="H87" i="33"/>
  <c r="R82" i="33" s="1"/>
  <c r="AN40" i="8"/>
  <c r="AE40" i="8" s="1"/>
  <c r="I87" i="33" s="1"/>
  <c r="R83" i="33" s="1"/>
  <c r="AD41" i="8"/>
  <c r="AF41" i="8" s="1"/>
  <c r="J90" i="33" s="1"/>
  <c r="T84" i="33" s="1"/>
  <c r="AN41" i="8"/>
  <c r="AE41" i="8"/>
  <c r="J87" i="33"/>
  <c r="R84" i="33"/>
  <c r="AN42" i="8"/>
  <c r="AE42" i="8"/>
  <c r="K87" i="33"/>
  <c r="R85" i="33"/>
  <c r="A1" i="30"/>
  <c r="N2" i="30"/>
  <c r="B1" i="30"/>
  <c r="W7" i="6"/>
  <c r="B2" i="30" s="1"/>
  <c r="Z7" i="6"/>
  <c r="C2" i="30"/>
  <c r="D2" i="30"/>
  <c r="O2" i="30"/>
  <c r="B4" i="30"/>
  <c r="C4" i="30"/>
  <c r="D4" i="30"/>
  <c r="E4" i="30"/>
  <c r="F4" i="30"/>
  <c r="G4" i="30"/>
  <c r="H4" i="30"/>
  <c r="I4" i="30"/>
  <c r="J4" i="30"/>
  <c r="K4" i="30"/>
  <c r="B5" i="30"/>
  <c r="C5" i="30"/>
  <c r="D5" i="30"/>
  <c r="E5" i="30"/>
  <c r="F5" i="30"/>
  <c r="G5" i="30"/>
  <c r="H5" i="30"/>
  <c r="I5" i="30"/>
  <c r="J5" i="30"/>
  <c r="K5" i="30"/>
  <c r="B6" i="30"/>
  <c r="C6" i="30"/>
  <c r="D6" i="30"/>
  <c r="E6" i="30"/>
  <c r="F6" i="30"/>
  <c r="G6" i="30"/>
  <c r="H6" i="30"/>
  <c r="I6" i="30"/>
  <c r="J6" i="30"/>
  <c r="K6" i="30"/>
  <c r="B7" i="30"/>
  <c r="C7" i="30"/>
  <c r="D7" i="30"/>
  <c r="E7" i="30"/>
  <c r="F7" i="30"/>
  <c r="G7" i="30"/>
  <c r="H7" i="30"/>
  <c r="I7" i="30"/>
  <c r="J7" i="30"/>
  <c r="K7" i="30"/>
  <c r="B8" i="30"/>
  <c r="C8" i="30"/>
  <c r="D8" i="30"/>
  <c r="E8" i="30"/>
  <c r="F8" i="30"/>
  <c r="G8" i="30"/>
  <c r="H8" i="30"/>
  <c r="I8" i="30"/>
  <c r="J8" i="30"/>
  <c r="K8" i="30"/>
  <c r="B9" i="30"/>
  <c r="C9" i="30"/>
  <c r="D9" i="30"/>
  <c r="E9" i="30"/>
  <c r="F9" i="30"/>
  <c r="G9" i="30"/>
  <c r="H9" i="30"/>
  <c r="I9" i="30"/>
  <c r="J9" i="30"/>
  <c r="K9" i="30"/>
  <c r="B10" i="30"/>
  <c r="C10" i="30"/>
  <c r="D10" i="30"/>
  <c r="E10" i="30"/>
  <c r="F10" i="30"/>
  <c r="G10" i="30"/>
  <c r="H10" i="30"/>
  <c r="I10" i="30"/>
  <c r="J10" i="30"/>
  <c r="K10" i="30"/>
  <c r="B11" i="30"/>
  <c r="C11" i="30"/>
  <c r="D11" i="30"/>
  <c r="E11" i="30"/>
  <c r="F11" i="30"/>
  <c r="G11" i="30"/>
  <c r="H11" i="30"/>
  <c r="I11" i="30"/>
  <c r="J11" i="30"/>
  <c r="K11" i="30"/>
  <c r="B12" i="30"/>
  <c r="C12" i="30"/>
  <c r="D12" i="30"/>
  <c r="E12" i="30"/>
  <c r="F12" i="30"/>
  <c r="G12" i="30"/>
  <c r="H12" i="30"/>
  <c r="I12" i="30"/>
  <c r="J12" i="30"/>
  <c r="K12" i="30"/>
  <c r="B13" i="30"/>
  <c r="C13" i="30"/>
  <c r="D13" i="30"/>
  <c r="E13" i="30"/>
  <c r="F13" i="30"/>
  <c r="G13" i="30"/>
  <c r="H13" i="30"/>
  <c r="I13" i="30"/>
  <c r="J13" i="30"/>
  <c r="K13" i="30"/>
  <c r="B14" i="30"/>
  <c r="C14" i="30"/>
  <c r="D14" i="30"/>
  <c r="E14" i="30"/>
  <c r="F14" i="30"/>
  <c r="G14" i="30"/>
  <c r="H14" i="30"/>
  <c r="I14" i="30"/>
  <c r="J14" i="30"/>
  <c r="K14" i="30"/>
  <c r="B15" i="30"/>
  <c r="C15" i="30"/>
  <c r="D15" i="30"/>
  <c r="E15" i="30"/>
  <c r="F15" i="30"/>
  <c r="G15" i="30"/>
  <c r="H15" i="30"/>
  <c r="I15" i="30"/>
  <c r="J15" i="30"/>
  <c r="K15" i="30"/>
  <c r="B16" i="30"/>
  <c r="C16" i="30"/>
  <c r="D16" i="30"/>
  <c r="E16" i="30"/>
  <c r="F16" i="30"/>
  <c r="G16" i="30"/>
  <c r="H16" i="30"/>
  <c r="I16" i="30"/>
  <c r="J16" i="30"/>
  <c r="K16" i="30"/>
  <c r="B17" i="30"/>
  <c r="C17" i="30"/>
  <c r="D17" i="30"/>
  <c r="E17" i="30"/>
  <c r="F17" i="30"/>
  <c r="G17" i="30"/>
  <c r="H17" i="30"/>
  <c r="I17" i="30"/>
  <c r="J17" i="30"/>
  <c r="K17" i="30"/>
  <c r="B18" i="30"/>
  <c r="C18" i="30"/>
  <c r="D18" i="30"/>
  <c r="E18" i="30"/>
  <c r="F18" i="30"/>
  <c r="G18" i="30"/>
  <c r="H18" i="30"/>
  <c r="I18" i="30"/>
  <c r="J18" i="30"/>
  <c r="K18" i="30"/>
  <c r="B19" i="30"/>
  <c r="C19" i="30"/>
  <c r="D19" i="30"/>
  <c r="E19" i="30"/>
  <c r="F19" i="30"/>
  <c r="G19" i="30"/>
  <c r="H19" i="30"/>
  <c r="I19" i="30"/>
  <c r="J19" i="30"/>
  <c r="K19" i="30"/>
  <c r="B20" i="30"/>
  <c r="C20" i="30"/>
  <c r="D20" i="30"/>
  <c r="E20" i="30"/>
  <c r="F20" i="30"/>
  <c r="G20" i="30"/>
  <c r="H20" i="30"/>
  <c r="I20" i="30"/>
  <c r="J20" i="30"/>
  <c r="K20" i="30"/>
  <c r="B21" i="30"/>
  <c r="C21" i="30"/>
  <c r="D21" i="30"/>
  <c r="E21" i="30"/>
  <c r="F21" i="30"/>
  <c r="G21" i="30"/>
  <c r="H21" i="30"/>
  <c r="I21" i="30"/>
  <c r="J21" i="30"/>
  <c r="K21" i="30"/>
  <c r="B22" i="30"/>
  <c r="C22" i="30"/>
  <c r="D22" i="30"/>
  <c r="E22" i="30"/>
  <c r="F22" i="30"/>
  <c r="G22" i="30"/>
  <c r="H22" i="30"/>
  <c r="I22" i="30"/>
  <c r="J22" i="30"/>
  <c r="K22" i="30"/>
  <c r="B23" i="30"/>
  <c r="C23" i="30"/>
  <c r="D23" i="30"/>
  <c r="E23" i="30"/>
  <c r="F23" i="30"/>
  <c r="G23" i="30"/>
  <c r="H23" i="30"/>
  <c r="I23" i="30"/>
  <c r="J23" i="30"/>
  <c r="K23" i="30"/>
  <c r="B24" i="30"/>
  <c r="C24" i="30"/>
  <c r="D24" i="30"/>
  <c r="E24" i="30"/>
  <c r="F24" i="30"/>
  <c r="G24" i="30"/>
  <c r="H24" i="30"/>
  <c r="I24" i="30"/>
  <c r="J24" i="30"/>
  <c r="K24" i="30"/>
  <c r="B25" i="30"/>
  <c r="C25" i="30"/>
  <c r="D25" i="30"/>
  <c r="E25" i="30"/>
  <c r="F25" i="30"/>
  <c r="G25" i="30"/>
  <c r="H25" i="30"/>
  <c r="I25" i="30"/>
  <c r="J25" i="30"/>
  <c r="K25" i="30"/>
  <c r="B26" i="30"/>
  <c r="C26" i="30"/>
  <c r="D26" i="30"/>
  <c r="E26" i="30"/>
  <c r="F26" i="30"/>
  <c r="G26" i="30"/>
  <c r="H26" i="30"/>
  <c r="I26" i="30"/>
  <c r="J26" i="30"/>
  <c r="K26" i="30"/>
  <c r="B27" i="30"/>
  <c r="C27" i="30"/>
  <c r="D27" i="30"/>
  <c r="E27" i="30"/>
  <c r="F27" i="30"/>
  <c r="G27" i="30"/>
  <c r="H27" i="30"/>
  <c r="I27" i="30"/>
  <c r="J27" i="30"/>
  <c r="K27" i="30"/>
  <c r="B28" i="30"/>
  <c r="C28" i="30"/>
  <c r="D28" i="30"/>
  <c r="E28" i="30"/>
  <c r="F28" i="30"/>
  <c r="G28" i="30"/>
  <c r="H28" i="30"/>
  <c r="I28" i="30"/>
  <c r="J28" i="30"/>
  <c r="K28" i="30"/>
  <c r="B29" i="30"/>
  <c r="C29" i="30"/>
  <c r="D29" i="30"/>
  <c r="E29" i="30"/>
  <c r="F29" i="30"/>
  <c r="G29" i="30"/>
  <c r="H29" i="30"/>
  <c r="I29" i="30"/>
  <c r="J29" i="30"/>
  <c r="K29" i="30"/>
  <c r="B30" i="30"/>
  <c r="C30" i="30"/>
  <c r="D30" i="30"/>
  <c r="E30" i="30"/>
  <c r="F30" i="30"/>
  <c r="G30" i="30"/>
  <c r="H30" i="30"/>
  <c r="I30" i="30"/>
  <c r="J30" i="30"/>
  <c r="K30" i="30"/>
  <c r="B31" i="30"/>
  <c r="C31" i="30"/>
  <c r="D31" i="30"/>
  <c r="E31" i="30"/>
  <c r="F31" i="30"/>
  <c r="G31" i="30"/>
  <c r="H31" i="30"/>
  <c r="I31" i="30"/>
  <c r="J31" i="30"/>
  <c r="K31" i="30"/>
  <c r="B32" i="30"/>
  <c r="C32" i="30"/>
  <c r="D32" i="30"/>
  <c r="E32" i="30"/>
  <c r="F32" i="30"/>
  <c r="G32" i="30"/>
  <c r="H32" i="30"/>
  <c r="I32" i="30"/>
  <c r="J32" i="30"/>
  <c r="K32" i="30"/>
  <c r="B33" i="30"/>
  <c r="C33" i="30"/>
  <c r="D33" i="30"/>
  <c r="E33" i="30"/>
  <c r="F33" i="30"/>
  <c r="G33" i="30"/>
  <c r="H33" i="30"/>
  <c r="I33" i="30"/>
  <c r="J33" i="30"/>
  <c r="K33" i="30"/>
  <c r="B34" i="30"/>
  <c r="C34" i="30"/>
  <c r="D34" i="30"/>
  <c r="E34" i="30"/>
  <c r="F34" i="30"/>
  <c r="G34" i="30"/>
  <c r="H34" i="30"/>
  <c r="I34" i="30"/>
  <c r="J34" i="30"/>
  <c r="K34" i="30"/>
  <c r="B35" i="30"/>
  <c r="C35" i="30"/>
  <c r="D35" i="30"/>
  <c r="E35" i="30"/>
  <c r="F35" i="30"/>
  <c r="G35" i="30"/>
  <c r="H35" i="30"/>
  <c r="I35" i="30"/>
  <c r="J35" i="30"/>
  <c r="K35" i="30"/>
  <c r="B36" i="30"/>
  <c r="C36" i="30"/>
  <c r="D36" i="30"/>
  <c r="E36" i="30"/>
  <c r="F36" i="30"/>
  <c r="G36" i="30"/>
  <c r="H36" i="30"/>
  <c r="I36" i="30"/>
  <c r="J36" i="30"/>
  <c r="K36" i="30"/>
  <c r="B37" i="30"/>
  <c r="C37" i="30"/>
  <c r="D37" i="30"/>
  <c r="E37" i="30"/>
  <c r="F37" i="30"/>
  <c r="G37" i="30"/>
  <c r="H37" i="30"/>
  <c r="I37" i="30"/>
  <c r="J37" i="30"/>
  <c r="K37" i="30"/>
  <c r="B38" i="30"/>
  <c r="C38" i="30"/>
  <c r="D38" i="30"/>
  <c r="E38" i="30"/>
  <c r="F38" i="30"/>
  <c r="G38" i="30"/>
  <c r="H38" i="30"/>
  <c r="I38" i="30"/>
  <c r="J38" i="30"/>
  <c r="K38" i="30"/>
  <c r="B39" i="30"/>
  <c r="C39" i="30"/>
  <c r="D39" i="30"/>
  <c r="E39" i="30"/>
  <c r="F39" i="30"/>
  <c r="G39" i="30"/>
  <c r="H39" i="30"/>
  <c r="I39" i="30"/>
  <c r="J39" i="30"/>
  <c r="K39" i="30"/>
  <c r="B40" i="30"/>
  <c r="C40" i="30"/>
  <c r="D40" i="30"/>
  <c r="E40" i="30"/>
  <c r="F40" i="30"/>
  <c r="G40" i="30"/>
  <c r="H40" i="30"/>
  <c r="I40" i="30"/>
  <c r="J40" i="30"/>
  <c r="K40" i="30"/>
  <c r="B41" i="30"/>
  <c r="C41" i="30"/>
  <c r="D41" i="30"/>
  <c r="E41" i="30"/>
  <c r="F41" i="30"/>
  <c r="G41" i="30"/>
  <c r="H41" i="30"/>
  <c r="I41" i="30"/>
  <c r="J41" i="30"/>
  <c r="K41" i="30"/>
  <c r="B42" i="30"/>
  <c r="C42" i="30"/>
  <c r="D42" i="30"/>
  <c r="E42" i="30"/>
  <c r="F42" i="30"/>
  <c r="G42" i="30"/>
  <c r="H42" i="30"/>
  <c r="I42" i="30"/>
  <c r="J42" i="30"/>
  <c r="K42" i="30"/>
  <c r="B43" i="30"/>
  <c r="C43" i="30"/>
  <c r="D43" i="30"/>
  <c r="E43" i="30"/>
  <c r="F43" i="30"/>
  <c r="G43" i="30"/>
  <c r="H43" i="30"/>
  <c r="I43" i="30"/>
  <c r="J43" i="30"/>
  <c r="K43" i="30"/>
  <c r="B44" i="30"/>
  <c r="C44" i="30"/>
  <c r="D44" i="30"/>
  <c r="E44" i="30"/>
  <c r="F44" i="30"/>
  <c r="G44" i="30"/>
  <c r="H44" i="30"/>
  <c r="I44" i="30"/>
  <c r="J44" i="30"/>
  <c r="K44" i="30"/>
  <c r="B45" i="30"/>
  <c r="C45" i="30"/>
  <c r="D45" i="30"/>
  <c r="E45" i="30"/>
  <c r="F45" i="30"/>
  <c r="G45" i="30"/>
  <c r="H45" i="30"/>
  <c r="I45" i="30"/>
  <c r="J45" i="30"/>
  <c r="K45" i="30"/>
  <c r="B46" i="30"/>
  <c r="C46" i="30"/>
  <c r="D46" i="30"/>
  <c r="E46" i="30"/>
  <c r="F46" i="30"/>
  <c r="G46" i="30"/>
  <c r="H46" i="30"/>
  <c r="I46" i="30"/>
  <c r="J46" i="30"/>
  <c r="K46" i="30"/>
  <c r="B47" i="30"/>
  <c r="C47" i="30"/>
  <c r="D47" i="30"/>
  <c r="E47" i="30"/>
  <c r="F47" i="30"/>
  <c r="G47" i="30"/>
  <c r="H47" i="30"/>
  <c r="I47" i="30"/>
  <c r="J47" i="30"/>
  <c r="K47" i="30"/>
  <c r="B48" i="30"/>
  <c r="C48" i="30"/>
  <c r="D48" i="30"/>
  <c r="E48" i="30"/>
  <c r="F48" i="30"/>
  <c r="G48" i="30"/>
  <c r="H48" i="30"/>
  <c r="I48" i="30"/>
  <c r="J48" i="30"/>
  <c r="K48" i="30"/>
  <c r="B49" i="30"/>
  <c r="C49" i="30"/>
  <c r="D49" i="30"/>
  <c r="E49" i="30"/>
  <c r="F49" i="30"/>
  <c r="G49" i="30"/>
  <c r="H49" i="30"/>
  <c r="I49" i="30"/>
  <c r="J49" i="30"/>
  <c r="K49" i="30"/>
  <c r="B50" i="30"/>
  <c r="C50" i="30"/>
  <c r="D50" i="30"/>
  <c r="E50" i="30"/>
  <c r="F50" i="30"/>
  <c r="G50" i="30"/>
  <c r="H50" i="30"/>
  <c r="I50" i="30"/>
  <c r="J50" i="30"/>
  <c r="K50" i="30"/>
  <c r="B51" i="30"/>
  <c r="C51" i="30"/>
  <c r="D51" i="30"/>
  <c r="E51" i="30"/>
  <c r="F51" i="30"/>
  <c r="G51" i="30"/>
  <c r="H51" i="30"/>
  <c r="I51" i="30"/>
  <c r="J51" i="30"/>
  <c r="K51" i="30"/>
  <c r="B52" i="30"/>
  <c r="C52" i="30"/>
  <c r="D52" i="30"/>
  <c r="E52" i="30"/>
  <c r="F52" i="30"/>
  <c r="G52" i="30"/>
  <c r="H52" i="30"/>
  <c r="I52" i="30"/>
  <c r="J52" i="30"/>
  <c r="K52" i="30"/>
  <c r="B53" i="30"/>
  <c r="C53" i="30"/>
  <c r="D53" i="30"/>
  <c r="E53" i="30"/>
  <c r="F53" i="30"/>
  <c r="G53" i="30"/>
  <c r="H53" i="30"/>
  <c r="I53" i="30"/>
  <c r="J53" i="30"/>
  <c r="K53" i="30"/>
  <c r="B54" i="30"/>
  <c r="C54" i="30"/>
  <c r="D54" i="30"/>
  <c r="E54" i="30"/>
  <c r="F54" i="30"/>
  <c r="G54" i="30"/>
  <c r="H54" i="30"/>
  <c r="I54" i="30"/>
  <c r="J54" i="30"/>
  <c r="K54" i="30"/>
  <c r="B55" i="30"/>
  <c r="C55" i="30"/>
  <c r="D55" i="30"/>
  <c r="E55" i="30"/>
  <c r="F55" i="30"/>
  <c r="G55" i="30"/>
  <c r="H55" i="30"/>
  <c r="I55" i="30"/>
  <c r="J55" i="30"/>
  <c r="K55" i="30"/>
  <c r="B56" i="30"/>
  <c r="C56" i="30"/>
  <c r="D56" i="30"/>
  <c r="E56" i="30"/>
  <c r="F56" i="30"/>
  <c r="G56" i="30"/>
  <c r="H56" i="30"/>
  <c r="I56" i="30"/>
  <c r="J56" i="30"/>
  <c r="K56" i="30"/>
  <c r="AM11" i="6"/>
  <c r="AC11" i="6" s="1"/>
  <c r="B79" i="30" s="1"/>
  <c r="N56" i="30" s="1"/>
  <c r="AD11" i="6"/>
  <c r="AF11" i="6" s="1"/>
  <c r="B88" i="30" s="1"/>
  <c r="T56" i="30" s="1"/>
  <c r="AN11" i="6"/>
  <c r="AE11" i="6"/>
  <c r="B85" i="30" s="1"/>
  <c r="B57" i="30"/>
  <c r="C57" i="30"/>
  <c r="D57" i="30"/>
  <c r="E57" i="30"/>
  <c r="F57" i="30"/>
  <c r="G57" i="30"/>
  <c r="H57" i="30"/>
  <c r="I57" i="30"/>
  <c r="J57" i="30"/>
  <c r="K57" i="30"/>
  <c r="AM12" i="6"/>
  <c r="AC12" i="6"/>
  <c r="C79" i="30" s="1"/>
  <c r="N57" i="30" s="1"/>
  <c r="AD12" i="6"/>
  <c r="AF12" i="6" s="1"/>
  <c r="C88" i="30" s="1"/>
  <c r="T57" i="30" s="1"/>
  <c r="C82" i="30"/>
  <c r="P57" i="30" s="1"/>
  <c r="AN12" i="6"/>
  <c r="AE12" i="6"/>
  <c r="C85" i="30"/>
  <c r="R57" i="30" s="1"/>
  <c r="B58" i="30"/>
  <c r="C58" i="30"/>
  <c r="D58" i="30"/>
  <c r="E58" i="30"/>
  <c r="F58" i="30"/>
  <c r="G58" i="30"/>
  <c r="H58" i="30"/>
  <c r="I58" i="30"/>
  <c r="J58" i="30"/>
  <c r="K58" i="30"/>
  <c r="AM13" i="6"/>
  <c r="AC13" i="6"/>
  <c r="D79" i="30" s="1"/>
  <c r="N58" i="30" s="1"/>
  <c r="AD13" i="6"/>
  <c r="AF13" i="6" s="1"/>
  <c r="D88" i="30" s="1"/>
  <c r="T58" i="30" s="1"/>
  <c r="D82" i="30"/>
  <c r="P58" i="30" s="1"/>
  <c r="AN13" i="6"/>
  <c r="AE13" i="6"/>
  <c r="D85" i="30"/>
  <c r="R58" i="30" s="1"/>
  <c r="B59" i="30"/>
  <c r="C59" i="30"/>
  <c r="D59" i="30"/>
  <c r="E59" i="30"/>
  <c r="F59" i="30"/>
  <c r="G59" i="30"/>
  <c r="H59" i="30"/>
  <c r="I59" i="30"/>
  <c r="J59" i="30"/>
  <c r="K59" i="30"/>
  <c r="AM14" i="6"/>
  <c r="AC14" i="6"/>
  <c r="E79" i="30" s="1"/>
  <c r="N59" i="30" s="1"/>
  <c r="AD14" i="6"/>
  <c r="AF14" i="6" s="1"/>
  <c r="E88" i="30" s="1"/>
  <c r="T59" i="30" s="1"/>
  <c r="E82" i="30"/>
  <c r="P59" i="30" s="1"/>
  <c r="AN14" i="6"/>
  <c r="AE14" i="6"/>
  <c r="E85" i="30"/>
  <c r="R59" i="30" s="1"/>
  <c r="B60" i="30"/>
  <c r="C60" i="30"/>
  <c r="D60" i="30"/>
  <c r="E60" i="30"/>
  <c r="F60" i="30"/>
  <c r="G60" i="30"/>
  <c r="H60" i="30"/>
  <c r="I60" i="30"/>
  <c r="J60" i="30"/>
  <c r="K60" i="30"/>
  <c r="AM15" i="6"/>
  <c r="AC15" i="6"/>
  <c r="F79" i="30" s="1"/>
  <c r="N60" i="30" s="1"/>
  <c r="AD15" i="6"/>
  <c r="F82" i="30"/>
  <c r="P60" i="30" s="1"/>
  <c r="AN15" i="6"/>
  <c r="AE15" i="6"/>
  <c r="F85" i="30"/>
  <c r="R60" i="30" s="1"/>
  <c r="B61" i="30"/>
  <c r="C61" i="30"/>
  <c r="D61" i="30"/>
  <c r="E61" i="30"/>
  <c r="F61" i="30"/>
  <c r="G61" i="30"/>
  <c r="H61" i="30"/>
  <c r="I61" i="30"/>
  <c r="J61" i="30"/>
  <c r="K61" i="30"/>
  <c r="AM16" i="6"/>
  <c r="AC16" i="6" s="1"/>
  <c r="G79" i="30" s="1"/>
  <c r="N61" i="30" s="1"/>
  <c r="AD16" i="6"/>
  <c r="AF16" i="6" s="1"/>
  <c r="G88" i="30" s="1"/>
  <c r="T61" i="30" s="1"/>
  <c r="AN16" i="6"/>
  <c r="AE16" i="6"/>
  <c r="G85" i="30" s="1"/>
  <c r="R61" i="30" s="1"/>
  <c r="B62" i="30"/>
  <c r="C62" i="30"/>
  <c r="D62" i="30"/>
  <c r="E62" i="30"/>
  <c r="F62" i="30"/>
  <c r="G62" i="30"/>
  <c r="H62" i="30"/>
  <c r="I62" i="30"/>
  <c r="J62" i="30"/>
  <c r="K62" i="30"/>
  <c r="AM17" i="6"/>
  <c r="AC17" i="6" s="1"/>
  <c r="H79" i="30" s="1"/>
  <c r="N62" i="30" s="1"/>
  <c r="AD17" i="6"/>
  <c r="AF17" i="6" s="1"/>
  <c r="H88" i="30" s="1"/>
  <c r="T62" i="30" s="1"/>
  <c r="AN17" i="6"/>
  <c r="AE17" i="6"/>
  <c r="H85" i="30" s="1"/>
  <c r="R62" i="30" s="1"/>
  <c r="B63" i="30"/>
  <c r="C63" i="30"/>
  <c r="D63" i="30"/>
  <c r="E63" i="30"/>
  <c r="F63" i="30"/>
  <c r="G63" i="30"/>
  <c r="H63" i="30"/>
  <c r="I63" i="30"/>
  <c r="J63" i="30"/>
  <c r="K63" i="30"/>
  <c r="AM18" i="6"/>
  <c r="AC18" i="6" s="1"/>
  <c r="I79" i="30" s="1"/>
  <c r="N63" i="30" s="1"/>
  <c r="AD18" i="6"/>
  <c r="AF18" i="6" s="1"/>
  <c r="I88" i="30" s="1"/>
  <c r="T63" i="30" s="1"/>
  <c r="AN18" i="6"/>
  <c r="AE18" i="6"/>
  <c r="I85" i="30" s="1"/>
  <c r="R63" i="30" s="1"/>
  <c r="B64" i="30"/>
  <c r="C64" i="30"/>
  <c r="D64" i="30"/>
  <c r="E64" i="30"/>
  <c r="F64" i="30"/>
  <c r="G64" i="30"/>
  <c r="H64" i="30"/>
  <c r="I64" i="30"/>
  <c r="J64" i="30"/>
  <c r="K64" i="30"/>
  <c r="AM19" i="6"/>
  <c r="AC19" i="6" s="1"/>
  <c r="J79" i="30" s="1"/>
  <c r="N64" i="30" s="1"/>
  <c r="AD19" i="6"/>
  <c r="AF19" i="6" s="1"/>
  <c r="J88" i="30" s="1"/>
  <c r="T64" i="30" s="1"/>
  <c r="AN19" i="6"/>
  <c r="AE19" i="6"/>
  <c r="J85" i="30" s="1"/>
  <c r="R64" i="30" s="1"/>
  <c r="B65" i="30"/>
  <c r="C65" i="30"/>
  <c r="D65" i="30"/>
  <c r="E65" i="30"/>
  <c r="F65" i="30"/>
  <c r="G65" i="30"/>
  <c r="H65" i="30"/>
  <c r="I65" i="30"/>
  <c r="J65" i="30"/>
  <c r="K65" i="30"/>
  <c r="AM20" i="6"/>
  <c r="AC20" i="6" s="1"/>
  <c r="K79" i="30" s="1"/>
  <c r="N65" i="30" s="1"/>
  <c r="AD20" i="6"/>
  <c r="AF20" i="6" s="1"/>
  <c r="K88" i="30" s="1"/>
  <c r="T65" i="30" s="1"/>
  <c r="AN20" i="6"/>
  <c r="AE20" i="6"/>
  <c r="K85" i="30" s="1"/>
  <c r="R65" i="30" s="1"/>
  <c r="B66" i="30"/>
  <c r="C66" i="30"/>
  <c r="D66" i="30"/>
  <c r="E66" i="30"/>
  <c r="F66" i="30"/>
  <c r="G66" i="30"/>
  <c r="H66" i="30"/>
  <c r="I66" i="30"/>
  <c r="J66" i="30"/>
  <c r="K66" i="30"/>
  <c r="AM22" i="6"/>
  <c r="AC22" i="6" s="1"/>
  <c r="B80" i="30" s="1"/>
  <c r="N66" i="30" s="1"/>
  <c r="AD22" i="6"/>
  <c r="AF22" i="6" s="1"/>
  <c r="B89" i="30" s="1"/>
  <c r="T66" i="30" s="1"/>
  <c r="AN22" i="6"/>
  <c r="AE22" i="6"/>
  <c r="B86" i="30" s="1"/>
  <c r="R66" i="30" s="1"/>
  <c r="B67" i="30"/>
  <c r="C67" i="30"/>
  <c r="D67" i="30"/>
  <c r="E67" i="30"/>
  <c r="F67" i="30"/>
  <c r="G67" i="30"/>
  <c r="H67" i="30"/>
  <c r="I67" i="30"/>
  <c r="J67" i="30"/>
  <c r="K67" i="30"/>
  <c r="AM23" i="6"/>
  <c r="AC23" i="6" s="1"/>
  <c r="C80" i="30" s="1"/>
  <c r="N67" i="30" s="1"/>
  <c r="AD23" i="6"/>
  <c r="AF23" i="6" s="1"/>
  <c r="C89" i="30" s="1"/>
  <c r="T67" i="30" s="1"/>
  <c r="AN23" i="6"/>
  <c r="AE23" i="6"/>
  <c r="C86" i="30" s="1"/>
  <c r="R67" i="30" s="1"/>
  <c r="B68" i="30"/>
  <c r="C68" i="30"/>
  <c r="D68" i="30"/>
  <c r="E68" i="30"/>
  <c r="F68" i="30"/>
  <c r="G68" i="30"/>
  <c r="H68" i="30"/>
  <c r="I68" i="30"/>
  <c r="J68" i="30"/>
  <c r="K68" i="30"/>
  <c r="AM24" i="6"/>
  <c r="AC24" i="6" s="1"/>
  <c r="D80" i="30" s="1"/>
  <c r="N68" i="30" s="1"/>
  <c r="AD24" i="6"/>
  <c r="AF24" i="6" s="1"/>
  <c r="D89" i="30" s="1"/>
  <c r="T68" i="30" s="1"/>
  <c r="AN24" i="6"/>
  <c r="AE24" i="6"/>
  <c r="D86" i="30" s="1"/>
  <c r="R68" i="30" s="1"/>
  <c r="B69" i="30"/>
  <c r="C69" i="30"/>
  <c r="D69" i="30"/>
  <c r="E69" i="30"/>
  <c r="F69" i="30"/>
  <c r="G69" i="30"/>
  <c r="H69" i="30"/>
  <c r="I69" i="30"/>
  <c r="J69" i="30"/>
  <c r="K69" i="30"/>
  <c r="AM25" i="6"/>
  <c r="AC25" i="6" s="1"/>
  <c r="E80" i="30" s="1"/>
  <c r="N69" i="30" s="1"/>
  <c r="AD25" i="6"/>
  <c r="AF25" i="6" s="1"/>
  <c r="E89" i="30" s="1"/>
  <c r="T69" i="30" s="1"/>
  <c r="AN25" i="6"/>
  <c r="AE25" i="6"/>
  <c r="E86" i="30" s="1"/>
  <c r="R69" i="30" s="1"/>
  <c r="B70" i="30"/>
  <c r="C70" i="30"/>
  <c r="D70" i="30"/>
  <c r="E70" i="30"/>
  <c r="F70" i="30"/>
  <c r="G70" i="30"/>
  <c r="H70" i="30"/>
  <c r="I70" i="30"/>
  <c r="J70" i="30"/>
  <c r="K70" i="30"/>
  <c r="AM26" i="6"/>
  <c r="AC26" i="6" s="1"/>
  <c r="F80" i="30" s="1"/>
  <c r="N70" i="30" s="1"/>
  <c r="AD26" i="6"/>
  <c r="AF26" i="6" s="1"/>
  <c r="F89" i="30" s="1"/>
  <c r="T70" i="30" s="1"/>
  <c r="AN26" i="6"/>
  <c r="AE26" i="6"/>
  <c r="F86" i="30" s="1"/>
  <c r="R70" i="30" s="1"/>
  <c r="B71" i="30"/>
  <c r="C71" i="30"/>
  <c r="D71" i="30"/>
  <c r="E71" i="30"/>
  <c r="F71" i="30"/>
  <c r="G71" i="30"/>
  <c r="H71" i="30"/>
  <c r="I71" i="30"/>
  <c r="J71" i="30"/>
  <c r="K71" i="30"/>
  <c r="AM27" i="6"/>
  <c r="AC27" i="6" s="1"/>
  <c r="G80" i="30" s="1"/>
  <c r="N71" i="30" s="1"/>
  <c r="AD27" i="6"/>
  <c r="AF27" i="6" s="1"/>
  <c r="G89" i="30" s="1"/>
  <c r="T71" i="30" s="1"/>
  <c r="AN27" i="6"/>
  <c r="AE27" i="6"/>
  <c r="G86" i="30" s="1"/>
  <c r="R71" i="30" s="1"/>
  <c r="B72" i="30"/>
  <c r="C72" i="30"/>
  <c r="D72" i="30"/>
  <c r="E72" i="30"/>
  <c r="F72" i="30"/>
  <c r="G72" i="30"/>
  <c r="H72" i="30"/>
  <c r="I72" i="30"/>
  <c r="J72" i="30"/>
  <c r="K72" i="30"/>
  <c r="AM28" i="6"/>
  <c r="AC28" i="6" s="1"/>
  <c r="H80" i="30" s="1"/>
  <c r="N72" i="30" s="1"/>
  <c r="AD28" i="6"/>
  <c r="AF28" i="6" s="1"/>
  <c r="H89" i="30" s="1"/>
  <c r="T72" i="30" s="1"/>
  <c r="AN28" i="6"/>
  <c r="AE28" i="6"/>
  <c r="H86" i="30" s="1"/>
  <c r="R72" i="30" s="1"/>
  <c r="AM29" i="6"/>
  <c r="AC29" i="6"/>
  <c r="AD29" i="6"/>
  <c r="AF29" i="6" s="1"/>
  <c r="I89" i="30" s="1"/>
  <c r="T73" i="30" s="1"/>
  <c r="AN29" i="6"/>
  <c r="AE29" i="6" s="1"/>
  <c r="I86" i="30" s="1"/>
  <c r="R73" i="30" s="1"/>
  <c r="AM30" i="6"/>
  <c r="AC30" i="6" s="1"/>
  <c r="J80" i="30" s="1"/>
  <c r="N74" i="30" s="1"/>
  <c r="AD30" i="6"/>
  <c r="AF30" i="6" s="1"/>
  <c r="J89" i="30" s="1"/>
  <c r="T74" i="30" s="1"/>
  <c r="AN30" i="6"/>
  <c r="AE30" i="6"/>
  <c r="J86" i="30" s="1"/>
  <c r="R74" i="30" s="1"/>
  <c r="AM31" i="6"/>
  <c r="AC31" i="6"/>
  <c r="K80" i="30"/>
  <c r="N75" i="30" s="1"/>
  <c r="AD31" i="6"/>
  <c r="AF31" i="6"/>
  <c r="K89" i="30"/>
  <c r="T75" i="30" s="1"/>
  <c r="AN31" i="6"/>
  <c r="AE31" i="6"/>
  <c r="K86" i="30"/>
  <c r="R75" i="30" s="1"/>
  <c r="B76" i="30"/>
  <c r="B91" i="30" s="1"/>
  <c r="C76" i="30"/>
  <c r="D76" i="30"/>
  <c r="E76" i="30"/>
  <c r="F76" i="30"/>
  <c r="G76" i="30"/>
  <c r="H76" i="30"/>
  <c r="I76" i="30"/>
  <c r="J76" i="30"/>
  <c r="K76" i="30"/>
  <c r="AM33" i="6"/>
  <c r="AC33" i="6"/>
  <c r="B81" i="30"/>
  <c r="N76" i="30"/>
  <c r="AD33" i="6"/>
  <c r="AF33" i="6"/>
  <c r="B90" i="30"/>
  <c r="T76" i="30"/>
  <c r="AN33" i="6"/>
  <c r="AE33" i="6"/>
  <c r="B87" i="30"/>
  <c r="R76" i="30"/>
  <c r="B77" i="30"/>
  <c r="C77" i="30"/>
  <c r="D77" i="30"/>
  <c r="E77" i="30"/>
  <c r="F77" i="30"/>
  <c r="G77" i="30"/>
  <c r="H77" i="30"/>
  <c r="I77" i="30"/>
  <c r="J77" i="30"/>
  <c r="K77" i="30"/>
  <c r="AM34" i="6"/>
  <c r="AC34" i="6"/>
  <c r="C81" i="30" s="1"/>
  <c r="N77" i="30" s="1"/>
  <c r="AD34" i="6"/>
  <c r="AF34" i="6"/>
  <c r="C90" i="30" s="1"/>
  <c r="T77" i="30" s="1"/>
  <c r="AN34" i="6"/>
  <c r="AE34" i="6"/>
  <c r="C87" i="30" s="1"/>
  <c r="R77" i="30" s="1"/>
  <c r="B78" i="30"/>
  <c r="C78" i="30"/>
  <c r="D78" i="30"/>
  <c r="E78" i="30"/>
  <c r="F78" i="30"/>
  <c r="G78" i="30"/>
  <c r="H78" i="30"/>
  <c r="I78" i="30"/>
  <c r="J78" i="30"/>
  <c r="K78" i="30"/>
  <c r="AM35" i="6"/>
  <c r="AC35" i="6"/>
  <c r="D81" i="30"/>
  <c r="N78" i="30"/>
  <c r="AD35" i="6"/>
  <c r="AF35" i="6"/>
  <c r="D90" i="30"/>
  <c r="T78" i="30"/>
  <c r="AN35" i="6"/>
  <c r="AE35" i="6"/>
  <c r="D87" i="30"/>
  <c r="R78" i="30"/>
  <c r="AM36" i="6"/>
  <c r="AC36" i="6"/>
  <c r="E81" i="30"/>
  <c r="N79" i="30"/>
  <c r="AD36" i="6"/>
  <c r="E84" i="30"/>
  <c r="P79" i="30"/>
  <c r="AN36" i="6"/>
  <c r="AE36" i="6" s="1"/>
  <c r="E87" i="30" s="1"/>
  <c r="R79" i="30" s="1"/>
  <c r="AF36" i="6"/>
  <c r="E90" i="30" s="1"/>
  <c r="T79" i="30" s="1"/>
  <c r="AM37" i="6"/>
  <c r="AC37" i="6"/>
  <c r="F81" i="30" s="1"/>
  <c r="N80" i="30" s="1"/>
  <c r="AD37" i="6"/>
  <c r="AF37" i="6"/>
  <c r="F90" i="30" s="1"/>
  <c r="T80" i="30" s="1"/>
  <c r="AN37" i="6"/>
  <c r="AE37" i="6"/>
  <c r="F87" i="30" s="1"/>
  <c r="R80" i="30" s="1"/>
  <c r="AM38" i="6"/>
  <c r="AC38" i="6"/>
  <c r="G81" i="30" s="1"/>
  <c r="N81" i="30" s="1"/>
  <c r="AM39" i="6"/>
  <c r="AD39" i="6" s="1"/>
  <c r="AC39" i="6"/>
  <c r="H81" i="30" s="1"/>
  <c r="N82" i="30" s="1"/>
  <c r="AM40" i="6"/>
  <c r="AC40" i="6"/>
  <c r="I81" i="30" s="1"/>
  <c r="N83" i="30" s="1"/>
  <c r="AM41" i="6"/>
  <c r="AC41" i="6" s="1"/>
  <c r="J81" i="30" s="1"/>
  <c r="N84" i="30" s="1"/>
  <c r="AD41" i="6"/>
  <c r="AM42" i="6"/>
  <c r="AC42" i="6" s="1"/>
  <c r="K81" i="30" s="1"/>
  <c r="N85" i="30" s="1"/>
  <c r="AD38" i="6"/>
  <c r="AF38" i="6" s="1"/>
  <c r="G90" i="30" s="1"/>
  <c r="T81" i="30" s="1"/>
  <c r="AN38" i="6"/>
  <c r="AE38" i="6"/>
  <c r="G87" i="30" s="1"/>
  <c r="R81" i="30" s="1"/>
  <c r="AN39" i="6"/>
  <c r="AE39" i="6"/>
  <c r="H87" i="30"/>
  <c r="R82" i="30"/>
  <c r="AD40" i="6"/>
  <c r="AF40" i="6" s="1"/>
  <c r="I90" i="30" s="1"/>
  <c r="T83" i="30" s="1"/>
  <c r="AN40" i="6"/>
  <c r="AE40" i="6" s="1"/>
  <c r="I87" i="30" s="1"/>
  <c r="R83" i="30" s="1"/>
  <c r="AD42" i="6"/>
  <c r="K84" i="30" s="1"/>
  <c r="P85" i="30" s="1"/>
  <c r="AN41" i="6"/>
  <c r="AE41" i="6"/>
  <c r="J87" i="30" s="1"/>
  <c r="R84" i="30" s="1"/>
  <c r="AN42" i="6"/>
  <c r="AE42" i="6"/>
  <c r="K87" i="30" s="1"/>
  <c r="R85" i="30" s="1"/>
  <c r="AU2" i="1"/>
  <c r="C54" i="1"/>
  <c r="AG3" i="1"/>
  <c r="N54" i="1"/>
  <c r="AH3" i="1"/>
  <c r="AI3" i="1"/>
  <c r="C4" i="44" s="1"/>
  <c r="C49" i="1"/>
  <c r="AJ3" i="1"/>
  <c r="AU3" i="1"/>
  <c r="C52" i="1"/>
  <c r="AG4" i="1"/>
  <c r="AG5" i="1"/>
  <c r="P5" i="15" s="1"/>
  <c r="P5" i="12"/>
  <c r="AE13" i="1"/>
  <c r="E13" i="1" s="1"/>
  <c r="S57" i="1"/>
  <c r="AM15" i="1"/>
  <c r="AT15" i="1"/>
  <c r="AJ17" i="1"/>
  <c r="AT19" i="1"/>
  <c r="T54" i="1"/>
  <c r="AE55" i="1"/>
  <c r="E55" i="1" s="1"/>
  <c r="I60" i="1"/>
  <c r="C5" i="6"/>
  <c r="G5" i="6"/>
  <c r="J5" i="6"/>
  <c r="P5" i="6"/>
  <c r="G7" i="6"/>
  <c r="AD9" i="6"/>
  <c r="AP11" i="6"/>
  <c r="AM21" i="6"/>
  <c r="AN21" i="6"/>
  <c r="AM32" i="6"/>
  <c r="AN32" i="6"/>
  <c r="AA43" i="6"/>
  <c r="AB43" i="6"/>
  <c r="H45" i="6"/>
  <c r="V45" i="6"/>
  <c r="H46" i="6"/>
  <c r="C5" i="8"/>
  <c r="G5" i="8"/>
  <c r="J5" i="8"/>
  <c r="P5" i="8"/>
  <c r="Y5" i="8"/>
  <c r="G7" i="8"/>
  <c r="P7" i="8"/>
  <c r="AD9" i="8"/>
  <c r="AM21" i="8"/>
  <c r="AN21" i="8"/>
  <c r="AM32" i="8"/>
  <c r="AN32" i="8"/>
  <c r="AM43" i="8"/>
  <c r="AD43" i="8" s="1"/>
  <c r="AF43" i="8" s="1"/>
  <c r="AN43" i="8"/>
  <c r="AE43" i="8" s="1"/>
  <c r="H45" i="8"/>
  <c r="V45" i="8"/>
  <c r="H46" i="8"/>
  <c r="C5" i="9"/>
  <c r="G5" i="9"/>
  <c r="J5" i="9"/>
  <c r="Y5" i="9"/>
  <c r="G7" i="9"/>
  <c r="P7" i="9"/>
  <c r="AD9" i="9"/>
  <c r="AM21" i="9"/>
  <c r="AN21" i="9"/>
  <c r="AM32" i="9"/>
  <c r="AN32" i="9"/>
  <c r="AA43" i="9"/>
  <c r="AB43" i="9" s="1"/>
  <c r="H45" i="9"/>
  <c r="V45" i="9"/>
  <c r="H46" i="9"/>
  <c r="C5" i="10"/>
  <c r="G5" i="10"/>
  <c r="J5" i="10"/>
  <c r="P5" i="10"/>
  <c r="Y5" i="10"/>
  <c r="G7" i="10"/>
  <c r="P7" i="10"/>
  <c r="AD9" i="10"/>
  <c r="AM21" i="10"/>
  <c r="AN21" i="10"/>
  <c r="AM32" i="10"/>
  <c r="AN32" i="10"/>
  <c r="AM43" i="10"/>
  <c r="AC43" i="10" s="1"/>
  <c r="AD43" i="10"/>
  <c r="AF43" i="10"/>
  <c r="AN43" i="10"/>
  <c r="AE43" i="10" s="1"/>
  <c r="H45" i="10"/>
  <c r="V45" i="10"/>
  <c r="H46" i="10"/>
  <c r="C5" i="11"/>
  <c r="G5" i="11"/>
  <c r="J5" i="11"/>
  <c r="Y5" i="11"/>
  <c r="G7" i="11"/>
  <c r="P7" i="11"/>
  <c r="AD9" i="11"/>
  <c r="AM21" i="11"/>
  <c r="AN21" i="11"/>
  <c r="AM32" i="11"/>
  <c r="AN32" i="11"/>
  <c r="AM43" i="11"/>
  <c r="AC43" i="11" s="1"/>
  <c r="AN43" i="11"/>
  <c r="H45" i="11"/>
  <c r="V45" i="11"/>
  <c r="H46" i="11"/>
  <c r="C5" i="12"/>
  <c r="G5" i="12"/>
  <c r="J5" i="12"/>
  <c r="Y5" i="12"/>
  <c r="G7" i="12"/>
  <c r="P7" i="12"/>
  <c r="AD9" i="12"/>
  <c r="AM21" i="12"/>
  <c r="AN21" i="12"/>
  <c r="AM32" i="12"/>
  <c r="AN32" i="12"/>
  <c r="AA43" i="12"/>
  <c r="AB43" i="12" s="1"/>
  <c r="H45" i="12"/>
  <c r="V45" i="12"/>
  <c r="H46" i="12"/>
  <c r="C5" i="13"/>
  <c r="G5" i="13"/>
  <c r="J5" i="13"/>
  <c r="Y5" i="13"/>
  <c r="G7" i="13"/>
  <c r="P7" i="13"/>
  <c r="AD9" i="13"/>
  <c r="AM21" i="13"/>
  <c r="AN21" i="13"/>
  <c r="AM32" i="13"/>
  <c r="AN32" i="13"/>
  <c r="AM43" i="13"/>
  <c r="AD43" i="13" s="1"/>
  <c r="AF43" i="13" s="1"/>
  <c r="AN43" i="13"/>
  <c r="H45" i="13"/>
  <c r="V45" i="13"/>
  <c r="H46" i="13"/>
  <c r="C5" i="14"/>
  <c r="G5" i="14"/>
  <c r="J5" i="14"/>
  <c r="P5" i="14"/>
  <c r="Y5" i="14"/>
  <c r="G7" i="14"/>
  <c r="P7" i="14"/>
  <c r="AD9" i="14"/>
  <c r="AA21" i="14"/>
  <c r="AM21" i="14"/>
  <c r="AN21" i="14"/>
  <c r="AM32" i="14"/>
  <c r="AN32" i="14"/>
  <c r="AA43" i="14"/>
  <c r="AB43" i="14" s="1"/>
  <c r="H45" i="14"/>
  <c r="V45" i="14"/>
  <c r="H46" i="14"/>
  <c r="C5" i="15"/>
  <c r="G5" i="15"/>
  <c r="J5" i="15"/>
  <c r="Y5" i="15"/>
  <c r="G7" i="15"/>
  <c r="P7" i="15"/>
  <c r="AD9" i="15"/>
  <c r="AM21" i="15"/>
  <c r="AN21" i="15"/>
  <c r="AM32" i="15"/>
  <c r="AN32" i="15"/>
  <c r="AM43" i="15"/>
  <c r="AC43" i="15"/>
  <c r="AD43" i="15"/>
  <c r="AF43" i="15" s="1"/>
  <c r="AN43" i="15"/>
  <c r="AE43" i="15"/>
  <c r="H45" i="15"/>
  <c r="V45" i="15"/>
  <c r="H46" i="15"/>
  <c r="C5" i="16"/>
  <c r="G5" i="16"/>
  <c r="J5" i="16"/>
  <c r="Y5" i="16"/>
  <c r="P7" i="16"/>
  <c r="AD9" i="16"/>
  <c r="AM21" i="16"/>
  <c r="AN21" i="16"/>
  <c r="AG22" i="16"/>
  <c r="AG23" i="16"/>
  <c r="AG24" i="16"/>
  <c r="AG25" i="16"/>
  <c r="AG26" i="16"/>
  <c r="AG27" i="16"/>
  <c r="AG28" i="16"/>
  <c r="AG29" i="16"/>
  <c r="AG30" i="16"/>
  <c r="AG31" i="16"/>
  <c r="AM32" i="16"/>
  <c r="AN32" i="16"/>
  <c r="AM43" i="16"/>
  <c r="AD43" i="16" s="1"/>
  <c r="AF43" i="16" s="1"/>
  <c r="AC43" i="16"/>
  <c r="AN43" i="16"/>
  <c r="AE43" i="16"/>
  <c r="H45" i="16"/>
  <c r="V45" i="16"/>
  <c r="H46" i="16"/>
  <c r="D5" i="17"/>
  <c r="G5" i="17"/>
  <c r="J5" i="17"/>
  <c r="Y5" i="17"/>
  <c r="P7" i="17"/>
  <c r="AD9" i="17"/>
  <c r="AM21" i="17"/>
  <c r="AN21" i="17"/>
  <c r="AM32" i="17"/>
  <c r="AN32" i="17"/>
  <c r="AA43" i="17"/>
  <c r="AB43" i="17"/>
  <c r="AD43" i="17"/>
  <c r="AF43" i="17" s="1"/>
  <c r="H45" i="17"/>
  <c r="V45" i="17"/>
  <c r="H46" i="17"/>
  <c r="C5" i="18"/>
  <c r="G5" i="18"/>
  <c r="J5" i="18"/>
  <c r="Y5" i="18"/>
  <c r="P7" i="18"/>
  <c r="AD9" i="18"/>
  <c r="AM21" i="18"/>
  <c r="AN21" i="18"/>
  <c r="AM32" i="18"/>
  <c r="AN32" i="18"/>
  <c r="AM43" i="18"/>
  <c r="AN43" i="18"/>
  <c r="AE43" i="18" s="1"/>
  <c r="H45" i="18"/>
  <c r="V45" i="18"/>
  <c r="H46" i="18"/>
  <c r="C1" i="47"/>
  <c r="C2" i="47"/>
  <c r="C3" i="47"/>
  <c r="C4" i="47"/>
  <c r="H4" i="47"/>
  <c r="R5" i="47"/>
  <c r="M4" i="47"/>
  <c r="R4" i="47"/>
  <c r="B5" i="47" s="1"/>
  <c r="S4" i="47"/>
  <c r="T4" i="47"/>
  <c r="U4" i="47"/>
  <c r="V4" i="47"/>
  <c r="W4" i="47"/>
  <c r="T5" i="47"/>
  <c r="U5" i="47"/>
  <c r="F47" i="47"/>
  <c r="V5" i="47"/>
  <c r="F48" i="47" s="1"/>
  <c r="W5" i="47"/>
  <c r="R6" i="47"/>
  <c r="C19" i="47"/>
  <c r="D19" i="47"/>
  <c r="D45" i="47"/>
  <c r="E19" i="47"/>
  <c r="F19" i="47"/>
  <c r="F44" i="47" s="1"/>
  <c r="G19" i="47"/>
  <c r="G44" i="47" s="1"/>
  <c r="H19" i="47"/>
  <c r="I19" i="47"/>
  <c r="J19" i="47"/>
  <c r="K19" i="47"/>
  <c r="K45" i="47" s="1"/>
  <c r="L19" i="47"/>
  <c r="M19" i="47"/>
  <c r="N19" i="47"/>
  <c r="C30" i="47"/>
  <c r="D30" i="47"/>
  <c r="E30" i="47"/>
  <c r="F30" i="47"/>
  <c r="G30" i="47"/>
  <c r="H30" i="47"/>
  <c r="I30" i="47"/>
  <c r="I45" i="47" s="1"/>
  <c r="J30" i="47"/>
  <c r="J44" i="47" s="1"/>
  <c r="K30" i="47"/>
  <c r="L30" i="47"/>
  <c r="M30" i="47"/>
  <c r="N30" i="47"/>
  <c r="C43" i="47"/>
  <c r="D43" i="47"/>
  <c r="G43" i="47"/>
  <c r="I43" i="47"/>
  <c r="C44" i="47"/>
  <c r="D44" i="47"/>
  <c r="I44" i="47"/>
  <c r="K44" i="47"/>
  <c r="C45" i="47"/>
  <c r="G45" i="47"/>
  <c r="F49" i="47"/>
  <c r="C1" i="44"/>
  <c r="Y1" i="44"/>
  <c r="AD1" i="44"/>
  <c r="AB1" i="44" s="1"/>
  <c r="BE3" i="44"/>
  <c r="BE2" i="44"/>
  <c r="BE1" i="44"/>
  <c r="C2" i="44"/>
  <c r="AD2" i="44"/>
  <c r="AB2" i="44" s="1"/>
  <c r="C3" i="44"/>
  <c r="AD3" i="44"/>
  <c r="AB3" i="44" s="1"/>
  <c r="AT3" i="44"/>
  <c r="AU7" i="44"/>
  <c r="AV3" i="44"/>
  <c r="AW7" i="44" s="1"/>
  <c r="BG4" i="44"/>
  <c r="M4" i="44"/>
  <c r="Y4" i="44"/>
  <c r="AD4" i="44"/>
  <c r="AB4" i="44"/>
  <c r="AV4" i="44"/>
  <c r="BE4" i="44"/>
  <c r="BE5" i="44"/>
  <c r="AD6" i="44"/>
  <c r="AB6" i="44"/>
  <c r="BE6" i="44"/>
  <c r="AD7" i="44"/>
  <c r="AB7" i="44"/>
  <c r="AV7" i="44"/>
  <c r="BA7" i="44"/>
  <c r="BE7" i="44"/>
  <c r="AD8" i="44"/>
  <c r="AB8" i="44"/>
  <c r="AP8" i="44"/>
  <c r="AD124" i="44"/>
  <c r="AB124" i="44"/>
  <c r="AD155" i="44"/>
  <c r="AB155" i="44" s="1"/>
  <c r="AX13" i="44"/>
  <c r="AY13" i="44"/>
  <c r="AZ12" i="44" s="1"/>
  <c r="BA12" i="44"/>
  <c r="BA11" i="44"/>
  <c r="AD185" i="44"/>
  <c r="AB185" i="44"/>
  <c r="AD216" i="44"/>
  <c r="AB216" i="44" s="1"/>
  <c r="AD246" i="44"/>
  <c r="AB246" i="44"/>
  <c r="AD277" i="44"/>
  <c r="AB277" i="44" s="1"/>
  <c r="AD9" i="44"/>
  <c r="AB9" i="44"/>
  <c r="AD125" i="44"/>
  <c r="AB125" i="44" s="1"/>
  <c r="AD156" i="44"/>
  <c r="AB156" i="44"/>
  <c r="AD186" i="44"/>
  <c r="AB186" i="44" s="1"/>
  <c r="AD217" i="44"/>
  <c r="AB217" i="44"/>
  <c r="AD247" i="44"/>
  <c r="AB247" i="44" s="1"/>
  <c r="AD278" i="44"/>
  <c r="AB278" i="44"/>
  <c r="AD10" i="44"/>
  <c r="AB10" i="44" s="1"/>
  <c r="BE10" i="44"/>
  <c r="AD126" i="44"/>
  <c r="AB126" i="44"/>
  <c r="AD157" i="44"/>
  <c r="AB157" i="44" s="1"/>
  <c r="AD187" i="44"/>
  <c r="AB187" i="44"/>
  <c r="AD218" i="44"/>
  <c r="AB218" i="44" s="1"/>
  <c r="AD248" i="44"/>
  <c r="AB248" i="44"/>
  <c r="AD279" i="44"/>
  <c r="AB279" i="44" s="1"/>
  <c r="AD11" i="44"/>
  <c r="AB11" i="44"/>
  <c r="BE11" i="44"/>
  <c r="AD127" i="44"/>
  <c r="AB127" i="44"/>
  <c r="AD158" i="44"/>
  <c r="AB158" i="44" s="1"/>
  <c r="AD188" i="44"/>
  <c r="AB188" i="44"/>
  <c r="AD219" i="44"/>
  <c r="AB219" i="44" s="1"/>
  <c r="AD249" i="44"/>
  <c r="AB249" i="44"/>
  <c r="AD280" i="44"/>
  <c r="AB280" i="44" s="1"/>
  <c r="AD12" i="44"/>
  <c r="AB12" i="44"/>
  <c r="BE12" i="44"/>
  <c r="AD128" i="44"/>
  <c r="AB128" i="44" s="1"/>
  <c r="AD159" i="44"/>
  <c r="AB159" i="44"/>
  <c r="AD189" i="44"/>
  <c r="AB189" i="44" s="1"/>
  <c r="AD220" i="44"/>
  <c r="AB220" i="44"/>
  <c r="AD250" i="44"/>
  <c r="AB250" i="44" s="1"/>
  <c r="AD281" i="44"/>
  <c r="AB281" i="44"/>
  <c r="AD13" i="44"/>
  <c r="AB13" i="44" s="1"/>
  <c r="BA13" i="44"/>
  <c r="BE13" i="44"/>
  <c r="AD129" i="44"/>
  <c r="AB129" i="44" s="1"/>
  <c r="AD160" i="44"/>
  <c r="AB160" i="44"/>
  <c r="AD190" i="44"/>
  <c r="AB190" i="44" s="1"/>
  <c r="AD221" i="44"/>
  <c r="AB221" i="44"/>
  <c r="AD251" i="44"/>
  <c r="AB251" i="44" s="1"/>
  <c r="AD282" i="44"/>
  <c r="AB282" i="44"/>
  <c r="AD14" i="44"/>
  <c r="AB14" i="44" s="1"/>
  <c r="BE14" i="44"/>
  <c r="AD130" i="44"/>
  <c r="AB130" i="44" s="1"/>
  <c r="AD161" i="44"/>
  <c r="AB161" i="44"/>
  <c r="AD191" i="44"/>
  <c r="AB191" i="44" s="1"/>
  <c r="AD222" i="44"/>
  <c r="AB222" i="44"/>
  <c r="AD252" i="44"/>
  <c r="AB252" i="44" s="1"/>
  <c r="AD283" i="44"/>
  <c r="AB283" i="44"/>
  <c r="AD15" i="44"/>
  <c r="AB15" i="44" s="1"/>
  <c r="BA15" i="44"/>
  <c r="BE15" i="44"/>
  <c r="AD131" i="44"/>
  <c r="AB131" i="44" s="1"/>
  <c r="AD162" i="44"/>
  <c r="AB162" i="44"/>
  <c r="AD192" i="44"/>
  <c r="AB192" i="44" s="1"/>
  <c r="AD223" i="44"/>
  <c r="AB223" i="44"/>
  <c r="AD253" i="44"/>
  <c r="AB253" i="44" s="1"/>
  <c r="AD284" i="44"/>
  <c r="AB284" i="44"/>
  <c r="AD16" i="44"/>
  <c r="AB16" i="44" s="1"/>
  <c r="BA16" i="44"/>
  <c r="BE16" i="44"/>
  <c r="AD132" i="44"/>
  <c r="AB132" i="44" s="1"/>
  <c r="AD193" i="44"/>
  <c r="AB193" i="44"/>
  <c r="AD224" i="44"/>
  <c r="AB224" i="44" s="1"/>
  <c r="AD254" i="44"/>
  <c r="AB254" i="44"/>
  <c r="AD285" i="44"/>
  <c r="AB285" i="44" s="1"/>
  <c r="AD17" i="44"/>
  <c r="AB17" i="44"/>
  <c r="BA17" i="44"/>
  <c r="BE17" i="44"/>
  <c r="AD133" i="44"/>
  <c r="AB133" i="44"/>
  <c r="AD164" i="44"/>
  <c r="AB164" i="44" s="1"/>
  <c r="AD194" i="44"/>
  <c r="AB194" i="44"/>
  <c r="AD225" i="44"/>
  <c r="AB225" i="44" s="1"/>
  <c r="AD255" i="44"/>
  <c r="AB255" i="44"/>
  <c r="AD286" i="44"/>
  <c r="AB286" i="44" s="1"/>
  <c r="AD18" i="44"/>
  <c r="AB18" i="44"/>
  <c r="BA18" i="44"/>
  <c r="BE18" i="44"/>
  <c r="AD19" i="44"/>
  <c r="AB19" i="44"/>
  <c r="BA19" i="44"/>
  <c r="BE19" i="44"/>
  <c r="AD134" i="44"/>
  <c r="AB134" i="44"/>
  <c r="AD165" i="44"/>
  <c r="AB165" i="44" s="1"/>
  <c r="AD195" i="44"/>
  <c r="AB195" i="44"/>
  <c r="AD226" i="44"/>
  <c r="AB226" i="44" s="1"/>
  <c r="AD256" i="44"/>
  <c r="AB256" i="44"/>
  <c r="AD287" i="44"/>
  <c r="AB287" i="44" s="1"/>
  <c r="AD20" i="44"/>
  <c r="AB20" i="44"/>
  <c r="BA20" i="44"/>
  <c r="BE20" i="44"/>
  <c r="AD135" i="44"/>
  <c r="AB135" i="44"/>
  <c r="AD166" i="44"/>
  <c r="AB166" i="44" s="1"/>
  <c r="AD196" i="44"/>
  <c r="AB196" i="44"/>
  <c r="AD227" i="44"/>
  <c r="AB227" i="44" s="1"/>
  <c r="AD257" i="44"/>
  <c r="AB257" i="44"/>
  <c r="AD288" i="44"/>
  <c r="AB288" i="44" s="1"/>
  <c r="AD21" i="44"/>
  <c r="AB21" i="44"/>
  <c r="BA21" i="44"/>
  <c r="BE21" i="44"/>
  <c r="AD105" i="44"/>
  <c r="AB105" i="44"/>
  <c r="AD136" i="44"/>
  <c r="AB136" i="44" s="1"/>
  <c r="AD167" i="44"/>
  <c r="AB167" i="44"/>
  <c r="AD197" i="44"/>
  <c r="AB197" i="44" s="1"/>
  <c r="AD228" i="44"/>
  <c r="AB228" i="44"/>
  <c r="AD258" i="44"/>
  <c r="AB258" i="44" s="1"/>
  <c r="AD289" i="44"/>
  <c r="AB289" i="44"/>
  <c r="AD22" i="44"/>
  <c r="AB22" i="44" s="1"/>
  <c r="BA22" i="44"/>
  <c r="BE22" i="44"/>
  <c r="AD106" i="44"/>
  <c r="AB106" i="44" s="1"/>
  <c r="AD137" i="44"/>
  <c r="AB137" i="44"/>
  <c r="AD168" i="44"/>
  <c r="AB168" i="44" s="1"/>
  <c r="AD198" i="44"/>
  <c r="AB198" i="44"/>
  <c r="AD229" i="44"/>
  <c r="AB229" i="44" s="1"/>
  <c r="AD259" i="44"/>
  <c r="AB259" i="44"/>
  <c r="AD290" i="44"/>
  <c r="AB290" i="44" s="1"/>
  <c r="AD23" i="44"/>
  <c r="AB23" i="44"/>
  <c r="BA23" i="44"/>
  <c r="BE23" i="44"/>
  <c r="AD107" i="44"/>
  <c r="AB107" i="44"/>
  <c r="AD138" i="44"/>
  <c r="AB138" i="44" s="1"/>
  <c r="AD169" i="44"/>
  <c r="AB169" i="44"/>
  <c r="AD199" i="44"/>
  <c r="AB199" i="44" s="1"/>
  <c r="AD230" i="44"/>
  <c r="AB230" i="44"/>
  <c r="AD260" i="44"/>
  <c r="AB260" i="44" s="1"/>
  <c r="AD291" i="44"/>
  <c r="AB291" i="44"/>
  <c r="AD24" i="44"/>
  <c r="AB24" i="44" s="1"/>
  <c r="BA24" i="44"/>
  <c r="BE24" i="44"/>
  <c r="AD108" i="44"/>
  <c r="AB108" i="44" s="1"/>
  <c r="AD139" i="44"/>
  <c r="AB139" i="44"/>
  <c r="AD170" i="44"/>
  <c r="AB170" i="44" s="1"/>
  <c r="AD200" i="44"/>
  <c r="AB200" i="44"/>
  <c r="AD231" i="44"/>
  <c r="AB231" i="44" s="1"/>
  <c r="AD261" i="44"/>
  <c r="AB261" i="44"/>
  <c r="AD292" i="44"/>
  <c r="AB292" i="44" s="1"/>
  <c r="AD25" i="44"/>
  <c r="AB25" i="44"/>
  <c r="BA25" i="44"/>
  <c r="BE25" i="44"/>
  <c r="AD109" i="44"/>
  <c r="AB109" i="44"/>
  <c r="AD140" i="44"/>
  <c r="AB140" i="44" s="1"/>
  <c r="AD171" i="44"/>
  <c r="AB171" i="44"/>
  <c r="AD201" i="44"/>
  <c r="AB201" i="44" s="1"/>
  <c r="AD232" i="44"/>
  <c r="AB232" i="44"/>
  <c r="AD262" i="44"/>
  <c r="AB262" i="44" s="1"/>
  <c r="AD293" i="44"/>
  <c r="AB293" i="44"/>
  <c r="AD26" i="44"/>
  <c r="AB26" i="44" s="1"/>
  <c r="BA26" i="44"/>
  <c r="BE26" i="44"/>
  <c r="AD110" i="44"/>
  <c r="AB110" i="44" s="1"/>
  <c r="AD141" i="44"/>
  <c r="AB141" i="44"/>
  <c r="AD172" i="44"/>
  <c r="AB172" i="44" s="1"/>
  <c r="AD202" i="44"/>
  <c r="AB202" i="44"/>
  <c r="AD233" i="44"/>
  <c r="AB233" i="44" s="1"/>
  <c r="AD263" i="44"/>
  <c r="AB263" i="44"/>
  <c r="AD294" i="44"/>
  <c r="AB294" i="44" s="1"/>
  <c r="AD27" i="44"/>
  <c r="AB27" i="44"/>
  <c r="AO29" i="44"/>
  <c r="AN29" i="44" s="1"/>
  <c r="AN27" i="44" s="1"/>
  <c r="AO27" i="44"/>
  <c r="AP27" i="44"/>
  <c r="BA14" i="44"/>
  <c r="BA27" i="44"/>
  <c r="BE27" i="44"/>
  <c r="AD111" i="44"/>
  <c r="AB111" i="44"/>
  <c r="AD142" i="44"/>
  <c r="AB142" i="44"/>
  <c r="AD173" i="44"/>
  <c r="AB173" i="44"/>
  <c r="AD203" i="44"/>
  <c r="AB203" i="44"/>
  <c r="AD234" i="44"/>
  <c r="AB234" i="44"/>
  <c r="AD264" i="44"/>
  <c r="AB264" i="44"/>
  <c r="AD295" i="44"/>
  <c r="AB295" i="44"/>
  <c r="AD28" i="44"/>
  <c r="AB28" i="44"/>
  <c r="BA28" i="44"/>
  <c r="BE28" i="44"/>
  <c r="AD112" i="44"/>
  <c r="AB112" i="44"/>
  <c r="AD144" i="44"/>
  <c r="AB144" i="44"/>
  <c r="AD174" i="44"/>
  <c r="AB174" i="44"/>
  <c r="AD204" i="44"/>
  <c r="AB204" i="44"/>
  <c r="AD235" i="44"/>
  <c r="AB235" i="44"/>
  <c r="AD265" i="44"/>
  <c r="AB265" i="44"/>
  <c r="AD296" i="44"/>
  <c r="AB296" i="44"/>
  <c r="AD29" i="44"/>
  <c r="AB29" i="44"/>
  <c r="BA29" i="44"/>
  <c r="BE29" i="44"/>
  <c r="AD30" i="44"/>
  <c r="AB30" i="44"/>
  <c r="BA30" i="44"/>
  <c r="BE30" i="44"/>
  <c r="AD113" i="44"/>
  <c r="AB113" i="44"/>
  <c r="AD175" i="44"/>
  <c r="AB175" i="44"/>
  <c r="AD205" i="44"/>
  <c r="AB205" i="44"/>
  <c r="AD236" i="44"/>
  <c r="AB236" i="44"/>
  <c r="AD266" i="44"/>
  <c r="AB266" i="44"/>
  <c r="AD297" i="44"/>
  <c r="AB297" i="44"/>
  <c r="AD31" i="44"/>
  <c r="AB31" i="44"/>
  <c r="AN31" i="44"/>
  <c r="BA31" i="44"/>
  <c r="BE31" i="44"/>
  <c r="AD114" i="44"/>
  <c r="AB114" i="44"/>
  <c r="AD145" i="44"/>
  <c r="AB145" i="44" s="1"/>
  <c r="AD176" i="44"/>
  <c r="AB176" i="44"/>
  <c r="AD206" i="44"/>
  <c r="AB206" i="44" s="1"/>
  <c r="AD237" i="44"/>
  <c r="AB237" i="44"/>
  <c r="AD267" i="44"/>
  <c r="AB267" i="44" s="1"/>
  <c r="AD298" i="44"/>
  <c r="AB298" i="44"/>
  <c r="AD32" i="44"/>
  <c r="AB32" i="44" s="1"/>
  <c r="AS32" i="44"/>
  <c r="BA32" i="44"/>
  <c r="BE32" i="44"/>
  <c r="AD115" i="44"/>
  <c r="AB115" i="44"/>
  <c r="AD146" i="44"/>
  <c r="AB146" i="44"/>
  <c r="AD207" i="44"/>
  <c r="AB207" i="44"/>
  <c r="AD238" i="44"/>
  <c r="AB238" i="44"/>
  <c r="AD268" i="44"/>
  <c r="AB268" i="44"/>
  <c r="AD299" i="44"/>
  <c r="AB299" i="44"/>
  <c r="AD33" i="44"/>
  <c r="AB33" i="44"/>
  <c r="BA33" i="44"/>
  <c r="BE33" i="44"/>
  <c r="AD116" i="44"/>
  <c r="AB116" i="44"/>
  <c r="AD147" i="44"/>
  <c r="AB147" i="44"/>
  <c r="AD178" i="44"/>
  <c r="AB178" i="44"/>
  <c r="AD208" i="44"/>
  <c r="AB208" i="44"/>
  <c r="AD239" i="44"/>
  <c r="AB239" i="44"/>
  <c r="AD269" i="44"/>
  <c r="AB269" i="44"/>
  <c r="AD300" i="44"/>
  <c r="AB300" i="44"/>
  <c r="AD34" i="44"/>
  <c r="AB34" i="44"/>
  <c r="BA34" i="44"/>
  <c r="BE34" i="44"/>
  <c r="AD117" i="44"/>
  <c r="AB117" i="44"/>
  <c r="AD148" i="44"/>
  <c r="AB148" i="44"/>
  <c r="AD179" i="44"/>
  <c r="AB179" i="44"/>
  <c r="AD209" i="44"/>
  <c r="AB209" i="44"/>
  <c r="AD240" i="44"/>
  <c r="AB240" i="44"/>
  <c r="AD270" i="44"/>
  <c r="AB270" i="44"/>
  <c r="AD35" i="44"/>
  <c r="AB35" i="44"/>
  <c r="BA35" i="44"/>
  <c r="BE35" i="44"/>
  <c r="AD118" i="44"/>
  <c r="AB118" i="44"/>
  <c r="AD149" i="44"/>
  <c r="AB149" i="44"/>
  <c r="AD180" i="44"/>
  <c r="AB180" i="44"/>
  <c r="AD210" i="44"/>
  <c r="AB210" i="44"/>
  <c r="AD241" i="44"/>
  <c r="AB241" i="44"/>
  <c r="AD271" i="44"/>
  <c r="AB271" i="44"/>
  <c r="AD36" i="44"/>
  <c r="AB36" i="44"/>
  <c r="BA36" i="44"/>
  <c r="BE36" i="44"/>
  <c r="AD119" i="44"/>
  <c r="AB119" i="44"/>
  <c r="AD150" i="44"/>
  <c r="AB150" i="44"/>
  <c r="AD181" i="44"/>
  <c r="AB181" i="44"/>
  <c r="AD211" i="44"/>
  <c r="AB211" i="44"/>
  <c r="AD242" i="44"/>
  <c r="AB242" i="44"/>
  <c r="AD272" i="44"/>
  <c r="AB272" i="44"/>
  <c r="AD37" i="44"/>
  <c r="AB37" i="44"/>
  <c r="BA37" i="44"/>
  <c r="BE37" i="44"/>
  <c r="AD120" i="44"/>
  <c r="AB120" i="44"/>
  <c r="AD151" i="44"/>
  <c r="AB151" i="44"/>
  <c r="AD182" i="44"/>
  <c r="AB182" i="44"/>
  <c r="AD212" i="44"/>
  <c r="AB212" i="44"/>
  <c r="AD243" i="44"/>
  <c r="AB243" i="44"/>
  <c r="AD273" i="44"/>
  <c r="AB273" i="44"/>
  <c r="AD38" i="44"/>
  <c r="AB38" i="44"/>
  <c r="BA38" i="44"/>
  <c r="BE38" i="44"/>
  <c r="AD121" i="44"/>
  <c r="AB121" i="44" s="1"/>
  <c r="AD152" i="44"/>
  <c r="AB152" i="44"/>
  <c r="AD183" i="44"/>
  <c r="AB183" i="44" s="1"/>
  <c r="AD213" i="44"/>
  <c r="AB213" i="44"/>
  <c r="AD244" i="44"/>
  <c r="AB244" i="44" s="1"/>
  <c r="AD274" i="44"/>
  <c r="AB274" i="44"/>
  <c r="V39" i="44"/>
  <c r="AD39" i="44"/>
  <c r="AB39" i="44" s="1"/>
  <c r="BA39" i="44"/>
  <c r="BE39" i="44"/>
  <c r="AD122" i="44"/>
  <c r="AB122" i="44" s="1"/>
  <c r="AD153" i="44"/>
  <c r="AB153" i="44"/>
  <c r="AD184" i="44"/>
  <c r="AB184" i="44" s="1"/>
  <c r="AD214" i="44"/>
  <c r="AB214" i="44"/>
  <c r="AD245" i="44"/>
  <c r="AB245" i="44" s="1"/>
  <c r="AD275" i="44"/>
  <c r="AB275" i="44"/>
  <c r="AD40" i="44"/>
  <c r="AB40" i="44" s="1"/>
  <c r="BA40" i="44"/>
  <c r="BE40" i="44"/>
  <c r="AD123" i="44"/>
  <c r="AB123" i="44" s="1"/>
  <c r="AD154" i="44"/>
  <c r="AB154" i="44"/>
  <c r="AD215" i="44"/>
  <c r="AB215" i="44" s="1"/>
  <c r="AD276" i="44"/>
  <c r="AB276" i="44"/>
  <c r="AD41" i="44"/>
  <c r="AB41" i="44" s="1"/>
  <c r="BA41" i="44"/>
  <c r="BE41" i="44"/>
  <c r="Z42" i="44"/>
  <c r="AD43" i="44"/>
  <c r="AB43" i="44"/>
  <c r="BA43" i="44"/>
  <c r="BE43" i="44"/>
  <c r="AD44" i="44"/>
  <c r="AB44" i="44"/>
  <c r="BA44" i="44"/>
  <c r="BE44" i="44"/>
  <c r="AD45" i="44"/>
  <c r="AB45" i="44"/>
  <c r="BA45" i="44"/>
  <c r="BE45" i="44"/>
  <c r="AD46" i="44"/>
  <c r="AB46" i="44"/>
  <c r="BA46" i="44"/>
  <c r="BE46" i="44"/>
  <c r="AD47" i="44"/>
  <c r="AB47" i="44"/>
  <c r="BA47" i="44"/>
  <c r="BE47" i="44"/>
  <c r="H48" i="44"/>
  <c r="J48" i="44"/>
  <c r="L48" i="44"/>
  <c r="AD48" i="44"/>
  <c r="AB48" i="44" s="1"/>
  <c r="BA48" i="44"/>
  <c r="BE48" i="44"/>
  <c r="AD49" i="44"/>
  <c r="AB49" i="44" s="1"/>
  <c r="BA49" i="44"/>
  <c r="BE49" i="44"/>
  <c r="AD50" i="44"/>
  <c r="AB50" i="44" s="1"/>
  <c r="BA50" i="44"/>
  <c r="BE50" i="44"/>
  <c r="AD51" i="44"/>
  <c r="AB51" i="44" s="1"/>
  <c r="BA51" i="44"/>
  <c r="BE51" i="44"/>
  <c r="AD52" i="44"/>
  <c r="AB52" i="44" s="1"/>
  <c r="AD53" i="44"/>
  <c r="AB53" i="44"/>
  <c r="AD54" i="44"/>
  <c r="AB54" i="44" s="1"/>
  <c r="AD55" i="44"/>
  <c r="AB55" i="44"/>
  <c r="AD56" i="44"/>
  <c r="AB56" i="44" s="1"/>
  <c r="AD57" i="44"/>
  <c r="AB57" i="44"/>
  <c r="AD58" i="44"/>
  <c r="AB58" i="44" s="1"/>
  <c r="AD59" i="44"/>
  <c r="AB59" i="44"/>
  <c r="AD60" i="44"/>
  <c r="AB60" i="44" s="1"/>
  <c r="AD61" i="44"/>
  <c r="AB61" i="44"/>
  <c r="AD62" i="44"/>
  <c r="AB62" i="44" s="1"/>
  <c r="AD63" i="44"/>
  <c r="AB63" i="44"/>
  <c r="AD65" i="44"/>
  <c r="AB65" i="44" s="1"/>
  <c r="AD66" i="44"/>
  <c r="AB66" i="44"/>
  <c r="AD67" i="44"/>
  <c r="AB67" i="44" s="1"/>
  <c r="AD68" i="44"/>
  <c r="AB68" i="44"/>
  <c r="AD69" i="44"/>
  <c r="AB69" i="44" s="1"/>
  <c r="AD70" i="44"/>
  <c r="AB70" i="44"/>
  <c r="AD71" i="44"/>
  <c r="AB71" i="44" s="1"/>
  <c r="AD72" i="44"/>
  <c r="AB72" i="44"/>
  <c r="AD73" i="44"/>
  <c r="AB73" i="44" s="1"/>
  <c r="AD74" i="44"/>
  <c r="AB74" i="44"/>
  <c r="AD75" i="44"/>
  <c r="AB75" i="44" s="1"/>
  <c r="AD76" i="44"/>
  <c r="AB76" i="44"/>
  <c r="AD77" i="44"/>
  <c r="AB77" i="44" s="1"/>
  <c r="AD78" i="44"/>
  <c r="AB78" i="44"/>
  <c r="AD79" i="44"/>
  <c r="AB79" i="44" s="1"/>
  <c r="AD80" i="44"/>
  <c r="AB80" i="44"/>
  <c r="AD81" i="44"/>
  <c r="AB81" i="44" s="1"/>
  <c r="AD82" i="44"/>
  <c r="AB82" i="44"/>
  <c r="AD83" i="44"/>
  <c r="AB83" i="44" s="1"/>
  <c r="AD93" i="44"/>
  <c r="AB93" i="44" s="1"/>
  <c r="AD94" i="44"/>
  <c r="AB94" i="44"/>
  <c r="AD95" i="44"/>
  <c r="AB95" i="44" s="1"/>
  <c r="AD96" i="44"/>
  <c r="AB96" i="44"/>
  <c r="AD97" i="44"/>
  <c r="AB97" i="44" s="1"/>
  <c r="AD98" i="44"/>
  <c r="AB98" i="44"/>
  <c r="AD99" i="44"/>
  <c r="AB99" i="44" s="1"/>
  <c r="AD100" i="44"/>
  <c r="AB100" i="44"/>
  <c r="AD101" i="44"/>
  <c r="AB101" i="44" s="1"/>
  <c r="AD102" i="44"/>
  <c r="AB102" i="44"/>
  <c r="AD103" i="44"/>
  <c r="AB103" i="44" s="1"/>
  <c r="AD104" i="44"/>
  <c r="AB104" i="44"/>
  <c r="AN134" i="44"/>
  <c r="AD301" i="44"/>
  <c r="AB301" i="44"/>
  <c r="AD304" i="44"/>
  <c r="AB304" i="44"/>
  <c r="AD305" i="44"/>
  <c r="AB305" i="44"/>
  <c r="AD308" i="44"/>
  <c r="AB308" i="44"/>
  <c r="AD309" i="44"/>
  <c r="AB309" i="44"/>
  <c r="AD310" i="44"/>
  <c r="AB310" i="44"/>
  <c r="AD311" i="44"/>
  <c r="AB311" i="44"/>
  <c r="AD312" i="44"/>
  <c r="AB312" i="44"/>
  <c r="AD313" i="44"/>
  <c r="AD314" i="44"/>
  <c r="AB314" i="44" s="1"/>
  <c r="AD315" i="44"/>
  <c r="AB315" i="44"/>
  <c r="AD316" i="44"/>
  <c r="AB316" i="44" s="1"/>
  <c r="AD317" i="44"/>
  <c r="AB317" i="44"/>
  <c r="AD318" i="44"/>
  <c r="AB318" i="44" s="1"/>
  <c r="AD321" i="44"/>
  <c r="AB321" i="44"/>
  <c r="AD322" i="44"/>
  <c r="AB322" i="44" s="1"/>
  <c r="AD324" i="44"/>
  <c r="AB324" i="44" s="1"/>
  <c r="AD326" i="44"/>
  <c r="AB326" i="44" s="1"/>
  <c r="AD328" i="44"/>
  <c r="AB328" i="44" s="1"/>
  <c r="AD330" i="44"/>
  <c r="AB330" i="44" s="1"/>
  <c r="AD332" i="44"/>
  <c r="AB332" i="44" s="1"/>
  <c r="AD334" i="44"/>
  <c r="AB334" i="44" s="1"/>
  <c r="AC336" i="44"/>
  <c r="AA336" i="44"/>
  <c r="AD336" i="44"/>
  <c r="AB336" i="44"/>
  <c r="AD337" i="44"/>
  <c r="AB337" i="44" s="1"/>
  <c r="AD339" i="44"/>
  <c r="AB339" i="44" s="1"/>
  <c r="AD341" i="44"/>
  <c r="AB341" i="44" s="1"/>
  <c r="AD343" i="44"/>
  <c r="AB343" i="44" s="1"/>
  <c r="AD345" i="44"/>
  <c r="AB345" i="44" s="1"/>
  <c r="AD347" i="44"/>
  <c r="AB347" i="44" s="1"/>
  <c r="AD349" i="44"/>
  <c r="AB349" i="44" s="1"/>
  <c r="AD351" i="44"/>
  <c r="AB351" i="44" s="1"/>
  <c r="AD354" i="44"/>
  <c r="AB354" i="44" s="1"/>
  <c r="AD356" i="44"/>
  <c r="AB356" i="44" s="1"/>
  <c r="AD364" i="44"/>
  <c r="AB364" i="44" s="1"/>
  <c r="C1" i="45"/>
  <c r="Y1" i="45"/>
  <c r="Y2" i="45"/>
  <c r="Y3" i="45" s="1"/>
  <c r="C2" i="45"/>
  <c r="C3" i="45"/>
  <c r="C4" i="45"/>
  <c r="Y4" i="45"/>
  <c r="H6" i="45"/>
  <c r="B7" i="45"/>
  <c r="AE5" i="32"/>
  <c r="AK5" i="32"/>
  <c r="AQ5" i="32"/>
  <c r="AE6" i="32"/>
  <c r="AK6" i="32"/>
  <c r="AQ6" i="32"/>
  <c r="AE7" i="32"/>
  <c r="AK7" i="32"/>
  <c r="AQ7" i="32"/>
  <c r="AE8" i="32"/>
  <c r="AK8" i="32"/>
  <c r="AQ8" i="32"/>
  <c r="AE9" i="32"/>
  <c r="AK9" i="32"/>
  <c r="AQ9" i="32"/>
  <c r="AE10" i="32"/>
  <c r="AK10" i="32"/>
  <c r="AQ10" i="32"/>
  <c r="AE11" i="32"/>
  <c r="AK11" i="32"/>
  <c r="AQ11" i="32"/>
  <c r="AE12" i="32"/>
  <c r="AK12" i="32"/>
  <c r="AQ12" i="32"/>
  <c r="AE13" i="32"/>
  <c r="AK13" i="32"/>
  <c r="AQ13" i="32"/>
  <c r="AE14" i="32"/>
  <c r="AK14" i="32"/>
  <c r="AQ14" i="32"/>
  <c r="AE15" i="32"/>
  <c r="AK15" i="32"/>
  <c r="AQ15" i="32"/>
  <c r="AE16" i="32"/>
  <c r="AK16" i="32"/>
  <c r="AQ16" i="32"/>
  <c r="AE17" i="32"/>
  <c r="AK17" i="32"/>
  <c r="AQ17" i="32"/>
  <c r="AE18" i="32"/>
  <c r="AK18" i="32"/>
  <c r="AQ18" i="32"/>
  <c r="AE19" i="32"/>
  <c r="AK19" i="32"/>
  <c r="AQ19" i="32"/>
  <c r="AE20" i="32"/>
  <c r="AK20" i="32"/>
  <c r="AQ20" i="32"/>
  <c r="AE21" i="32"/>
  <c r="AK21" i="32"/>
  <c r="AQ21" i="32"/>
  <c r="AE22" i="32"/>
  <c r="AK22" i="32"/>
  <c r="AQ22" i="32"/>
  <c r="AE23" i="32"/>
  <c r="AK23" i="32"/>
  <c r="AQ23" i="32"/>
  <c r="AE24" i="32"/>
  <c r="AK24" i="32"/>
  <c r="AQ24" i="32"/>
  <c r="AE25" i="32"/>
  <c r="AK25" i="32"/>
  <c r="AQ25" i="32"/>
  <c r="AE26" i="32"/>
  <c r="AK26" i="32"/>
  <c r="AQ26" i="32"/>
  <c r="AE27" i="32"/>
  <c r="AK27" i="32"/>
  <c r="AQ27" i="32"/>
  <c r="AE28" i="32"/>
  <c r="AK28" i="32"/>
  <c r="AQ28" i="32"/>
  <c r="AE29" i="32"/>
  <c r="AK29" i="32"/>
  <c r="AQ29" i="32"/>
  <c r="AE30" i="32"/>
  <c r="AK30" i="32"/>
  <c r="AQ30" i="32"/>
  <c r="AE31" i="32"/>
  <c r="AK31" i="32"/>
  <c r="AQ31" i="32"/>
  <c r="AE32" i="32"/>
  <c r="AK32" i="32"/>
  <c r="AQ32" i="32"/>
  <c r="AE33" i="32"/>
  <c r="AK33" i="32"/>
  <c r="AQ33" i="32"/>
  <c r="AE34" i="32"/>
  <c r="AK34" i="32"/>
  <c r="AQ34" i="32"/>
  <c r="AE35" i="32"/>
  <c r="AK35" i="32"/>
  <c r="AQ35" i="32"/>
  <c r="AE36" i="32"/>
  <c r="AK36" i="32"/>
  <c r="AQ36" i="32"/>
  <c r="AE37" i="32"/>
  <c r="AK37" i="32"/>
  <c r="AQ37" i="32"/>
  <c r="AE38" i="32"/>
  <c r="AK38" i="32"/>
  <c r="AQ38" i="32"/>
  <c r="AE39" i="32"/>
  <c r="AK39" i="32"/>
  <c r="AE40" i="32"/>
  <c r="AK40" i="32"/>
  <c r="AE41" i="32"/>
  <c r="AK41" i="32"/>
  <c r="AE42" i="32"/>
  <c r="AK42" i="32"/>
  <c r="AQ42" i="32"/>
  <c r="AE43" i="32"/>
  <c r="AK43" i="32"/>
  <c r="AQ43" i="32"/>
  <c r="AE44" i="32"/>
  <c r="AK44" i="32"/>
  <c r="AQ44" i="32"/>
  <c r="AE45" i="32"/>
  <c r="AK45" i="32"/>
  <c r="AQ45" i="32"/>
  <c r="AE46" i="32"/>
  <c r="AK46" i="32"/>
  <c r="AQ46" i="32"/>
  <c r="AE47" i="32"/>
  <c r="AK47" i="32"/>
  <c r="AQ47" i="32"/>
  <c r="AE48" i="32"/>
  <c r="AK48" i="32"/>
  <c r="AQ48" i="32"/>
  <c r="AE49" i="32"/>
  <c r="AK49" i="32"/>
  <c r="AQ49" i="32"/>
  <c r="AE50" i="32"/>
  <c r="AK50" i="32"/>
  <c r="AQ50" i="32"/>
  <c r="AE51" i="32"/>
  <c r="AK51" i="32"/>
  <c r="AQ51" i="32"/>
  <c r="AE52" i="32"/>
  <c r="AK52" i="32"/>
  <c r="AQ52" i="32"/>
  <c r="AE53" i="32"/>
  <c r="AK53" i="32"/>
  <c r="AQ53" i="32"/>
  <c r="AE54" i="32"/>
  <c r="AK54" i="32"/>
  <c r="AE55" i="32"/>
  <c r="AK55" i="32"/>
  <c r="AQ55" i="32"/>
  <c r="AE56" i="32"/>
  <c r="AK56" i="32"/>
  <c r="AQ56" i="32"/>
  <c r="AE57" i="32"/>
  <c r="AK57" i="32"/>
  <c r="AQ57" i="32"/>
  <c r="AE58" i="32"/>
  <c r="AK58" i="32"/>
  <c r="AQ58" i="32"/>
  <c r="AE59" i="32"/>
  <c r="AK59" i="32"/>
  <c r="AQ59" i="32"/>
  <c r="AE60" i="32"/>
  <c r="AK60" i="32"/>
  <c r="AQ60" i="32"/>
  <c r="AE61" i="32"/>
  <c r="AK61" i="32"/>
  <c r="AQ61" i="32"/>
  <c r="AE62" i="32"/>
  <c r="AK62" i="32"/>
  <c r="AQ62" i="32"/>
  <c r="AE63" i="32"/>
  <c r="AK63" i="32"/>
  <c r="AQ63" i="32"/>
  <c r="AE64" i="32"/>
  <c r="AQ64" i="32"/>
  <c r="AE65" i="32"/>
  <c r="AQ65" i="32"/>
  <c r="AE66" i="32"/>
  <c r="AQ66" i="32"/>
  <c r="AE67" i="32"/>
  <c r="AK67" i="32"/>
  <c r="AQ67" i="32"/>
  <c r="AE68" i="32"/>
  <c r="AK68" i="32"/>
  <c r="AQ68" i="32"/>
  <c r="AE69" i="32"/>
  <c r="AK69" i="32"/>
  <c r="AQ69" i="32"/>
  <c r="AE70" i="32"/>
  <c r="AQ70" i="32"/>
  <c r="AE71" i="32"/>
  <c r="AK71" i="32"/>
  <c r="AQ71" i="32"/>
  <c r="AE72" i="32"/>
  <c r="AK72" i="32"/>
  <c r="AQ72" i="32"/>
  <c r="AE73" i="32"/>
  <c r="AK73" i="32"/>
  <c r="AQ73" i="32"/>
  <c r="AE74" i="32"/>
  <c r="AQ74" i="32"/>
  <c r="AE75" i="32"/>
  <c r="AK75" i="32"/>
  <c r="AQ75" i="32"/>
  <c r="AE76" i="32"/>
  <c r="AK76" i="32"/>
  <c r="AQ76" i="32"/>
  <c r="AE77" i="32"/>
  <c r="AK77" i="32"/>
  <c r="AQ77" i="32"/>
  <c r="AE78" i="32"/>
  <c r="AQ78" i="32"/>
  <c r="AE79" i="32"/>
  <c r="AK79" i="32"/>
  <c r="AQ79" i="32"/>
  <c r="AE80" i="32"/>
  <c r="AK80" i="32"/>
  <c r="AQ80" i="32"/>
  <c r="AE81" i="32"/>
  <c r="AK81" i="32"/>
  <c r="AQ81" i="32"/>
  <c r="AE82" i="32"/>
  <c r="AQ82" i="32"/>
  <c r="AE83" i="32"/>
  <c r="AK83" i="32"/>
  <c r="AQ83" i="32"/>
  <c r="AE84" i="32"/>
  <c r="AK84" i="32"/>
  <c r="AQ84" i="32"/>
  <c r="AE85" i="32"/>
  <c r="AK85" i="32"/>
  <c r="AQ85" i="32"/>
  <c r="AE86" i="32"/>
  <c r="AK86" i="32"/>
  <c r="AQ86" i="32"/>
  <c r="AK87" i="32"/>
  <c r="AQ87" i="32"/>
  <c r="AE96" i="32"/>
  <c r="AK96" i="32"/>
  <c r="AQ96" i="32"/>
  <c r="AE97" i="32"/>
  <c r="AQ97" i="32"/>
  <c r="AE98" i="32"/>
  <c r="AK98" i="32"/>
  <c r="AQ98" i="32"/>
  <c r="AE99" i="32"/>
  <c r="AK99" i="32"/>
  <c r="AQ99" i="32"/>
  <c r="AE100" i="32"/>
  <c r="AK100" i="32"/>
  <c r="AQ100" i="32"/>
  <c r="AE101" i="32"/>
  <c r="AQ101" i="32"/>
  <c r="AE102" i="32"/>
  <c r="AK102" i="32"/>
  <c r="AQ102" i="32"/>
  <c r="AE103" i="32"/>
  <c r="AK103" i="32"/>
  <c r="AQ103" i="32"/>
  <c r="AE104" i="32"/>
  <c r="AK104" i="32"/>
  <c r="AQ104" i="32"/>
  <c r="AE105" i="32"/>
  <c r="AQ105" i="32"/>
  <c r="AE106" i="32"/>
  <c r="AK106" i="32"/>
  <c r="AQ106" i="32"/>
  <c r="AE107" i="32"/>
  <c r="AK107" i="32"/>
  <c r="AQ107" i="32"/>
  <c r="AE108" i="32"/>
  <c r="AK108" i="32"/>
  <c r="AQ108" i="32"/>
  <c r="AE109" i="32"/>
  <c r="AQ109" i="32"/>
  <c r="AE110" i="32"/>
  <c r="AK110" i="32"/>
  <c r="AQ110" i="32"/>
  <c r="AE111" i="32"/>
  <c r="AK111" i="32"/>
  <c r="AQ111" i="32"/>
  <c r="AE112" i="32"/>
  <c r="AK112" i="32"/>
  <c r="AQ112" i="32"/>
  <c r="AE113" i="32"/>
  <c r="AK113" i="32"/>
  <c r="AQ113" i="32"/>
  <c r="AE114" i="32"/>
  <c r="AK114" i="32"/>
  <c r="AQ114" i="32"/>
  <c r="AE115" i="32"/>
  <c r="AK115" i="32"/>
  <c r="AQ115" i="32"/>
  <c r="AE116" i="32"/>
  <c r="AK116" i="32"/>
  <c r="AQ116" i="32"/>
  <c r="AE117" i="32"/>
  <c r="AK117" i="32"/>
  <c r="AQ117" i="32"/>
  <c r="AE118" i="32"/>
  <c r="AK118" i="32"/>
  <c r="AQ118" i="32"/>
  <c r="AE119" i="32"/>
  <c r="AK119" i="32"/>
  <c r="AQ119" i="32"/>
  <c r="AE120" i="32"/>
  <c r="AK120" i="32"/>
  <c r="AQ120" i="32"/>
  <c r="AE121" i="32"/>
  <c r="AK121" i="32"/>
  <c r="AQ121" i="32"/>
  <c r="AE122" i="32"/>
  <c r="AK122" i="32"/>
  <c r="AQ122" i="32"/>
  <c r="AE123" i="32"/>
  <c r="AK123" i="32"/>
  <c r="AQ123" i="32"/>
  <c r="AE124" i="32"/>
  <c r="AK124" i="32"/>
  <c r="AQ124" i="32"/>
  <c r="AE125" i="32"/>
  <c r="AK125" i="32"/>
  <c r="AQ125" i="32"/>
  <c r="AE126" i="32"/>
  <c r="AK126" i="32"/>
  <c r="AQ126" i="32"/>
  <c r="AE127" i="32"/>
  <c r="AK127" i="32"/>
  <c r="AQ127" i="32"/>
  <c r="AE128" i="32"/>
  <c r="AK128" i="32"/>
  <c r="AQ128" i="32"/>
  <c r="AE129" i="32"/>
  <c r="AK129" i="32"/>
  <c r="AQ129" i="32"/>
  <c r="AE130" i="32"/>
  <c r="AK130" i="32"/>
  <c r="AQ130" i="32"/>
  <c r="AE131" i="32"/>
  <c r="AK131" i="32"/>
  <c r="AQ131" i="32"/>
  <c r="AE132" i="32"/>
  <c r="AK132" i="32"/>
  <c r="AQ132" i="32"/>
  <c r="AE133" i="32"/>
  <c r="AK133" i="32"/>
  <c r="AQ133" i="32"/>
  <c r="AE134" i="32"/>
  <c r="AK134" i="32"/>
  <c r="AQ134" i="32"/>
  <c r="AE135" i="32"/>
  <c r="AK135" i="32"/>
  <c r="AQ135" i="32"/>
  <c r="AE136" i="32"/>
  <c r="AK136" i="32"/>
  <c r="AQ136" i="32"/>
  <c r="AE137" i="32"/>
  <c r="AK137" i="32"/>
  <c r="AQ137" i="32"/>
  <c r="AE138" i="32"/>
  <c r="AK138" i="32"/>
  <c r="AQ138" i="32"/>
  <c r="AE139" i="32"/>
  <c r="AK139" i="32"/>
  <c r="AQ139" i="32"/>
  <c r="AE140" i="32"/>
  <c r="AK140" i="32"/>
  <c r="AQ140" i="32"/>
  <c r="AE141" i="32"/>
  <c r="AK141" i="32"/>
  <c r="AQ141" i="32"/>
  <c r="AE142" i="32"/>
  <c r="AK142" i="32"/>
  <c r="AQ142" i="32"/>
  <c r="AE143" i="32"/>
  <c r="AK143" i="32"/>
  <c r="AQ143" i="32"/>
  <c r="AE144" i="32"/>
  <c r="AK144" i="32"/>
  <c r="AQ144" i="32"/>
  <c r="AE145" i="32"/>
  <c r="AK145" i="32"/>
  <c r="AQ145" i="32"/>
  <c r="AE146" i="32"/>
  <c r="AK146" i="32"/>
  <c r="AQ146" i="32"/>
  <c r="AE147" i="32"/>
  <c r="AK147" i="32"/>
  <c r="AQ147" i="32"/>
  <c r="AE148" i="32"/>
  <c r="AK148" i="32"/>
  <c r="AQ148" i="32"/>
  <c r="AE149" i="32"/>
  <c r="AK149" i="32"/>
  <c r="AQ149" i="32"/>
  <c r="AE150" i="32"/>
  <c r="AK150" i="32"/>
  <c r="AQ150" i="32"/>
  <c r="AE151" i="32"/>
  <c r="AK151" i="32"/>
  <c r="AQ151" i="32"/>
  <c r="AE152" i="32"/>
  <c r="AK152" i="32"/>
  <c r="AQ152" i="32"/>
  <c r="AE153" i="32"/>
  <c r="AK153" i="32"/>
  <c r="AE154" i="32"/>
  <c r="AK154" i="32"/>
  <c r="AQ154" i="32"/>
  <c r="AQ155" i="32"/>
  <c r="AQ156" i="32"/>
  <c r="AQ158" i="32"/>
  <c r="AQ159" i="32"/>
  <c r="AQ160" i="32"/>
  <c r="AQ161" i="32"/>
  <c r="AQ162" i="32"/>
  <c r="AQ163" i="32"/>
  <c r="AQ164" i="32"/>
  <c r="AQ165" i="32"/>
  <c r="AQ167" i="32"/>
  <c r="AQ168" i="32"/>
  <c r="AQ169" i="32"/>
  <c r="AQ170" i="32"/>
  <c r="AQ171" i="32"/>
  <c r="AQ172" i="32"/>
  <c r="AQ173" i="32"/>
  <c r="AQ174" i="32"/>
  <c r="AQ175" i="32"/>
  <c r="AQ176" i="32"/>
  <c r="AQ177" i="32"/>
  <c r="AQ178" i="32"/>
  <c r="AQ181" i="32"/>
  <c r="AQ182" i="32"/>
  <c r="AQ183" i="32"/>
  <c r="AQ184" i="32"/>
  <c r="AQ185" i="32"/>
  <c r="AQ186" i="32"/>
  <c r="AQ187" i="32"/>
  <c r="AQ188" i="32"/>
  <c r="AQ189" i="32"/>
  <c r="AQ190" i="32"/>
  <c r="AQ191" i="32"/>
  <c r="AQ192" i="32"/>
  <c r="AQ194" i="32"/>
  <c r="AQ195" i="32"/>
  <c r="AQ196" i="32"/>
  <c r="AQ197" i="32"/>
  <c r="AQ198" i="32"/>
  <c r="AQ199" i="32"/>
  <c r="AQ200" i="32"/>
  <c r="AQ201" i="32"/>
  <c r="AQ202" i="32"/>
  <c r="AQ203" i="32"/>
  <c r="AQ204" i="32"/>
  <c r="AQ205" i="32"/>
  <c r="AQ206" i="32"/>
  <c r="AQ207" i="32"/>
  <c r="AQ208" i="32"/>
  <c r="AQ209" i="32"/>
  <c r="AQ210" i="32"/>
  <c r="AQ211" i="32"/>
  <c r="AQ212" i="32"/>
  <c r="AQ213" i="32"/>
  <c r="AQ214" i="32"/>
  <c r="AQ215" i="32"/>
  <c r="AQ216" i="32"/>
  <c r="AQ217" i="32"/>
  <c r="AQ219" i="32"/>
  <c r="AQ220" i="32"/>
  <c r="AQ222" i="32"/>
  <c r="AQ223" i="32"/>
  <c r="AQ224" i="32"/>
  <c r="AQ225" i="32"/>
  <c r="AQ226" i="32"/>
  <c r="AQ227" i="32"/>
  <c r="AQ228" i="32"/>
  <c r="AQ229" i="32"/>
  <c r="AQ230" i="32"/>
  <c r="AQ231" i="32"/>
  <c r="AQ232" i="32"/>
  <c r="AQ233" i="32"/>
  <c r="AQ234" i="32"/>
  <c r="AQ235" i="32"/>
  <c r="AQ236" i="32"/>
  <c r="AQ237" i="32"/>
  <c r="AQ238" i="32"/>
  <c r="AQ239" i="32"/>
  <c r="AQ240" i="32"/>
  <c r="AQ241" i="32"/>
  <c r="AQ242" i="32"/>
  <c r="AQ243" i="32"/>
  <c r="AQ244" i="32"/>
  <c r="AQ245" i="32"/>
  <c r="AQ246" i="32"/>
  <c r="AQ247" i="32"/>
  <c r="AQ248" i="32"/>
  <c r="AQ249" i="32"/>
  <c r="AQ250" i="32"/>
  <c r="AQ251" i="32"/>
  <c r="AQ252" i="32"/>
  <c r="AQ253" i="32"/>
  <c r="AQ254" i="32"/>
  <c r="AQ255" i="32"/>
  <c r="AQ256" i="32"/>
  <c r="AQ257" i="32"/>
  <c r="AQ258" i="32"/>
  <c r="AQ259" i="32"/>
  <c r="AQ260" i="32"/>
  <c r="AQ261" i="32"/>
  <c r="AQ262" i="32"/>
  <c r="AQ263" i="32"/>
  <c r="AQ264" i="32"/>
  <c r="AQ265" i="32"/>
  <c r="AQ266" i="32"/>
  <c r="AQ267" i="32"/>
  <c r="AQ268" i="32"/>
  <c r="AQ269" i="32"/>
  <c r="AQ270" i="32"/>
  <c r="AQ271" i="32"/>
  <c r="AQ272" i="32"/>
  <c r="AQ273" i="32"/>
  <c r="AQ274" i="32"/>
  <c r="AQ275" i="32"/>
  <c r="AQ276" i="32"/>
  <c r="AQ277" i="32"/>
  <c r="AQ278" i="32"/>
  <c r="AQ279" i="32"/>
  <c r="AQ280" i="32"/>
  <c r="AQ281" i="32"/>
  <c r="AQ282" i="32"/>
  <c r="AQ283" i="32"/>
  <c r="AQ284" i="32"/>
  <c r="AQ285" i="32"/>
  <c r="AQ286" i="32"/>
  <c r="AQ287" i="32"/>
  <c r="AQ288" i="32"/>
  <c r="AQ289" i="32"/>
  <c r="AQ290" i="32"/>
  <c r="AQ291" i="32"/>
  <c r="AQ292" i="32"/>
  <c r="AQ293" i="32"/>
  <c r="AQ294" i="32"/>
  <c r="AQ295" i="32"/>
  <c r="AQ296" i="32"/>
  <c r="AQ297" i="32"/>
  <c r="AQ298" i="32"/>
  <c r="AQ299" i="32"/>
  <c r="AQ300" i="32"/>
  <c r="AQ301" i="32"/>
  <c r="AQ302" i="32"/>
  <c r="AQ303" i="32"/>
  <c r="AQ304" i="32"/>
  <c r="AQ305" i="32"/>
  <c r="AQ306" i="32"/>
  <c r="AQ307" i="32"/>
  <c r="AQ308" i="32"/>
  <c r="AQ309" i="32"/>
  <c r="AQ310" i="32"/>
  <c r="AQ311" i="32"/>
  <c r="AQ312" i="32"/>
  <c r="AQ313" i="32"/>
  <c r="AQ314" i="32"/>
  <c r="AQ315" i="32"/>
  <c r="AQ316" i="32"/>
  <c r="AQ317" i="32"/>
  <c r="AQ318" i="32"/>
  <c r="AQ319" i="32"/>
  <c r="AQ320" i="32"/>
  <c r="AQ321" i="32"/>
  <c r="AQ322" i="32"/>
  <c r="AQ323" i="32"/>
  <c r="AQ324" i="32"/>
  <c r="AQ325" i="32"/>
  <c r="AQ326" i="32"/>
  <c r="AQ327" i="32"/>
  <c r="AQ328" i="32"/>
  <c r="AQ329" i="32"/>
  <c r="AQ330" i="32"/>
  <c r="AQ331" i="32"/>
  <c r="AQ332" i="32"/>
  <c r="AQ333" i="32"/>
  <c r="AQ334" i="32"/>
  <c r="AQ335" i="32"/>
  <c r="AQ336" i="32"/>
  <c r="AQ337" i="32"/>
  <c r="AQ338" i="32"/>
  <c r="AQ339" i="32"/>
  <c r="AQ340" i="32"/>
  <c r="AQ342" i="32"/>
  <c r="AQ344" i="32"/>
  <c r="AQ345" i="32"/>
  <c r="AQ346" i="32"/>
  <c r="AQ347" i="32"/>
  <c r="AQ348" i="32"/>
  <c r="AQ349" i="32"/>
  <c r="AQ350" i="32"/>
  <c r="AQ351" i="32"/>
  <c r="AQ352" i="32"/>
  <c r="AQ353" i="32"/>
  <c r="AQ354" i="32"/>
  <c r="AQ355" i="32"/>
  <c r="AQ356" i="32"/>
  <c r="AQ357" i="32"/>
  <c r="AQ358" i="32"/>
  <c r="AQ359" i="32"/>
  <c r="AQ363" i="32"/>
  <c r="AQ365" i="32"/>
  <c r="AQ366" i="32"/>
  <c r="AQ367" i="32"/>
  <c r="AQ368" i="32"/>
  <c r="AQ369" i="32"/>
  <c r="AQ370" i="32"/>
  <c r="AK155" i="32"/>
  <c r="AK156" i="32"/>
  <c r="AK157" i="32"/>
  <c r="AK158" i="32"/>
  <c r="AK159" i="32"/>
  <c r="AK160" i="32"/>
  <c r="AK161" i="32"/>
  <c r="AK162" i="32"/>
  <c r="AK163" i="32"/>
  <c r="AK164" i="32"/>
  <c r="AK165" i="32"/>
  <c r="AK167" i="32"/>
  <c r="AK168" i="32"/>
  <c r="AK169" i="32"/>
  <c r="AK170" i="32"/>
  <c r="AK171" i="32"/>
  <c r="AK172" i="32"/>
  <c r="AK173" i="32"/>
  <c r="AK174" i="32"/>
  <c r="AK175" i="32"/>
  <c r="AK176" i="32"/>
  <c r="AK177" i="32"/>
  <c r="AK178" i="32"/>
  <c r="AK181" i="32"/>
  <c r="AK182" i="32"/>
  <c r="AK183" i="32"/>
  <c r="AK184" i="32"/>
  <c r="AK185" i="32"/>
  <c r="AK186" i="32"/>
  <c r="AK188" i="32"/>
  <c r="AK189" i="32"/>
  <c r="AK190" i="32"/>
  <c r="AK191" i="32"/>
  <c r="AK192" i="32"/>
  <c r="AK193" i="32"/>
  <c r="AK194" i="32"/>
  <c r="AK195" i="32"/>
  <c r="AK196" i="32"/>
  <c r="AK197" i="32"/>
  <c r="AK198" i="32"/>
  <c r="AK200" i="32"/>
  <c r="AK201" i="32"/>
  <c r="AK202" i="32"/>
  <c r="AK203" i="32"/>
  <c r="AK204" i="32"/>
  <c r="AK205" i="32"/>
  <c r="AK206" i="32"/>
  <c r="AK207" i="32"/>
  <c r="AK208" i="32"/>
  <c r="AK209" i="32"/>
  <c r="AK210" i="32"/>
  <c r="AK211" i="32"/>
  <c r="AK212" i="32"/>
  <c r="AK213" i="32"/>
  <c r="AK214" i="32"/>
  <c r="AK215" i="32"/>
  <c r="AK217" i="32"/>
  <c r="AK219" i="32"/>
  <c r="AK220" i="32"/>
  <c r="AK221" i="32"/>
  <c r="AK222" i="32"/>
  <c r="AK223" i="32"/>
  <c r="AK224" i="32"/>
  <c r="AK225" i="32"/>
  <c r="AK226" i="32"/>
  <c r="AK227" i="32"/>
  <c r="AK228" i="32"/>
  <c r="AK229" i="32"/>
  <c r="AK230" i="32"/>
  <c r="AK231" i="32"/>
  <c r="AK232" i="32"/>
  <c r="AK233" i="32"/>
  <c r="AK234" i="32"/>
  <c r="AK235" i="32"/>
  <c r="AK236" i="32"/>
  <c r="AK237" i="32"/>
  <c r="AK238" i="32"/>
  <c r="AK239" i="32"/>
  <c r="AK240" i="32"/>
  <c r="AK241" i="32"/>
  <c r="AK242" i="32"/>
  <c r="AK243" i="32"/>
  <c r="AK244" i="32"/>
  <c r="AK245" i="32"/>
  <c r="AK246" i="32"/>
  <c r="AK247" i="32"/>
  <c r="AK248" i="32"/>
  <c r="AK249" i="32"/>
  <c r="AK250" i="32"/>
  <c r="AK251" i="32"/>
  <c r="AK252" i="32"/>
  <c r="AK253" i="32"/>
  <c r="AK254" i="32"/>
  <c r="AK255" i="32"/>
  <c r="AK256" i="32"/>
  <c r="AK257" i="32"/>
  <c r="AK258" i="32"/>
  <c r="AK259" i="32"/>
  <c r="AK260" i="32"/>
  <c r="AK261" i="32"/>
  <c r="AK262" i="32"/>
  <c r="AK263" i="32"/>
  <c r="AK264" i="32"/>
  <c r="AK265" i="32"/>
  <c r="AK267" i="32"/>
  <c r="AK268" i="32"/>
  <c r="AK269" i="32"/>
  <c r="AK270" i="32"/>
  <c r="AK271" i="32"/>
  <c r="AK272" i="32"/>
  <c r="AK273" i="32"/>
  <c r="AK274" i="32"/>
  <c r="AK275" i="32"/>
  <c r="AK276" i="32"/>
  <c r="AK277" i="32"/>
  <c r="AK278" i="32"/>
  <c r="AK279" i="32"/>
  <c r="AK280" i="32"/>
  <c r="AK281" i="32"/>
  <c r="AK282" i="32"/>
  <c r="AK283" i="32"/>
  <c r="AK284" i="32"/>
  <c r="AK285" i="32"/>
  <c r="AK286" i="32"/>
  <c r="AK287" i="32"/>
  <c r="AK288" i="32"/>
  <c r="AK289" i="32"/>
  <c r="AK290" i="32"/>
  <c r="AK291" i="32"/>
  <c r="AK292" i="32"/>
  <c r="AK293" i="32"/>
  <c r="AK294" i="32"/>
  <c r="AK295" i="32"/>
  <c r="AK296" i="32"/>
  <c r="AK297" i="32"/>
  <c r="AK298" i="32"/>
  <c r="AK299" i="32"/>
  <c r="AK300" i="32"/>
  <c r="AK301" i="32"/>
  <c r="AK302" i="32"/>
  <c r="AK303" i="32"/>
  <c r="AK304" i="32"/>
  <c r="AK305" i="32"/>
  <c r="AK306" i="32"/>
  <c r="AK307" i="32"/>
  <c r="AK308" i="32"/>
  <c r="AK309" i="32"/>
  <c r="AK310" i="32"/>
  <c r="AK311" i="32"/>
  <c r="AK312" i="32"/>
  <c r="AK313" i="32"/>
  <c r="AK314" i="32"/>
  <c r="AK315" i="32"/>
  <c r="AK316" i="32"/>
  <c r="AK317" i="32"/>
  <c r="AK318" i="32"/>
  <c r="AK319" i="32"/>
  <c r="AK320" i="32"/>
  <c r="AK321" i="32"/>
  <c r="AK322" i="32"/>
  <c r="AK323" i="32"/>
  <c r="AK324" i="32"/>
  <c r="AK325" i="32"/>
  <c r="AK326" i="32"/>
  <c r="AK327" i="32"/>
  <c r="AK328" i="32"/>
  <c r="AK329" i="32"/>
  <c r="AK330" i="32"/>
  <c r="AK331" i="32"/>
  <c r="AK333" i="32"/>
  <c r="AK334" i="32"/>
  <c r="AK335" i="32"/>
  <c r="AK336" i="32"/>
  <c r="AK337" i="32"/>
  <c r="AK338" i="32"/>
  <c r="AK339" i="32"/>
  <c r="AK340" i="32"/>
  <c r="AK342" i="32"/>
  <c r="AK344" i="32"/>
  <c r="AK346" i="32"/>
  <c r="AK347" i="32"/>
  <c r="AK348" i="32"/>
  <c r="AK349" i="32"/>
  <c r="AK350" i="32"/>
  <c r="AK351" i="32"/>
  <c r="AK352" i="32"/>
  <c r="AK353" i="32"/>
  <c r="AK354" i="32"/>
  <c r="AK356" i="32"/>
  <c r="AK357" i="32"/>
  <c r="AK358" i="32"/>
  <c r="AK360" i="32"/>
  <c r="AK361" i="32"/>
  <c r="AK362" i="32"/>
  <c r="AK363" i="32"/>
  <c r="AK367" i="32"/>
  <c r="AK369" i="32"/>
  <c r="AE155" i="32"/>
  <c r="AE156" i="32"/>
  <c r="AE157" i="32"/>
  <c r="AE158" i="32"/>
  <c r="AE159" i="32"/>
  <c r="AE160" i="32"/>
  <c r="AE161" i="32"/>
  <c r="AE162" i="32"/>
  <c r="AE163" i="32"/>
  <c r="AE164" i="32"/>
  <c r="AE165" i="32"/>
  <c r="AE167" i="32"/>
  <c r="AE168" i="32"/>
  <c r="AE169" i="32"/>
  <c r="AE170" i="32"/>
  <c r="AE171" i="32"/>
  <c r="AE172" i="32"/>
  <c r="AE173" i="32"/>
  <c r="AE174" i="32"/>
  <c r="AE175" i="32"/>
  <c r="AE176" i="32"/>
  <c r="AE177" i="32"/>
  <c r="AE178" i="32"/>
  <c r="AE179" i="32"/>
  <c r="AE181" i="32"/>
  <c r="AE182" i="32"/>
  <c r="AE183" i="32"/>
  <c r="AE184" i="32"/>
  <c r="AE185" i="32"/>
  <c r="AE186" i="32"/>
  <c r="AE187" i="32"/>
  <c r="AE188" i="32"/>
  <c r="AE189" i="32"/>
  <c r="AE190" i="32"/>
  <c r="AE191" i="32"/>
  <c r="AE192" i="32"/>
  <c r="AE193" i="32"/>
  <c r="AE194" i="32"/>
  <c r="AE195" i="32"/>
  <c r="AE196" i="32"/>
  <c r="AE197" i="32"/>
  <c r="AE198" i="32"/>
  <c r="AE199" i="32"/>
  <c r="AE200" i="32"/>
  <c r="AE201" i="32"/>
  <c r="AE202" i="32"/>
  <c r="AE203" i="32"/>
  <c r="AE204" i="32"/>
  <c r="AE205" i="32"/>
  <c r="AE206" i="32"/>
  <c r="AE207" i="32"/>
  <c r="AE208" i="32"/>
  <c r="AE209" i="32"/>
  <c r="AE210" i="32"/>
  <c r="AE211" i="32"/>
  <c r="AE212" i="32"/>
  <c r="AE213" i="32"/>
  <c r="AE214" i="32"/>
  <c r="AE215" i="32"/>
  <c r="AE216" i="32"/>
  <c r="AE217" i="32"/>
  <c r="AE218" i="32"/>
  <c r="AE219" i="32"/>
  <c r="AE220" i="32"/>
  <c r="AE221" i="32"/>
  <c r="AE222" i="32"/>
  <c r="AE223" i="32"/>
  <c r="AE224" i="32"/>
  <c r="AE225" i="32"/>
  <c r="AE226" i="32"/>
  <c r="AE227" i="32"/>
  <c r="AE228" i="32"/>
  <c r="AE229" i="32"/>
  <c r="AE230" i="32"/>
  <c r="AE231" i="32"/>
  <c r="AE232" i="32"/>
  <c r="AE233" i="32"/>
  <c r="AE234" i="32"/>
  <c r="AE235" i="32"/>
  <c r="AE236" i="32"/>
  <c r="AE237" i="32"/>
  <c r="AE238" i="32"/>
  <c r="AE239" i="32"/>
  <c r="AE240" i="32"/>
  <c r="AE241" i="32"/>
  <c r="AE242" i="32"/>
  <c r="AE243" i="32"/>
  <c r="AE244" i="32"/>
  <c r="AE245" i="32"/>
  <c r="AE246" i="32"/>
  <c r="AE247" i="32"/>
  <c r="AE248" i="32"/>
  <c r="AE249" i="32"/>
  <c r="AE250" i="32"/>
  <c r="AE251" i="32"/>
  <c r="AE252" i="32"/>
  <c r="AE253" i="32"/>
  <c r="AE254" i="32"/>
  <c r="AE255" i="32"/>
  <c r="AE256" i="32"/>
  <c r="AE257" i="32"/>
  <c r="AE258" i="32"/>
  <c r="AE259" i="32"/>
  <c r="AE260" i="32"/>
  <c r="AE261" i="32"/>
  <c r="AE262" i="32"/>
  <c r="AE263" i="32"/>
  <c r="AE264" i="32"/>
  <c r="AE265" i="32"/>
  <c r="AE266" i="32"/>
  <c r="AE267" i="32"/>
  <c r="AE268" i="32"/>
  <c r="AE269" i="32"/>
  <c r="AE270" i="32"/>
  <c r="AE271" i="32"/>
  <c r="AE272" i="32"/>
  <c r="AE273" i="32"/>
  <c r="AE274" i="32"/>
  <c r="AE275" i="32"/>
  <c r="AE276" i="32"/>
  <c r="AE277" i="32"/>
  <c r="AE278" i="32"/>
  <c r="AE279" i="32"/>
  <c r="AE280" i="32"/>
  <c r="AE281" i="32"/>
  <c r="AE282" i="32"/>
  <c r="AE283" i="32"/>
  <c r="AE284" i="32"/>
  <c r="AE285" i="32"/>
  <c r="AE286" i="32"/>
  <c r="AE287" i="32"/>
  <c r="AE288" i="32"/>
  <c r="AE289" i="32"/>
  <c r="AE290" i="32"/>
  <c r="AE291" i="32"/>
  <c r="AE292" i="32"/>
  <c r="AE293" i="32"/>
  <c r="AE294" i="32"/>
  <c r="AE295" i="32"/>
  <c r="AE296" i="32"/>
  <c r="AE297" i="32"/>
  <c r="AE298" i="32"/>
  <c r="AE299" i="32"/>
  <c r="AE300" i="32"/>
  <c r="AE301" i="32"/>
  <c r="AE302" i="32"/>
  <c r="AE303" i="32"/>
  <c r="AE304" i="32"/>
  <c r="AE307" i="32"/>
  <c r="AE308" i="32"/>
  <c r="AE311" i="32"/>
  <c r="AE312" i="32"/>
  <c r="AE313" i="32"/>
  <c r="AE314" i="32"/>
  <c r="AE315" i="32"/>
  <c r="AE316" i="32"/>
  <c r="AE317" i="32"/>
  <c r="AE318" i="32"/>
  <c r="AE319" i="32"/>
  <c r="AE320" i="32"/>
  <c r="AE321" i="32"/>
  <c r="AE324" i="32"/>
  <c r="AE325" i="32"/>
  <c r="AE327" i="32"/>
  <c r="AE329" i="32"/>
  <c r="AE331" i="32"/>
  <c r="AE333" i="32"/>
  <c r="AE335" i="32"/>
  <c r="AE337" i="32"/>
  <c r="AE340" i="32"/>
  <c r="AE342" i="32"/>
  <c r="AE344" i="32"/>
  <c r="AE346" i="32"/>
  <c r="AE348" i="32"/>
  <c r="AE350" i="32"/>
  <c r="AE352" i="32"/>
  <c r="AE354" i="32"/>
  <c r="AE357" i="32"/>
  <c r="AE359" i="32"/>
  <c r="AE367" i="32"/>
  <c r="BM2" i="48"/>
  <c r="BQ2" i="48"/>
  <c r="BU2" i="48"/>
  <c r="BY2" i="48"/>
  <c r="CC2" i="48"/>
  <c r="CG2" i="48"/>
  <c r="CK2" i="48"/>
  <c r="CO2" i="48"/>
  <c r="CS2" i="48"/>
  <c r="CW2" i="48"/>
  <c r="DA2" i="48"/>
  <c r="BM3" i="48"/>
  <c r="BQ3" i="48"/>
  <c r="BU3" i="48"/>
  <c r="BY3" i="48"/>
  <c r="CC3" i="48"/>
  <c r="CG3" i="48"/>
  <c r="CK3" i="48"/>
  <c r="CO3" i="48"/>
  <c r="CS3" i="48"/>
  <c r="CW3" i="48"/>
  <c r="DA3" i="48"/>
  <c r="BM4" i="48"/>
  <c r="BQ4" i="48"/>
  <c r="BU4" i="48"/>
  <c r="BY4" i="48"/>
  <c r="CC4" i="48"/>
  <c r="CG4" i="48"/>
  <c r="CK4" i="48"/>
  <c r="CO4" i="48"/>
  <c r="CS4" i="48"/>
  <c r="CW4" i="48"/>
  <c r="DA4" i="48"/>
  <c r="BM5" i="48"/>
  <c r="BQ5" i="48"/>
  <c r="BU5" i="48"/>
  <c r="BY5" i="48"/>
  <c r="CC5" i="48"/>
  <c r="CG5" i="48"/>
  <c r="CK5" i="48"/>
  <c r="CO5" i="48"/>
  <c r="CS5" i="48"/>
  <c r="CW5" i="48"/>
  <c r="DA5" i="48"/>
  <c r="BM6" i="48"/>
  <c r="BQ6" i="48"/>
  <c r="BU6" i="48"/>
  <c r="BY6" i="48"/>
  <c r="CC6" i="48"/>
  <c r="CG6" i="48"/>
  <c r="CK6" i="48"/>
  <c r="CO6" i="48"/>
  <c r="CS6" i="48"/>
  <c r="CW6" i="48"/>
  <c r="DA6" i="48"/>
  <c r="BM7" i="48"/>
  <c r="BQ7" i="48"/>
  <c r="BU7" i="48"/>
  <c r="BY7" i="48"/>
  <c r="CC7" i="48"/>
  <c r="CG7" i="48"/>
  <c r="CK7" i="48"/>
  <c r="CO7" i="48"/>
  <c r="CS7" i="48"/>
  <c r="CW7" i="48"/>
  <c r="DA7" i="48"/>
  <c r="BM8" i="48"/>
  <c r="BQ8" i="48"/>
  <c r="BU8" i="48"/>
  <c r="BY8" i="48"/>
  <c r="CC8" i="48"/>
  <c r="CG8" i="48"/>
  <c r="CK8" i="48"/>
  <c r="CO8" i="48"/>
  <c r="CS8" i="48"/>
  <c r="CW8" i="48"/>
  <c r="DA8" i="48"/>
  <c r="BM9" i="48"/>
  <c r="BQ9" i="48"/>
  <c r="BU9" i="48"/>
  <c r="BY9" i="48"/>
  <c r="CC9" i="48"/>
  <c r="CG9" i="48"/>
  <c r="CK9" i="48"/>
  <c r="CO9" i="48"/>
  <c r="CS9" i="48"/>
  <c r="CW9" i="48"/>
  <c r="DA9" i="48"/>
  <c r="BM10" i="48"/>
  <c r="BQ10" i="48"/>
  <c r="BU10" i="48"/>
  <c r="BY10" i="48"/>
  <c r="CC10" i="48"/>
  <c r="CG10" i="48"/>
  <c r="CK10" i="48"/>
  <c r="CO10" i="48"/>
  <c r="CS10" i="48"/>
  <c r="CW10" i="48"/>
  <c r="DA10" i="48"/>
  <c r="BM11" i="48"/>
  <c r="BQ11" i="48"/>
  <c r="BU11" i="48"/>
  <c r="BY11" i="48"/>
  <c r="CC11" i="48"/>
  <c r="CG11" i="48"/>
  <c r="CK11" i="48"/>
  <c r="CO11" i="48"/>
  <c r="CS11" i="48"/>
  <c r="CW11" i="48"/>
  <c r="DA11" i="48"/>
  <c r="BM12" i="48"/>
  <c r="BQ12" i="48"/>
  <c r="BU12" i="48"/>
  <c r="BY12" i="48"/>
  <c r="CC12" i="48"/>
  <c r="CG12" i="48"/>
  <c r="CK12" i="48"/>
  <c r="CO12" i="48"/>
  <c r="CS12" i="48"/>
  <c r="CW12" i="48"/>
  <c r="DA12" i="48"/>
  <c r="BM13" i="48"/>
  <c r="BQ13" i="48"/>
  <c r="BU13" i="48"/>
  <c r="BY13" i="48"/>
  <c r="CC13" i="48"/>
  <c r="CG13" i="48"/>
  <c r="CK13" i="48"/>
  <c r="CO13" i="48"/>
  <c r="CS13" i="48"/>
  <c r="CW13" i="48"/>
  <c r="DA13" i="48"/>
  <c r="BM14" i="48"/>
  <c r="BQ14" i="48"/>
  <c r="BU14" i="48"/>
  <c r="BY14" i="48"/>
  <c r="CC14" i="48"/>
  <c r="CG14" i="48"/>
  <c r="CK14" i="48"/>
  <c r="CO14" i="48"/>
  <c r="CS14" i="48"/>
  <c r="CW14" i="48"/>
  <c r="DA14" i="48"/>
  <c r="BM15" i="48"/>
  <c r="BQ15" i="48"/>
  <c r="BU15" i="48"/>
  <c r="BY15" i="48"/>
  <c r="CC15" i="48"/>
  <c r="CG15" i="48"/>
  <c r="CK15" i="48"/>
  <c r="CO15" i="48"/>
  <c r="CS15" i="48"/>
  <c r="CW15" i="48"/>
  <c r="DA15" i="48"/>
  <c r="BM16" i="48"/>
  <c r="BQ16" i="48"/>
  <c r="BU16" i="48"/>
  <c r="BY16" i="48"/>
  <c r="CC16" i="48"/>
  <c r="CG16" i="48"/>
  <c r="CK16" i="48"/>
  <c r="CO16" i="48"/>
  <c r="CS16" i="48"/>
  <c r="CW16" i="48"/>
  <c r="DA16" i="48"/>
  <c r="BM17" i="48"/>
  <c r="BQ17" i="48"/>
  <c r="BU17" i="48"/>
  <c r="BY17" i="48"/>
  <c r="CC17" i="48"/>
  <c r="CG17" i="48"/>
  <c r="CK17" i="48"/>
  <c r="CO17" i="48"/>
  <c r="CS17" i="48"/>
  <c r="CW17" i="48"/>
  <c r="DA17" i="48"/>
  <c r="BM18" i="48"/>
  <c r="BQ18" i="48"/>
  <c r="BU18" i="48"/>
  <c r="BY18" i="48"/>
  <c r="CC18" i="48"/>
  <c r="CG18" i="48"/>
  <c r="CK18" i="48"/>
  <c r="CO18" i="48"/>
  <c r="CS18" i="48"/>
  <c r="CW18" i="48"/>
  <c r="DA18" i="48"/>
  <c r="BM19" i="48"/>
  <c r="BQ19" i="48"/>
  <c r="BU19" i="48"/>
  <c r="BY19" i="48"/>
  <c r="CC19" i="48"/>
  <c r="CG19" i="48"/>
  <c r="CK19" i="48"/>
  <c r="CO19" i="48"/>
  <c r="CS19" i="48"/>
  <c r="CW19" i="48"/>
  <c r="DA19" i="48"/>
  <c r="BM20" i="48"/>
  <c r="BQ20" i="48"/>
  <c r="BU20" i="48"/>
  <c r="BY20" i="48"/>
  <c r="CC20" i="48"/>
  <c r="CG20" i="48"/>
  <c r="CK20" i="48"/>
  <c r="CO20" i="48"/>
  <c r="CS20" i="48"/>
  <c r="CW20" i="48"/>
  <c r="DA20" i="48"/>
  <c r="BM21" i="48"/>
  <c r="BQ21" i="48"/>
  <c r="BU21" i="48"/>
  <c r="BY21" i="48"/>
  <c r="CC21" i="48"/>
  <c r="CG21" i="48"/>
  <c r="CK21" i="48"/>
  <c r="CO21" i="48"/>
  <c r="CS21" i="48"/>
  <c r="CW21" i="48"/>
  <c r="DA21" i="48"/>
  <c r="BM22" i="48"/>
  <c r="BQ22" i="48"/>
  <c r="BU22" i="48"/>
  <c r="BY22" i="48"/>
  <c r="CC22" i="48"/>
  <c r="CG22" i="48"/>
  <c r="CK22" i="48"/>
  <c r="CO22" i="48"/>
  <c r="CS22" i="48"/>
  <c r="CW22" i="48"/>
  <c r="DA22" i="48"/>
  <c r="BM23" i="48"/>
  <c r="BQ23" i="48"/>
  <c r="BU23" i="48"/>
  <c r="BY23" i="48"/>
  <c r="CC23" i="48"/>
  <c r="CG23" i="48"/>
  <c r="CK23" i="48"/>
  <c r="CO23" i="48"/>
  <c r="CS23" i="48"/>
  <c r="CW23" i="48"/>
  <c r="DA23" i="48"/>
  <c r="BM24" i="48"/>
  <c r="BQ24" i="48"/>
  <c r="BU24" i="48"/>
  <c r="BY24" i="48"/>
  <c r="CC24" i="48"/>
  <c r="CG24" i="48"/>
  <c r="CK24" i="48"/>
  <c r="CO24" i="48"/>
  <c r="CS24" i="48"/>
  <c r="CW24" i="48"/>
  <c r="DA24" i="48"/>
  <c r="BM25" i="48"/>
  <c r="BQ25" i="48"/>
  <c r="BU25" i="48"/>
  <c r="BY25" i="48"/>
  <c r="CC25" i="48"/>
  <c r="CG25" i="48"/>
  <c r="CK25" i="48"/>
  <c r="CO25" i="48"/>
  <c r="CS25" i="48"/>
  <c r="CW25" i="48"/>
  <c r="DA25" i="48"/>
  <c r="BM26" i="48"/>
  <c r="BQ26" i="48"/>
  <c r="BU26" i="48"/>
  <c r="BY26" i="48"/>
  <c r="CC26" i="48"/>
  <c r="CG26" i="48"/>
  <c r="CK26" i="48"/>
  <c r="CO26" i="48"/>
  <c r="CS26" i="48"/>
  <c r="CW26" i="48"/>
  <c r="DA26" i="48"/>
  <c r="BM27" i="48"/>
  <c r="BQ27" i="48"/>
  <c r="BU27" i="48"/>
  <c r="BY27" i="48"/>
  <c r="CC27" i="48"/>
  <c r="CG27" i="48"/>
  <c r="CK27" i="48"/>
  <c r="CO27" i="48"/>
  <c r="CS27" i="48"/>
  <c r="CW27" i="48"/>
  <c r="DA27" i="48"/>
  <c r="BM28" i="48"/>
  <c r="BQ28" i="48"/>
  <c r="BU28" i="48"/>
  <c r="BY28" i="48"/>
  <c r="CC28" i="48"/>
  <c r="CG28" i="48"/>
  <c r="CK28" i="48"/>
  <c r="CO28" i="48"/>
  <c r="CS28" i="48"/>
  <c r="CW28" i="48"/>
  <c r="DA28" i="48"/>
  <c r="BM29" i="48"/>
  <c r="BQ29" i="48"/>
  <c r="BU29" i="48"/>
  <c r="BY29" i="48"/>
  <c r="CC29" i="48"/>
  <c r="CG29" i="48"/>
  <c r="CK29" i="48"/>
  <c r="CO29" i="48"/>
  <c r="CS29" i="48"/>
  <c r="CW29" i="48"/>
  <c r="DA29" i="48"/>
  <c r="BM30" i="48"/>
  <c r="BQ30" i="48"/>
  <c r="BU30" i="48"/>
  <c r="BY30" i="48"/>
  <c r="CC30" i="48"/>
  <c r="CG30" i="48"/>
  <c r="CK30" i="48"/>
  <c r="CO30" i="48"/>
  <c r="CS30" i="48"/>
  <c r="CW30" i="48"/>
  <c r="DA30" i="48"/>
  <c r="BM31" i="48"/>
  <c r="BQ31" i="48"/>
  <c r="BU31" i="48"/>
  <c r="BY31" i="48"/>
  <c r="CC31" i="48"/>
  <c r="CG31" i="48"/>
  <c r="CK31" i="48"/>
  <c r="CO31" i="48"/>
  <c r="CS31" i="48"/>
  <c r="CW31" i="48"/>
  <c r="DA31" i="48"/>
  <c r="BM32" i="48"/>
  <c r="BQ32" i="48"/>
  <c r="BU32" i="48"/>
  <c r="BY32" i="48"/>
  <c r="CC32" i="48"/>
  <c r="CG32" i="48"/>
  <c r="CK32" i="48"/>
  <c r="CO32" i="48"/>
  <c r="CS32" i="48"/>
  <c r="CW32" i="48"/>
  <c r="DA32" i="48"/>
  <c r="BM33" i="48"/>
  <c r="BQ33" i="48"/>
  <c r="BU33" i="48"/>
  <c r="BY33" i="48"/>
  <c r="CC33" i="48"/>
  <c r="CG33" i="48"/>
  <c r="CK33" i="48"/>
  <c r="CO33" i="48"/>
  <c r="CS33" i="48"/>
  <c r="CW33" i="48"/>
  <c r="DA33" i="48"/>
  <c r="BM34" i="48"/>
  <c r="BQ34" i="48"/>
  <c r="BU34" i="48"/>
  <c r="BY34" i="48"/>
  <c r="CC34" i="48"/>
  <c r="CG34" i="48"/>
  <c r="CK34" i="48"/>
  <c r="CO34" i="48"/>
  <c r="CS34" i="48"/>
  <c r="CW34" i="48"/>
  <c r="DA34" i="48"/>
  <c r="BM35" i="48"/>
  <c r="BQ35" i="48"/>
  <c r="BU35" i="48"/>
  <c r="BY35" i="48"/>
  <c r="CC35" i="48"/>
  <c r="CG35" i="48"/>
  <c r="CK35" i="48"/>
  <c r="CO35" i="48"/>
  <c r="CS35" i="48"/>
  <c r="CW35" i="48"/>
  <c r="DA35" i="48"/>
  <c r="BM36" i="48"/>
  <c r="BQ36" i="48"/>
  <c r="BU36" i="48"/>
  <c r="BY36" i="48"/>
  <c r="CC36" i="48"/>
  <c r="CG36" i="48"/>
  <c r="CK36" i="48"/>
  <c r="CO36" i="48"/>
  <c r="CS36" i="48"/>
  <c r="CW36" i="48"/>
  <c r="DA36" i="48"/>
  <c r="BM37" i="48"/>
  <c r="BQ37" i="48"/>
  <c r="BU37" i="48"/>
  <c r="BY37" i="48"/>
  <c r="CC37" i="48"/>
  <c r="CG37" i="48"/>
  <c r="CK37" i="48"/>
  <c r="CO37" i="48"/>
  <c r="CS37" i="48"/>
  <c r="CW37" i="48"/>
  <c r="DA37" i="48"/>
  <c r="BM38" i="48"/>
  <c r="BQ38" i="48"/>
  <c r="BU38" i="48"/>
  <c r="BY38" i="48"/>
  <c r="CC38" i="48"/>
  <c r="CG38" i="48"/>
  <c r="CK38" i="48"/>
  <c r="CO38" i="48"/>
  <c r="CS38" i="48"/>
  <c r="CW38" i="48"/>
  <c r="DA38" i="48"/>
  <c r="BM39" i="48"/>
  <c r="BQ39" i="48"/>
  <c r="BU39" i="48"/>
  <c r="BY39" i="48"/>
  <c r="CC39" i="48"/>
  <c r="CG39" i="48"/>
  <c r="CK39" i="48"/>
  <c r="CO39" i="48"/>
  <c r="CS39" i="48"/>
  <c r="CW39" i="48"/>
  <c r="DA39" i="48"/>
  <c r="BM40" i="48"/>
  <c r="BQ40" i="48"/>
  <c r="BU40" i="48"/>
  <c r="BY40" i="48"/>
  <c r="CC40" i="48"/>
  <c r="CG40" i="48"/>
  <c r="CK40" i="48"/>
  <c r="CO40" i="48"/>
  <c r="CS40" i="48"/>
  <c r="CW40" i="48"/>
  <c r="DA40" i="48"/>
  <c r="BM41" i="48"/>
  <c r="BQ41" i="48"/>
  <c r="BU41" i="48"/>
  <c r="BY41" i="48"/>
  <c r="CC41" i="48"/>
  <c r="CG41" i="48"/>
  <c r="CK41" i="48"/>
  <c r="CO41" i="48"/>
  <c r="CS41" i="48"/>
  <c r="CW41" i="48"/>
  <c r="DA41" i="48"/>
  <c r="BM42" i="48"/>
  <c r="BQ42" i="48"/>
  <c r="BU42" i="48"/>
  <c r="BY42" i="48"/>
  <c r="CC42" i="48"/>
  <c r="CG42" i="48"/>
  <c r="CK42" i="48"/>
  <c r="CO42" i="48"/>
  <c r="CS42" i="48"/>
  <c r="CW42" i="48"/>
  <c r="DA42" i="48"/>
  <c r="BM43" i="48"/>
  <c r="BQ43" i="48"/>
  <c r="BU43" i="48"/>
  <c r="BY43" i="48"/>
  <c r="CC43" i="48"/>
  <c r="CG43" i="48"/>
  <c r="CK43" i="48"/>
  <c r="CO43" i="48"/>
  <c r="CS43" i="48"/>
  <c r="CW43" i="48"/>
  <c r="DA43" i="48"/>
  <c r="BM44" i="48"/>
  <c r="BQ44" i="48"/>
  <c r="BU44" i="48"/>
  <c r="BY44" i="48"/>
  <c r="CC44" i="48"/>
  <c r="CG44" i="48"/>
  <c r="CK44" i="48"/>
  <c r="CO44" i="48"/>
  <c r="CS44" i="48"/>
  <c r="CW44" i="48"/>
  <c r="DA44" i="48"/>
  <c r="BM45" i="48"/>
  <c r="BQ45" i="48"/>
  <c r="BU45" i="48"/>
  <c r="BY45" i="48"/>
  <c r="CC45" i="48"/>
  <c r="CG45" i="48"/>
  <c r="CK45" i="48"/>
  <c r="CO45" i="48"/>
  <c r="CS45" i="48"/>
  <c r="CW45" i="48"/>
  <c r="DA45" i="48"/>
  <c r="BM46" i="48"/>
  <c r="BQ46" i="48"/>
  <c r="BU46" i="48"/>
  <c r="BY46" i="48"/>
  <c r="CC46" i="48"/>
  <c r="CG46" i="48"/>
  <c r="CK46" i="48"/>
  <c r="CO46" i="48"/>
  <c r="CS46" i="48"/>
  <c r="CW46" i="48"/>
  <c r="DA46" i="48"/>
  <c r="BM47" i="48"/>
  <c r="BQ47" i="48"/>
  <c r="BU47" i="48"/>
  <c r="BY47" i="48"/>
  <c r="CC47" i="48"/>
  <c r="CG47" i="48"/>
  <c r="CK47" i="48"/>
  <c r="CO47" i="48"/>
  <c r="CS47" i="48"/>
  <c r="CW47" i="48"/>
  <c r="DA47" i="48"/>
  <c r="BM48" i="48"/>
  <c r="BQ48" i="48"/>
  <c r="BU48" i="48"/>
  <c r="BY48" i="48"/>
  <c r="CC48" i="48"/>
  <c r="CG48" i="48"/>
  <c r="CK48" i="48"/>
  <c r="CO48" i="48"/>
  <c r="CS48" i="48"/>
  <c r="CW48" i="48"/>
  <c r="DA48" i="48"/>
  <c r="BM49" i="48"/>
  <c r="BQ49" i="48"/>
  <c r="BU49" i="48"/>
  <c r="BY49" i="48"/>
  <c r="CC49" i="48"/>
  <c r="CG49" i="48"/>
  <c r="CK49" i="48"/>
  <c r="CO49" i="48"/>
  <c r="CS49" i="48"/>
  <c r="CW49" i="48"/>
  <c r="DA49" i="48"/>
  <c r="BM50" i="48"/>
  <c r="BQ50" i="48"/>
  <c r="BU50" i="48"/>
  <c r="BY50" i="48"/>
  <c r="CC50" i="48"/>
  <c r="CG50" i="48"/>
  <c r="CK50" i="48"/>
  <c r="CO50" i="48"/>
  <c r="CS50" i="48"/>
  <c r="CW50" i="48"/>
  <c r="DA50" i="48"/>
  <c r="BM51" i="48"/>
  <c r="BQ51" i="48"/>
  <c r="BU51" i="48"/>
  <c r="BY51" i="48"/>
  <c r="CC51" i="48"/>
  <c r="CG51" i="48"/>
  <c r="CK51" i="48"/>
  <c r="CO51" i="48"/>
  <c r="CS51" i="48"/>
  <c r="CW51" i="48"/>
  <c r="DA51" i="48"/>
  <c r="BM52" i="48"/>
  <c r="BQ52" i="48"/>
  <c r="BU52" i="48"/>
  <c r="BY52" i="48"/>
  <c r="CC52" i="48"/>
  <c r="CG52" i="48"/>
  <c r="CK52" i="48"/>
  <c r="CO52" i="48"/>
  <c r="CS52" i="48"/>
  <c r="CW52" i="48"/>
  <c r="DA52" i="48"/>
  <c r="BM53" i="48"/>
  <c r="BQ53" i="48"/>
  <c r="BU53" i="48"/>
  <c r="BY53" i="48"/>
  <c r="CC53" i="48"/>
  <c r="CG53" i="48"/>
  <c r="CK53" i="48"/>
  <c r="CO53" i="48"/>
  <c r="CS53" i="48"/>
  <c r="CW53" i="48"/>
  <c r="DA53" i="48"/>
  <c r="BM54" i="48"/>
  <c r="BQ54" i="48"/>
  <c r="BU54" i="48"/>
  <c r="BY54" i="48"/>
  <c r="CC54" i="48"/>
  <c r="CG54" i="48"/>
  <c r="CK54" i="48"/>
  <c r="CO54" i="48"/>
  <c r="CS54" i="48"/>
  <c r="CW54" i="48"/>
  <c r="DA54" i="48"/>
  <c r="BM55" i="48"/>
  <c r="BQ55" i="48"/>
  <c r="BU55" i="48"/>
  <c r="BY55" i="48"/>
  <c r="CC55" i="48"/>
  <c r="CG55" i="48"/>
  <c r="CK55" i="48"/>
  <c r="CO55" i="48"/>
  <c r="CW55" i="48"/>
  <c r="DA55" i="48"/>
  <c r="BM56" i="48"/>
  <c r="BQ56" i="48"/>
  <c r="BU56" i="48"/>
  <c r="BY56" i="48"/>
  <c r="CC56" i="48"/>
  <c r="CG56" i="48"/>
  <c r="CK56" i="48"/>
  <c r="CO56" i="48"/>
  <c r="CW56" i="48"/>
  <c r="DA56" i="48"/>
  <c r="BM57" i="48"/>
  <c r="BQ57" i="48"/>
  <c r="BU57" i="48"/>
  <c r="BY57" i="48"/>
  <c r="CC57" i="48"/>
  <c r="CG57" i="48"/>
  <c r="CK57" i="48"/>
  <c r="CO57" i="48"/>
  <c r="CS57" i="48"/>
  <c r="CW57" i="48"/>
  <c r="DA57" i="48"/>
  <c r="BM58" i="48"/>
  <c r="BQ58" i="48"/>
  <c r="BU58" i="48"/>
  <c r="BY58" i="48"/>
  <c r="CC58" i="48"/>
  <c r="CG58" i="48"/>
  <c r="CK58" i="48"/>
  <c r="CO58" i="48"/>
  <c r="CS58" i="48"/>
  <c r="CW58" i="48"/>
  <c r="DA58" i="48"/>
  <c r="BM59" i="48"/>
  <c r="BQ59" i="48"/>
  <c r="BU59" i="48"/>
  <c r="BY59" i="48"/>
  <c r="CC59" i="48"/>
  <c r="CG59" i="48"/>
  <c r="CK59" i="48"/>
  <c r="CO59" i="48"/>
  <c r="CS59" i="48"/>
  <c r="CW59" i="48"/>
  <c r="DA59" i="48"/>
  <c r="BM60" i="48"/>
  <c r="BQ60" i="48"/>
  <c r="BU60" i="48"/>
  <c r="BY60" i="48"/>
  <c r="CC60" i="48"/>
  <c r="CG60" i="48"/>
  <c r="CK60" i="48"/>
  <c r="CO60" i="48"/>
  <c r="CS60" i="48"/>
  <c r="CW60" i="48"/>
  <c r="DA60" i="48"/>
  <c r="BM61" i="48"/>
  <c r="BQ61" i="48"/>
  <c r="BU61" i="48"/>
  <c r="BY61" i="48"/>
  <c r="CC61" i="48"/>
  <c r="CG61" i="48"/>
  <c r="CK61" i="48"/>
  <c r="CO61" i="48"/>
  <c r="CS61" i="48"/>
  <c r="CW61" i="48"/>
  <c r="DA61" i="48"/>
  <c r="BM62" i="48"/>
  <c r="BQ62" i="48"/>
  <c r="BU62" i="48"/>
  <c r="BY62" i="48"/>
  <c r="CC62" i="48"/>
  <c r="CG62" i="48"/>
  <c r="CK62" i="48"/>
  <c r="CO62" i="48"/>
  <c r="CS62" i="48"/>
  <c r="CW62" i="48"/>
  <c r="DA62" i="48"/>
  <c r="BM63" i="48"/>
  <c r="BQ63" i="48"/>
  <c r="BU63" i="48"/>
  <c r="BY63" i="48"/>
  <c r="CC63" i="48"/>
  <c r="CG63" i="48"/>
  <c r="CK63" i="48"/>
  <c r="CO63" i="48"/>
  <c r="CS63" i="48"/>
  <c r="CW63" i="48"/>
  <c r="DA63" i="48"/>
  <c r="BM64" i="48"/>
  <c r="BQ64" i="48"/>
  <c r="BU64" i="48"/>
  <c r="BY64" i="48"/>
  <c r="CC64" i="48"/>
  <c r="CG64" i="48"/>
  <c r="CK64" i="48"/>
  <c r="CO64" i="48"/>
  <c r="CS64" i="48"/>
  <c r="CW64" i="48"/>
  <c r="DA64" i="48"/>
  <c r="BM65" i="48"/>
  <c r="BQ65" i="48"/>
  <c r="BU65" i="48"/>
  <c r="BY65" i="48"/>
  <c r="CC65" i="48"/>
  <c r="CG65" i="48"/>
  <c r="CK65" i="48"/>
  <c r="CO65" i="48"/>
  <c r="CS65" i="48"/>
  <c r="CW65" i="48"/>
  <c r="DA65" i="48"/>
  <c r="BM66" i="48"/>
  <c r="BQ66" i="48"/>
  <c r="BU66" i="48"/>
  <c r="BY66" i="48"/>
  <c r="CC66" i="48"/>
  <c r="CG66" i="48"/>
  <c r="CK66" i="48"/>
  <c r="CO66" i="48"/>
  <c r="CS66" i="48"/>
  <c r="CW66" i="48"/>
  <c r="DA66" i="48"/>
  <c r="BM67" i="48"/>
  <c r="BQ67" i="48"/>
  <c r="BU67" i="48"/>
  <c r="BY67" i="48"/>
  <c r="CC67" i="48"/>
  <c r="CG67" i="48"/>
  <c r="CK67" i="48"/>
  <c r="CO67" i="48"/>
  <c r="CS67" i="48"/>
  <c r="CW67" i="48"/>
  <c r="DA67" i="48"/>
  <c r="BM68" i="48"/>
  <c r="BQ68" i="48"/>
  <c r="BU68" i="48"/>
  <c r="BY68" i="48"/>
  <c r="CC68" i="48"/>
  <c r="CG68" i="48"/>
  <c r="CK68" i="48"/>
  <c r="CO68" i="48"/>
  <c r="CS68" i="48"/>
  <c r="CW68" i="48"/>
  <c r="DA68" i="48"/>
  <c r="BM69" i="48"/>
  <c r="BQ69" i="48"/>
  <c r="BU69" i="48"/>
  <c r="BY69" i="48"/>
  <c r="CC69" i="48"/>
  <c r="CG69" i="48"/>
  <c r="CK69" i="48"/>
  <c r="CO69" i="48"/>
  <c r="CS69" i="48"/>
  <c r="CW69" i="48"/>
  <c r="DA69" i="48"/>
  <c r="BM70" i="48"/>
  <c r="BQ70" i="48"/>
  <c r="BU70" i="48"/>
  <c r="BY70" i="48"/>
  <c r="CC70" i="48"/>
  <c r="CG70" i="48"/>
  <c r="CK70" i="48"/>
  <c r="CO70" i="48"/>
  <c r="CS70" i="48"/>
  <c r="CW70" i="48"/>
  <c r="DA70" i="48"/>
  <c r="BM71" i="48"/>
  <c r="BQ71" i="48"/>
  <c r="BU71" i="48"/>
  <c r="BY71" i="48"/>
  <c r="CC71" i="48"/>
  <c r="CG71" i="48"/>
  <c r="CK71" i="48"/>
  <c r="CO71" i="48"/>
  <c r="CS71" i="48"/>
  <c r="CW71" i="48"/>
  <c r="DA71" i="48"/>
  <c r="BM72" i="48"/>
  <c r="BQ72" i="48"/>
  <c r="BU72" i="48"/>
  <c r="BY72" i="48"/>
  <c r="CC72" i="48"/>
  <c r="CG72" i="48"/>
  <c r="CK72" i="48"/>
  <c r="CO72" i="48"/>
  <c r="CS72" i="48"/>
  <c r="CW72" i="48"/>
  <c r="DA72" i="48"/>
  <c r="BM73" i="48"/>
  <c r="BQ73" i="48"/>
  <c r="BU73" i="48"/>
  <c r="BY73" i="48"/>
  <c r="CC73" i="48"/>
  <c r="CG73" i="48"/>
  <c r="CK73" i="48"/>
  <c r="CO73" i="48"/>
  <c r="CS73" i="48"/>
  <c r="CW73" i="48"/>
  <c r="DA73" i="48"/>
  <c r="BM74" i="48"/>
  <c r="BQ74" i="48"/>
  <c r="BU74" i="48"/>
  <c r="CC74" i="48"/>
  <c r="CG74" i="48"/>
  <c r="CK74" i="48"/>
  <c r="CO74" i="48"/>
  <c r="CS74" i="48"/>
  <c r="CW74" i="48"/>
  <c r="DA74" i="48"/>
  <c r="BM75" i="48"/>
  <c r="BQ75" i="48"/>
  <c r="BU75" i="48"/>
  <c r="BY75" i="48"/>
  <c r="CC75" i="48"/>
  <c r="CG75" i="48"/>
  <c r="CK75" i="48"/>
  <c r="CO75" i="48"/>
  <c r="CS75" i="48"/>
  <c r="CW75" i="48"/>
  <c r="DA75" i="48"/>
  <c r="BM76" i="48"/>
  <c r="BQ76" i="48"/>
  <c r="BU76" i="48"/>
  <c r="BY76" i="48"/>
  <c r="CC76" i="48"/>
  <c r="CG76" i="48"/>
  <c r="CK76" i="48"/>
  <c r="CO76" i="48"/>
  <c r="CS76" i="48"/>
  <c r="CW76" i="48"/>
  <c r="DA76" i="48"/>
  <c r="BM77" i="48"/>
  <c r="BQ77" i="48"/>
  <c r="BU77" i="48"/>
  <c r="BY77" i="48"/>
  <c r="CC77" i="48"/>
  <c r="CG77" i="48"/>
  <c r="CK77" i="48"/>
  <c r="CO77" i="48"/>
  <c r="CS77" i="48"/>
  <c r="CW77" i="48"/>
  <c r="DA77" i="48"/>
  <c r="BM78" i="48"/>
  <c r="BQ78" i="48"/>
  <c r="BU78" i="48"/>
  <c r="BY78" i="48"/>
  <c r="CC78" i="48"/>
  <c r="CG78" i="48"/>
  <c r="CK78" i="48"/>
  <c r="CO78" i="48"/>
  <c r="CS78" i="48"/>
  <c r="CW78" i="48"/>
  <c r="DA78" i="48"/>
  <c r="BM79" i="48"/>
  <c r="BQ79" i="48"/>
  <c r="BU79" i="48"/>
  <c r="BY79" i="48"/>
  <c r="CC79" i="48"/>
  <c r="CG79" i="48"/>
  <c r="CK79" i="48"/>
  <c r="CO79" i="48"/>
  <c r="CS79" i="48"/>
  <c r="CW79" i="48"/>
  <c r="DA79" i="48"/>
  <c r="BM80" i="48"/>
  <c r="BQ80" i="48"/>
  <c r="BU80" i="48"/>
  <c r="BY80" i="48"/>
  <c r="CC80" i="48"/>
  <c r="CG80" i="48"/>
  <c r="CK80" i="48"/>
  <c r="CO80" i="48"/>
  <c r="CS80" i="48"/>
  <c r="CW80" i="48"/>
  <c r="DA80" i="48"/>
  <c r="BM81" i="48"/>
  <c r="BQ81" i="48"/>
  <c r="BU81" i="48"/>
  <c r="BY81" i="48"/>
  <c r="CC81" i="48"/>
  <c r="CG81" i="48"/>
  <c r="CK81" i="48"/>
  <c r="CO81" i="48"/>
  <c r="CS81" i="48"/>
  <c r="CW81" i="48"/>
  <c r="DA81" i="48"/>
  <c r="BM82" i="48"/>
  <c r="BQ82" i="48"/>
  <c r="BU82" i="48"/>
  <c r="BY82" i="48"/>
  <c r="CC82" i="48"/>
  <c r="CG82" i="48"/>
  <c r="CK82" i="48"/>
  <c r="CO82" i="48"/>
  <c r="CS82" i="48"/>
  <c r="CW82" i="48"/>
  <c r="DA82" i="48"/>
  <c r="BM83" i="48"/>
  <c r="BQ83" i="48"/>
  <c r="BU83" i="48"/>
  <c r="BY83" i="48"/>
  <c r="CC83" i="48"/>
  <c r="CG83" i="48"/>
  <c r="CK83" i="48"/>
  <c r="CS83" i="48"/>
  <c r="CW83" i="48"/>
  <c r="DA83" i="48"/>
  <c r="BM84" i="48"/>
  <c r="BQ84" i="48"/>
  <c r="BU84" i="48"/>
  <c r="BY84" i="48"/>
  <c r="CC84" i="48"/>
  <c r="CG84" i="48"/>
  <c r="CK84" i="48"/>
  <c r="CO84" i="48"/>
  <c r="CS84" i="48"/>
  <c r="CW84" i="48"/>
  <c r="DA84" i="48"/>
  <c r="BM85" i="48"/>
  <c r="BQ85" i="48"/>
  <c r="BU85" i="48"/>
  <c r="BY85" i="48"/>
  <c r="CC85" i="48"/>
  <c r="CG85" i="48"/>
  <c r="CK85" i="48"/>
  <c r="CO85" i="48"/>
  <c r="CS85" i="48"/>
  <c r="CW85" i="48"/>
  <c r="DA85" i="48"/>
  <c r="BM86" i="48"/>
  <c r="BQ86" i="48"/>
  <c r="BU86" i="48"/>
  <c r="BY86" i="48"/>
  <c r="CC86" i="48"/>
  <c r="CG86" i="48"/>
  <c r="CK86" i="48"/>
  <c r="CO86" i="48"/>
  <c r="CS86" i="48"/>
  <c r="CW86" i="48"/>
  <c r="DA86" i="48"/>
  <c r="BM87" i="48"/>
  <c r="BQ87" i="48"/>
  <c r="BU87" i="48"/>
  <c r="BY87" i="48"/>
  <c r="CC87" i="48"/>
  <c r="CG87" i="48"/>
  <c r="CK87" i="48"/>
  <c r="CO87" i="48"/>
  <c r="CS87" i="48"/>
  <c r="CW87" i="48"/>
  <c r="DA87" i="48"/>
  <c r="BM88" i="48"/>
  <c r="BQ88" i="48"/>
  <c r="BU88" i="48"/>
  <c r="BY88" i="48"/>
  <c r="CC88" i="48"/>
  <c r="CG88" i="48"/>
  <c r="CK88" i="48"/>
  <c r="CO88" i="48"/>
  <c r="CS88" i="48"/>
  <c r="CW88" i="48"/>
  <c r="DA88" i="48"/>
  <c r="BM89" i="48"/>
  <c r="BQ89" i="48"/>
  <c r="BU89" i="48"/>
  <c r="BY89" i="48"/>
  <c r="CC89" i="48"/>
  <c r="CG89" i="48"/>
  <c r="CK89" i="48"/>
  <c r="CO89" i="48"/>
  <c r="CS89" i="48"/>
  <c r="CW89" i="48"/>
  <c r="DA89" i="48"/>
  <c r="BM90" i="48"/>
  <c r="BQ90" i="48"/>
  <c r="BU90" i="48"/>
  <c r="BY90" i="48"/>
  <c r="CC90" i="48"/>
  <c r="CG90" i="48"/>
  <c r="CK90" i="48"/>
  <c r="CO90" i="48"/>
  <c r="CS90" i="48"/>
  <c r="CW90" i="48"/>
  <c r="DA90" i="48"/>
  <c r="BM91" i="48"/>
  <c r="BQ91" i="48"/>
  <c r="BU91" i="48"/>
  <c r="BY91" i="48"/>
  <c r="CC91" i="48"/>
  <c r="CG91" i="48"/>
  <c r="CK91" i="48"/>
  <c r="CO91" i="48"/>
  <c r="CS91" i="48"/>
  <c r="CW91" i="48"/>
  <c r="DA91" i="48"/>
  <c r="BM92" i="48"/>
  <c r="BQ92" i="48"/>
  <c r="BU92" i="48"/>
  <c r="BY92" i="48"/>
  <c r="CC92" i="48"/>
  <c r="CG92" i="48"/>
  <c r="CK92" i="48"/>
  <c r="CS92" i="48"/>
  <c r="CW92" i="48"/>
  <c r="DA92" i="48"/>
  <c r="BM93" i="48"/>
  <c r="BQ93" i="48"/>
  <c r="BU93" i="48"/>
  <c r="BY93" i="48"/>
  <c r="CC93" i="48"/>
  <c r="CG93" i="48"/>
  <c r="CK93" i="48"/>
  <c r="CO93" i="48"/>
  <c r="CS93" i="48"/>
  <c r="CW93" i="48"/>
  <c r="DA93" i="48"/>
  <c r="BM94" i="48"/>
  <c r="BQ94" i="48"/>
  <c r="BU94" i="48"/>
  <c r="BY94" i="48"/>
  <c r="CC94" i="48"/>
  <c r="CG94" i="48"/>
  <c r="CK94" i="48"/>
  <c r="CO94" i="48"/>
  <c r="CS94" i="48"/>
  <c r="CW94" i="48"/>
  <c r="DA94" i="48"/>
  <c r="BM95" i="48"/>
  <c r="BQ95" i="48"/>
  <c r="BU95" i="48"/>
  <c r="BY95" i="48"/>
  <c r="CC95" i="48"/>
  <c r="CG95" i="48"/>
  <c r="CK95" i="48"/>
  <c r="CO95" i="48"/>
  <c r="CS95" i="48"/>
  <c r="CW95" i="48"/>
  <c r="DA95" i="48"/>
  <c r="BM96" i="48"/>
  <c r="BQ96" i="48"/>
  <c r="BU96" i="48"/>
  <c r="BY96" i="48"/>
  <c r="CC96" i="48"/>
  <c r="CG96" i="48"/>
  <c r="CK96" i="48"/>
  <c r="CO96" i="48"/>
  <c r="CS96" i="48"/>
  <c r="CW96" i="48"/>
  <c r="DA96" i="48"/>
  <c r="BM97" i="48"/>
  <c r="BQ97" i="48"/>
  <c r="BU97" i="48"/>
  <c r="BY97" i="48"/>
  <c r="CC97" i="48"/>
  <c r="CG97" i="48"/>
  <c r="CK97" i="48"/>
  <c r="CO97" i="48"/>
  <c r="CS97" i="48"/>
  <c r="CW97" i="48"/>
  <c r="DA97" i="48"/>
  <c r="BM98" i="48"/>
  <c r="BQ98" i="48"/>
  <c r="BU98" i="48"/>
  <c r="CC98" i="48"/>
  <c r="CG98" i="48"/>
  <c r="CK98" i="48"/>
  <c r="CO98" i="48"/>
  <c r="CS98" i="48"/>
  <c r="CW98" i="48"/>
  <c r="DA98" i="48"/>
  <c r="BM99" i="48"/>
  <c r="BQ99" i="48"/>
  <c r="BU99" i="48"/>
  <c r="BY99" i="48"/>
  <c r="CC99" i="48"/>
  <c r="CG99" i="48"/>
  <c r="CK99" i="48"/>
  <c r="CO99" i="48"/>
  <c r="CS99" i="48"/>
  <c r="CW99" i="48"/>
  <c r="DA99" i="48"/>
  <c r="BM100" i="48"/>
  <c r="BQ100" i="48"/>
  <c r="BU100" i="48"/>
  <c r="BY100" i="48"/>
  <c r="CC100" i="48"/>
  <c r="CG100" i="48"/>
  <c r="CK100" i="48"/>
  <c r="CO100" i="48"/>
  <c r="CS100" i="48"/>
  <c r="CW100" i="48"/>
  <c r="DA100" i="48"/>
  <c r="BM101" i="48"/>
  <c r="BQ101" i="48"/>
  <c r="BU101" i="48"/>
  <c r="BY101" i="48"/>
  <c r="CC101" i="48"/>
  <c r="CG101" i="48"/>
  <c r="CK101" i="48"/>
  <c r="CO101" i="48"/>
  <c r="CS101" i="48"/>
  <c r="CW101" i="48"/>
  <c r="DA101" i="48"/>
  <c r="BM102" i="48"/>
  <c r="BQ102" i="48"/>
  <c r="BU102" i="48"/>
  <c r="BY102" i="48"/>
  <c r="CC102" i="48"/>
  <c r="CG102" i="48"/>
  <c r="CK102" i="48"/>
  <c r="CO102" i="48"/>
  <c r="CS102" i="48"/>
  <c r="CW102" i="48"/>
  <c r="DA102" i="48"/>
  <c r="BM103" i="48"/>
  <c r="BQ103" i="48"/>
  <c r="BU103" i="48"/>
  <c r="BY103" i="48"/>
  <c r="CC103" i="48"/>
  <c r="CG103" i="48"/>
  <c r="CK103" i="48"/>
  <c r="CO103" i="48"/>
  <c r="CS103" i="48"/>
  <c r="CW103" i="48"/>
  <c r="DA103" i="48"/>
  <c r="BM104" i="48"/>
  <c r="BQ104" i="48"/>
  <c r="BU104" i="48"/>
  <c r="BY104" i="48"/>
  <c r="CC104" i="48"/>
  <c r="CG104" i="48"/>
  <c r="CK104" i="48"/>
  <c r="CO104" i="48"/>
  <c r="CS104" i="48"/>
  <c r="CW104" i="48"/>
  <c r="DA104" i="48"/>
  <c r="BM105" i="48"/>
  <c r="BQ105" i="48"/>
  <c r="BU105" i="48"/>
  <c r="BY105" i="48"/>
  <c r="CC105" i="48"/>
  <c r="CG105" i="48"/>
  <c r="CK105" i="48"/>
  <c r="CO105" i="48"/>
  <c r="CS105" i="48"/>
  <c r="CW105" i="48"/>
  <c r="DA105" i="48"/>
  <c r="BM106" i="48"/>
  <c r="BQ106" i="48"/>
  <c r="BU106" i="48"/>
  <c r="BY106" i="48"/>
  <c r="CC106" i="48"/>
  <c r="CG106" i="48"/>
  <c r="CK106" i="48"/>
  <c r="CO106" i="48"/>
  <c r="CS106" i="48"/>
  <c r="CW106" i="48"/>
  <c r="DA106" i="48"/>
  <c r="BM107" i="48"/>
  <c r="BQ107" i="48"/>
  <c r="BU107" i="48"/>
  <c r="BY107" i="48"/>
  <c r="CC107" i="48"/>
  <c r="CG107" i="48"/>
  <c r="CK107" i="48"/>
  <c r="CO107" i="48"/>
  <c r="CS107" i="48"/>
  <c r="CW107" i="48"/>
  <c r="DA107" i="48"/>
  <c r="BM108" i="48"/>
  <c r="BQ108" i="48"/>
  <c r="BU108" i="48"/>
  <c r="BY108" i="48"/>
  <c r="CC108" i="48"/>
  <c r="CG108" i="48"/>
  <c r="CK108" i="48"/>
  <c r="CO108" i="48"/>
  <c r="CS108" i="48"/>
  <c r="CW108" i="48"/>
  <c r="DA108" i="48"/>
  <c r="BM109" i="48"/>
  <c r="BQ109" i="48"/>
  <c r="BU109" i="48"/>
  <c r="BY109" i="48"/>
  <c r="CC109" i="48"/>
  <c r="CG109" i="48"/>
  <c r="CK109" i="48"/>
  <c r="CO109" i="48"/>
  <c r="CS109" i="48"/>
  <c r="CW109" i="48"/>
  <c r="DA109" i="48"/>
  <c r="BM110" i="48"/>
  <c r="BQ110" i="48"/>
  <c r="BU110" i="48"/>
  <c r="BY110" i="48"/>
  <c r="CC110" i="48"/>
  <c r="CG110" i="48"/>
  <c r="CK110" i="48"/>
  <c r="CO110" i="48"/>
  <c r="CS110" i="48"/>
  <c r="CW110" i="48"/>
  <c r="DA110" i="48"/>
  <c r="BM111" i="48"/>
  <c r="BQ111" i="48"/>
  <c r="BU111" i="48"/>
  <c r="BY111" i="48"/>
  <c r="CC111" i="48"/>
  <c r="CG111" i="48"/>
  <c r="CK111" i="48"/>
  <c r="CO111" i="48"/>
  <c r="CS111" i="48"/>
  <c r="CW111" i="48"/>
  <c r="DA111" i="48"/>
  <c r="BM112" i="48"/>
  <c r="BQ112" i="48"/>
  <c r="BU112" i="48"/>
  <c r="BY112" i="48"/>
  <c r="CC112" i="48"/>
  <c r="CG112" i="48"/>
  <c r="CK112" i="48"/>
  <c r="CO112" i="48"/>
  <c r="CS112" i="48"/>
  <c r="CW112" i="48"/>
  <c r="DA112" i="48"/>
  <c r="BM113" i="48"/>
  <c r="BQ113" i="48"/>
  <c r="BU113" i="48"/>
  <c r="BY113" i="48"/>
  <c r="CC113" i="48"/>
  <c r="CG113" i="48"/>
  <c r="CK113" i="48"/>
  <c r="CO113" i="48"/>
  <c r="CS113" i="48"/>
  <c r="CW113" i="48"/>
  <c r="DA113" i="48"/>
  <c r="BM114" i="48"/>
  <c r="BQ114" i="48"/>
  <c r="BU114" i="48"/>
  <c r="BY114" i="48"/>
  <c r="CC114" i="48"/>
  <c r="CG114" i="48"/>
  <c r="CK114" i="48"/>
  <c r="CO114" i="48"/>
  <c r="CS114" i="48"/>
  <c r="CW114" i="48"/>
  <c r="DA114" i="48"/>
  <c r="BM115" i="48"/>
  <c r="BQ115" i="48"/>
  <c r="BU115" i="48"/>
  <c r="BY115" i="48"/>
  <c r="CC115" i="48"/>
  <c r="CG115" i="48"/>
  <c r="CK115" i="48"/>
  <c r="CO115" i="48"/>
  <c r="CS115" i="48"/>
  <c r="CW115" i="48"/>
  <c r="DA115" i="48"/>
  <c r="BM116" i="48"/>
  <c r="BQ116" i="48"/>
  <c r="BU116" i="48"/>
  <c r="BY116" i="48"/>
  <c r="CC116" i="48"/>
  <c r="CG116" i="48"/>
  <c r="CK116" i="48"/>
  <c r="CO116" i="48"/>
  <c r="CS116" i="48"/>
  <c r="CW116" i="48"/>
  <c r="DA116" i="48"/>
  <c r="BM117" i="48"/>
  <c r="BQ117" i="48"/>
  <c r="BU117" i="48"/>
  <c r="BY117" i="48"/>
  <c r="CC117" i="48"/>
  <c r="CG117" i="48"/>
  <c r="CK117" i="48"/>
  <c r="CO117" i="48"/>
  <c r="CS117" i="48"/>
  <c r="CW117" i="48"/>
  <c r="DA117" i="48"/>
  <c r="BM118" i="48"/>
  <c r="BQ118" i="48"/>
  <c r="BU118" i="48"/>
  <c r="BY118" i="48"/>
  <c r="CC118" i="48"/>
  <c r="CG118" i="48"/>
  <c r="CK118" i="48"/>
  <c r="CO118" i="48"/>
  <c r="CS118" i="48"/>
  <c r="CW118" i="48"/>
  <c r="DA118" i="48"/>
  <c r="BM119" i="48"/>
  <c r="BQ119" i="48"/>
  <c r="BU119" i="48"/>
  <c r="BY119" i="48"/>
  <c r="CC119" i="48"/>
  <c r="CG119" i="48"/>
  <c r="CK119" i="48"/>
  <c r="CO119" i="48"/>
  <c r="CS119" i="48"/>
  <c r="CW119" i="48"/>
  <c r="DA119" i="48"/>
  <c r="BM120" i="48"/>
  <c r="BQ120" i="48"/>
  <c r="BU120" i="48"/>
  <c r="BY120" i="48"/>
  <c r="CC120" i="48"/>
  <c r="CG120" i="48"/>
  <c r="CK120" i="48"/>
  <c r="CO120" i="48"/>
  <c r="CS120" i="48"/>
  <c r="CW120" i="48"/>
  <c r="DA120" i="48"/>
  <c r="BM121" i="48"/>
  <c r="BQ121" i="48"/>
  <c r="BU121" i="48"/>
  <c r="BY121" i="48"/>
  <c r="CC121" i="48"/>
  <c r="CG121" i="48"/>
  <c r="CK121" i="48"/>
  <c r="CO121" i="48"/>
  <c r="CS121" i="48"/>
  <c r="CW121" i="48"/>
  <c r="DA121" i="48"/>
  <c r="BM122" i="48"/>
  <c r="BQ122" i="48"/>
  <c r="BU122" i="48"/>
  <c r="BY122" i="48"/>
  <c r="CC122" i="48"/>
  <c r="CG122" i="48"/>
  <c r="CK122" i="48"/>
  <c r="CO122" i="48"/>
  <c r="CS122" i="48"/>
  <c r="CW122" i="48"/>
  <c r="DA122" i="48"/>
  <c r="BM123" i="48"/>
  <c r="BQ123" i="48"/>
  <c r="BU123" i="48"/>
  <c r="BY123" i="48"/>
  <c r="CC123" i="48"/>
  <c r="CG123" i="48"/>
  <c r="CK123" i="48"/>
  <c r="CO123" i="48"/>
  <c r="CS123" i="48"/>
  <c r="CW123" i="48"/>
  <c r="DA123" i="48"/>
  <c r="BM124" i="48"/>
  <c r="BQ124" i="48"/>
  <c r="BU124" i="48"/>
  <c r="BY124" i="48"/>
  <c r="CC124" i="48"/>
  <c r="CG124" i="48"/>
  <c r="CK124" i="48"/>
  <c r="CO124" i="48"/>
  <c r="CS124" i="48"/>
  <c r="CW124" i="48"/>
  <c r="DA124" i="48"/>
  <c r="BM125" i="48"/>
  <c r="BQ125" i="48"/>
  <c r="BU125" i="48"/>
  <c r="BY125" i="48"/>
  <c r="CC125" i="48"/>
  <c r="CG125" i="48"/>
  <c r="CK125" i="48"/>
  <c r="CO125" i="48"/>
  <c r="CS125" i="48"/>
  <c r="CW125" i="48"/>
  <c r="DA125" i="48"/>
  <c r="BM126" i="48"/>
  <c r="BQ126" i="48"/>
  <c r="BU126" i="48"/>
  <c r="BY126" i="48"/>
  <c r="CC126" i="48"/>
  <c r="CG126" i="48"/>
  <c r="CK126" i="48"/>
  <c r="CO126" i="48"/>
  <c r="CS126" i="48"/>
  <c r="CW126" i="48"/>
  <c r="DA126" i="48"/>
  <c r="BM127" i="48"/>
  <c r="BQ127" i="48"/>
  <c r="BU127" i="48"/>
  <c r="BY127" i="48"/>
  <c r="CC127" i="48"/>
  <c r="CG127" i="48"/>
  <c r="CK127" i="48"/>
  <c r="CO127" i="48"/>
  <c r="CS127" i="48"/>
  <c r="CW127" i="48"/>
  <c r="DA127" i="48"/>
  <c r="BM128" i="48"/>
  <c r="BQ128" i="48"/>
  <c r="BU128" i="48"/>
  <c r="BY128" i="48"/>
  <c r="CC128" i="48"/>
  <c r="CG128" i="48"/>
  <c r="CO128" i="48"/>
  <c r="CS128" i="48"/>
  <c r="CW128" i="48"/>
  <c r="DA128" i="48"/>
  <c r="BM129" i="48"/>
  <c r="BQ129" i="48"/>
  <c r="BU129" i="48"/>
  <c r="BY129" i="48"/>
  <c r="CC129" i="48"/>
  <c r="CG129" i="48"/>
  <c r="CO129" i="48"/>
  <c r="CS129" i="48"/>
  <c r="CW129" i="48"/>
  <c r="DA129" i="48"/>
  <c r="BM130" i="48"/>
  <c r="BQ130" i="48"/>
  <c r="BU130" i="48"/>
  <c r="BY130" i="48"/>
  <c r="CC130" i="48"/>
  <c r="CG130" i="48"/>
  <c r="CK130" i="48"/>
  <c r="CO130" i="48"/>
  <c r="CS130" i="48"/>
  <c r="CW130" i="48"/>
  <c r="DA130" i="48"/>
  <c r="BM131" i="48"/>
  <c r="BQ131" i="48"/>
  <c r="BU131" i="48"/>
  <c r="BY131" i="48"/>
  <c r="CC131" i="48"/>
  <c r="CG131" i="48"/>
  <c r="CK131" i="48"/>
  <c r="CO131" i="48"/>
  <c r="CS131" i="48"/>
  <c r="CW131" i="48"/>
  <c r="DA131" i="48"/>
  <c r="BM132" i="48"/>
  <c r="BQ132" i="48"/>
  <c r="BU132" i="48"/>
  <c r="BY132" i="48"/>
  <c r="CC132" i="48"/>
  <c r="CG132" i="48"/>
  <c r="CK132" i="48"/>
  <c r="CO132" i="48"/>
  <c r="CS132" i="48"/>
  <c r="CW132" i="48"/>
  <c r="DA132" i="48"/>
  <c r="BM133" i="48"/>
  <c r="BQ133" i="48"/>
  <c r="BU133" i="48"/>
  <c r="BY133" i="48"/>
  <c r="CC133" i="48"/>
  <c r="CG133" i="48"/>
  <c r="CK133" i="48"/>
  <c r="CO133" i="48"/>
  <c r="CS133" i="48"/>
  <c r="CW133" i="48"/>
  <c r="DA133" i="48"/>
  <c r="BM134" i="48"/>
  <c r="BQ134" i="48"/>
  <c r="BU134" i="48"/>
  <c r="BY134" i="48"/>
  <c r="CC134" i="48"/>
  <c r="CG134" i="48"/>
  <c r="CK134" i="48"/>
  <c r="CO134" i="48"/>
  <c r="CS134" i="48"/>
  <c r="CW134" i="48"/>
  <c r="DA134" i="48"/>
  <c r="BM135" i="48"/>
  <c r="BQ135" i="48"/>
  <c r="BU135" i="48"/>
  <c r="BY135" i="48"/>
  <c r="CC135" i="48"/>
  <c r="CG135" i="48"/>
  <c r="CK135" i="48"/>
  <c r="CO135" i="48"/>
  <c r="CS135" i="48"/>
  <c r="CW135" i="48"/>
  <c r="DA135" i="48"/>
  <c r="BM136" i="48"/>
  <c r="BQ136" i="48"/>
  <c r="BU136" i="48"/>
  <c r="BY136" i="48"/>
  <c r="CC136" i="48"/>
  <c r="CG136" i="48"/>
  <c r="CK136" i="48"/>
  <c r="CO136" i="48"/>
  <c r="CS136" i="48"/>
  <c r="CW136" i="48"/>
  <c r="DA136" i="48"/>
  <c r="BM137" i="48"/>
  <c r="BQ137" i="48"/>
  <c r="BU137" i="48"/>
  <c r="BY137" i="48"/>
  <c r="CC137" i="48"/>
  <c r="CG137" i="48"/>
  <c r="CK137" i="48"/>
  <c r="CO137" i="48"/>
  <c r="CS137" i="48"/>
  <c r="CW137" i="48"/>
  <c r="DA137" i="48"/>
  <c r="BM138" i="48"/>
  <c r="BQ138" i="48"/>
  <c r="BU138" i="48"/>
  <c r="BY138" i="48"/>
  <c r="CC138" i="48"/>
  <c r="CG138" i="48"/>
  <c r="CK138" i="48"/>
  <c r="CO138" i="48"/>
  <c r="CS138" i="48"/>
  <c r="CW138" i="48"/>
  <c r="DA138" i="48"/>
  <c r="BM139" i="48"/>
  <c r="BQ139" i="48"/>
  <c r="BU139" i="48"/>
  <c r="BY139" i="48"/>
  <c r="CC139" i="48"/>
  <c r="CG139" i="48"/>
  <c r="CK139" i="48"/>
  <c r="CO139" i="48"/>
  <c r="CS139" i="48"/>
  <c r="CW139" i="48"/>
  <c r="DA139" i="48"/>
  <c r="BM140" i="48"/>
  <c r="BQ140" i="48"/>
  <c r="BU140" i="48"/>
  <c r="BY140" i="48"/>
  <c r="CC140" i="48"/>
  <c r="CG140" i="48"/>
  <c r="CK140" i="48"/>
  <c r="CO140" i="48"/>
  <c r="CS140" i="48"/>
  <c r="CW140" i="48"/>
  <c r="DA140" i="48"/>
  <c r="BM141" i="48"/>
  <c r="BQ141" i="48"/>
  <c r="BU141" i="48"/>
  <c r="BY141" i="48"/>
  <c r="CC141" i="48"/>
  <c r="CG141" i="48"/>
  <c r="CK141" i="48"/>
  <c r="CO141" i="48"/>
  <c r="CS141" i="48"/>
  <c r="CW141" i="48"/>
  <c r="DA141" i="48"/>
  <c r="BM142" i="48"/>
  <c r="BQ142" i="48"/>
  <c r="BU142" i="48"/>
  <c r="BY142" i="48"/>
  <c r="CC142" i="48"/>
  <c r="CG142" i="48"/>
  <c r="CK142" i="48"/>
  <c r="CO142" i="48"/>
  <c r="CS142" i="48"/>
  <c r="CW142" i="48"/>
  <c r="DA142" i="48"/>
  <c r="BM143" i="48"/>
  <c r="BQ143" i="48"/>
  <c r="BU143" i="48"/>
  <c r="BY143" i="48"/>
  <c r="CC143" i="48"/>
  <c r="CG143" i="48"/>
  <c r="CK143" i="48"/>
  <c r="CO143" i="48"/>
  <c r="CS143" i="48"/>
  <c r="CW143" i="48"/>
  <c r="DA143" i="48"/>
  <c r="BM144" i="48"/>
  <c r="BQ144" i="48"/>
  <c r="BU144" i="48"/>
  <c r="BY144" i="48"/>
  <c r="CC144" i="48"/>
  <c r="CG144" i="48"/>
  <c r="CK144" i="48"/>
  <c r="CO144" i="48"/>
  <c r="CS144" i="48"/>
  <c r="CW144" i="48"/>
  <c r="DA144" i="48"/>
  <c r="BM145" i="48"/>
  <c r="BQ145" i="48"/>
  <c r="BU145" i="48"/>
  <c r="BY145" i="48"/>
  <c r="CC145" i="48"/>
  <c r="CG145" i="48"/>
  <c r="CK145" i="48"/>
  <c r="CO145" i="48"/>
  <c r="CS145" i="48"/>
  <c r="CW145" i="48"/>
  <c r="DA145" i="48"/>
  <c r="BM146" i="48"/>
  <c r="BQ146" i="48"/>
  <c r="BU146" i="48"/>
  <c r="BY146" i="48"/>
  <c r="CC146" i="48"/>
  <c r="CG146" i="48"/>
  <c r="CK146" i="48"/>
  <c r="CO146" i="48"/>
  <c r="CS146" i="48"/>
  <c r="CW146" i="48"/>
  <c r="DA146" i="48"/>
  <c r="BM147" i="48"/>
  <c r="BQ147" i="48"/>
  <c r="BU147" i="48"/>
  <c r="BY147" i="48"/>
  <c r="CC147" i="48"/>
  <c r="CG147" i="48"/>
  <c r="CK147" i="48"/>
  <c r="CO147" i="48"/>
  <c r="CS147" i="48"/>
  <c r="CW147" i="48"/>
  <c r="DA147" i="48"/>
  <c r="BM148" i="48"/>
  <c r="BQ148" i="48"/>
  <c r="BU148" i="48"/>
  <c r="BY148" i="48"/>
  <c r="CC148" i="48"/>
  <c r="CG148" i="48"/>
  <c r="CK148" i="48"/>
  <c r="CO148" i="48"/>
  <c r="CS148" i="48"/>
  <c r="CW148" i="48"/>
  <c r="DA148" i="48"/>
  <c r="BM149" i="48"/>
  <c r="BQ149" i="48"/>
  <c r="BU149" i="48"/>
  <c r="BY149" i="48"/>
  <c r="CC149" i="48"/>
  <c r="CG149" i="48"/>
  <c r="CK149" i="48"/>
  <c r="CO149" i="48"/>
  <c r="CS149" i="48"/>
  <c r="CW149" i="48"/>
  <c r="DA149" i="48"/>
  <c r="BM150" i="48"/>
  <c r="BQ150" i="48"/>
  <c r="BU150" i="48"/>
  <c r="BY150" i="48"/>
  <c r="CC150" i="48"/>
  <c r="CG150" i="48"/>
  <c r="CK150" i="48"/>
  <c r="CO150" i="48"/>
  <c r="CS150" i="48"/>
  <c r="CW150" i="48"/>
  <c r="DA150" i="48"/>
  <c r="BM151" i="48"/>
  <c r="BQ151" i="48"/>
  <c r="BU151" i="48"/>
  <c r="BY151" i="48"/>
  <c r="CC151" i="48"/>
  <c r="CG151" i="48"/>
  <c r="CK151" i="48"/>
  <c r="CO151" i="48"/>
  <c r="CS151" i="48"/>
  <c r="CW151" i="48"/>
  <c r="DA151" i="48"/>
  <c r="BM152" i="48"/>
  <c r="BQ152" i="48"/>
  <c r="BU152" i="48"/>
  <c r="BY152" i="48"/>
  <c r="CC152" i="48"/>
  <c r="CG152" i="48"/>
  <c r="CK152" i="48"/>
  <c r="CO152" i="48"/>
  <c r="CS152" i="48"/>
  <c r="CW152" i="48"/>
  <c r="DA152" i="48"/>
  <c r="BM153" i="48"/>
  <c r="BQ153" i="48"/>
  <c r="BU153" i="48"/>
  <c r="BY153" i="48"/>
  <c r="CC153" i="48"/>
  <c r="CG153" i="48"/>
  <c r="CK153" i="48"/>
  <c r="CO153" i="48"/>
  <c r="CS153" i="48"/>
  <c r="CW153" i="48"/>
  <c r="DA153" i="48"/>
  <c r="BM154" i="48"/>
  <c r="BQ154" i="48"/>
  <c r="BU154" i="48"/>
  <c r="BY154" i="48"/>
  <c r="CC154" i="48"/>
  <c r="CG154" i="48"/>
  <c r="CK154" i="48"/>
  <c r="CO154" i="48"/>
  <c r="CS154" i="48"/>
  <c r="CW154" i="48"/>
  <c r="DA154" i="48"/>
  <c r="BM155" i="48"/>
  <c r="BQ155" i="48"/>
  <c r="BU155" i="48"/>
  <c r="BY155" i="48"/>
  <c r="CC155" i="48"/>
  <c r="CG155" i="48"/>
  <c r="CK155" i="48"/>
  <c r="CO155" i="48"/>
  <c r="CS155" i="48"/>
  <c r="CW155" i="48"/>
  <c r="DA155" i="48"/>
  <c r="BM156" i="48"/>
  <c r="BQ156" i="48"/>
  <c r="BU156" i="48"/>
  <c r="BY156" i="48"/>
  <c r="CC156" i="48"/>
  <c r="CG156" i="48"/>
  <c r="CK156" i="48"/>
  <c r="CO156" i="48"/>
  <c r="CS156" i="48"/>
  <c r="CW156" i="48"/>
  <c r="DA156" i="48"/>
  <c r="BM157" i="48"/>
  <c r="BQ157" i="48"/>
  <c r="BU157" i="48"/>
  <c r="BY157" i="48"/>
  <c r="CC157" i="48"/>
  <c r="CG157" i="48"/>
  <c r="CK157" i="48"/>
  <c r="CO157" i="48"/>
  <c r="CS157" i="48"/>
  <c r="CW157" i="48"/>
  <c r="DA157" i="48"/>
  <c r="BM158" i="48"/>
  <c r="BQ158" i="48"/>
  <c r="BU158" i="48"/>
  <c r="BY158" i="48"/>
  <c r="CC158" i="48"/>
  <c r="CG158" i="48"/>
  <c r="CK158" i="48"/>
  <c r="CO158" i="48"/>
  <c r="CS158" i="48"/>
  <c r="CW158" i="48"/>
  <c r="DA158" i="48"/>
  <c r="BM159" i="48"/>
  <c r="BQ159" i="48"/>
  <c r="BU159" i="48"/>
  <c r="BY159" i="48"/>
  <c r="CC159" i="48"/>
  <c r="CG159" i="48"/>
  <c r="CK159" i="48"/>
  <c r="CO159" i="48"/>
  <c r="CS159" i="48"/>
  <c r="CW159" i="48"/>
  <c r="DA159" i="48"/>
  <c r="BM160" i="48"/>
  <c r="BQ160" i="48"/>
  <c r="BU160" i="48"/>
  <c r="BY160" i="48"/>
  <c r="CC160" i="48"/>
  <c r="CG160" i="48"/>
  <c r="CK160" i="48"/>
  <c r="CO160" i="48"/>
  <c r="CS160" i="48"/>
  <c r="CW160" i="48"/>
  <c r="DA160" i="48"/>
  <c r="BM161" i="48"/>
  <c r="BQ161" i="48"/>
  <c r="BU161" i="48"/>
  <c r="BY161" i="48"/>
  <c r="CC161" i="48"/>
  <c r="CG161" i="48"/>
  <c r="CK161" i="48"/>
  <c r="CO161" i="48"/>
  <c r="CS161" i="48"/>
  <c r="CW161" i="48"/>
  <c r="DA161" i="48"/>
  <c r="BM162" i="48"/>
  <c r="BQ162" i="48"/>
  <c r="BU162" i="48"/>
  <c r="BY162" i="48"/>
  <c r="CC162" i="48"/>
  <c r="CG162" i="48"/>
  <c r="CK162" i="48"/>
  <c r="CO162" i="48"/>
  <c r="CS162" i="48"/>
  <c r="CW162" i="48"/>
  <c r="DA162" i="48"/>
  <c r="BM163" i="48"/>
  <c r="BQ163" i="48"/>
  <c r="BU163" i="48"/>
  <c r="BY163" i="48"/>
  <c r="CC163" i="48"/>
  <c r="CG163" i="48"/>
  <c r="CK163" i="48"/>
  <c r="CO163" i="48"/>
  <c r="CS163" i="48"/>
  <c r="CW163" i="48"/>
  <c r="DA163" i="48"/>
  <c r="BM164" i="48"/>
  <c r="BQ164" i="48"/>
  <c r="BU164" i="48"/>
  <c r="BY164" i="48"/>
  <c r="CC164" i="48"/>
  <c r="CG164" i="48"/>
  <c r="CK164" i="48"/>
  <c r="CO164" i="48"/>
  <c r="CS164" i="48"/>
  <c r="CW164" i="48"/>
  <c r="DA164" i="48"/>
  <c r="BM165" i="48"/>
  <c r="BQ165" i="48"/>
  <c r="BU165" i="48"/>
  <c r="BY165" i="48"/>
  <c r="CC165" i="48"/>
  <c r="CG165" i="48"/>
  <c r="CK165" i="48"/>
  <c r="CO165" i="48"/>
  <c r="CS165" i="48"/>
  <c r="CW165" i="48"/>
  <c r="DA165" i="48"/>
  <c r="BM166" i="48"/>
  <c r="BQ166" i="48"/>
  <c r="BU166" i="48"/>
  <c r="BY166" i="48"/>
  <c r="CC166" i="48"/>
  <c r="CG166" i="48"/>
  <c r="CK166" i="48"/>
  <c r="CO166" i="48"/>
  <c r="CS166" i="48"/>
  <c r="CW166" i="48"/>
  <c r="DA166" i="48"/>
  <c r="BM167" i="48"/>
  <c r="BQ167" i="48"/>
  <c r="BU167" i="48"/>
  <c r="BY167" i="48"/>
  <c r="CC167" i="48"/>
  <c r="CG167" i="48"/>
  <c r="CK167" i="48"/>
  <c r="CO167" i="48"/>
  <c r="CS167" i="48"/>
  <c r="CW167" i="48"/>
  <c r="DA167" i="48"/>
  <c r="BM168" i="48"/>
  <c r="BQ168" i="48"/>
  <c r="BU168" i="48"/>
  <c r="BY168" i="48"/>
  <c r="CC168" i="48"/>
  <c r="CG168" i="48"/>
  <c r="CK168" i="48"/>
  <c r="CO168" i="48"/>
  <c r="CS168" i="48"/>
  <c r="CW168" i="48"/>
  <c r="DA168" i="48"/>
  <c r="BM169" i="48"/>
  <c r="BQ169" i="48"/>
  <c r="BU169" i="48"/>
  <c r="BY169" i="48"/>
  <c r="CC169" i="48"/>
  <c r="CG169" i="48"/>
  <c r="CK169" i="48"/>
  <c r="CO169" i="48"/>
  <c r="CS169" i="48"/>
  <c r="CW169" i="48"/>
  <c r="DA169" i="48"/>
  <c r="BM170" i="48"/>
  <c r="BQ170" i="48"/>
  <c r="BU170" i="48"/>
  <c r="BY170" i="48"/>
  <c r="CC170" i="48"/>
  <c r="CG170" i="48"/>
  <c r="CK170" i="48"/>
  <c r="CO170" i="48"/>
  <c r="CS170" i="48"/>
  <c r="CW170" i="48"/>
  <c r="DA170" i="48"/>
  <c r="BM171" i="48"/>
  <c r="BQ171" i="48"/>
  <c r="BU171" i="48"/>
  <c r="BY171" i="48"/>
  <c r="CC171" i="48"/>
  <c r="CG171" i="48"/>
  <c r="CK171" i="48"/>
  <c r="CO171" i="48"/>
  <c r="CS171" i="48"/>
  <c r="CW171" i="48"/>
  <c r="DA171" i="48"/>
  <c r="BM172" i="48"/>
  <c r="BQ172" i="48"/>
  <c r="BU172" i="48"/>
  <c r="BY172" i="48"/>
  <c r="CC172" i="48"/>
  <c r="CG172" i="48"/>
  <c r="CK172" i="48"/>
  <c r="CO172" i="48"/>
  <c r="CS172" i="48"/>
  <c r="CW172" i="48"/>
  <c r="DA172" i="48"/>
  <c r="BM173" i="48"/>
  <c r="BQ173" i="48"/>
  <c r="BU173" i="48"/>
  <c r="BY173" i="48"/>
  <c r="CC173" i="48"/>
  <c r="CG173" i="48"/>
  <c r="CK173" i="48"/>
  <c r="CO173" i="48"/>
  <c r="CS173" i="48"/>
  <c r="CW173" i="48"/>
  <c r="DA173" i="48"/>
  <c r="BM174" i="48"/>
  <c r="BQ174" i="48"/>
  <c r="BU174" i="48"/>
  <c r="BY174" i="48"/>
  <c r="CC174" i="48"/>
  <c r="CG174" i="48"/>
  <c r="CK174" i="48"/>
  <c r="CO174" i="48"/>
  <c r="CS174" i="48"/>
  <c r="CW174" i="48"/>
  <c r="DA174" i="48"/>
  <c r="BM175" i="48"/>
  <c r="BQ175" i="48"/>
  <c r="BU175" i="48"/>
  <c r="BY175" i="48"/>
  <c r="CC175" i="48"/>
  <c r="CG175" i="48"/>
  <c r="CK175" i="48"/>
  <c r="CO175" i="48"/>
  <c r="CS175" i="48"/>
  <c r="CW175" i="48"/>
  <c r="DA175" i="48"/>
  <c r="BM176" i="48"/>
  <c r="BQ176" i="48"/>
  <c r="BU176" i="48"/>
  <c r="BY176" i="48"/>
  <c r="CC176" i="48"/>
  <c r="CG176" i="48"/>
  <c r="CK176" i="48"/>
  <c r="CO176" i="48"/>
  <c r="CS176" i="48"/>
  <c r="CW176" i="48"/>
  <c r="DA176" i="48"/>
  <c r="BM177" i="48"/>
  <c r="BQ177" i="48"/>
  <c r="BU177" i="48"/>
  <c r="BY177" i="48"/>
  <c r="CC177" i="48"/>
  <c r="CG177" i="48"/>
  <c r="CK177" i="48"/>
  <c r="CO177" i="48"/>
  <c r="CS177" i="48"/>
  <c r="CW177" i="48"/>
  <c r="DA177" i="48"/>
  <c r="BM178" i="48"/>
  <c r="BQ178" i="48"/>
  <c r="BU178" i="48"/>
  <c r="BY178" i="48"/>
  <c r="CC178" i="48"/>
  <c r="CG178" i="48"/>
  <c r="CK178" i="48"/>
  <c r="CO178" i="48"/>
  <c r="CS178" i="48"/>
  <c r="CW178" i="48"/>
  <c r="DA178" i="48"/>
  <c r="BM179" i="48"/>
  <c r="BQ179" i="48"/>
  <c r="BU179" i="48"/>
  <c r="BY179" i="48"/>
  <c r="CC179" i="48"/>
  <c r="CG179" i="48"/>
  <c r="CK179" i="48"/>
  <c r="CO179" i="48"/>
  <c r="CS179" i="48"/>
  <c r="CW179" i="48"/>
  <c r="DA179" i="48"/>
  <c r="BM180" i="48"/>
  <c r="BQ180" i="48"/>
  <c r="BU180" i="48"/>
  <c r="BY180" i="48"/>
  <c r="CC180" i="48"/>
  <c r="CG180" i="48"/>
  <c r="CK180" i="48"/>
  <c r="CO180" i="48"/>
  <c r="CS180" i="48"/>
  <c r="CW180" i="48"/>
  <c r="DA180" i="48"/>
  <c r="BM181" i="48"/>
  <c r="BQ181" i="48"/>
  <c r="BU181" i="48"/>
  <c r="BY181" i="48"/>
  <c r="CC181" i="48"/>
  <c r="CG181" i="48"/>
  <c r="CK181" i="48"/>
  <c r="CO181" i="48"/>
  <c r="CS181" i="48"/>
  <c r="CW181" i="48"/>
  <c r="DA181" i="48"/>
  <c r="BM182" i="48"/>
  <c r="BQ182" i="48"/>
  <c r="BU182" i="48"/>
  <c r="BY182" i="48"/>
  <c r="CC182" i="48"/>
  <c r="CG182" i="48"/>
  <c r="CK182" i="48"/>
  <c r="CO182" i="48"/>
  <c r="CS182" i="48"/>
  <c r="CW182" i="48"/>
  <c r="DA182" i="48"/>
  <c r="BM183" i="48"/>
  <c r="BQ183" i="48"/>
  <c r="BU183" i="48"/>
  <c r="BY183" i="48"/>
  <c r="CC183" i="48"/>
  <c r="CG183" i="48"/>
  <c r="CK183" i="48"/>
  <c r="CO183" i="48"/>
  <c r="CS183" i="48"/>
  <c r="CW183" i="48"/>
  <c r="DA183" i="48"/>
  <c r="BM184" i="48"/>
  <c r="BQ184" i="48"/>
  <c r="BU184" i="48"/>
  <c r="BY184" i="48"/>
  <c r="CC184" i="48"/>
  <c r="CG184" i="48"/>
  <c r="CK184" i="48"/>
  <c r="CO184" i="48"/>
  <c r="CS184" i="48"/>
  <c r="CW184" i="48"/>
  <c r="DA184" i="48"/>
  <c r="BM185" i="48"/>
  <c r="BQ185" i="48"/>
  <c r="BU185" i="48"/>
  <c r="BY185" i="48"/>
  <c r="CC185" i="48"/>
  <c r="CG185" i="48"/>
  <c r="CK185" i="48"/>
  <c r="CO185" i="48"/>
  <c r="CS185" i="48"/>
  <c r="CW185" i="48"/>
  <c r="DA185" i="48"/>
  <c r="BM186" i="48"/>
  <c r="BQ186" i="48"/>
  <c r="BU186" i="48"/>
  <c r="BY186" i="48"/>
  <c r="CC186" i="48"/>
  <c r="CG186" i="48"/>
  <c r="CK186" i="48"/>
  <c r="CO186" i="48"/>
  <c r="CS186" i="48"/>
  <c r="CW186" i="48"/>
  <c r="DA186" i="48"/>
  <c r="BM187" i="48"/>
  <c r="BQ187" i="48"/>
  <c r="BU187" i="48"/>
  <c r="BY187" i="48"/>
  <c r="CC187" i="48"/>
  <c r="CG187" i="48"/>
  <c r="CK187" i="48"/>
  <c r="CO187" i="48"/>
  <c r="CS187" i="48"/>
  <c r="CW187" i="48"/>
  <c r="DA187" i="48"/>
  <c r="BM188" i="48"/>
  <c r="BQ188" i="48"/>
  <c r="BU188" i="48"/>
  <c r="BY188" i="48"/>
  <c r="CC188" i="48"/>
  <c r="CG188" i="48"/>
  <c r="CK188" i="48"/>
  <c r="CO188" i="48"/>
  <c r="CS188" i="48"/>
  <c r="CW188" i="48"/>
  <c r="DA188" i="48"/>
  <c r="BM189" i="48"/>
  <c r="BQ189" i="48"/>
  <c r="BU189" i="48"/>
  <c r="BY189" i="48"/>
  <c r="CC189" i="48"/>
  <c r="CG189" i="48"/>
  <c r="CK189" i="48"/>
  <c r="CO189" i="48"/>
  <c r="CS189" i="48"/>
  <c r="CW189" i="48"/>
  <c r="DA189" i="48"/>
  <c r="BM190" i="48"/>
  <c r="BQ190" i="48"/>
  <c r="BU190" i="48"/>
  <c r="BY190" i="48"/>
  <c r="CC190" i="48"/>
  <c r="CG190" i="48"/>
  <c r="CK190" i="48"/>
  <c r="CO190" i="48"/>
  <c r="CS190" i="48"/>
  <c r="CW190" i="48"/>
  <c r="DA190" i="48"/>
  <c r="BM191" i="48"/>
  <c r="BQ191" i="48"/>
  <c r="BU191" i="48"/>
  <c r="BY191" i="48"/>
  <c r="CC191" i="48"/>
  <c r="CG191" i="48"/>
  <c r="CK191" i="48"/>
  <c r="CO191" i="48"/>
  <c r="CS191" i="48"/>
  <c r="CW191" i="48"/>
  <c r="DA191" i="48"/>
  <c r="BM192" i="48"/>
  <c r="BQ192" i="48"/>
  <c r="BU192" i="48"/>
  <c r="BY192" i="48"/>
  <c r="CC192" i="48"/>
  <c r="CG192" i="48"/>
  <c r="CK192" i="48"/>
  <c r="CO192" i="48"/>
  <c r="CS192" i="48"/>
  <c r="CW192" i="48"/>
  <c r="DA192" i="48"/>
  <c r="BM193" i="48"/>
  <c r="BQ193" i="48"/>
  <c r="BU193" i="48"/>
  <c r="BY193" i="48"/>
  <c r="CC193" i="48"/>
  <c r="CG193" i="48"/>
  <c r="CK193" i="48"/>
  <c r="CO193" i="48"/>
  <c r="CS193" i="48"/>
  <c r="CW193" i="48"/>
  <c r="DA193" i="48"/>
  <c r="BM194" i="48"/>
  <c r="BQ194" i="48"/>
  <c r="BU194" i="48"/>
  <c r="BY194" i="48"/>
  <c r="CC194" i="48"/>
  <c r="CG194" i="48"/>
  <c r="CK194" i="48"/>
  <c r="CO194" i="48"/>
  <c r="CS194" i="48"/>
  <c r="CW194" i="48"/>
  <c r="DA194" i="48"/>
  <c r="BM195" i="48"/>
  <c r="BQ195" i="48"/>
  <c r="BU195" i="48"/>
  <c r="BY195" i="48"/>
  <c r="CC195" i="48"/>
  <c r="CG195" i="48"/>
  <c r="CK195" i="48"/>
  <c r="CO195" i="48"/>
  <c r="CS195" i="48"/>
  <c r="CW195" i="48"/>
  <c r="DA195" i="48"/>
  <c r="BM196" i="48"/>
  <c r="BQ196" i="48"/>
  <c r="BU196" i="48"/>
  <c r="BY196" i="48"/>
  <c r="CC196" i="48"/>
  <c r="CG196" i="48"/>
  <c r="CK196" i="48"/>
  <c r="CO196" i="48"/>
  <c r="CS196" i="48"/>
  <c r="CW196" i="48"/>
  <c r="DA196" i="48"/>
  <c r="BM197" i="48"/>
  <c r="BQ197" i="48"/>
  <c r="BU197" i="48"/>
  <c r="BY197" i="48"/>
  <c r="CC197" i="48"/>
  <c r="CG197" i="48"/>
  <c r="CK197" i="48"/>
  <c r="CO197" i="48"/>
  <c r="CS197" i="48"/>
  <c r="CW197" i="48"/>
  <c r="DA197" i="48"/>
  <c r="BM198" i="48"/>
  <c r="BQ198" i="48"/>
  <c r="BU198" i="48"/>
  <c r="BY198" i="48"/>
  <c r="CC198" i="48"/>
  <c r="CG198" i="48"/>
  <c r="CK198" i="48"/>
  <c r="CO198" i="48"/>
  <c r="CS198" i="48"/>
  <c r="CW198" i="48"/>
  <c r="DA198" i="48"/>
  <c r="BM199" i="48"/>
  <c r="BQ199" i="48"/>
  <c r="BU199" i="48"/>
  <c r="BY199" i="48"/>
  <c r="CC199" i="48"/>
  <c r="CG199" i="48"/>
  <c r="CK199" i="48"/>
  <c r="CO199" i="48"/>
  <c r="CS199" i="48"/>
  <c r="CW199" i="48"/>
  <c r="DA199" i="48"/>
  <c r="BM200" i="48"/>
  <c r="BQ200" i="48"/>
  <c r="BU200" i="48"/>
  <c r="BY200" i="48"/>
  <c r="CC200" i="48"/>
  <c r="CG200" i="48"/>
  <c r="CK200" i="48"/>
  <c r="CO200" i="48"/>
  <c r="CS200" i="48"/>
  <c r="CW200" i="48"/>
  <c r="DA200" i="48"/>
  <c r="BM201" i="48"/>
  <c r="BQ201" i="48"/>
  <c r="BU201" i="48"/>
  <c r="BY201" i="48"/>
  <c r="CC201" i="48"/>
  <c r="CG201" i="48"/>
  <c r="CK201" i="48"/>
  <c r="CO201" i="48"/>
  <c r="CS201" i="48"/>
  <c r="CW201" i="48"/>
  <c r="DA201" i="48"/>
  <c r="BM202" i="48"/>
  <c r="BQ202" i="48"/>
  <c r="BU202" i="48"/>
  <c r="BY202" i="48"/>
  <c r="CC202" i="48"/>
  <c r="CG202" i="48"/>
  <c r="CK202" i="48"/>
  <c r="CO202" i="48"/>
  <c r="CS202" i="48"/>
  <c r="CW202" i="48"/>
  <c r="DA202" i="48"/>
  <c r="BM203" i="48"/>
  <c r="BQ203" i="48"/>
  <c r="BU203" i="48"/>
  <c r="BY203" i="48"/>
  <c r="CC203" i="48"/>
  <c r="CG203" i="48"/>
  <c r="CK203" i="48"/>
  <c r="CO203" i="48"/>
  <c r="CS203" i="48"/>
  <c r="CW203" i="48"/>
  <c r="DA203" i="48"/>
  <c r="BM204" i="48"/>
  <c r="BQ204" i="48"/>
  <c r="BU204" i="48"/>
  <c r="BY204" i="48"/>
  <c r="CC204" i="48"/>
  <c r="CG204" i="48"/>
  <c r="CK204" i="48"/>
  <c r="CO204" i="48"/>
  <c r="CS204" i="48"/>
  <c r="CW204" i="48"/>
  <c r="DA204" i="48"/>
  <c r="BM205" i="48"/>
  <c r="BQ205" i="48"/>
  <c r="BU205" i="48"/>
  <c r="BY205" i="48"/>
  <c r="CC205" i="48"/>
  <c r="CG205" i="48"/>
  <c r="CK205" i="48"/>
  <c r="CO205" i="48"/>
  <c r="CS205" i="48"/>
  <c r="CW205" i="48"/>
  <c r="DA205" i="48"/>
  <c r="BM206" i="48"/>
  <c r="BQ206" i="48"/>
  <c r="BU206" i="48"/>
  <c r="BY206" i="48"/>
  <c r="CC206" i="48"/>
  <c r="CG206" i="48"/>
  <c r="CK206" i="48"/>
  <c r="CO206" i="48"/>
  <c r="CS206" i="48"/>
  <c r="CW206" i="48"/>
  <c r="DA206" i="48"/>
  <c r="BM207" i="48"/>
  <c r="BQ207" i="48"/>
  <c r="BU207" i="48"/>
  <c r="BY207" i="48"/>
  <c r="CC207" i="48"/>
  <c r="CG207" i="48"/>
  <c r="CK207" i="48"/>
  <c r="CO207" i="48"/>
  <c r="CS207" i="48"/>
  <c r="CW207" i="48"/>
  <c r="DA207" i="48"/>
  <c r="BM208" i="48"/>
  <c r="BQ208" i="48"/>
  <c r="BU208" i="48"/>
  <c r="BY208" i="48"/>
  <c r="CC208" i="48"/>
  <c r="CG208" i="48"/>
  <c r="CK208" i="48"/>
  <c r="CO208" i="48"/>
  <c r="CS208" i="48"/>
  <c r="CW208" i="48"/>
  <c r="DA208" i="48"/>
  <c r="BM209" i="48"/>
  <c r="BQ209" i="48"/>
  <c r="BU209" i="48"/>
  <c r="BY209" i="48"/>
  <c r="CC209" i="48"/>
  <c r="CG209" i="48"/>
  <c r="CK209" i="48"/>
  <c r="CO209" i="48"/>
  <c r="CS209" i="48"/>
  <c r="CW209" i="48"/>
  <c r="DA209" i="48"/>
  <c r="BM210" i="48"/>
  <c r="BQ210" i="48"/>
  <c r="BU210" i="48"/>
  <c r="BY210" i="48"/>
  <c r="CC210" i="48"/>
  <c r="CG210" i="48"/>
  <c r="CK210" i="48"/>
  <c r="CO210" i="48"/>
  <c r="CS210" i="48"/>
  <c r="CW210" i="48"/>
  <c r="DA210" i="48"/>
  <c r="BM211" i="48"/>
  <c r="BQ211" i="48"/>
  <c r="BU211" i="48"/>
  <c r="BY211" i="48"/>
  <c r="CC211" i="48"/>
  <c r="CG211" i="48"/>
  <c r="CK211" i="48"/>
  <c r="CO211" i="48"/>
  <c r="CS211" i="48"/>
  <c r="CW211" i="48"/>
  <c r="DA211" i="48"/>
  <c r="BM212" i="48"/>
  <c r="BQ212" i="48"/>
  <c r="BU212" i="48"/>
  <c r="BY212" i="48"/>
  <c r="CC212" i="48"/>
  <c r="CG212" i="48"/>
  <c r="CK212" i="48"/>
  <c r="CO212" i="48"/>
  <c r="CS212" i="48"/>
  <c r="CW212" i="48"/>
  <c r="DA212" i="48"/>
  <c r="BM213" i="48"/>
  <c r="BQ213" i="48"/>
  <c r="BU213" i="48"/>
  <c r="BY213" i="48"/>
  <c r="CC213" i="48"/>
  <c r="CG213" i="48"/>
  <c r="CK213" i="48"/>
  <c r="CO213" i="48"/>
  <c r="CS213" i="48"/>
  <c r="CW213" i="48"/>
  <c r="DA213" i="48"/>
  <c r="BM214" i="48"/>
  <c r="BQ214" i="48"/>
  <c r="BU214" i="48"/>
  <c r="BY214" i="48"/>
  <c r="CC214" i="48"/>
  <c r="CG214" i="48"/>
  <c r="CK214" i="48"/>
  <c r="CO214" i="48"/>
  <c r="CS214" i="48"/>
  <c r="CW214" i="48"/>
  <c r="DA214" i="48"/>
  <c r="BM215" i="48"/>
  <c r="BQ215" i="48"/>
  <c r="BU215" i="48"/>
  <c r="BY215" i="48"/>
  <c r="CC215" i="48"/>
  <c r="CG215" i="48"/>
  <c r="CK215" i="48"/>
  <c r="CO215" i="48"/>
  <c r="CS215" i="48"/>
  <c r="CW215" i="48"/>
  <c r="DA215" i="48"/>
  <c r="BM216" i="48"/>
  <c r="BQ216" i="48"/>
  <c r="BU216" i="48"/>
  <c r="BY216" i="48"/>
  <c r="CC216" i="48"/>
  <c r="CG216" i="48"/>
  <c r="CK216" i="48"/>
  <c r="CO216" i="48"/>
  <c r="CS216" i="48"/>
  <c r="CW216" i="48"/>
  <c r="DA216" i="48"/>
  <c r="BM217" i="48"/>
  <c r="BQ217" i="48"/>
  <c r="BU217" i="48"/>
  <c r="BY217" i="48"/>
  <c r="CC217" i="48"/>
  <c r="CG217" i="48"/>
  <c r="CK217" i="48"/>
  <c r="CO217" i="48"/>
  <c r="CS217" i="48"/>
  <c r="CW217" i="48"/>
  <c r="DA217" i="48"/>
  <c r="BM218" i="48"/>
  <c r="BQ218" i="48"/>
  <c r="BU218" i="48"/>
  <c r="BY218" i="48"/>
  <c r="CC218" i="48"/>
  <c r="CG218" i="48"/>
  <c r="CK218" i="48"/>
  <c r="CO218" i="48"/>
  <c r="CS218" i="48"/>
  <c r="CW218" i="48"/>
  <c r="DA218" i="48"/>
  <c r="BM219" i="48"/>
  <c r="BQ219" i="48"/>
  <c r="BU219" i="48"/>
  <c r="BY219" i="48"/>
  <c r="CC219" i="48"/>
  <c r="CG219" i="48"/>
  <c r="CK219" i="48"/>
  <c r="CO219" i="48"/>
  <c r="CS219" i="48"/>
  <c r="CW219" i="48"/>
  <c r="DA219" i="48"/>
  <c r="BM220" i="48"/>
  <c r="BQ220" i="48"/>
  <c r="BU220" i="48"/>
  <c r="BY220" i="48"/>
  <c r="CC220" i="48"/>
  <c r="CG220" i="48"/>
  <c r="CK220" i="48"/>
  <c r="CO220" i="48"/>
  <c r="CS220" i="48"/>
  <c r="CW220" i="48"/>
  <c r="DA220" i="48"/>
  <c r="BM221" i="48"/>
  <c r="BQ221" i="48"/>
  <c r="BU221" i="48"/>
  <c r="BY221" i="48"/>
  <c r="CC221" i="48"/>
  <c r="CG221" i="48"/>
  <c r="CK221" i="48"/>
  <c r="CO221" i="48"/>
  <c r="CS221" i="48"/>
  <c r="CW221" i="48"/>
  <c r="DA221" i="48"/>
  <c r="BM222" i="48"/>
  <c r="BQ222" i="48"/>
  <c r="BU222" i="48"/>
  <c r="BY222" i="48"/>
  <c r="CC222" i="48"/>
  <c r="CG222" i="48"/>
  <c r="CK222" i="48"/>
  <c r="CO222" i="48"/>
  <c r="CS222" i="48"/>
  <c r="CW222" i="48"/>
  <c r="DA222" i="48"/>
  <c r="BM223" i="48"/>
  <c r="BQ223" i="48"/>
  <c r="BU223" i="48"/>
  <c r="BY223" i="48"/>
  <c r="CC223" i="48"/>
  <c r="CG223" i="48"/>
  <c r="CK223" i="48"/>
  <c r="CO223" i="48"/>
  <c r="CS223" i="48"/>
  <c r="CW223" i="48"/>
  <c r="DA223" i="48"/>
  <c r="BM224" i="48"/>
  <c r="BQ224" i="48"/>
  <c r="BU224" i="48"/>
  <c r="BY224" i="48"/>
  <c r="CC224" i="48"/>
  <c r="CG224" i="48"/>
  <c r="CK224" i="48"/>
  <c r="CO224" i="48"/>
  <c r="CS224" i="48"/>
  <c r="CW224" i="48"/>
  <c r="DA224" i="48"/>
  <c r="BM225" i="48"/>
  <c r="BQ225" i="48"/>
  <c r="BU225" i="48"/>
  <c r="BY225" i="48"/>
  <c r="CC225" i="48"/>
  <c r="CG225" i="48"/>
  <c r="CK225" i="48"/>
  <c r="CO225" i="48"/>
  <c r="CS225" i="48"/>
  <c r="CW225" i="48"/>
  <c r="DA225" i="48"/>
  <c r="BM226" i="48"/>
  <c r="BQ226" i="48"/>
  <c r="BU226" i="48"/>
  <c r="BY226" i="48"/>
  <c r="CC226" i="48"/>
  <c r="CG226" i="48"/>
  <c r="CK226" i="48"/>
  <c r="CO226" i="48"/>
  <c r="CS226" i="48"/>
  <c r="CW226" i="48"/>
  <c r="DA226" i="48"/>
  <c r="BM227" i="48"/>
  <c r="BQ227" i="48"/>
  <c r="BU227" i="48"/>
  <c r="BY227" i="48"/>
  <c r="CC227" i="48"/>
  <c r="CG227" i="48"/>
  <c r="CK227" i="48"/>
  <c r="CO227" i="48"/>
  <c r="CS227" i="48"/>
  <c r="CW227" i="48"/>
  <c r="DA227" i="48"/>
  <c r="BM228" i="48"/>
  <c r="BQ228" i="48"/>
  <c r="BU228" i="48"/>
  <c r="BY228" i="48"/>
  <c r="CC228" i="48"/>
  <c r="CG228" i="48"/>
  <c r="CK228" i="48"/>
  <c r="CO228" i="48"/>
  <c r="CS228" i="48"/>
  <c r="CW228" i="48"/>
  <c r="DA228" i="48"/>
  <c r="BM229" i="48"/>
  <c r="BQ229" i="48"/>
  <c r="BU229" i="48"/>
  <c r="BY229" i="48"/>
  <c r="CC229" i="48"/>
  <c r="CG229" i="48"/>
  <c r="CK229" i="48"/>
  <c r="CO229" i="48"/>
  <c r="CS229" i="48"/>
  <c r="CW229" i="48"/>
  <c r="DA229" i="48"/>
  <c r="BM230" i="48"/>
  <c r="BQ230" i="48"/>
  <c r="BU230" i="48"/>
  <c r="BY230" i="48"/>
  <c r="CC230" i="48"/>
  <c r="CG230" i="48"/>
  <c r="CK230" i="48"/>
  <c r="CO230" i="48"/>
  <c r="CS230" i="48"/>
  <c r="CW230" i="48"/>
  <c r="DA230" i="48"/>
  <c r="BM231" i="48"/>
  <c r="BQ231" i="48"/>
  <c r="BU231" i="48"/>
  <c r="BY231" i="48"/>
  <c r="CC231" i="48"/>
  <c r="CG231" i="48"/>
  <c r="CK231" i="48"/>
  <c r="CO231" i="48"/>
  <c r="CS231" i="48"/>
  <c r="CW231" i="48"/>
  <c r="DA231" i="48"/>
  <c r="BM232" i="48"/>
  <c r="BQ232" i="48"/>
  <c r="BU232" i="48"/>
  <c r="BY232" i="48"/>
  <c r="CC232" i="48"/>
  <c r="CG232" i="48"/>
  <c r="CK232" i="48"/>
  <c r="CO232" i="48"/>
  <c r="CS232" i="48"/>
  <c r="CW232" i="48"/>
  <c r="DA232" i="48"/>
  <c r="BM233" i="48"/>
  <c r="BQ233" i="48"/>
  <c r="BU233" i="48"/>
  <c r="BY233" i="48"/>
  <c r="CC233" i="48"/>
  <c r="CG233" i="48"/>
  <c r="CK233" i="48"/>
  <c r="CO233" i="48"/>
  <c r="CS233" i="48"/>
  <c r="CW233" i="48"/>
  <c r="DA233" i="48"/>
  <c r="BM234" i="48"/>
  <c r="BQ234" i="48"/>
  <c r="BU234" i="48"/>
  <c r="BY234" i="48"/>
  <c r="CC234" i="48"/>
  <c r="CG234" i="48"/>
  <c r="CK234" i="48"/>
  <c r="CO234" i="48"/>
  <c r="CS234" i="48"/>
  <c r="CW234" i="48"/>
  <c r="DA234" i="48"/>
  <c r="BM235" i="48"/>
  <c r="BQ235" i="48"/>
  <c r="BU235" i="48"/>
  <c r="BY235" i="48"/>
  <c r="CC235" i="48"/>
  <c r="CG235" i="48"/>
  <c r="CK235" i="48"/>
  <c r="CO235" i="48"/>
  <c r="CS235" i="48"/>
  <c r="CW235" i="48"/>
  <c r="DA235" i="48"/>
  <c r="BM236" i="48"/>
  <c r="BQ236" i="48"/>
  <c r="BU236" i="48"/>
  <c r="BY236" i="48"/>
  <c r="CC236" i="48"/>
  <c r="CG236" i="48"/>
  <c r="CK236" i="48"/>
  <c r="CO236" i="48"/>
  <c r="CS236" i="48"/>
  <c r="CW236" i="48"/>
  <c r="DA236" i="48"/>
  <c r="BM237" i="48"/>
  <c r="BQ237" i="48"/>
  <c r="BU237" i="48"/>
  <c r="BY237" i="48"/>
  <c r="CC237" i="48"/>
  <c r="CG237" i="48"/>
  <c r="CK237" i="48"/>
  <c r="CO237" i="48"/>
  <c r="CS237" i="48"/>
  <c r="CW237" i="48"/>
  <c r="DA237" i="48"/>
  <c r="BM238" i="48"/>
  <c r="BQ238" i="48"/>
  <c r="BU238" i="48"/>
  <c r="BY238" i="48"/>
  <c r="CC238" i="48"/>
  <c r="CG238" i="48"/>
  <c r="CK238" i="48"/>
  <c r="CO238" i="48"/>
  <c r="CS238" i="48"/>
  <c r="CW238" i="48"/>
  <c r="DA238" i="48"/>
  <c r="BM239" i="48"/>
  <c r="BQ239" i="48"/>
  <c r="BU239" i="48"/>
  <c r="BY239" i="48"/>
  <c r="CC239" i="48"/>
  <c r="CG239" i="48"/>
  <c r="CK239" i="48"/>
  <c r="CO239" i="48"/>
  <c r="CS239" i="48"/>
  <c r="CW239" i="48"/>
  <c r="DA239" i="48"/>
  <c r="BM240" i="48"/>
  <c r="BQ240" i="48"/>
  <c r="BU240" i="48"/>
  <c r="BY240" i="48"/>
  <c r="CC240" i="48"/>
  <c r="CG240" i="48"/>
  <c r="CK240" i="48"/>
  <c r="CO240" i="48"/>
  <c r="CS240" i="48"/>
  <c r="CW240" i="48"/>
  <c r="DA240" i="48"/>
  <c r="BM241" i="48"/>
  <c r="BQ241" i="48"/>
  <c r="BU241" i="48"/>
  <c r="BY241" i="48"/>
  <c r="CC241" i="48"/>
  <c r="CG241" i="48"/>
  <c r="CK241" i="48"/>
  <c r="CO241" i="48"/>
  <c r="CS241" i="48"/>
  <c r="CW241" i="48"/>
  <c r="DA241" i="48"/>
  <c r="DA722" i="48"/>
  <c r="DA723" i="48"/>
  <c r="DA724" i="48"/>
  <c r="DA725" i="48"/>
  <c r="DA726" i="48"/>
  <c r="DA727" i="48"/>
  <c r="DA728" i="48"/>
  <c r="DA729" i="48"/>
  <c r="DA730" i="48"/>
  <c r="DA731" i="48"/>
  <c r="DA732" i="48"/>
  <c r="DA733" i="48"/>
  <c r="DA734" i="48"/>
  <c r="DA735" i="48"/>
  <c r="DA736" i="48"/>
  <c r="DA737" i="48"/>
  <c r="DA738" i="48"/>
  <c r="DA739" i="48"/>
  <c r="DA740" i="48"/>
  <c r="DA741" i="48"/>
  <c r="DA742" i="48"/>
  <c r="DA743" i="48"/>
  <c r="DA744" i="48"/>
  <c r="DA745" i="48"/>
  <c r="E3" i="23"/>
  <c r="D4" i="23"/>
  <c r="D5" i="23"/>
  <c r="D6" i="23"/>
  <c r="D7" i="23"/>
  <c r="M7" i="23"/>
  <c r="M9" i="23"/>
  <c r="N9" i="23"/>
  <c r="T9" i="23"/>
  <c r="V9" i="23" s="1"/>
  <c r="U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M14" i="23"/>
  <c r="M19" i="23"/>
  <c r="M10" i="23"/>
  <c r="W13" i="23" s="1"/>
  <c r="M15" i="23"/>
  <c r="M20" i="23"/>
  <c r="M11" i="23"/>
  <c r="M16" i="23"/>
  <c r="M21" i="23"/>
  <c r="M12" i="23"/>
  <c r="M17" i="23"/>
  <c r="M22" i="23"/>
  <c r="M13" i="23"/>
  <c r="M18" i="23"/>
  <c r="N56" i="23"/>
  <c r="W12" i="23" s="1"/>
  <c r="N57" i="23"/>
  <c r="N58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T10" i="23"/>
  <c r="V10" i="23" s="1"/>
  <c r="U10" i="23"/>
  <c r="E3" i="20"/>
  <c r="C4" i="20"/>
  <c r="C5" i="20"/>
  <c r="C6" i="20"/>
  <c r="C7" i="20"/>
  <c r="M7" i="20"/>
  <c r="M9" i="20"/>
  <c r="N9" i="20"/>
  <c r="T9" i="20"/>
  <c r="U9" i="20"/>
  <c r="V9" i="20" s="1"/>
  <c r="M10" i="20"/>
  <c r="M11" i="20"/>
  <c r="M12" i="20"/>
  <c r="M13" i="20"/>
  <c r="M14" i="20"/>
  <c r="M15" i="20"/>
  <c r="W11" i="20" s="1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N10" i="20"/>
  <c r="W12" i="20" s="1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T10" i="20"/>
  <c r="U10" i="20"/>
  <c r="V10" i="20" s="1"/>
  <c r="AG177" i="44"/>
  <c r="AC177" i="44"/>
  <c r="AA177" i="44"/>
  <c r="H33" i="47"/>
  <c r="D78" i="37"/>
  <c r="AM35" i="12"/>
  <c r="AC35" i="12"/>
  <c r="AN35" i="12"/>
  <c r="AE35" i="12" s="1"/>
  <c r="D87" i="37" s="1"/>
  <c r="R78" i="37" s="1"/>
  <c r="C81" i="37"/>
  <c r="N77" i="37"/>
  <c r="AK179" i="32"/>
  <c r="C87" i="37"/>
  <c r="R77" i="37"/>
  <c r="AQ179" i="32"/>
  <c r="AD34" i="12"/>
  <c r="AF34" i="12" s="1"/>
  <c r="C90" i="37" s="1"/>
  <c r="T77" i="37" s="1"/>
  <c r="AG163" i="44"/>
  <c r="AN19" i="12"/>
  <c r="AE19" i="12"/>
  <c r="J76" i="37"/>
  <c r="AM19" i="12"/>
  <c r="AC19" i="12"/>
  <c r="H17" i="47"/>
  <c r="B91" i="37"/>
  <c r="AF15" i="6"/>
  <c r="F88" i="30"/>
  <c r="T60" i="30"/>
  <c r="AT7" i="44"/>
  <c r="AN43" i="9"/>
  <c r="AE43" i="9"/>
  <c r="AM43" i="9"/>
  <c r="AC43" i="9"/>
  <c r="AD43" i="9"/>
  <c r="AF43" i="9"/>
  <c r="R56" i="33"/>
  <c r="AF11" i="9"/>
  <c r="B88" i="34"/>
  <c r="T56" i="34" s="1"/>
  <c r="B82" i="34"/>
  <c r="P56" i="34"/>
  <c r="Y2" i="44"/>
  <c r="Y3" i="44"/>
  <c r="AM43" i="17"/>
  <c r="AC43" i="17"/>
  <c r="AN43" i="17"/>
  <c r="AE43" i="17"/>
  <c r="I80" i="30"/>
  <c r="AF28" i="9"/>
  <c r="H89" i="34"/>
  <c r="T72" i="34"/>
  <c r="H83" i="34"/>
  <c r="P72" i="34" s="1"/>
  <c r="AF25" i="9"/>
  <c r="E89" i="34"/>
  <c r="T69" i="34"/>
  <c r="E83" i="34"/>
  <c r="P69" i="34"/>
  <c r="AF19" i="9"/>
  <c r="J88" i="34"/>
  <c r="T64" i="34" s="1"/>
  <c r="J82" i="34"/>
  <c r="P64" i="34"/>
  <c r="J45" i="47"/>
  <c r="F45" i="47"/>
  <c r="AN43" i="6"/>
  <c r="AE43" i="6"/>
  <c r="AM43" i="6"/>
  <c r="AC43" i="6"/>
  <c r="S45" i="6"/>
  <c r="AD43" i="6"/>
  <c r="AF43" i="6" s="1"/>
  <c r="J84" i="30"/>
  <c r="P84" i="30"/>
  <c r="AF41" i="6"/>
  <c r="J90" i="30" s="1"/>
  <c r="T84" i="30" s="1"/>
  <c r="K84" i="33"/>
  <c r="P85" i="33"/>
  <c r="AF42" i="8"/>
  <c r="K90" i="33"/>
  <c r="T85" i="33"/>
  <c r="J43" i="47"/>
  <c r="F43" i="47"/>
  <c r="F46" i="47"/>
  <c r="AD43" i="18"/>
  <c r="AF43" i="18" s="1"/>
  <c r="AC43" i="18"/>
  <c r="AK370" i="32"/>
  <c r="L46" i="16"/>
  <c r="E46" i="16"/>
  <c r="AM46" i="16"/>
  <c r="O46" i="16"/>
  <c r="E45" i="16"/>
  <c r="AM45" i="16" s="1"/>
  <c r="L45" i="16" s="1"/>
  <c r="S45" i="16"/>
  <c r="AM43" i="12"/>
  <c r="AC43" i="12" s="1"/>
  <c r="AD43" i="12"/>
  <c r="AF43" i="12"/>
  <c r="AN43" i="12"/>
  <c r="AE43" i="12" s="1"/>
  <c r="P89" i="30"/>
  <c r="P88" i="30"/>
  <c r="R89" i="30"/>
  <c r="R56" i="30"/>
  <c r="B79" i="33"/>
  <c r="AF24" i="9"/>
  <c r="D89" i="34"/>
  <c r="T68" i="34" s="1"/>
  <c r="D83" i="34"/>
  <c r="P68" i="34"/>
  <c r="AF20" i="9"/>
  <c r="K88" i="34" s="1"/>
  <c r="T65" i="34" s="1"/>
  <c r="K82" i="34"/>
  <c r="P65" i="34"/>
  <c r="AF15" i="9"/>
  <c r="F88" i="34"/>
  <c r="T60" i="34"/>
  <c r="F82" i="34"/>
  <c r="P60" i="34" s="1"/>
  <c r="R57" i="34"/>
  <c r="B5" i="44"/>
  <c r="H4" i="44"/>
  <c r="AD43" i="14"/>
  <c r="AF43" i="14"/>
  <c r="AE43" i="13"/>
  <c r="AQ218" i="32"/>
  <c r="AE43" i="11"/>
  <c r="AG6" i="1"/>
  <c r="AF42" i="6"/>
  <c r="K90" i="30"/>
  <c r="T85" i="30" s="1"/>
  <c r="I84" i="30"/>
  <c r="P83" i="30"/>
  <c r="F84" i="30"/>
  <c r="P80" i="30" s="1"/>
  <c r="D84" i="30"/>
  <c r="P78" i="30"/>
  <c r="C84" i="30"/>
  <c r="P77" i="30" s="1"/>
  <c r="B84" i="30"/>
  <c r="P76" i="30"/>
  <c r="K83" i="30"/>
  <c r="P75" i="30" s="1"/>
  <c r="I83" i="30"/>
  <c r="P73" i="30"/>
  <c r="J84" i="33"/>
  <c r="P84" i="33" s="1"/>
  <c r="G84" i="33"/>
  <c r="P81" i="33"/>
  <c r="AC42" i="8"/>
  <c r="E84" i="33"/>
  <c r="P79" i="33"/>
  <c r="J83" i="33"/>
  <c r="P74" i="33"/>
  <c r="H83" i="33"/>
  <c r="P72" i="33"/>
  <c r="G83" i="33"/>
  <c r="P71" i="33"/>
  <c r="F83" i="33"/>
  <c r="P70" i="33"/>
  <c r="E83" i="33"/>
  <c r="P69" i="33"/>
  <c r="D83" i="33"/>
  <c r="P68" i="33"/>
  <c r="C83" i="33"/>
  <c r="P67" i="33"/>
  <c r="B83" i="33"/>
  <c r="P66" i="33"/>
  <c r="B82" i="33"/>
  <c r="P56" i="33"/>
  <c r="AF33" i="9"/>
  <c r="B90" i="34"/>
  <c r="T76" i="34"/>
  <c r="AC28" i="9"/>
  <c r="F83" i="34"/>
  <c r="P70" i="34"/>
  <c r="AC24" i="9"/>
  <c r="B83" i="34"/>
  <c r="P66" i="34" s="1"/>
  <c r="AC19" i="9"/>
  <c r="H82" i="34"/>
  <c r="P62" i="34"/>
  <c r="AC15" i="9"/>
  <c r="D82" i="34"/>
  <c r="P58" i="34"/>
  <c r="AC11" i="9"/>
  <c r="AF40" i="10"/>
  <c r="I90" i="35"/>
  <c r="T83" i="35"/>
  <c r="I84" i="35"/>
  <c r="P83" i="35"/>
  <c r="AD37" i="10"/>
  <c r="AD33" i="10"/>
  <c r="R56" i="36"/>
  <c r="AF34" i="10"/>
  <c r="C90" i="35"/>
  <c r="T77" i="35"/>
  <c r="C84" i="35"/>
  <c r="P77" i="35" s="1"/>
  <c r="B91" i="35"/>
  <c r="AF29" i="10"/>
  <c r="I89" i="35"/>
  <c r="T73" i="35" s="1"/>
  <c r="I83" i="35"/>
  <c r="P73" i="35"/>
  <c r="N56" i="37"/>
  <c r="J84" i="38"/>
  <c r="P84" i="38"/>
  <c r="AF41" i="13"/>
  <c r="J90" i="38"/>
  <c r="T84" i="38" s="1"/>
  <c r="N56" i="38"/>
  <c r="AF37" i="14"/>
  <c r="F90" i="39"/>
  <c r="T80" i="39" s="1"/>
  <c r="F84" i="39"/>
  <c r="P80" i="39"/>
  <c r="P5" i="18"/>
  <c r="P5" i="17"/>
  <c r="P5" i="16"/>
  <c r="P5" i="13"/>
  <c r="P5" i="11"/>
  <c r="P5" i="9"/>
  <c r="AF31" i="9"/>
  <c r="K89" i="34"/>
  <c r="T75" i="34" s="1"/>
  <c r="AF41" i="10"/>
  <c r="J90" i="35"/>
  <c r="T84" i="35" s="1"/>
  <c r="AD35" i="10"/>
  <c r="R56" i="35"/>
  <c r="P89" i="35"/>
  <c r="N56" i="36"/>
  <c r="N90" i="36"/>
  <c r="K84" i="37"/>
  <c r="P85" i="37"/>
  <c r="AF42" i="12"/>
  <c r="K90" i="37"/>
  <c r="T85" i="37"/>
  <c r="AF29" i="9"/>
  <c r="I89" i="34" s="1"/>
  <c r="T73" i="34" s="1"/>
  <c r="AF31" i="10"/>
  <c r="K89" i="35"/>
  <c r="T75" i="35" s="1"/>
  <c r="K83" i="35"/>
  <c r="P75" i="35"/>
  <c r="R56" i="37"/>
  <c r="R56" i="38"/>
  <c r="AF31" i="14"/>
  <c r="K89" i="39"/>
  <c r="T75" i="39" s="1"/>
  <c r="K83" i="39"/>
  <c r="P75" i="39"/>
  <c r="AF41" i="11"/>
  <c r="J90" i="36" s="1"/>
  <c r="T84" i="36" s="1"/>
  <c r="AD42" i="11"/>
  <c r="J84" i="37"/>
  <c r="P84" i="37" s="1"/>
  <c r="AC42" i="12"/>
  <c r="AF42" i="13"/>
  <c r="K90" i="38"/>
  <c r="T85" i="38" s="1"/>
  <c r="N2" i="38"/>
  <c r="AF38" i="14"/>
  <c r="G90" i="39"/>
  <c r="T81" i="39" s="1"/>
  <c r="AF36" i="14"/>
  <c r="E90" i="39"/>
  <c r="T79" i="39"/>
  <c r="AD35" i="14"/>
  <c r="AF30" i="14"/>
  <c r="J89" i="39"/>
  <c r="T74" i="39"/>
  <c r="AD29" i="14"/>
  <c r="C83" i="39"/>
  <c r="P67" i="39"/>
  <c r="AF19" i="14"/>
  <c r="J88" i="39" s="1"/>
  <c r="T64" i="39" s="1"/>
  <c r="N90" i="41"/>
  <c r="N56" i="41"/>
  <c r="G84" i="36"/>
  <c r="P81" i="36"/>
  <c r="E84" i="36"/>
  <c r="P79" i="36"/>
  <c r="J83" i="36"/>
  <c r="P74" i="36"/>
  <c r="H83" i="36"/>
  <c r="P72" i="36"/>
  <c r="H82" i="36"/>
  <c r="P62" i="36"/>
  <c r="G82" i="36"/>
  <c r="P61" i="36"/>
  <c r="F82" i="36"/>
  <c r="P60" i="36"/>
  <c r="H84" i="37"/>
  <c r="P82" i="37"/>
  <c r="AC41" i="13"/>
  <c r="G83" i="38"/>
  <c r="P71" i="38"/>
  <c r="E83" i="38"/>
  <c r="P69" i="38"/>
  <c r="D82" i="38"/>
  <c r="P58" i="38"/>
  <c r="N90" i="39"/>
  <c r="AD40" i="14"/>
  <c r="B84" i="39"/>
  <c r="P76" i="39" s="1"/>
  <c r="D83" i="39"/>
  <c r="P68" i="39"/>
  <c r="AF20" i="14"/>
  <c r="K88" i="39" s="1"/>
  <c r="T65" i="39" s="1"/>
  <c r="AD11" i="14"/>
  <c r="D84" i="43"/>
  <c r="P78" i="43" s="1"/>
  <c r="AF31" i="18"/>
  <c r="K89" i="43"/>
  <c r="T75" i="43"/>
  <c r="K83" i="43"/>
  <c r="P75" i="43"/>
  <c r="R60" i="43"/>
  <c r="AF22" i="14"/>
  <c r="B89" i="39" s="1"/>
  <c r="T66" i="39" s="1"/>
  <c r="B83" i="39"/>
  <c r="P66" i="39"/>
  <c r="N56" i="42"/>
  <c r="F84" i="43"/>
  <c r="P80" i="43"/>
  <c r="N66" i="43"/>
  <c r="AF18" i="18"/>
  <c r="I88" i="43"/>
  <c r="T63" i="43"/>
  <c r="I82" i="43"/>
  <c r="P63" i="43"/>
  <c r="AF42" i="14"/>
  <c r="K90" i="39"/>
  <c r="T85" i="39" s="1"/>
  <c r="AF39" i="14"/>
  <c r="H90" i="39"/>
  <c r="T82" i="39"/>
  <c r="AF28" i="14"/>
  <c r="H89" i="39"/>
  <c r="T72" i="39"/>
  <c r="R56" i="39"/>
  <c r="R56" i="40"/>
  <c r="P89" i="40"/>
  <c r="P88" i="40"/>
  <c r="R56" i="42"/>
  <c r="AF24" i="18"/>
  <c r="D89" i="43" s="1"/>
  <c r="T68" i="43" s="1"/>
  <c r="D83" i="43"/>
  <c r="P68" i="43"/>
  <c r="AF22" i="18"/>
  <c r="B89" i="43"/>
  <c r="T66" i="43"/>
  <c r="B83" i="43"/>
  <c r="P66" i="43" s="1"/>
  <c r="AF41" i="15"/>
  <c r="J90" i="40"/>
  <c r="T84" i="40" s="1"/>
  <c r="AD42" i="15"/>
  <c r="J84" i="41"/>
  <c r="P84" i="41"/>
  <c r="AD28" i="18"/>
  <c r="AF25" i="18"/>
  <c r="E89" i="43"/>
  <c r="T69" i="43"/>
  <c r="AF15" i="18"/>
  <c r="F88" i="43"/>
  <c r="T60" i="43"/>
  <c r="AG20" i="1"/>
  <c r="AG367" i="44"/>
  <c r="N41" i="47"/>
  <c r="N31" i="47"/>
  <c r="AG357" i="44"/>
  <c r="AN33" i="18"/>
  <c r="AE33" i="18"/>
  <c r="AG352" i="44"/>
  <c r="N25" i="47"/>
  <c r="AM27" i="18"/>
  <c r="AC27" i="18" s="1"/>
  <c r="G77" i="43"/>
  <c r="AC349" i="44"/>
  <c r="G84" i="40"/>
  <c r="P81" i="40" s="1"/>
  <c r="E84" i="40"/>
  <c r="P79" i="40"/>
  <c r="H83" i="40"/>
  <c r="P72" i="40"/>
  <c r="H82" i="40"/>
  <c r="P62" i="40" s="1"/>
  <c r="G82" i="40"/>
  <c r="P61" i="40"/>
  <c r="F82" i="40"/>
  <c r="P60" i="40" s="1"/>
  <c r="P89" i="41"/>
  <c r="P88" i="41"/>
  <c r="R89" i="41"/>
  <c r="H84" i="41"/>
  <c r="P82" i="41"/>
  <c r="K82" i="41"/>
  <c r="P65" i="41"/>
  <c r="J82" i="41"/>
  <c r="P64" i="41"/>
  <c r="I82" i="41"/>
  <c r="P63" i="41"/>
  <c r="AF42" i="17"/>
  <c r="K90" i="42"/>
  <c r="T85" i="42"/>
  <c r="I84" i="42"/>
  <c r="P83" i="42" s="1"/>
  <c r="F84" i="42"/>
  <c r="P80" i="42"/>
  <c r="D84" i="42"/>
  <c r="P78" i="42" s="1"/>
  <c r="J83" i="42"/>
  <c r="P74" i="42"/>
  <c r="H83" i="42"/>
  <c r="P72" i="42" s="1"/>
  <c r="G83" i="42"/>
  <c r="P71" i="42"/>
  <c r="F83" i="42"/>
  <c r="P70" i="42" s="1"/>
  <c r="E83" i="42"/>
  <c r="P69" i="42"/>
  <c r="D83" i="42"/>
  <c r="P68" i="42" s="1"/>
  <c r="C83" i="42"/>
  <c r="P67" i="42"/>
  <c r="B83" i="42"/>
  <c r="P66" i="42" s="1"/>
  <c r="K82" i="42"/>
  <c r="P65" i="42"/>
  <c r="J82" i="42"/>
  <c r="P64" i="42" s="1"/>
  <c r="I82" i="42"/>
  <c r="P63" i="42"/>
  <c r="H82" i="42"/>
  <c r="P62" i="42" s="1"/>
  <c r="G82" i="42"/>
  <c r="P61" i="42"/>
  <c r="F82" i="42"/>
  <c r="P60" i="42" s="1"/>
  <c r="E82" i="42"/>
  <c r="P59" i="42"/>
  <c r="D82" i="42"/>
  <c r="P58" i="42" s="1"/>
  <c r="C82" i="42"/>
  <c r="P57" i="42"/>
  <c r="B82" i="42"/>
  <c r="P56" i="42" s="1"/>
  <c r="AF42" i="18"/>
  <c r="K90" i="43"/>
  <c r="T85" i="43"/>
  <c r="I84" i="43"/>
  <c r="P83" i="43"/>
  <c r="AF38" i="18"/>
  <c r="G90" i="43"/>
  <c r="T81" i="43" s="1"/>
  <c r="AC37" i="18"/>
  <c r="AD36" i="18"/>
  <c r="AF30" i="18"/>
  <c r="J89" i="43" s="1"/>
  <c r="T74" i="43" s="1"/>
  <c r="I83" i="43"/>
  <c r="P73" i="43"/>
  <c r="C83" i="43"/>
  <c r="P67" i="43"/>
  <c r="J82" i="43"/>
  <c r="P64" i="43"/>
  <c r="AD17" i="18"/>
  <c r="AG366" i="44"/>
  <c r="N40" i="47"/>
  <c r="K78" i="43"/>
  <c r="AG363" i="44"/>
  <c r="N37" i="47"/>
  <c r="AC356" i="44"/>
  <c r="AA356" i="44"/>
  <c r="AC351" i="44"/>
  <c r="AA351" i="44"/>
  <c r="AC345" i="44"/>
  <c r="AC332" i="44"/>
  <c r="AA332" i="44"/>
  <c r="AF33" i="18"/>
  <c r="B90" i="43" s="1"/>
  <c r="T76" i="43" s="1"/>
  <c r="N39" i="47"/>
  <c r="AG365" i="44"/>
  <c r="AM41" i="18"/>
  <c r="AG362" i="44"/>
  <c r="N36" i="47"/>
  <c r="G78" i="43"/>
  <c r="B91" i="43" s="1"/>
  <c r="AG359" i="44"/>
  <c r="N33" i="47"/>
  <c r="AN35" i="18"/>
  <c r="AE35" i="18"/>
  <c r="AC354" i="44"/>
  <c r="AA354" i="44"/>
  <c r="AC341" i="44"/>
  <c r="AA341" i="44" s="1"/>
  <c r="AC334" i="44"/>
  <c r="AA334" i="44"/>
  <c r="AC328" i="44"/>
  <c r="AA328" i="44"/>
  <c r="AI19" i="1"/>
  <c r="AF20" i="1"/>
  <c r="AE21" i="1"/>
  <c r="C6" i="29" s="1"/>
  <c r="AD143" i="44"/>
  <c r="AB143" i="44"/>
  <c r="AD64" i="44"/>
  <c r="AB64" i="44" s="1"/>
  <c r="AC314" i="44"/>
  <c r="AA314" i="44" s="1"/>
  <c r="AC364" i="44"/>
  <c r="AA364" i="44"/>
  <c r="N35" i="47"/>
  <c r="AG361" i="44"/>
  <c r="AN37" i="18"/>
  <c r="AE37" i="18"/>
  <c r="AG358" i="44"/>
  <c r="N32" i="47"/>
  <c r="AN34" i="18"/>
  <c r="AF34" i="18" s="1"/>
  <c r="C90" i="43" s="1"/>
  <c r="T77" i="43" s="1"/>
  <c r="AE34" i="18"/>
  <c r="C78" i="43"/>
  <c r="AC337" i="44"/>
  <c r="AC330" i="44"/>
  <c r="AA330" i="44" s="1"/>
  <c r="AC324" i="44"/>
  <c r="AA324" i="44"/>
  <c r="BE8" i="44"/>
  <c r="AC321" i="44"/>
  <c r="AA321" i="44"/>
  <c r="AC311" i="44"/>
  <c r="AC300" i="44"/>
  <c r="AA300" i="44"/>
  <c r="AC297" i="44"/>
  <c r="AA297" i="44" s="1"/>
  <c r="AC294" i="44"/>
  <c r="AA294" i="44"/>
  <c r="AC291" i="44"/>
  <c r="AA291" i="44" s="1"/>
  <c r="AC284" i="44"/>
  <c r="AA284" i="44"/>
  <c r="AC281" i="44"/>
  <c r="AA281" i="44" s="1"/>
  <c r="AC278" i="44"/>
  <c r="AA278" i="44"/>
  <c r="AC274" i="44"/>
  <c r="AA274" i="44" s="1"/>
  <c r="AC271" i="44"/>
  <c r="AA271" i="44"/>
  <c r="AC268" i="44"/>
  <c r="AA268" i="44" s="1"/>
  <c r="BE9" i="44"/>
  <c r="AC347" i="44"/>
  <c r="AA347" i="44"/>
  <c r="AC343" i="44"/>
  <c r="AA343" i="44"/>
  <c r="AC339" i="44"/>
  <c r="AA339" i="44"/>
  <c r="AC326" i="44"/>
  <c r="AA326" i="44" s="1"/>
  <c r="AC322" i="44"/>
  <c r="AA322" i="44"/>
  <c r="AC317" i="44"/>
  <c r="AA317" i="44"/>
  <c r="AC316" i="44"/>
  <c r="AA316" i="44"/>
  <c r="AC315" i="44"/>
  <c r="AA315" i="44"/>
  <c r="AC313" i="44"/>
  <c r="AA313" i="44"/>
  <c r="AC309" i="44"/>
  <c r="AA309" i="44"/>
  <c r="AC296" i="44"/>
  <c r="AA296" i="44"/>
  <c r="AC293" i="44"/>
  <c r="AA293" i="44"/>
  <c r="AC290" i="44"/>
  <c r="AA290" i="44"/>
  <c r="AC287" i="44"/>
  <c r="AA287" i="44"/>
  <c r="AC280" i="44"/>
  <c r="AA280" i="44"/>
  <c r="AC277" i="44"/>
  <c r="AA277" i="44"/>
  <c r="AC273" i="44"/>
  <c r="AA273" i="44"/>
  <c r="AC270" i="44"/>
  <c r="AA270" i="44"/>
  <c r="AA349" i="44"/>
  <c r="AA345" i="44"/>
  <c r="AA337" i="44"/>
  <c r="AC318" i="44"/>
  <c r="AA318" i="44"/>
  <c r="AC312" i="44"/>
  <c r="AA312" i="44" s="1"/>
  <c r="AC18" i="44"/>
  <c r="AC22" i="44"/>
  <c r="AC53" i="44"/>
  <c r="AA53" i="44" s="1"/>
  <c r="AC33" i="44"/>
  <c r="AA33" i="44"/>
  <c r="AC24" i="44"/>
  <c r="AC30" i="44"/>
  <c r="AC52" i="44"/>
  <c r="AC66" i="44"/>
  <c r="AC74" i="44"/>
  <c r="AC70" i="44"/>
  <c r="AC77" i="44"/>
  <c r="AC95" i="44"/>
  <c r="AC76" i="44"/>
  <c r="AA76" i="44" s="1"/>
  <c r="AC194" i="44"/>
  <c r="AA194" i="44"/>
  <c r="AC133" i="44"/>
  <c r="AC125" i="44"/>
  <c r="AC141" i="44"/>
  <c r="AC169" i="44"/>
  <c r="AC188" i="44"/>
  <c r="AC190" i="44"/>
  <c r="AC157" i="44"/>
  <c r="AC173" i="44"/>
  <c r="AC221" i="44"/>
  <c r="AC237" i="44"/>
  <c r="AA237" i="44" s="1"/>
  <c r="AC256" i="44"/>
  <c r="AC305" i="44"/>
  <c r="AA305" i="44"/>
  <c r="AC299" i="44"/>
  <c r="AA299" i="44"/>
  <c r="AC292" i="44"/>
  <c r="AA292" i="44" s="1"/>
  <c r="AC289" i="44"/>
  <c r="AA289" i="44"/>
  <c r="AC286" i="44"/>
  <c r="AA286" i="44" s="1"/>
  <c r="AC283" i="44"/>
  <c r="AA283" i="44"/>
  <c r="AC276" i="44"/>
  <c r="AA276" i="44" s="1"/>
  <c r="AC269" i="44"/>
  <c r="AA269" i="44"/>
  <c r="AC260" i="44"/>
  <c r="AA260" i="44" s="1"/>
  <c r="AC241" i="44"/>
  <c r="AC225" i="44"/>
  <c r="AC310" i="44"/>
  <c r="AA310" i="44"/>
  <c r="AC308" i="44"/>
  <c r="AA308" i="44" s="1"/>
  <c r="AC304" i="44"/>
  <c r="AA304" i="44"/>
  <c r="AC301" i="44"/>
  <c r="AA301" i="44" s="1"/>
  <c r="AC298" i="44"/>
  <c r="AA298" i="44"/>
  <c r="AC295" i="44"/>
  <c r="AA295" i="44" s="1"/>
  <c r="AC288" i="44"/>
  <c r="AA288" i="44"/>
  <c r="AC285" i="44"/>
  <c r="AA285" i="44" s="1"/>
  <c r="AC282" i="44"/>
  <c r="AA282" i="44"/>
  <c r="AC279" i="44"/>
  <c r="AA279" i="44" s="1"/>
  <c r="AC275" i="44"/>
  <c r="AA275" i="44"/>
  <c r="AC272" i="44"/>
  <c r="AA272" i="44" s="1"/>
  <c r="AC264" i="44"/>
  <c r="AA264" i="44" s="1"/>
  <c r="AC248" i="44"/>
  <c r="AC245" i="44"/>
  <c r="AC229" i="44"/>
  <c r="AA229" i="44"/>
  <c r="AA311" i="44"/>
  <c r="AC262" i="44"/>
  <c r="AA262" i="44" s="1"/>
  <c r="AC261" i="44"/>
  <c r="AA261" i="44"/>
  <c r="AC251" i="44"/>
  <c r="AC246" i="44"/>
  <c r="AA246" i="44"/>
  <c r="AC243" i="44"/>
  <c r="AA243" i="44" s="1"/>
  <c r="AC242" i="44"/>
  <c r="AA242" i="44"/>
  <c r="AC232" i="44"/>
  <c r="AA232" i="44" s="1"/>
  <c r="AC227" i="44"/>
  <c r="AA227" i="44" s="1"/>
  <c r="AC226" i="44"/>
  <c r="AA226" i="44"/>
  <c r="AC210" i="44"/>
  <c r="AA210" i="44" s="1"/>
  <c r="AC207" i="44"/>
  <c r="AC205" i="44"/>
  <c r="AA205" i="44" s="1"/>
  <c r="AC200" i="44"/>
  <c r="AA200" i="44"/>
  <c r="AC196" i="44"/>
  <c r="AC165" i="44"/>
  <c r="AC263" i="44"/>
  <c r="AA263" i="44"/>
  <c r="AC258" i="44"/>
  <c r="AA258" i="44" s="1"/>
  <c r="AC257" i="44"/>
  <c r="AA257" i="44"/>
  <c r="AA248" i="44"/>
  <c r="AC247" i="44"/>
  <c r="AA247" i="44"/>
  <c r="AA245" i="44"/>
  <c r="AC244" i="44"/>
  <c r="AA244" i="44" s="1"/>
  <c r="AC239" i="44"/>
  <c r="AA239" i="44"/>
  <c r="AC238" i="44"/>
  <c r="AA238" i="44" s="1"/>
  <c r="AC228" i="44"/>
  <c r="AA228" i="44"/>
  <c r="AC223" i="44"/>
  <c r="AA223" i="44" s="1"/>
  <c r="AC222" i="44"/>
  <c r="AA222" i="44"/>
  <c r="AC216" i="44"/>
  <c r="AA216" i="44" s="1"/>
  <c r="AC214" i="44"/>
  <c r="AA214" i="44"/>
  <c r="AC211" i="44"/>
  <c r="AA211" i="44" s="1"/>
  <c r="AC209" i="44"/>
  <c r="AA209" i="44"/>
  <c r="AC204" i="44"/>
  <c r="AA204" i="44" s="1"/>
  <c r="AC198" i="44"/>
  <c r="AA198" i="44"/>
  <c r="AC192" i="44"/>
  <c r="AC185" i="44"/>
  <c r="AA185" i="44" s="1"/>
  <c r="AC182" i="44"/>
  <c r="AA182" i="44"/>
  <c r="AC162" i="44"/>
  <c r="AA162" i="44" s="1"/>
  <c r="AC259" i="44"/>
  <c r="AA259" i="44"/>
  <c r="AC254" i="44"/>
  <c r="AA254" i="44" s="1"/>
  <c r="AC253" i="44"/>
  <c r="AA253" i="44"/>
  <c r="AA241" i="44"/>
  <c r="AC240" i="44"/>
  <c r="AA240" i="44"/>
  <c r="AC235" i="44"/>
  <c r="AA235" i="44" s="1"/>
  <c r="AC234" i="44"/>
  <c r="AA234" i="44"/>
  <c r="AA225" i="44"/>
  <c r="AC224" i="44"/>
  <c r="AA224" i="44" s="1"/>
  <c r="AC219" i="44"/>
  <c r="AA219" i="44"/>
  <c r="AC218" i="44"/>
  <c r="AA218" i="44" s="1"/>
  <c r="AC215" i="44"/>
  <c r="AA215" i="44" s="1"/>
  <c r="AC213" i="44"/>
  <c r="AA213" i="44" s="1"/>
  <c r="AC208" i="44"/>
  <c r="AA208" i="44"/>
  <c r="AC202" i="44"/>
  <c r="AA202" i="44" s="1"/>
  <c r="AC199" i="44"/>
  <c r="AC197" i="44"/>
  <c r="AA197" i="44"/>
  <c r="AC195" i="44"/>
  <c r="AA195" i="44" s="1"/>
  <c r="AC181" i="44"/>
  <c r="AC161" i="44"/>
  <c r="AA161" i="44" s="1"/>
  <c r="AC267" i="44"/>
  <c r="AA267" i="44"/>
  <c r="AC266" i="44"/>
  <c r="AA266" i="44" s="1"/>
  <c r="AC265" i="44"/>
  <c r="AA265" i="44"/>
  <c r="AA256" i="44"/>
  <c r="AC255" i="44"/>
  <c r="AA255" i="44" s="1"/>
  <c r="AC252" i="44"/>
  <c r="AA252" i="44"/>
  <c r="AA251" i="44"/>
  <c r="AC250" i="44"/>
  <c r="AA250" i="44"/>
  <c r="AC249" i="44"/>
  <c r="AA249" i="44" s="1"/>
  <c r="AC236" i="44"/>
  <c r="AA236" i="44"/>
  <c r="AC233" i="44"/>
  <c r="AA233" i="44" s="1"/>
  <c r="AC231" i="44"/>
  <c r="AA231" i="44" s="1"/>
  <c r="AC230" i="44"/>
  <c r="AA230" i="44"/>
  <c r="AA221" i="44"/>
  <c r="AC220" i="44"/>
  <c r="AA220" i="44" s="1"/>
  <c r="AC217" i="44"/>
  <c r="AA217" i="44"/>
  <c r="AC212" i="44"/>
  <c r="AA212" i="44" s="1"/>
  <c r="AC206" i="44"/>
  <c r="AA206" i="44"/>
  <c r="AC203" i="44"/>
  <c r="AC201" i="44"/>
  <c r="AA201" i="44"/>
  <c r="AC191" i="44"/>
  <c r="AA191" i="44" s="1"/>
  <c r="AC178" i="44"/>
  <c r="AA178" i="44"/>
  <c r="AC166" i="44"/>
  <c r="AA166" i="44" s="1"/>
  <c r="AA207" i="44"/>
  <c r="AA203" i="44"/>
  <c r="AA199" i="44"/>
  <c r="AA190" i="44"/>
  <c r="AA188" i="44"/>
  <c r="AC186" i="44"/>
  <c r="AA186" i="44" s="1"/>
  <c r="AC183" i="44"/>
  <c r="AA183" i="44"/>
  <c r="AC172" i="44"/>
  <c r="AA172" i="44" s="1"/>
  <c r="AA169" i="44"/>
  <c r="AC167" i="44"/>
  <c r="AA167" i="44" s="1"/>
  <c r="AC155" i="44"/>
  <c r="AA155" i="44"/>
  <c r="AC153" i="44"/>
  <c r="AA153" i="44" s="1"/>
  <c r="AC150" i="44"/>
  <c r="AA150" i="44"/>
  <c r="AC138" i="44"/>
  <c r="AA138" i="44" s="1"/>
  <c r="AC123" i="44"/>
  <c r="AA123" i="44"/>
  <c r="AC187" i="44"/>
  <c r="AA187" i="44" s="1"/>
  <c r="AC184" i="44"/>
  <c r="AA184" i="44"/>
  <c r="AA181" i="44"/>
  <c r="AC179" i="44"/>
  <c r="AA179" i="44" s="1"/>
  <c r="AC168" i="44"/>
  <c r="AA168" i="44"/>
  <c r="AA165" i="44"/>
  <c r="AC163" i="44"/>
  <c r="AA163" i="44"/>
  <c r="AC152" i="44"/>
  <c r="AA152" i="44" s="1"/>
  <c r="AC147" i="44"/>
  <c r="AC137" i="44"/>
  <c r="AC130" i="44"/>
  <c r="AA130" i="44" s="1"/>
  <c r="AC122" i="44"/>
  <c r="AA196" i="44"/>
  <c r="AA192" i="44"/>
  <c r="AC180" i="44"/>
  <c r="AA180" i="44" s="1"/>
  <c r="AC175" i="44"/>
  <c r="AA175" i="44"/>
  <c r="AC174" i="44"/>
  <c r="AA174" i="44" s="1"/>
  <c r="AC164" i="44"/>
  <c r="AA164" i="44"/>
  <c r="AC159" i="44"/>
  <c r="AA159" i="44" s="1"/>
  <c r="AC158" i="44"/>
  <c r="AA158" i="44"/>
  <c r="AC154" i="44"/>
  <c r="AA154" i="44" s="1"/>
  <c r="AC149" i="44"/>
  <c r="AA149" i="44"/>
  <c r="AC193" i="44"/>
  <c r="AA193" i="44" s="1"/>
  <c r="AC189" i="44"/>
  <c r="AA189" i="44"/>
  <c r="AC176" i="44"/>
  <c r="AA176" i="44" s="1"/>
  <c r="AA173" i="44"/>
  <c r="AC171" i="44"/>
  <c r="AA171" i="44" s="1"/>
  <c r="AC170" i="44"/>
  <c r="AA170" i="44"/>
  <c r="AC160" i="44"/>
  <c r="AA160" i="44" s="1"/>
  <c r="AA157" i="44"/>
  <c r="AC156" i="44"/>
  <c r="AA156" i="44"/>
  <c r="AC151" i="44"/>
  <c r="AA151" i="44" s="1"/>
  <c r="AC148" i="44"/>
  <c r="AA148" i="44"/>
  <c r="AC146" i="44"/>
  <c r="AA146" i="44" s="1"/>
  <c r="AC143" i="44"/>
  <c r="AA143" i="44"/>
  <c r="AC142" i="44"/>
  <c r="AA142" i="44" s="1"/>
  <c r="AC132" i="44"/>
  <c r="AA132" i="44" s="1"/>
  <c r="AC129" i="44"/>
  <c r="AA129" i="44" s="1"/>
  <c r="AC127" i="44"/>
  <c r="AA127" i="44"/>
  <c r="AC126" i="44"/>
  <c r="AA126" i="44" s="1"/>
  <c r="AC120" i="44"/>
  <c r="AA120" i="44"/>
  <c r="AC115" i="44"/>
  <c r="AA115" i="44" s="1"/>
  <c r="AC112" i="44"/>
  <c r="AA112" i="44"/>
  <c r="AC107" i="44"/>
  <c r="AA107" i="44" s="1"/>
  <c r="AC104" i="44"/>
  <c r="AA104" i="44"/>
  <c r="AC99" i="44"/>
  <c r="AA99" i="44" s="1"/>
  <c r="AC144" i="44"/>
  <c r="AA144" i="44"/>
  <c r="AA141" i="44"/>
  <c r="AC139" i="44"/>
  <c r="AA139" i="44" s="1"/>
  <c r="AC128" i="44"/>
  <c r="AA128" i="44"/>
  <c r="AA125" i="44"/>
  <c r="AC117" i="44"/>
  <c r="AA117" i="44"/>
  <c r="AC114" i="44"/>
  <c r="AA114" i="44" s="1"/>
  <c r="AC109" i="44"/>
  <c r="AA109" i="44"/>
  <c r="AC106" i="44"/>
  <c r="AA106" i="44" s="1"/>
  <c r="AC101" i="44"/>
  <c r="AA101" i="44"/>
  <c r="AA147" i="44"/>
  <c r="AC140" i="44"/>
  <c r="AA140" i="44" s="1"/>
  <c r="AA137" i="44"/>
  <c r="AC135" i="44"/>
  <c r="AA135" i="44" s="1"/>
  <c r="AC134" i="44"/>
  <c r="AA134" i="44"/>
  <c r="AC124" i="44"/>
  <c r="AA124" i="44" s="1"/>
  <c r="AA122" i="44"/>
  <c r="AC119" i="44"/>
  <c r="AA119" i="44"/>
  <c r="AC116" i="44"/>
  <c r="AA116" i="44" s="1"/>
  <c r="AC111" i="44"/>
  <c r="AA111" i="44"/>
  <c r="AC108" i="44"/>
  <c r="AA108" i="44" s="1"/>
  <c r="AC103" i="44"/>
  <c r="AA103" i="44"/>
  <c r="AC100" i="44"/>
  <c r="AA100" i="44" s="1"/>
  <c r="AC98" i="44"/>
  <c r="AA98" i="44"/>
  <c r="AC145" i="44"/>
  <c r="AA145" i="44" s="1"/>
  <c r="AC136" i="44"/>
  <c r="AA136" i="44"/>
  <c r="AA133" i="44"/>
  <c r="AC131" i="44"/>
  <c r="AA131" i="44"/>
  <c r="AC121" i="44"/>
  <c r="AA121" i="44" s="1"/>
  <c r="AC118" i="44"/>
  <c r="AA118" i="44"/>
  <c r="AC113" i="44"/>
  <c r="AA113" i="44" s="1"/>
  <c r="AC110" i="44"/>
  <c r="AA110" i="44"/>
  <c r="AC105" i="44"/>
  <c r="AA105" i="44" s="1"/>
  <c r="AC102" i="44"/>
  <c r="AA102" i="44"/>
  <c r="AC97" i="44"/>
  <c r="AA97" i="44" s="1"/>
  <c r="AC94" i="44"/>
  <c r="AA94" i="44" s="1"/>
  <c r="AC75" i="44"/>
  <c r="AA75" i="44" s="1"/>
  <c r="AC69" i="44"/>
  <c r="AA69" i="44"/>
  <c r="AC67" i="44"/>
  <c r="AA67" i="44" s="1"/>
  <c r="AC62" i="44"/>
  <c r="AA62" i="44"/>
  <c r="AC54" i="44"/>
  <c r="AA54" i="44" s="1"/>
  <c r="AC96" i="44"/>
  <c r="AA96" i="44"/>
  <c r="AC78" i="44"/>
  <c r="AA78" i="44" s="1"/>
  <c r="AC63" i="44"/>
  <c r="AA63" i="44"/>
  <c r="AA95" i="44"/>
  <c r="AC93" i="44"/>
  <c r="AA93" i="44"/>
  <c r="AC83" i="44"/>
  <c r="AA83" i="44" s="1"/>
  <c r="AC82" i="44"/>
  <c r="AA82" i="44"/>
  <c r="AC81" i="44"/>
  <c r="AA81" i="44" s="1"/>
  <c r="AC80" i="44"/>
  <c r="AA80" i="44"/>
  <c r="AC79" i="44"/>
  <c r="AA79" i="44" s="1"/>
  <c r="AA77" i="44"/>
  <c r="AC73" i="44"/>
  <c r="AA73" i="44" s="1"/>
  <c r="AC72" i="44"/>
  <c r="AA72" i="44"/>
  <c r="AC71" i="44"/>
  <c r="AA71" i="44" s="1"/>
  <c r="AC59" i="44"/>
  <c r="AA59" i="44"/>
  <c r="AC58" i="44"/>
  <c r="AA58" i="44" s="1"/>
  <c r="AC48" i="44"/>
  <c r="AA48" i="44" s="1"/>
  <c r="AC45" i="44"/>
  <c r="AA45" i="44"/>
  <c r="AC39" i="44"/>
  <c r="AA39" i="44" s="1"/>
  <c r="AC26" i="44"/>
  <c r="AA26" i="44"/>
  <c r="AA74" i="44"/>
  <c r="AC61" i="44"/>
  <c r="AA61" i="44" s="1"/>
  <c r="AC60" i="44"/>
  <c r="AA60" i="44"/>
  <c r="AC47" i="44"/>
  <c r="AA47" i="44" s="1"/>
  <c r="AC41" i="44"/>
  <c r="AA41" i="44"/>
  <c r="AC37" i="44"/>
  <c r="AA37" i="44" s="1"/>
  <c r="AC55" i="44"/>
  <c r="AA55" i="44" s="1"/>
  <c r="AC51" i="44"/>
  <c r="AA51" i="44"/>
  <c r="AC49" i="44"/>
  <c r="AC44" i="44"/>
  <c r="AA44" i="44"/>
  <c r="AC40" i="44"/>
  <c r="AC38" i="44"/>
  <c r="AA38" i="44" s="1"/>
  <c r="AC36" i="44"/>
  <c r="AA36" i="44"/>
  <c r="AC34" i="44"/>
  <c r="AA34" i="44" s="1"/>
  <c r="AC68" i="44"/>
  <c r="AA68" i="44"/>
  <c r="AC65" i="44"/>
  <c r="AA65" i="44" s="1"/>
  <c r="AC64" i="44"/>
  <c r="AA64" i="44"/>
  <c r="AC57" i="44"/>
  <c r="AA57" i="44" s="1"/>
  <c r="AC56" i="44"/>
  <c r="AA56" i="44"/>
  <c r="AA52" i="44"/>
  <c r="AC50" i="44"/>
  <c r="AA50" i="44"/>
  <c r="AC46" i="44"/>
  <c r="AA46" i="44" s="1"/>
  <c r="AC43" i="44"/>
  <c r="AA43" i="44"/>
  <c r="AA40" i="44"/>
  <c r="AC31" i="44"/>
  <c r="AA31" i="44"/>
  <c r="AC28" i="44"/>
  <c r="AA28" i="44" s="1"/>
  <c r="AC27" i="44"/>
  <c r="AA27" i="44"/>
  <c r="AC32" i="44"/>
  <c r="AA32" i="44" s="1"/>
  <c r="AA30" i="44"/>
  <c r="AC29" i="44"/>
  <c r="AA29" i="44"/>
  <c r="AC8" i="44"/>
  <c r="AA8" i="44" s="1"/>
  <c r="AA49" i="44"/>
  <c r="AC35" i="44"/>
  <c r="AA35" i="44" s="1"/>
  <c r="AC25" i="44"/>
  <c r="AA25" i="44"/>
  <c r="AC12" i="44"/>
  <c r="AA12" i="44" s="1"/>
  <c r="AA70" i="44"/>
  <c r="AA66" i="44"/>
  <c r="AQ5" i="44"/>
  <c r="AH41" i="44" s="1"/>
  <c r="AI41" i="44" s="1"/>
  <c r="AR5" i="44"/>
  <c r="AH58" i="44"/>
  <c r="AI58" i="44"/>
  <c r="AJ58" i="44" s="1"/>
  <c r="AJ41" i="44"/>
  <c r="AH26" i="44"/>
  <c r="AI26" i="44" s="1"/>
  <c r="AJ26" i="44" s="1"/>
  <c r="AA22" i="44"/>
  <c r="AC21" i="44"/>
  <c r="AA21" i="44" s="1"/>
  <c r="AA18" i="44"/>
  <c r="AC17" i="44"/>
  <c r="AA17" i="44" s="1"/>
  <c r="AC10" i="44"/>
  <c r="AA10" i="44"/>
  <c r="AC9" i="44"/>
  <c r="AA9" i="44" s="1"/>
  <c r="AC4" i="44"/>
  <c r="AA4" i="44"/>
  <c r="AC11" i="44"/>
  <c r="AA11" i="44" s="1"/>
  <c r="AC6" i="44"/>
  <c r="AA6" i="44"/>
  <c r="AC5" i="44"/>
  <c r="AA5" i="44" s="1"/>
  <c r="AC3" i="44"/>
  <c r="AA3" i="44"/>
  <c r="AC7" i="44"/>
  <c r="AA7" i="44" s="1"/>
  <c r="AC2" i="44"/>
  <c r="AA2" i="44"/>
  <c r="AH15" i="44"/>
  <c r="AI15" i="44" s="1"/>
  <c r="AJ15" i="44" s="1"/>
  <c r="AH3" i="44"/>
  <c r="AI3" i="44"/>
  <c r="AJ3" i="44" s="1"/>
  <c r="AK3" i="44" s="1"/>
  <c r="AL3" i="44" s="1"/>
  <c r="Z3" i="44" s="1"/>
  <c r="C11" i="44" s="1"/>
  <c r="AH18" i="44"/>
  <c r="AI18" i="44" s="1"/>
  <c r="AJ18" i="44" s="1"/>
  <c r="AC1" i="44"/>
  <c r="AA1" i="44" s="1"/>
  <c r="AA24" i="44"/>
  <c r="AC23" i="44"/>
  <c r="AA23" i="44"/>
  <c r="AC20" i="44"/>
  <c r="AA20" i="44" s="1"/>
  <c r="AC19" i="44"/>
  <c r="AA19" i="44"/>
  <c r="AC16" i="44"/>
  <c r="AA16" i="44" s="1"/>
  <c r="AC15" i="44"/>
  <c r="AA15" i="44" s="1"/>
  <c r="AH10" i="44"/>
  <c r="AI10" i="44" s="1"/>
  <c r="AJ10" i="44" s="1"/>
  <c r="AK10" i="44" s="1"/>
  <c r="AL10" i="44" s="1"/>
  <c r="Z10" i="44" s="1"/>
  <c r="C18" i="44" s="1"/>
  <c r="C20" i="45" s="1"/>
  <c r="AV6" i="44"/>
  <c r="AO31" i="44" s="1"/>
  <c r="AB42" i="9"/>
  <c r="AB41" i="9"/>
  <c r="AB40" i="9"/>
  <c r="AN40" i="9" s="1"/>
  <c r="AE40" i="9" s="1"/>
  <c r="AB39" i="9"/>
  <c r="AB38" i="9"/>
  <c r="AB37" i="9"/>
  <c r="AB36" i="9"/>
  <c r="E78" i="34" s="1"/>
  <c r="AB35" i="9"/>
  <c r="H45" i="47"/>
  <c r="AD35" i="12"/>
  <c r="AQ180" i="32"/>
  <c r="E44" i="29"/>
  <c r="AE180" i="32"/>
  <c r="D81" i="37"/>
  <c r="N78" i="37"/>
  <c r="AK180" i="32"/>
  <c r="AD177" i="44"/>
  <c r="AB177" i="44" s="1"/>
  <c r="C84" i="37"/>
  <c r="P77" i="37"/>
  <c r="J79" i="37"/>
  <c r="N64" i="37" s="1"/>
  <c r="AK166" i="32"/>
  <c r="AD19" i="12"/>
  <c r="J85" i="37"/>
  <c r="AQ166" i="32"/>
  <c r="K42" i="29"/>
  <c r="H43" i="47"/>
  <c r="H44" i="47"/>
  <c r="AE166" i="32"/>
  <c r="AK15" i="44"/>
  <c r="AL15" i="44" s="1"/>
  <c r="Z15" i="44" s="1"/>
  <c r="C24" i="44" s="1"/>
  <c r="AK26" i="44"/>
  <c r="AL26" i="44" s="1"/>
  <c r="Z26" i="44" s="1"/>
  <c r="C36" i="44" s="1"/>
  <c r="E38" i="47"/>
  <c r="AG90" i="44"/>
  <c r="I78" i="34"/>
  <c r="AM40" i="9"/>
  <c r="AC40" i="9" s="1"/>
  <c r="F87" i="43"/>
  <c r="R80" i="43"/>
  <c r="AQ364" i="32"/>
  <c r="D87" i="43"/>
  <c r="R78" i="43" s="1"/>
  <c r="AQ362" i="32"/>
  <c r="H62" i="29"/>
  <c r="AE365" i="32"/>
  <c r="K62" i="29"/>
  <c r="AE368" i="32"/>
  <c r="AC363" i="44"/>
  <c r="AA363" i="44" s="1"/>
  <c r="AD363" i="44"/>
  <c r="AB363" i="44"/>
  <c r="AC352" i="44"/>
  <c r="AA352" i="44" s="1"/>
  <c r="AD352" i="44"/>
  <c r="AB352" i="44"/>
  <c r="AC367" i="44"/>
  <c r="AA367" i="44" s="1"/>
  <c r="AD367" i="44"/>
  <c r="AB367" i="44" s="1"/>
  <c r="AF37" i="18"/>
  <c r="F90" i="43" s="1"/>
  <c r="T80" i="43" s="1"/>
  <c r="AF11" i="14"/>
  <c r="B88" i="39"/>
  <c r="T56" i="39" s="1"/>
  <c r="B82" i="39"/>
  <c r="P56" i="39"/>
  <c r="I84" i="39"/>
  <c r="P83" i="39" s="1"/>
  <c r="AF40" i="14"/>
  <c r="I90" i="39"/>
  <c r="T83" i="39" s="1"/>
  <c r="J81" i="38"/>
  <c r="AK216" i="32"/>
  <c r="K81" i="37"/>
  <c r="E46" i="12"/>
  <c r="AM46" i="12" s="1"/>
  <c r="E45" i="12"/>
  <c r="AM45" i="12"/>
  <c r="L45" i="12" s="1"/>
  <c r="AK187" i="32"/>
  <c r="N56" i="33"/>
  <c r="E46" i="6"/>
  <c r="AM46" i="6" s="1"/>
  <c r="N73" i="30"/>
  <c r="N90" i="30"/>
  <c r="E33" i="47"/>
  <c r="AG85" i="44"/>
  <c r="AN35" i="9"/>
  <c r="AE35" i="9"/>
  <c r="D78" i="34"/>
  <c r="AM35" i="9"/>
  <c r="AC35" i="9" s="1"/>
  <c r="E37" i="47"/>
  <c r="AG89" i="44"/>
  <c r="AM39" i="9"/>
  <c r="AC39" i="9" s="1"/>
  <c r="H78" i="34"/>
  <c r="AN39" i="9"/>
  <c r="AE39" i="9"/>
  <c r="E34" i="47"/>
  <c r="AG86" i="44"/>
  <c r="AN36" i="9"/>
  <c r="AE36" i="9"/>
  <c r="AM36" i="9"/>
  <c r="AC36" i="9" s="1"/>
  <c r="AH27" i="44"/>
  <c r="AI27" i="44"/>
  <c r="AJ27" i="44" s="1"/>
  <c r="AK27" i="44" s="1"/>
  <c r="AL27" i="44" s="1"/>
  <c r="Z27" i="44" s="1"/>
  <c r="C37" i="44" s="1"/>
  <c r="AH38" i="44"/>
  <c r="AI38" i="44" s="1"/>
  <c r="AJ38" i="44" s="1"/>
  <c r="AK38" i="44" s="1"/>
  <c r="AL38" i="44" s="1"/>
  <c r="Z38" i="44" s="1"/>
  <c r="D16" i="44" s="1"/>
  <c r="AH24" i="44"/>
  <c r="AI24" i="44"/>
  <c r="AJ24" i="44" s="1"/>
  <c r="AK24" i="44" s="1"/>
  <c r="AL24" i="44" s="1"/>
  <c r="Z24" i="44" s="1"/>
  <c r="C34" i="44" s="1"/>
  <c r="AH25" i="44"/>
  <c r="AI25" i="44" s="1"/>
  <c r="AJ25" i="44" s="1"/>
  <c r="AK25" i="44" s="1"/>
  <c r="AL25" i="44" s="1"/>
  <c r="Z25" i="44" s="1"/>
  <c r="C35" i="44" s="1"/>
  <c r="AH65" i="44"/>
  <c r="AI65" i="44" s="1"/>
  <c r="AJ65" i="44"/>
  <c r="AK65" i="44" s="1"/>
  <c r="AL65" i="44" s="1"/>
  <c r="Z65" i="44" s="1"/>
  <c r="E11" i="44" s="1"/>
  <c r="AH69" i="44"/>
  <c r="AI69" i="44" s="1"/>
  <c r="AJ69" i="44" s="1"/>
  <c r="AK69" i="44" s="1"/>
  <c r="AL69" i="44" s="1"/>
  <c r="Z69" i="44" s="1"/>
  <c r="E15" i="44" s="1"/>
  <c r="AH73" i="44"/>
  <c r="AI73" i="44"/>
  <c r="AJ73" i="44" s="1"/>
  <c r="AK73" i="44" s="1"/>
  <c r="AL73" i="44" s="1"/>
  <c r="Z73" i="44" s="1"/>
  <c r="E20" i="44" s="1"/>
  <c r="AH28" i="44"/>
  <c r="AI28" i="44" s="1"/>
  <c r="AJ28" i="44" s="1"/>
  <c r="AK28" i="44" s="1"/>
  <c r="AL28" i="44" s="1"/>
  <c r="Z28" i="44" s="1"/>
  <c r="C38" i="44" s="1"/>
  <c r="AH31" i="44"/>
  <c r="AI31" i="44"/>
  <c r="AJ31" i="44" s="1"/>
  <c r="AK31" i="44" s="1"/>
  <c r="AL31" i="44" s="1"/>
  <c r="Z31" i="44" s="1"/>
  <c r="D9" i="44" s="1"/>
  <c r="AH32" i="44"/>
  <c r="AI32" i="44" s="1"/>
  <c r="AJ32" i="44" s="1"/>
  <c r="AK32" i="44" s="1"/>
  <c r="AL32" i="44" s="1"/>
  <c r="Z32" i="44" s="1"/>
  <c r="D10" i="44" s="1"/>
  <c r="AH43" i="44"/>
  <c r="AI43" i="44" s="1"/>
  <c r="AJ43" i="44"/>
  <c r="AK43" i="44" s="1"/>
  <c r="AL43" i="44" s="1"/>
  <c r="Z43" i="44" s="1"/>
  <c r="D21" i="44" s="1"/>
  <c r="AH45" i="44"/>
  <c r="AI45" i="44" s="1"/>
  <c r="AJ45" i="44" s="1"/>
  <c r="AK45" i="44" s="1"/>
  <c r="AL45" i="44" s="1"/>
  <c r="Z45" i="44" s="1"/>
  <c r="D23" i="44" s="1"/>
  <c r="AH47" i="44"/>
  <c r="AI47" i="44"/>
  <c r="AJ47" i="44" s="1"/>
  <c r="AK47" i="44" s="1"/>
  <c r="AL47" i="44" s="1"/>
  <c r="Z47" i="44" s="1"/>
  <c r="D25" i="44" s="1"/>
  <c r="AH57" i="44"/>
  <c r="AI57" i="44" s="1"/>
  <c r="AJ57" i="44" s="1"/>
  <c r="AK57" i="44" s="1"/>
  <c r="AL57" i="44" s="1"/>
  <c r="Z57" i="44" s="1"/>
  <c r="D36" i="44" s="1"/>
  <c r="AH59" i="44"/>
  <c r="AI59" i="44"/>
  <c r="AJ59" i="44" s="1"/>
  <c r="AK59" i="44" s="1"/>
  <c r="AL59" i="44" s="1"/>
  <c r="Z59" i="44" s="1"/>
  <c r="D38" i="44" s="1"/>
  <c r="AH61" i="44"/>
  <c r="AI61" i="44" s="1"/>
  <c r="AJ61" i="44" s="1"/>
  <c r="AK61" i="44" s="1"/>
  <c r="AL61" i="44" s="1"/>
  <c r="Z61" i="44" s="1"/>
  <c r="D40" i="44" s="1"/>
  <c r="AH67" i="44"/>
  <c r="AI67" i="44" s="1"/>
  <c r="AJ67" i="44"/>
  <c r="AK67" i="44" s="1"/>
  <c r="AL67" i="44" s="1"/>
  <c r="Z67" i="44" s="1"/>
  <c r="E13" i="44" s="1"/>
  <c r="AH71" i="44"/>
  <c r="AI71" i="44" s="1"/>
  <c r="AJ71" i="44" s="1"/>
  <c r="AK71" i="44" s="1"/>
  <c r="AL71" i="44" s="1"/>
  <c r="Z71" i="44" s="1"/>
  <c r="E17" i="44" s="1"/>
  <c r="AH20" i="44"/>
  <c r="AI20" i="44"/>
  <c r="AJ20" i="44" s="1"/>
  <c r="AK20" i="44" s="1"/>
  <c r="AL20" i="44" s="1"/>
  <c r="Z20" i="44" s="1"/>
  <c r="C29" i="44" s="1"/>
  <c r="AH49" i="44"/>
  <c r="AI49" i="44" s="1"/>
  <c r="AJ49" i="44" s="1"/>
  <c r="AK49" i="44" s="1"/>
  <c r="AL49" i="44" s="1"/>
  <c r="Z49" i="44" s="1"/>
  <c r="D27" i="44" s="1"/>
  <c r="AH35" i="44"/>
  <c r="AI35" i="44"/>
  <c r="AJ35" i="44" s="1"/>
  <c r="AK35" i="44" s="1"/>
  <c r="AL35" i="44" s="1"/>
  <c r="Z35" i="44" s="1"/>
  <c r="D13" i="44" s="1"/>
  <c r="AH44" i="44"/>
  <c r="AI44" i="44" s="1"/>
  <c r="AJ44" i="44" s="1"/>
  <c r="AK44" i="44" s="1"/>
  <c r="AL44" i="44" s="1"/>
  <c r="Z44" i="44" s="1"/>
  <c r="D22" i="44" s="1"/>
  <c r="AH53" i="44"/>
  <c r="AI53" i="44" s="1"/>
  <c r="AJ53" i="44"/>
  <c r="AK53" i="44" s="1"/>
  <c r="AL53" i="44" s="1"/>
  <c r="Z53" i="44" s="1"/>
  <c r="D32" i="44" s="1"/>
  <c r="AH56" i="44"/>
  <c r="AI56" i="44" s="1"/>
  <c r="AJ56" i="44" s="1"/>
  <c r="AK56" i="44" s="1"/>
  <c r="AL56" i="44" s="1"/>
  <c r="Z56" i="44" s="1"/>
  <c r="D35" i="44" s="1"/>
  <c r="AH60" i="44"/>
  <c r="AI60" i="44"/>
  <c r="AJ60" i="44" s="1"/>
  <c r="AK60" i="44" s="1"/>
  <c r="AL60" i="44" s="1"/>
  <c r="Z60" i="44" s="1"/>
  <c r="D39" i="44" s="1"/>
  <c r="AH66" i="44"/>
  <c r="AI66" i="44" s="1"/>
  <c r="AJ66" i="44" s="1"/>
  <c r="AK66" i="44" s="1"/>
  <c r="AL66" i="44" s="1"/>
  <c r="Z66" i="44" s="1"/>
  <c r="E12" i="44" s="1"/>
  <c r="AH68" i="44"/>
  <c r="AI68" i="44"/>
  <c r="AJ68" i="44" s="1"/>
  <c r="AK68" i="44" s="1"/>
  <c r="AL68" i="44" s="1"/>
  <c r="Z68" i="44" s="1"/>
  <c r="E14" i="44" s="1"/>
  <c r="AH16" i="44"/>
  <c r="AI16" i="44" s="1"/>
  <c r="AJ16" i="44" s="1"/>
  <c r="AK16" i="44" s="1"/>
  <c r="AL16" i="44" s="1"/>
  <c r="Z16" i="44" s="1"/>
  <c r="C25" i="44" s="1"/>
  <c r="AH50" i="44"/>
  <c r="AI50" i="44" s="1"/>
  <c r="AJ50" i="44"/>
  <c r="AK50" i="44" s="1"/>
  <c r="AL50" i="44" s="1"/>
  <c r="Z50" i="44" s="1"/>
  <c r="D28" i="44" s="1"/>
  <c r="AH80" i="44"/>
  <c r="AI80" i="44" s="1"/>
  <c r="AJ80" i="44" s="1"/>
  <c r="AK80" i="44" s="1"/>
  <c r="AL80" i="44" s="1"/>
  <c r="Z80" i="44" s="1"/>
  <c r="E27" i="44" s="1"/>
  <c r="AH74" i="44"/>
  <c r="AI74" i="44"/>
  <c r="AJ74" i="44" s="1"/>
  <c r="AK74" i="44" s="1"/>
  <c r="AL74" i="44" s="1"/>
  <c r="Z74" i="44" s="1"/>
  <c r="E21" i="44" s="1"/>
  <c r="AH81" i="44"/>
  <c r="AI81" i="44" s="1"/>
  <c r="AJ81" i="44" s="1"/>
  <c r="AK81" i="44" s="1"/>
  <c r="AL81" i="44" s="1"/>
  <c r="Z81" i="44" s="1"/>
  <c r="E28" i="44" s="1"/>
  <c r="AH83" i="44"/>
  <c r="AI83" i="44"/>
  <c r="AJ83" i="44" s="1"/>
  <c r="AK83" i="44" s="1"/>
  <c r="AL83" i="44" s="1"/>
  <c r="Z83" i="44" s="1"/>
  <c r="E31" i="44" s="1"/>
  <c r="AH84" i="44"/>
  <c r="AI84" i="44" s="1"/>
  <c r="AJ84" i="44" s="1"/>
  <c r="AK84" i="44" s="1"/>
  <c r="AL84" i="44" s="1"/>
  <c r="AH87" i="44"/>
  <c r="AI87" i="44"/>
  <c r="AJ87" i="44" s="1"/>
  <c r="AK87" i="44" s="1"/>
  <c r="AL87" i="44" s="1"/>
  <c r="AH91" i="44"/>
  <c r="AI91" i="44"/>
  <c r="AJ91" i="44" s="1"/>
  <c r="AK91" i="44" s="1"/>
  <c r="AL91" i="44" s="1"/>
  <c r="AH96" i="44"/>
  <c r="AI96" i="44" s="1"/>
  <c r="AJ96" i="44"/>
  <c r="AK96" i="44" s="1"/>
  <c r="AL96" i="44" s="1"/>
  <c r="Z96" i="44" s="1"/>
  <c r="F12" i="44" s="1"/>
  <c r="AH51" i="44"/>
  <c r="AI51" i="44" s="1"/>
  <c r="AJ51" i="44" s="1"/>
  <c r="AK51" i="44" s="1"/>
  <c r="AL51" i="44" s="1"/>
  <c r="Z51" i="44" s="1"/>
  <c r="D29" i="44" s="1"/>
  <c r="AH70" i="44"/>
  <c r="AI70" i="44"/>
  <c r="AJ70" i="44" s="1"/>
  <c r="AK70" i="44" s="1"/>
  <c r="AL70" i="44" s="1"/>
  <c r="Z70" i="44" s="1"/>
  <c r="E16" i="44" s="1"/>
  <c r="AH89" i="44"/>
  <c r="AI89" i="44" s="1"/>
  <c r="AJ89" i="44" s="1"/>
  <c r="AK89" i="44" s="1"/>
  <c r="AL89" i="44" s="1"/>
  <c r="AH98" i="44"/>
  <c r="AI98" i="44" s="1"/>
  <c r="AJ98" i="44"/>
  <c r="AK98" i="44" s="1"/>
  <c r="AL98" i="44" s="1"/>
  <c r="Z98" i="44" s="1"/>
  <c r="F14" i="44" s="1"/>
  <c r="AH75" i="44"/>
  <c r="AI75" i="44" s="1"/>
  <c r="AJ75" i="44" s="1"/>
  <c r="AK75" i="44" s="1"/>
  <c r="AL75" i="44" s="1"/>
  <c r="Z75" i="44" s="1"/>
  <c r="E22" i="44" s="1"/>
  <c r="AH76" i="44"/>
  <c r="AI76" i="44"/>
  <c r="AJ76" i="44" s="1"/>
  <c r="AK76" i="44" s="1"/>
  <c r="AL76" i="44" s="1"/>
  <c r="Z76" i="44" s="1"/>
  <c r="E23" i="44" s="1"/>
  <c r="AH88" i="44"/>
  <c r="AI88" i="44" s="1"/>
  <c r="AJ88" i="44" s="1"/>
  <c r="AK88" i="44" s="1"/>
  <c r="AL88" i="44" s="1"/>
  <c r="AH95" i="44"/>
  <c r="AI95" i="44"/>
  <c r="AJ95" i="44" s="1"/>
  <c r="AK95" i="44" s="1"/>
  <c r="AL95" i="44" s="1"/>
  <c r="Z95" i="44" s="1"/>
  <c r="F11" i="44" s="1"/>
  <c r="AH99" i="44"/>
  <c r="AI99" i="44" s="1"/>
  <c r="AJ99" i="44" s="1"/>
  <c r="AK99" i="44" s="1"/>
  <c r="AL99" i="44" s="1"/>
  <c r="Z99" i="44" s="1"/>
  <c r="F15" i="44" s="1"/>
  <c r="AH107" i="44"/>
  <c r="AI107" i="44" s="1"/>
  <c r="AJ107" i="44"/>
  <c r="AK107" i="44" s="1"/>
  <c r="AL107" i="44" s="1"/>
  <c r="Z107" i="44" s="1"/>
  <c r="F24" i="44" s="1"/>
  <c r="AH111" i="44"/>
  <c r="AI111" i="44" s="1"/>
  <c r="AJ111" i="44" s="1"/>
  <c r="AK111" i="44" s="1"/>
  <c r="AL111" i="44" s="1"/>
  <c r="Z111" i="44" s="1"/>
  <c r="F28" i="44" s="1"/>
  <c r="AH115" i="44"/>
  <c r="AI115" i="44"/>
  <c r="AJ115" i="44" s="1"/>
  <c r="AK115" i="44" s="1"/>
  <c r="AL115" i="44" s="1"/>
  <c r="Z115" i="44" s="1"/>
  <c r="F33" i="44" s="1"/>
  <c r="AH123" i="44"/>
  <c r="AI123" i="44" s="1"/>
  <c r="AJ123" i="44" s="1"/>
  <c r="AK123" i="44" s="1"/>
  <c r="AL123" i="44" s="1"/>
  <c r="Z123" i="44" s="1"/>
  <c r="F41" i="44" s="1"/>
  <c r="AH126" i="44"/>
  <c r="AI126" i="44"/>
  <c r="AJ126" i="44" s="1"/>
  <c r="AK126" i="44" s="1"/>
  <c r="AL126" i="44" s="1"/>
  <c r="Z126" i="44" s="1"/>
  <c r="G11" i="44" s="1"/>
  <c r="AH130" i="44"/>
  <c r="AI130" i="44" s="1"/>
  <c r="AJ130" i="44" s="1"/>
  <c r="AK130" i="44" s="1"/>
  <c r="AL130" i="44" s="1"/>
  <c r="Z130" i="44" s="1"/>
  <c r="G15" i="44" s="1"/>
  <c r="AH138" i="44"/>
  <c r="AI138" i="44" s="1"/>
  <c r="AJ138" i="44"/>
  <c r="AK138" i="44" s="1"/>
  <c r="AL138" i="44" s="1"/>
  <c r="Z138" i="44" s="1"/>
  <c r="G24" i="44" s="1"/>
  <c r="AH142" i="44"/>
  <c r="AI142" i="44" s="1"/>
  <c r="AJ142" i="44" s="1"/>
  <c r="AK142" i="44" s="1"/>
  <c r="AL142" i="44" s="1"/>
  <c r="Z142" i="44" s="1"/>
  <c r="G28" i="44" s="1"/>
  <c r="AH146" i="44"/>
  <c r="AI146" i="44"/>
  <c r="AJ146" i="44" s="1"/>
  <c r="AK146" i="44" s="1"/>
  <c r="AL146" i="44" s="1"/>
  <c r="Z146" i="44" s="1"/>
  <c r="G33" i="44" s="1"/>
  <c r="AH97" i="44"/>
  <c r="AI97" i="44" s="1"/>
  <c r="AJ97" i="44" s="1"/>
  <c r="AK97" i="44" s="1"/>
  <c r="AL97" i="44" s="1"/>
  <c r="Z97" i="44" s="1"/>
  <c r="F13" i="44" s="1"/>
  <c r="AH100" i="44"/>
  <c r="AI100" i="44"/>
  <c r="AJ100" i="44" s="1"/>
  <c r="AK100" i="44" s="1"/>
  <c r="AL100" i="44" s="1"/>
  <c r="Z100" i="44" s="1"/>
  <c r="F16" i="44" s="1"/>
  <c r="AH104" i="44"/>
  <c r="AI104" i="44" s="1"/>
  <c r="AJ104" i="44" s="1"/>
  <c r="AK104" i="44" s="1"/>
  <c r="AL104" i="44" s="1"/>
  <c r="Z104" i="44" s="1"/>
  <c r="F21" i="44" s="1"/>
  <c r="AH112" i="44"/>
  <c r="AI112" i="44" s="1"/>
  <c r="AJ112" i="44"/>
  <c r="AK112" i="44" s="1"/>
  <c r="AL112" i="44" s="1"/>
  <c r="Z112" i="44" s="1"/>
  <c r="F29" i="44" s="1"/>
  <c r="AH116" i="44"/>
  <c r="AI116" i="44" s="1"/>
  <c r="AJ116" i="44" s="1"/>
  <c r="AK116" i="44" s="1"/>
  <c r="AL116" i="44" s="1"/>
  <c r="Z116" i="44" s="1"/>
  <c r="F34" i="44" s="1"/>
  <c r="AH120" i="44"/>
  <c r="AI120" i="44"/>
  <c r="AJ120" i="44" s="1"/>
  <c r="AK120" i="44" s="1"/>
  <c r="AL120" i="44" s="1"/>
  <c r="Z120" i="44" s="1"/>
  <c r="F38" i="44" s="1"/>
  <c r="AH101" i="44"/>
  <c r="AI101" i="44" s="1"/>
  <c r="AJ101" i="44" s="1"/>
  <c r="AK101" i="44" s="1"/>
  <c r="AL101" i="44" s="1"/>
  <c r="Z101" i="44" s="1"/>
  <c r="F17" i="44" s="1"/>
  <c r="AH105" i="44"/>
  <c r="AI105" i="44"/>
  <c r="AJ105" i="44" s="1"/>
  <c r="AK105" i="44" s="1"/>
  <c r="AL105" i="44" s="1"/>
  <c r="Z105" i="44" s="1"/>
  <c r="F22" i="44" s="1"/>
  <c r="AH109" i="44"/>
  <c r="AI109" i="44" s="1"/>
  <c r="AJ109" i="44" s="1"/>
  <c r="AK109" i="44" s="1"/>
  <c r="AL109" i="44" s="1"/>
  <c r="Z109" i="44" s="1"/>
  <c r="F26" i="44" s="1"/>
  <c r="AH117" i="44"/>
  <c r="AI117" i="44" s="1"/>
  <c r="AJ117" i="44"/>
  <c r="AK117" i="44" s="1"/>
  <c r="AL117" i="44" s="1"/>
  <c r="Z117" i="44" s="1"/>
  <c r="F35" i="44" s="1"/>
  <c r="AH121" i="44"/>
  <c r="AI121" i="44" s="1"/>
  <c r="AJ121" i="44" s="1"/>
  <c r="AK121" i="44" s="1"/>
  <c r="AL121" i="44" s="1"/>
  <c r="Z121" i="44" s="1"/>
  <c r="F39" i="44" s="1"/>
  <c r="AH124" i="44"/>
  <c r="AI124" i="44"/>
  <c r="AJ124" i="44" s="1"/>
  <c r="AK124" i="44" s="1"/>
  <c r="AL124" i="44" s="1"/>
  <c r="Z124" i="44" s="1"/>
  <c r="G9" i="44" s="1"/>
  <c r="AH132" i="44"/>
  <c r="AI132" i="44" s="1"/>
  <c r="AJ132" i="44" s="1"/>
  <c r="AK132" i="44" s="1"/>
  <c r="AL132" i="44" s="1"/>
  <c r="Z132" i="44" s="1"/>
  <c r="G17" i="44" s="1"/>
  <c r="AH136" i="44"/>
  <c r="AI136" i="44"/>
  <c r="AJ136" i="44" s="1"/>
  <c r="AK136" i="44" s="1"/>
  <c r="AL136" i="44" s="1"/>
  <c r="Z136" i="44" s="1"/>
  <c r="G22" i="44" s="1"/>
  <c r="AH140" i="44"/>
  <c r="AI140" i="44" s="1"/>
  <c r="AJ140" i="44" s="1"/>
  <c r="AK140" i="44" s="1"/>
  <c r="AL140" i="44" s="1"/>
  <c r="Z140" i="44" s="1"/>
  <c r="G26" i="44" s="1"/>
  <c r="AH90" i="44"/>
  <c r="AI90" i="44" s="1"/>
  <c r="AJ90" i="44"/>
  <c r="AK90" i="44" s="1"/>
  <c r="AL90" i="44" s="1"/>
  <c r="AH106" i="44"/>
  <c r="AI106" i="44" s="1"/>
  <c r="AJ106" i="44" s="1"/>
  <c r="AK106" i="44" s="1"/>
  <c r="AL106" i="44" s="1"/>
  <c r="Z106" i="44" s="1"/>
  <c r="F23" i="44" s="1"/>
  <c r="AH110" i="44"/>
  <c r="AI110" i="44"/>
  <c r="AJ110" i="44" s="1"/>
  <c r="AK110" i="44" s="1"/>
  <c r="AL110" i="44" s="1"/>
  <c r="Z110" i="44" s="1"/>
  <c r="F27" i="44" s="1"/>
  <c r="AH114" i="44"/>
  <c r="AI114" i="44" s="1"/>
  <c r="AJ114" i="44" s="1"/>
  <c r="AK114" i="44" s="1"/>
  <c r="AL114" i="44" s="1"/>
  <c r="Z114" i="44" s="1"/>
  <c r="F32" i="44" s="1"/>
  <c r="AH122" i="44"/>
  <c r="AI122" i="44" s="1"/>
  <c r="AJ122" i="44"/>
  <c r="AK122" i="44" s="1"/>
  <c r="AL122" i="44" s="1"/>
  <c r="Z122" i="44" s="1"/>
  <c r="F40" i="44" s="1"/>
  <c r="AH125" i="44"/>
  <c r="AI125" i="44" s="1"/>
  <c r="AJ125" i="44" s="1"/>
  <c r="AK125" i="44" s="1"/>
  <c r="AL125" i="44" s="1"/>
  <c r="Z125" i="44" s="1"/>
  <c r="G10" i="44" s="1"/>
  <c r="AH129" i="44"/>
  <c r="AI129" i="44"/>
  <c r="AJ129" i="44" s="1"/>
  <c r="AK129" i="44" s="1"/>
  <c r="AL129" i="44" s="1"/>
  <c r="Z129" i="44" s="1"/>
  <c r="G14" i="44" s="1"/>
  <c r="AH137" i="44"/>
  <c r="AI137" i="44" s="1"/>
  <c r="AJ137" i="44" s="1"/>
  <c r="AK137" i="44" s="1"/>
  <c r="AL137" i="44" s="1"/>
  <c r="Z137" i="44" s="1"/>
  <c r="G23" i="44" s="1"/>
  <c r="AH141" i="44"/>
  <c r="AI141" i="44"/>
  <c r="AJ141" i="44" s="1"/>
  <c r="AK141" i="44" s="1"/>
  <c r="AL141" i="44" s="1"/>
  <c r="Z141" i="44" s="1"/>
  <c r="G27" i="44" s="1"/>
  <c r="AH127" i="44"/>
  <c r="AI127" i="44" s="1"/>
  <c r="AJ127" i="44" s="1"/>
  <c r="AK127" i="44" s="1"/>
  <c r="AL127" i="44" s="1"/>
  <c r="Z127" i="44" s="1"/>
  <c r="G12" i="44" s="1"/>
  <c r="AH151" i="44"/>
  <c r="AI151" i="44" s="1"/>
  <c r="AJ151" i="44"/>
  <c r="AK151" i="44" s="1"/>
  <c r="AL151" i="44" s="1"/>
  <c r="Z151" i="44" s="1"/>
  <c r="G38" i="44" s="1"/>
  <c r="AH158" i="44"/>
  <c r="AI158" i="44" s="1"/>
  <c r="AJ158" i="44" s="1"/>
  <c r="AK158" i="44" s="1"/>
  <c r="AL158" i="44" s="1"/>
  <c r="Z158" i="44" s="1"/>
  <c r="H12" i="44" s="1"/>
  <c r="AH162" i="44"/>
  <c r="AI162" i="44"/>
  <c r="AJ162" i="44" s="1"/>
  <c r="AK162" i="44" s="1"/>
  <c r="AL162" i="44" s="1"/>
  <c r="Z162" i="44" s="1"/>
  <c r="H16" i="44" s="1"/>
  <c r="AH170" i="44"/>
  <c r="AI170" i="44" s="1"/>
  <c r="AJ170" i="44" s="1"/>
  <c r="AK170" i="44" s="1"/>
  <c r="AL170" i="44" s="1"/>
  <c r="Z170" i="44" s="1"/>
  <c r="H25" i="44" s="1"/>
  <c r="AH174" i="44"/>
  <c r="AI174" i="44"/>
  <c r="AJ174" i="44" s="1"/>
  <c r="AK174" i="44" s="1"/>
  <c r="AL174" i="44" s="1"/>
  <c r="Z174" i="44" s="1"/>
  <c r="H29" i="44" s="1"/>
  <c r="AH178" i="44"/>
  <c r="AI178" i="44" s="1"/>
  <c r="AJ178" i="44" s="1"/>
  <c r="AK178" i="44" s="1"/>
  <c r="AL178" i="44" s="1"/>
  <c r="Z178" i="44" s="1"/>
  <c r="H34" i="44" s="1"/>
  <c r="AH185" i="44"/>
  <c r="AI185" i="44" s="1"/>
  <c r="AJ185" i="44"/>
  <c r="AK185" i="44" s="1"/>
  <c r="AL185" i="44" s="1"/>
  <c r="Z185" i="44" s="1"/>
  <c r="I9" i="44" s="1"/>
  <c r="AH189" i="44"/>
  <c r="AI189" i="44" s="1"/>
  <c r="AJ189" i="44" s="1"/>
  <c r="AK189" i="44" s="1"/>
  <c r="AL189" i="44" s="1"/>
  <c r="Z189" i="44" s="1"/>
  <c r="I13" i="44" s="1"/>
  <c r="AH193" i="44"/>
  <c r="AI193" i="44"/>
  <c r="AJ193" i="44" s="1"/>
  <c r="AK193" i="44" s="1"/>
  <c r="AL193" i="44" s="1"/>
  <c r="Z193" i="44" s="1"/>
  <c r="I17" i="44" s="1"/>
  <c r="AH131" i="44"/>
  <c r="AI131" i="44" s="1"/>
  <c r="AJ131" i="44" s="1"/>
  <c r="AK131" i="44" s="1"/>
  <c r="AL131" i="44" s="1"/>
  <c r="Z131" i="44" s="1"/>
  <c r="G16" i="44" s="1"/>
  <c r="AH145" i="44"/>
  <c r="AI145" i="44"/>
  <c r="AJ145" i="44" s="1"/>
  <c r="AK145" i="44" s="1"/>
  <c r="AL145" i="44" s="1"/>
  <c r="Z145" i="44" s="1"/>
  <c r="G32" i="44" s="1"/>
  <c r="AH148" i="44"/>
  <c r="AI148" i="44" s="1"/>
  <c r="AJ148" i="44" s="1"/>
  <c r="AK148" i="44" s="1"/>
  <c r="AL148" i="44" s="1"/>
  <c r="Z148" i="44" s="1"/>
  <c r="G35" i="44" s="1"/>
  <c r="AH155" i="44"/>
  <c r="AI155" i="44" s="1"/>
  <c r="AJ155" i="44"/>
  <c r="AK155" i="44" s="1"/>
  <c r="AL155" i="44" s="1"/>
  <c r="Z155" i="44" s="1"/>
  <c r="H9" i="44" s="1"/>
  <c r="AH135" i="44"/>
  <c r="AI135" i="44" s="1"/>
  <c r="AJ135" i="44" s="1"/>
  <c r="AK135" i="44" s="1"/>
  <c r="AL135" i="44" s="1"/>
  <c r="Z135" i="44" s="1"/>
  <c r="G21" i="44" s="1"/>
  <c r="AH149" i="44"/>
  <c r="AI149" i="44"/>
  <c r="AJ149" i="44" s="1"/>
  <c r="AK149" i="44" s="1"/>
  <c r="AL149" i="44" s="1"/>
  <c r="Z149" i="44" s="1"/>
  <c r="G36" i="44" s="1"/>
  <c r="AH156" i="44"/>
  <c r="AI156" i="44" s="1"/>
  <c r="AJ156" i="44" s="1"/>
  <c r="AK156" i="44" s="1"/>
  <c r="AL156" i="44" s="1"/>
  <c r="Z156" i="44" s="1"/>
  <c r="H10" i="44" s="1"/>
  <c r="AH160" i="44"/>
  <c r="AI160" i="44"/>
  <c r="AJ160" i="44" s="1"/>
  <c r="AK160" i="44" s="1"/>
  <c r="AL160" i="44" s="1"/>
  <c r="Z160" i="44" s="1"/>
  <c r="H14" i="44" s="1"/>
  <c r="AH164" i="44"/>
  <c r="AI164" i="44" s="1"/>
  <c r="AJ164" i="44" s="1"/>
  <c r="AK164" i="44" s="1"/>
  <c r="AL164" i="44" s="1"/>
  <c r="Z164" i="44" s="1"/>
  <c r="H18" i="44" s="1"/>
  <c r="AW167" i="32" s="1"/>
  <c r="AH172" i="44"/>
  <c r="AI172" i="44" s="1"/>
  <c r="AJ172" i="44"/>
  <c r="AK172" i="44" s="1"/>
  <c r="AL172" i="44" s="1"/>
  <c r="Z172" i="44" s="1"/>
  <c r="H27" i="44" s="1"/>
  <c r="AH176" i="44"/>
  <c r="AI176" i="44" s="1"/>
  <c r="AJ176" i="44" s="1"/>
  <c r="AK176" i="44" s="1"/>
  <c r="AL176" i="44" s="1"/>
  <c r="Z176" i="44" s="1"/>
  <c r="H32" i="44" s="1"/>
  <c r="AH180" i="44"/>
  <c r="AI180" i="44"/>
  <c r="AJ180" i="44" s="1"/>
  <c r="AK180" i="44" s="1"/>
  <c r="AL180" i="44" s="1"/>
  <c r="Z180" i="44" s="1"/>
  <c r="H36" i="44" s="1"/>
  <c r="AH187" i="44"/>
  <c r="AI187" i="44" s="1"/>
  <c r="AJ187" i="44" s="1"/>
  <c r="AK187" i="44" s="1"/>
  <c r="AL187" i="44" s="1"/>
  <c r="Z187" i="44" s="1"/>
  <c r="I11" i="44" s="1"/>
  <c r="AH191" i="44"/>
  <c r="AI191" i="44"/>
  <c r="AJ191" i="44" s="1"/>
  <c r="AK191" i="44" s="1"/>
  <c r="AL191" i="44" s="1"/>
  <c r="Z191" i="44" s="1"/>
  <c r="I15" i="44" s="1"/>
  <c r="AH194" i="44"/>
  <c r="AI194" i="44" s="1"/>
  <c r="AJ194" i="44" s="1"/>
  <c r="AK194" i="44" s="1"/>
  <c r="AL194" i="44" s="1"/>
  <c r="Z194" i="44" s="1"/>
  <c r="I18" i="44" s="1"/>
  <c r="AH197" i="44"/>
  <c r="AI197" i="44"/>
  <c r="AJ197" i="44"/>
  <c r="AK197" i="44" s="1"/>
  <c r="AL197" i="44" s="1"/>
  <c r="Z197" i="44" s="1"/>
  <c r="I22" i="44" s="1"/>
  <c r="AH139" i="44"/>
  <c r="AI139" i="44" s="1"/>
  <c r="AJ139" i="44" s="1"/>
  <c r="AK139" i="44" s="1"/>
  <c r="AL139" i="44" s="1"/>
  <c r="Z139" i="44" s="1"/>
  <c r="G25" i="44" s="1"/>
  <c r="AH147" i="44"/>
  <c r="AI147" i="44"/>
  <c r="AJ147" i="44" s="1"/>
  <c r="AK147" i="44" s="1"/>
  <c r="AL147" i="44" s="1"/>
  <c r="Z147" i="44" s="1"/>
  <c r="G34" i="44" s="1"/>
  <c r="AH150" i="44"/>
  <c r="AI150" i="44" s="1"/>
  <c r="AJ150" i="44" s="1"/>
  <c r="AK150" i="44" s="1"/>
  <c r="AL150" i="44" s="1"/>
  <c r="Z150" i="44" s="1"/>
  <c r="G37" i="44" s="1"/>
  <c r="AW153" i="32" s="1"/>
  <c r="AH154" i="44"/>
  <c r="AI154" i="44"/>
  <c r="AJ154" i="44"/>
  <c r="AK154" i="44" s="1"/>
  <c r="AL154" i="44" s="1"/>
  <c r="Z154" i="44" s="1"/>
  <c r="G41" i="44" s="1"/>
  <c r="AH157" i="44"/>
  <c r="AI157" i="44" s="1"/>
  <c r="AJ157" i="44" s="1"/>
  <c r="AK157" i="44" s="1"/>
  <c r="AL157" i="44" s="1"/>
  <c r="Z157" i="44" s="1"/>
  <c r="H11" i="44" s="1"/>
  <c r="AH161" i="44"/>
  <c r="AI161" i="44"/>
  <c r="AJ161" i="44" s="1"/>
  <c r="AK161" i="44" s="1"/>
  <c r="AL161" i="44" s="1"/>
  <c r="Z161" i="44" s="1"/>
  <c r="H15" i="44" s="1"/>
  <c r="AH165" i="44"/>
  <c r="AI165" i="44" s="1"/>
  <c r="AJ165" i="44" s="1"/>
  <c r="AK165" i="44" s="1"/>
  <c r="AL165" i="44" s="1"/>
  <c r="Z165" i="44" s="1"/>
  <c r="H20" i="44" s="1"/>
  <c r="AH169" i="44"/>
  <c r="AI169" i="44"/>
  <c r="AJ169" i="44"/>
  <c r="AK169" i="44" s="1"/>
  <c r="AL169" i="44" s="1"/>
  <c r="Z169" i="44" s="1"/>
  <c r="H24" i="44" s="1"/>
  <c r="AH173" i="44"/>
  <c r="AI173" i="44" s="1"/>
  <c r="AJ173" i="44" s="1"/>
  <c r="AK173" i="44" s="1"/>
  <c r="AL173" i="44" s="1"/>
  <c r="Z173" i="44" s="1"/>
  <c r="H28" i="44" s="1"/>
  <c r="AH177" i="44"/>
  <c r="AI177" i="44"/>
  <c r="AJ177" i="44" s="1"/>
  <c r="AK177" i="44" s="1"/>
  <c r="AL177" i="44" s="1"/>
  <c r="Z177" i="44" s="1"/>
  <c r="H33" i="44" s="1"/>
  <c r="AH181" i="44"/>
  <c r="AI181" i="44" s="1"/>
  <c r="AJ181" i="44" s="1"/>
  <c r="AK181" i="44" s="1"/>
  <c r="AL181" i="44" s="1"/>
  <c r="Z181" i="44" s="1"/>
  <c r="H37" i="44" s="1"/>
  <c r="AH188" i="44"/>
  <c r="AI188" i="44"/>
  <c r="AJ188" i="44"/>
  <c r="AK188" i="44" s="1"/>
  <c r="AL188" i="44" s="1"/>
  <c r="Z188" i="44" s="1"/>
  <c r="I12" i="44" s="1"/>
  <c r="AH167" i="44"/>
  <c r="AI167" i="44" s="1"/>
  <c r="AJ167" i="44" s="1"/>
  <c r="AK167" i="44" s="1"/>
  <c r="AL167" i="44" s="1"/>
  <c r="Z167" i="44" s="1"/>
  <c r="H22" i="44" s="1"/>
  <c r="AH183" i="44"/>
  <c r="AI183" i="44"/>
  <c r="AJ183" i="44" s="1"/>
  <c r="AK183" i="44" s="1"/>
  <c r="AL183" i="44" s="1"/>
  <c r="Z183" i="44" s="1"/>
  <c r="H39" i="44" s="1"/>
  <c r="H41" i="45" s="1"/>
  <c r="AH186" i="44"/>
  <c r="AI186" i="44" s="1"/>
  <c r="AJ186" i="44" s="1"/>
  <c r="AK186" i="44" s="1"/>
  <c r="AL186" i="44" s="1"/>
  <c r="Z186" i="44" s="1"/>
  <c r="I10" i="44" s="1"/>
  <c r="AH199" i="44"/>
  <c r="AI199" i="44"/>
  <c r="AJ199" i="44"/>
  <c r="AK199" i="44" s="1"/>
  <c r="AL199" i="44" s="1"/>
  <c r="Z199" i="44" s="1"/>
  <c r="I24" i="44" s="1"/>
  <c r="AH203" i="44"/>
  <c r="AI203" i="44" s="1"/>
  <c r="AJ203" i="44" s="1"/>
  <c r="AK203" i="44" s="1"/>
  <c r="AL203" i="44" s="1"/>
  <c r="Z203" i="44" s="1"/>
  <c r="I28" i="44" s="1"/>
  <c r="AH207" i="44"/>
  <c r="AI207" i="44"/>
  <c r="AJ207" i="44" s="1"/>
  <c r="AK207" i="44" s="1"/>
  <c r="AL207" i="44" s="1"/>
  <c r="Z207" i="44" s="1"/>
  <c r="I33" i="44" s="1"/>
  <c r="AH211" i="44"/>
  <c r="AI211" i="44" s="1"/>
  <c r="AJ211" i="44" s="1"/>
  <c r="AK211" i="44" s="1"/>
  <c r="AL211" i="44" s="1"/>
  <c r="Z211" i="44" s="1"/>
  <c r="I37" i="44" s="1"/>
  <c r="AW214" i="32" s="1"/>
  <c r="AH215" i="44"/>
  <c r="AI215" i="44"/>
  <c r="AJ215" i="44"/>
  <c r="AK215" i="44" s="1"/>
  <c r="AL215" i="44" s="1"/>
  <c r="Z215" i="44" s="1"/>
  <c r="I41" i="44" s="1"/>
  <c r="AH218" i="44"/>
  <c r="AI218" i="44" s="1"/>
  <c r="AJ218" i="44" s="1"/>
  <c r="AK218" i="44" s="1"/>
  <c r="AL218" i="44" s="1"/>
  <c r="Z218" i="44" s="1"/>
  <c r="J11" i="44" s="1"/>
  <c r="AH222" i="44"/>
  <c r="AI222" i="44"/>
  <c r="AJ222" i="44" s="1"/>
  <c r="AK222" i="44" s="1"/>
  <c r="AL222" i="44" s="1"/>
  <c r="Z222" i="44" s="1"/>
  <c r="J15" i="44" s="1"/>
  <c r="AH226" i="44"/>
  <c r="AI226" i="44" s="1"/>
  <c r="AJ226" i="44" s="1"/>
  <c r="AK226" i="44" s="1"/>
  <c r="AL226" i="44" s="1"/>
  <c r="Z226" i="44" s="1"/>
  <c r="J20" i="44" s="1"/>
  <c r="J22" i="45" s="1"/>
  <c r="AH230" i="44"/>
  <c r="AI230" i="44"/>
  <c r="AJ230" i="44"/>
  <c r="AK230" i="44" s="1"/>
  <c r="AL230" i="44" s="1"/>
  <c r="Z230" i="44" s="1"/>
  <c r="J24" i="44" s="1"/>
  <c r="AH234" i="44"/>
  <c r="AI234" i="44" s="1"/>
  <c r="AJ234" i="44" s="1"/>
  <c r="AK234" i="44" s="1"/>
  <c r="AL234" i="44" s="1"/>
  <c r="Z234" i="44" s="1"/>
  <c r="J28" i="44" s="1"/>
  <c r="AH238" i="44"/>
  <c r="AI238" i="44"/>
  <c r="AJ238" i="44" s="1"/>
  <c r="AK238" i="44" s="1"/>
  <c r="AL238" i="44" s="1"/>
  <c r="Z238" i="44" s="1"/>
  <c r="J33" i="44" s="1"/>
  <c r="AH242" i="44"/>
  <c r="AI242" i="44" s="1"/>
  <c r="AJ242" i="44" s="1"/>
  <c r="AK242" i="44" s="1"/>
  <c r="AL242" i="44" s="1"/>
  <c r="Z242" i="44" s="1"/>
  <c r="J37" i="44" s="1"/>
  <c r="AH249" i="44"/>
  <c r="AI249" i="44"/>
  <c r="AJ249" i="44"/>
  <c r="AK249" i="44" s="1"/>
  <c r="AL249" i="44" s="1"/>
  <c r="Z249" i="44" s="1"/>
  <c r="K12" i="44" s="1"/>
  <c r="AH253" i="44"/>
  <c r="AI253" i="44" s="1"/>
  <c r="AJ253" i="44" s="1"/>
  <c r="AK253" i="44" s="1"/>
  <c r="AL253" i="44" s="1"/>
  <c r="Z253" i="44" s="1"/>
  <c r="K16" i="44" s="1"/>
  <c r="AH257" i="44"/>
  <c r="AI257" i="44"/>
  <c r="AJ257" i="44" s="1"/>
  <c r="AK257" i="44" s="1"/>
  <c r="AL257" i="44" s="1"/>
  <c r="Z257" i="44" s="1"/>
  <c r="K21" i="44" s="1"/>
  <c r="K23" i="45" s="1"/>
  <c r="AH261" i="44"/>
  <c r="AI261" i="44" s="1"/>
  <c r="AJ261" i="44" s="1"/>
  <c r="AK261" i="44" s="1"/>
  <c r="AL261" i="44" s="1"/>
  <c r="Z261" i="44" s="1"/>
  <c r="K25" i="44" s="1"/>
  <c r="K27" i="45" s="1"/>
  <c r="AH265" i="44"/>
  <c r="AI265" i="44"/>
  <c r="AJ265" i="44"/>
  <c r="AK265" i="44" s="1"/>
  <c r="AL265" i="44" s="1"/>
  <c r="Z265" i="44" s="1"/>
  <c r="K29" i="44" s="1"/>
  <c r="AH171" i="44"/>
  <c r="AI171" i="44" s="1"/>
  <c r="AJ171" i="44" s="1"/>
  <c r="AK171" i="44" s="1"/>
  <c r="AL171" i="44" s="1"/>
  <c r="Z171" i="44" s="1"/>
  <c r="H26" i="44" s="1"/>
  <c r="AH190" i="44"/>
  <c r="AI190" i="44"/>
  <c r="AJ190" i="44" s="1"/>
  <c r="AK190" i="44" s="1"/>
  <c r="AL190" i="44" s="1"/>
  <c r="Z190" i="44" s="1"/>
  <c r="I14" i="44" s="1"/>
  <c r="AH200" i="44"/>
  <c r="AI200" i="44" s="1"/>
  <c r="AJ200" i="44" s="1"/>
  <c r="AK200" i="44" s="1"/>
  <c r="AL200" i="44" s="1"/>
  <c r="Z200" i="44" s="1"/>
  <c r="I25" i="44" s="1"/>
  <c r="AW203" i="32" s="1"/>
  <c r="AH204" i="44"/>
  <c r="AI204" i="44"/>
  <c r="AJ204" i="44" s="1"/>
  <c r="AK204" i="44" s="1"/>
  <c r="AL204" i="44" s="1"/>
  <c r="Z204" i="44" s="1"/>
  <c r="I29" i="44" s="1"/>
  <c r="AH208" i="44"/>
  <c r="AI208" i="44" s="1"/>
  <c r="AJ208" i="44" s="1"/>
  <c r="AK208" i="44" s="1"/>
  <c r="AL208" i="44" s="1"/>
  <c r="Z208" i="44" s="1"/>
  <c r="I34" i="44" s="1"/>
  <c r="AH212" i="44"/>
  <c r="AI212" i="44"/>
  <c r="AJ212" i="44" s="1"/>
  <c r="AK212" i="44" s="1"/>
  <c r="AL212" i="44" s="1"/>
  <c r="Z212" i="44" s="1"/>
  <c r="I38" i="44" s="1"/>
  <c r="AH159" i="44"/>
  <c r="AI159" i="44" s="1"/>
  <c r="AJ159" i="44" s="1"/>
  <c r="AK159" i="44" s="1"/>
  <c r="AL159" i="44" s="1"/>
  <c r="Z159" i="44" s="1"/>
  <c r="H13" i="44" s="1"/>
  <c r="H15" i="45" s="1"/>
  <c r="AH175" i="44"/>
  <c r="AI175" i="44"/>
  <c r="AJ175" i="44" s="1"/>
  <c r="AK175" i="44" s="1"/>
  <c r="AL175" i="44" s="1"/>
  <c r="Z175" i="44" s="1"/>
  <c r="H31" i="44" s="1"/>
  <c r="AH201" i="44"/>
  <c r="AI201" i="44" s="1"/>
  <c r="AJ201" i="44" s="1"/>
  <c r="AK201" i="44" s="1"/>
  <c r="AL201" i="44" s="1"/>
  <c r="Z201" i="44" s="1"/>
  <c r="I26" i="44" s="1"/>
  <c r="AH205" i="44"/>
  <c r="AI205" i="44"/>
  <c r="AJ205" i="44" s="1"/>
  <c r="AK205" i="44" s="1"/>
  <c r="AL205" i="44" s="1"/>
  <c r="Z205" i="44" s="1"/>
  <c r="I31" i="44" s="1"/>
  <c r="AH209" i="44"/>
  <c r="AI209" i="44" s="1"/>
  <c r="AJ209" i="44" s="1"/>
  <c r="AK209" i="44" s="1"/>
  <c r="AL209" i="44" s="1"/>
  <c r="Z209" i="44" s="1"/>
  <c r="I35" i="44" s="1"/>
  <c r="I37" i="45" s="1"/>
  <c r="AH213" i="44"/>
  <c r="AI213" i="44"/>
  <c r="AJ213" i="44" s="1"/>
  <c r="AK213" i="44" s="1"/>
  <c r="AL213" i="44" s="1"/>
  <c r="Z213" i="44" s="1"/>
  <c r="I39" i="44" s="1"/>
  <c r="AH216" i="44"/>
  <c r="AI216" i="44" s="1"/>
  <c r="AJ216" i="44" s="1"/>
  <c r="AK216" i="44" s="1"/>
  <c r="AL216" i="44" s="1"/>
  <c r="Z216" i="44" s="1"/>
  <c r="J9" i="44" s="1"/>
  <c r="AH220" i="44"/>
  <c r="AI220" i="44"/>
  <c r="AJ220" i="44" s="1"/>
  <c r="AK220" i="44" s="1"/>
  <c r="AL220" i="44" s="1"/>
  <c r="Z220" i="44" s="1"/>
  <c r="J13" i="44" s="1"/>
  <c r="AH224" i="44"/>
  <c r="AI224" i="44" s="1"/>
  <c r="AJ224" i="44" s="1"/>
  <c r="AK224" i="44" s="1"/>
  <c r="AL224" i="44" s="1"/>
  <c r="Z224" i="44" s="1"/>
  <c r="J17" i="44" s="1"/>
  <c r="J19" i="45" s="1"/>
  <c r="AH228" i="44"/>
  <c r="AI228" i="44"/>
  <c r="AJ228" i="44" s="1"/>
  <c r="AK228" i="44" s="1"/>
  <c r="AL228" i="44" s="1"/>
  <c r="Z228" i="44" s="1"/>
  <c r="J22" i="44" s="1"/>
  <c r="AH232" i="44"/>
  <c r="AI232" i="44" s="1"/>
  <c r="AJ232" i="44" s="1"/>
  <c r="AK232" i="44" s="1"/>
  <c r="AL232" i="44" s="1"/>
  <c r="Z232" i="44" s="1"/>
  <c r="J26" i="44" s="1"/>
  <c r="AH236" i="44"/>
  <c r="AI236" i="44"/>
  <c r="AJ236" i="44" s="1"/>
  <c r="AK236" i="44" s="1"/>
  <c r="AL236" i="44" s="1"/>
  <c r="Z236" i="44" s="1"/>
  <c r="J31" i="44" s="1"/>
  <c r="AH240" i="44"/>
  <c r="AI240" i="44" s="1"/>
  <c r="AJ240" i="44" s="1"/>
  <c r="AK240" i="44" s="1"/>
  <c r="AL240" i="44" s="1"/>
  <c r="Z240" i="44" s="1"/>
  <c r="J35" i="44" s="1"/>
  <c r="AW243" i="32" s="1"/>
  <c r="AH244" i="44"/>
  <c r="AI244" i="44"/>
  <c r="AJ244" i="44" s="1"/>
  <c r="AK244" i="44" s="1"/>
  <c r="AL244" i="44" s="1"/>
  <c r="Z244" i="44" s="1"/>
  <c r="J39" i="44" s="1"/>
  <c r="AH247" i="44"/>
  <c r="AI247" i="44" s="1"/>
  <c r="AJ247" i="44" s="1"/>
  <c r="AK247" i="44" s="1"/>
  <c r="AL247" i="44" s="1"/>
  <c r="Z247" i="44" s="1"/>
  <c r="K10" i="44" s="1"/>
  <c r="AH251" i="44"/>
  <c r="AI251" i="44"/>
  <c r="AJ251" i="44" s="1"/>
  <c r="AK251" i="44" s="1"/>
  <c r="AL251" i="44" s="1"/>
  <c r="Z251" i="44" s="1"/>
  <c r="K14" i="44" s="1"/>
  <c r="AH255" i="44"/>
  <c r="AI255" i="44" s="1"/>
  <c r="AJ255" i="44" s="1"/>
  <c r="AK255" i="44" s="1"/>
  <c r="AL255" i="44" s="1"/>
  <c r="Z255" i="44" s="1"/>
  <c r="K18" i="44" s="1"/>
  <c r="K20" i="45" s="1"/>
  <c r="AH259" i="44"/>
  <c r="AI259" i="44"/>
  <c r="AJ259" i="44" s="1"/>
  <c r="AK259" i="44" s="1"/>
  <c r="AL259" i="44" s="1"/>
  <c r="Z259" i="44" s="1"/>
  <c r="K23" i="44" s="1"/>
  <c r="AH263" i="44"/>
  <c r="AI263" i="44" s="1"/>
  <c r="AJ263" i="44" s="1"/>
  <c r="AK263" i="44" s="1"/>
  <c r="AL263" i="44" s="1"/>
  <c r="Z263" i="44" s="1"/>
  <c r="K27" i="44" s="1"/>
  <c r="AH267" i="44"/>
  <c r="AI267" i="44"/>
  <c r="AJ267" i="44" s="1"/>
  <c r="AK267" i="44" s="1"/>
  <c r="AL267" i="44" s="1"/>
  <c r="Z267" i="44" s="1"/>
  <c r="K32" i="44" s="1"/>
  <c r="AH163" i="44"/>
  <c r="AI163" i="44" s="1"/>
  <c r="AJ163" i="44" s="1"/>
  <c r="AK163" i="44" s="1"/>
  <c r="AL163" i="44" s="1"/>
  <c r="Z163" i="44" s="1"/>
  <c r="H17" i="44" s="1"/>
  <c r="H19" i="45" s="1"/>
  <c r="AH179" i="44"/>
  <c r="AI179" i="44"/>
  <c r="AJ179" i="44" s="1"/>
  <c r="AK179" i="44" s="1"/>
  <c r="AL179" i="44" s="1"/>
  <c r="Z179" i="44" s="1"/>
  <c r="H35" i="44" s="1"/>
  <c r="AH192" i="44"/>
  <c r="AI192" i="44" s="1"/>
  <c r="AJ192" i="44" s="1"/>
  <c r="AK192" i="44" s="1"/>
  <c r="AL192" i="44" s="1"/>
  <c r="Z192" i="44" s="1"/>
  <c r="I16" i="44" s="1"/>
  <c r="AH196" i="44"/>
  <c r="AI196" i="44"/>
  <c r="AJ196" i="44" s="1"/>
  <c r="AK196" i="44" s="1"/>
  <c r="AL196" i="44" s="1"/>
  <c r="Z196" i="44" s="1"/>
  <c r="I21" i="44" s="1"/>
  <c r="AH198" i="44"/>
  <c r="AI198" i="44" s="1"/>
  <c r="AJ198" i="44" s="1"/>
  <c r="AK198" i="44" s="1"/>
  <c r="AL198" i="44" s="1"/>
  <c r="Z198" i="44" s="1"/>
  <c r="I23" i="44" s="1"/>
  <c r="I25" i="45" s="1"/>
  <c r="AH202" i="44"/>
  <c r="AI202" i="44"/>
  <c r="AJ202" i="44" s="1"/>
  <c r="AK202" i="44" s="1"/>
  <c r="AL202" i="44" s="1"/>
  <c r="Z202" i="44" s="1"/>
  <c r="I27" i="44" s="1"/>
  <c r="AH206" i="44"/>
  <c r="AI206" i="44" s="1"/>
  <c r="AJ206" i="44" s="1"/>
  <c r="AK206" i="44" s="1"/>
  <c r="AL206" i="44" s="1"/>
  <c r="Z206" i="44" s="1"/>
  <c r="I32" i="44" s="1"/>
  <c r="AH210" i="44"/>
  <c r="AI210" i="44"/>
  <c r="AJ210" i="44" s="1"/>
  <c r="AK210" i="44" s="1"/>
  <c r="AL210" i="44" s="1"/>
  <c r="Z210" i="44" s="1"/>
  <c r="I36" i="44" s="1"/>
  <c r="AH214" i="44"/>
  <c r="AI214" i="44" s="1"/>
  <c r="AJ214" i="44" s="1"/>
  <c r="AK214" i="44" s="1"/>
  <c r="AL214" i="44" s="1"/>
  <c r="Z214" i="44" s="1"/>
  <c r="I40" i="44" s="1"/>
  <c r="I42" i="45" s="1"/>
  <c r="AH217" i="44"/>
  <c r="AI217" i="44"/>
  <c r="AJ217" i="44" s="1"/>
  <c r="AK217" i="44" s="1"/>
  <c r="AL217" i="44" s="1"/>
  <c r="Z217" i="44" s="1"/>
  <c r="J10" i="44" s="1"/>
  <c r="AH221" i="44"/>
  <c r="AI221" i="44" s="1"/>
  <c r="AJ221" i="44" s="1"/>
  <c r="AK221" i="44" s="1"/>
  <c r="AL221" i="44" s="1"/>
  <c r="Z221" i="44" s="1"/>
  <c r="J14" i="44" s="1"/>
  <c r="AH225" i="44"/>
  <c r="AI225" i="44"/>
  <c r="AJ225" i="44" s="1"/>
  <c r="AK225" i="44" s="1"/>
  <c r="AL225" i="44" s="1"/>
  <c r="Z225" i="44" s="1"/>
  <c r="J18" i="44" s="1"/>
  <c r="AH229" i="44"/>
  <c r="AI229" i="44" s="1"/>
  <c r="AJ229" i="44" s="1"/>
  <c r="AK229" i="44" s="1"/>
  <c r="AL229" i="44" s="1"/>
  <c r="Z229" i="44" s="1"/>
  <c r="J23" i="44" s="1"/>
  <c r="J25" i="45" s="1"/>
  <c r="AH233" i="44"/>
  <c r="AI233" i="44"/>
  <c r="AJ233" i="44" s="1"/>
  <c r="AK233" i="44" s="1"/>
  <c r="AL233" i="44" s="1"/>
  <c r="Z233" i="44" s="1"/>
  <c r="J27" i="44" s="1"/>
  <c r="J29" i="45" s="1"/>
  <c r="AH237" i="44"/>
  <c r="AI237" i="44" s="1"/>
  <c r="AJ237" i="44" s="1"/>
  <c r="AK237" i="44" s="1"/>
  <c r="AL237" i="44" s="1"/>
  <c r="Z237" i="44" s="1"/>
  <c r="J32" i="44" s="1"/>
  <c r="AH241" i="44"/>
  <c r="AI241" i="44"/>
  <c r="AJ241" i="44" s="1"/>
  <c r="AK241" i="44" s="1"/>
  <c r="AL241" i="44" s="1"/>
  <c r="Z241" i="44" s="1"/>
  <c r="J36" i="44" s="1"/>
  <c r="AH245" i="44"/>
  <c r="AI245" i="44" s="1"/>
  <c r="AJ245" i="44" s="1"/>
  <c r="AK245" i="44" s="1"/>
  <c r="AL245" i="44" s="1"/>
  <c r="Z245" i="44" s="1"/>
  <c r="J40" i="44" s="1"/>
  <c r="J42" i="45" s="1"/>
  <c r="AH248" i="44"/>
  <c r="AI248" i="44"/>
  <c r="AJ248" i="44" s="1"/>
  <c r="AK248" i="44" s="1"/>
  <c r="AL248" i="44" s="1"/>
  <c r="Z248" i="44" s="1"/>
  <c r="K11" i="44" s="1"/>
  <c r="AH252" i="44"/>
  <c r="AI252" i="44" s="1"/>
  <c r="AJ252" i="44" s="1"/>
  <c r="AK252" i="44" s="1"/>
  <c r="AL252" i="44" s="1"/>
  <c r="Z252" i="44" s="1"/>
  <c r="K15" i="44" s="1"/>
  <c r="AH256" i="44"/>
  <c r="AI256" i="44"/>
  <c r="AJ256" i="44" s="1"/>
  <c r="AK256" i="44" s="1"/>
  <c r="AL256" i="44" s="1"/>
  <c r="Z256" i="44" s="1"/>
  <c r="K20" i="44" s="1"/>
  <c r="AH260" i="44"/>
  <c r="AI260" i="44" s="1"/>
  <c r="AJ260" i="44" s="1"/>
  <c r="AK260" i="44" s="1"/>
  <c r="AL260" i="44" s="1"/>
  <c r="Z260" i="44" s="1"/>
  <c r="K24" i="44" s="1"/>
  <c r="K26" i="45" s="1"/>
  <c r="AH264" i="44"/>
  <c r="AI264" i="44"/>
  <c r="AJ264" i="44" s="1"/>
  <c r="AK264" i="44" s="1"/>
  <c r="AL264" i="44" s="1"/>
  <c r="Z264" i="44" s="1"/>
  <c r="K28" i="44" s="1"/>
  <c r="K30" i="45" s="1"/>
  <c r="AH268" i="44"/>
  <c r="AI268" i="44" s="1"/>
  <c r="AJ268" i="44" s="1"/>
  <c r="AK268" i="44" s="1"/>
  <c r="AL268" i="44" s="1"/>
  <c r="Z268" i="44" s="1"/>
  <c r="K33" i="44" s="1"/>
  <c r="AH227" i="44"/>
  <c r="AI227" i="44"/>
  <c r="AJ227" i="44" s="1"/>
  <c r="AK227" i="44" s="1"/>
  <c r="AL227" i="44" s="1"/>
  <c r="Z227" i="44" s="1"/>
  <c r="J21" i="44" s="1"/>
  <c r="AH243" i="44"/>
  <c r="AI243" i="44" s="1"/>
  <c r="AJ243" i="44" s="1"/>
  <c r="AK243" i="44" s="1"/>
  <c r="AL243" i="44" s="1"/>
  <c r="Z243" i="44" s="1"/>
  <c r="J38" i="44" s="1"/>
  <c r="AW246" i="32" s="1"/>
  <c r="AH246" i="44"/>
  <c r="AI246" i="44"/>
  <c r="AJ246" i="44" s="1"/>
  <c r="AK246" i="44" s="1"/>
  <c r="AL246" i="44" s="1"/>
  <c r="Z246" i="44" s="1"/>
  <c r="K9" i="44" s="1"/>
  <c r="AH262" i="44"/>
  <c r="AI262" i="44" s="1"/>
  <c r="AJ262" i="44" s="1"/>
  <c r="AK262" i="44" s="1"/>
  <c r="AL262" i="44" s="1"/>
  <c r="Z262" i="44" s="1"/>
  <c r="K26" i="44" s="1"/>
  <c r="AH272" i="44"/>
  <c r="AI272" i="44"/>
  <c r="AJ272" i="44" s="1"/>
  <c r="AK272" i="44" s="1"/>
  <c r="AL272" i="44" s="1"/>
  <c r="Z272" i="44" s="1"/>
  <c r="K37" i="44" s="1"/>
  <c r="AH276" i="44"/>
  <c r="AI276" i="44" s="1"/>
  <c r="AJ276" i="44" s="1"/>
  <c r="AK276" i="44" s="1"/>
  <c r="AL276" i="44" s="1"/>
  <c r="Z276" i="44" s="1"/>
  <c r="K41" i="44" s="1"/>
  <c r="K43" i="45" s="1"/>
  <c r="AH279" i="44"/>
  <c r="AI279" i="44"/>
  <c r="AJ279" i="44" s="1"/>
  <c r="AK279" i="44" s="1"/>
  <c r="AL279" i="44" s="1"/>
  <c r="Z279" i="44" s="1"/>
  <c r="L11" i="44" s="1"/>
  <c r="AW282" i="32" s="1"/>
  <c r="AH283" i="44"/>
  <c r="AI283" i="44"/>
  <c r="AJ283" i="44" s="1"/>
  <c r="AK283" i="44" s="1"/>
  <c r="AL283" i="44" s="1"/>
  <c r="Z283" i="44" s="1"/>
  <c r="L15" i="44" s="1"/>
  <c r="AH287" i="44"/>
  <c r="AI287" i="44"/>
  <c r="AJ287" i="44"/>
  <c r="AK287" i="44" s="1"/>
  <c r="AL287" i="44" s="1"/>
  <c r="Z287" i="44" s="1"/>
  <c r="L20" i="44" s="1"/>
  <c r="AH291" i="44"/>
  <c r="AI291" i="44" s="1"/>
  <c r="AJ291" i="44" s="1"/>
  <c r="AK291" i="44" s="1"/>
  <c r="AL291" i="44" s="1"/>
  <c r="Z291" i="44" s="1"/>
  <c r="L24" i="44" s="1"/>
  <c r="AH295" i="44"/>
  <c r="AI295" i="44" s="1"/>
  <c r="AJ295" i="44" s="1"/>
  <c r="AK295" i="44" s="1"/>
  <c r="AL295" i="44" s="1"/>
  <c r="Z295" i="44" s="1"/>
  <c r="L28" i="44" s="1"/>
  <c r="AH299" i="44"/>
  <c r="AI299" i="44"/>
  <c r="AJ299" i="44" s="1"/>
  <c r="AK299" i="44" s="1"/>
  <c r="AL299" i="44" s="1"/>
  <c r="Z299" i="44"/>
  <c r="L33" i="44" s="1"/>
  <c r="AH303" i="44"/>
  <c r="AI303" i="44"/>
  <c r="AJ303" i="44"/>
  <c r="AK303" i="44" s="1"/>
  <c r="AL303" i="44" s="1"/>
  <c r="AH308" i="44"/>
  <c r="AI308" i="44" s="1"/>
  <c r="AJ308" i="44" s="1"/>
  <c r="AK308" i="44"/>
  <c r="AL308" i="44" s="1"/>
  <c r="Z308" i="44" s="1"/>
  <c r="M9" i="44" s="1"/>
  <c r="AH311" i="44"/>
  <c r="AI311" i="44" s="1"/>
  <c r="AJ311" i="44" s="1"/>
  <c r="AK311" i="44" s="1"/>
  <c r="AL311" i="44"/>
  <c r="Z311" i="44" s="1"/>
  <c r="M12" i="44" s="1"/>
  <c r="AH315" i="44"/>
  <c r="AI315" i="44"/>
  <c r="AJ315" i="44" s="1"/>
  <c r="AK315" i="44" s="1"/>
  <c r="AL315" i="44" s="1"/>
  <c r="Z315" i="44" s="1"/>
  <c r="M16" i="44" s="1"/>
  <c r="AH316" i="44"/>
  <c r="AI316" i="44"/>
  <c r="AJ316" i="44"/>
  <c r="AK316" i="44" s="1"/>
  <c r="AL316" i="44" s="1"/>
  <c r="Z316" i="44" s="1"/>
  <c r="M17" i="44" s="1"/>
  <c r="AH320" i="44"/>
  <c r="AI320" i="44" s="1"/>
  <c r="AJ320" i="44" s="1"/>
  <c r="AK320" i="44" s="1"/>
  <c r="AL320" i="44" s="1"/>
  <c r="AH324" i="44"/>
  <c r="AI324" i="44" s="1"/>
  <c r="AJ324" i="44" s="1"/>
  <c r="AK324" i="44" s="1"/>
  <c r="AL324" i="44" s="1"/>
  <c r="Z324" i="44" s="1"/>
  <c r="M26" i="44" s="1"/>
  <c r="AH328" i="44"/>
  <c r="AI328" i="44"/>
  <c r="AJ328" i="44" s="1"/>
  <c r="AK328" i="44" s="1"/>
  <c r="AL328" i="44" s="1"/>
  <c r="Z328" i="44"/>
  <c r="M31" i="44" s="1"/>
  <c r="M33" i="45" s="1"/>
  <c r="AH332" i="44"/>
  <c r="AI332" i="44"/>
  <c r="AJ332" i="44"/>
  <c r="AK332" i="44" s="1"/>
  <c r="AL332" i="44" s="1"/>
  <c r="Z332" i="44" s="1"/>
  <c r="M35" i="44"/>
  <c r="M37" i="45" s="1"/>
  <c r="AH338" i="44"/>
  <c r="AI338" i="44" s="1"/>
  <c r="AJ338" i="44" s="1"/>
  <c r="AK338" i="44"/>
  <c r="AL338" i="44" s="1"/>
  <c r="AH342" i="44"/>
  <c r="AI342" i="44" s="1"/>
  <c r="AJ342" i="44" s="1"/>
  <c r="AK342" i="44" s="1"/>
  <c r="AL342" i="44"/>
  <c r="AH346" i="44"/>
  <c r="AI346" i="44"/>
  <c r="AJ346" i="44" s="1"/>
  <c r="AK346" i="44" s="1"/>
  <c r="AL346" i="44" s="1"/>
  <c r="AH350" i="44"/>
  <c r="AI350" i="44"/>
  <c r="AJ350" i="44"/>
  <c r="AK350" i="44" s="1"/>
  <c r="AL350" i="44" s="1"/>
  <c r="AH354" i="44"/>
  <c r="AI354" i="44" s="1"/>
  <c r="AJ354" i="44" s="1"/>
  <c r="AK354" i="44" s="1"/>
  <c r="AL354" i="44" s="1"/>
  <c r="Z354" i="44" s="1"/>
  <c r="N27" i="44" s="1"/>
  <c r="AH231" i="44"/>
  <c r="AI231" i="44" s="1"/>
  <c r="AJ231" i="44" s="1"/>
  <c r="AK231" i="44" s="1"/>
  <c r="AL231" i="44" s="1"/>
  <c r="Z231" i="44" s="1"/>
  <c r="J25" i="44" s="1"/>
  <c r="AH250" i="44"/>
  <c r="AI250" i="44"/>
  <c r="AJ250" i="44" s="1"/>
  <c r="AK250" i="44" s="1"/>
  <c r="AL250" i="44" s="1"/>
  <c r="Z250" i="44"/>
  <c r="K13" i="44" s="1"/>
  <c r="AH266" i="44"/>
  <c r="AI266" i="44"/>
  <c r="AJ266" i="44"/>
  <c r="AK266" i="44" s="1"/>
  <c r="AL266" i="44" s="1"/>
  <c r="Z266" i="44" s="1"/>
  <c r="K31" i="44"/>
  <c r="AH269" i="44"/>
  <c r="AI269" i="44" s="1"/>
  <c r="AJ269" i="44" s="1"/>
  <c r="AK269" i="44"/>
  <c r="AL269" i="44" s="1"/>
  <c r="Z269" i="44" s="1"/>
  <c r="K34" i="44" s="1"/>
  <c r="AW272" i="32" s="1"/>
  <c r="AH273" i="44"/>
  <c r="AI273" i="44" s="1"/>
  <c r="AJ273" i="44" s="1"/>
  <c r="AK273" i="44" s="1"/>
  <c r="AL273" i="44"/>
  <c r="Z273" i="44" s="1"/>
  <c r="K38" i="44" s="1"/>
  <c r="AH280" i="44"/>
  <c r="AI280" i="44"/>
  <c r="AJ280" i="44" s="1"/>
  <c r="AK280" i="44" s="1"/>
  <c r="AL280" i="44" s="1"/>
  <c r="Z280" i="44" s="1"/>
  <c r="L12" i="44" s="1"/>
  <c r="AH284" i="44"/>
  <c r="AI284" i="44"/>
  <c r="AJ284" i="44"/>
  <c r="AK284" i="44" s="1"/>
  <c r="AL284" i="44" s="1"/>
  <c r="Z284" i="44" s="1"/>
  <c r="L16" i="44" s="1"/>
  <c r="AH288" i="44"/>
  <c r="AI288" i="44" s="1"/>
  <c r="AJ288" i="44" s="1"/>
  <c r="AK288" i="44" s="1"/>
  <c r="AL288" i="44" s="1"/>
  <c r="Z288" i="44" s="1"/>
  <c r="L21" i="44" s="1"/>
  <c r="AH292" i="44"/>
  <c r="AI292" i="44" s="1"/>
  <c r="AJ292" i="44" s="1"/>
  <c r="AK292" i="44" s="1"/>
  <c r="AL292" i="44" s="1"/>
  <c r="Z292" i="44" s="1"/>
  <c r="L25" i="44" s="1"/>
  <c r="AH296" i="44"/>
  <c r="AI296" i="44"/>
  <c r="AJ296" i="44" s="1"/>
  <c r="AK296" i="44" s="1"/>
  <c r="AL296" i="44" s="1"/>
  <c r="Z296" i="44"/>
  <c r="L29" i="44" s="1"/>
  <c r="L31" i="45" s="1"/>
  <c r="AH300" i="44"/>
  <c r="AI300" i="44"/>
  <c r="AJ300" i="44"/>
  <c r="AK300" i="44" s="1"/>
  <c r="AL300" i="44" s="1"/>
  <c r="Z300" i="44" s="1"/>
  <c r="L34" i="44"/>
  <c r="L36" i="45" s="1"/>
  <c r="AH304" i="44"/>
  <c r="AI304" i="44" s="1"/>
  <c r="AJ304" i="44" s="1"/>
  <c r="AK304" i="44"/>
  <c r="AL304" i="44" s="1"/>
  <c r="Z304" i="44" s="1"/>
  <c r="L38" i="44" s="1"/>
  <c r="AW307" i="32" s="1"/>
  <c r="AH312" i="44"/>
  <c r="AI312" i="44" s="1"/>
  <c r="AJ312" i="44" s="1"/>
  <c r="AK312" i="44" s="1"/>
  <c r="AL312" i="44"/>
  <c r="Z312" i="44" s="1"/>
  <c r="M13" i="44" s="1"/>
  <c r="M15" i="45" s="1"/>
  <c r="AH219" i="44"/>
  <c r="AI219" i="44"/>
  <c r="AJ219" i="44" s="1"/>
  <c r="AK219" i="44" s="1"/>
  <c r="AL219" i="44" s="1"/>
  <c r="Z219" i="44" s="1"/>
  <c r="J12" i="44" s="1"/>
  <c r="AH235" i="44"/>
  <c r="AI235" i="44"/>
  <c r="AJ235" i="44"/>
  <c r="AK235" i="44" s="1"/>
  <c r="AL235" i="44" s="1"/>
  <c r="Z235" i="44" s="1"/>
  <c r="J29" i="44" s="1"/>
  <c r="AH254" i="44"/>
  <c r="AI254" i="44" s="1"/>
  <c r="AJ254" i="44" s="1"/>
  <c r="AK254" i="44" s="1"/>
  <c r="AL254" i="44" s="1"/>
  <c r="Z254" i="44" s="1"/>
  <c r="K17" i="44" s="1"/>
  <c r="AH270" i="44"/>
  <c r="AI270" i="44" s="1"/>
  <c r="AJ270" i="44" s="1"/>
  <c r="AK270" i="44" s="1"/>
  <c r="AL270" i="44" s="1"/>
  <c r="Z270" i="44" s="1"/>
  <c r="K35" i="44" s="1"/>
  <c r="AH274" i="44"/>
  <c r="AI274" i="44"/>
  <c r="AJ274" i="44" s="1"/>
  <c r="AK274" i="44" s="1"/>
  <c r="AL274" i="44" s="1"/>
  <c r="Z274" i="44"/>
  <c r="K39" i="44" s="1"/>
  <c r="AH277" i="44"/>
  <c r="AI277" i="44"/>
  <c r="AJ277" i="44"/>
  <c r="AK277" i="44" s="1"/>
  <c r="AL277" i="44" s="1"/>
  <c r="Z277" i="44" s="1"/>
  <c r="L9" i="44"/>
  <c r="AH281" i="44"/>
  <c r="AI281" i="44" s="1"/>
  <c r="AJ281" i="44" s="1"/>
  <c r="AK281" i="44"/>
  <c r="AL281" i="44" s="1"/>
  <c r="Z281" i="44" s="1"/>
  <c r="L13" i="44" s="1"/>
  <c r="AW284" i="32" s="1"/>
  <c r="AH285" i="44"/>
  <c r="AI285" i="44" s="1"/>
  <c r="AJ285" i="44" s="1"/>
  <c r="AK285" i="44" s="1"/>
  <c r="AL285" i="44"/>
  <c r="Z285" i="44" s="1"/>
  <c r="L17" i="44" s="1"/>
  <c r="AH289" i="44"/>
  <c r="AI289" i="44"/>
  <c r="AJ289" i="44" s="1"/>
  <c r="AK289" i="44" s="1"/>
  <c r="AL289" i="44" s="1"/>
  <c r="Z289" i="44" s="1"/>
  <c r="L22" i="44" s="1"/>
  <c r="AH293" i="44"/>
  <c r="AI293" i="44"/>
  <c r="AJ293" i="44"/>
  <c r="AK293" i="44" s="1"/>
  <c r="AL293" i="44" s="1"/>
  <c r="Z293" i="44" s="1"/>
  <c r="L26" i="44" s="1"/>
  <c r="AH297" i="44"/>
  <c r="AI297" i="44" s="1"/>
  <c r="AJ297" i="44" s="1"/>
  <c r="AK297" i="44"/>
  <c r="AL297" i="44" s="1"/>
  <c r="Z297" i="44" s="1"/>
  <c r="L31" i="44" s="1"/>
  <c r="AH301" i="44"/>
  <c r="AI301" i="44" s="1"/>
  <c r="AJ301" i="44" s="1"/>
  <c r="AK301" i="44" s="1"/>
  <c r="AL301" i="44" s="1"/>
  <c r="Z301" i="44" s="1"/>
  <c r="L35" i="44" s="1"/>
  <c r="AH305" i="44"/>
  <c r="AI305" i="44"/>
  <c r="AJ305" i="44"/>
  <c r="AK305" i="44" s="1"/>
  <c r="AL305" i="44" s="1"/>
  <c r="Z305" i="44" s="1"/>
  <c r="L39" i="44" s="1"/>
  <c r="AH309" i="44"/>
  <c r="AI309" i="44"/>
  <c r="AJ309" i="44"/>
  <c r="AK309" i="44"/>
  <c r="AL309" i="44" s="1"/>
  <c r="Z309" i="44" s="1"/>
  <c r="M10" i="44" s="1"/>
  <c r="AH313" i="44"/>
  <c r="AI313" i="44" s="1"/>
  <c r="AJ313" i="44" s="1"/>
  <c r="AK313" i="44" s="1"/>
  <c r="AL313" i="44" s="1"/>
  <c r="Z313" i="44" s="1"/>
  <c r="M14" i="44" s="1"/>
  <c r="AH318" i="44"/>
  <c r="AI318" i="44"/>
  <c r="AJ318" i="44" s="1"/>
  <c r="AK318" i="44" s="1"/>
  <c r="AL318" i="44" s="1"/>
  <c r="Z318" i="44" s="1"/>
  <c r="M20" i="44" s="1"/>
  <c r="AH322" i="44"/>
  <c r="AI322" i="44"/>
  <c r="AJ322" i="44" s="1"/>
  <c r="AK322" i="44" s="1"/>
  <c r="AL322" i="44" s="1"/>
  <c r="Z322" i="44" s="1"/>
  <c r="M24" i="44" s="1"/>
  <c r="AH326" i="44"/>
  <c r="AI326" i="44"/>
  <c r="AJ326" i="44"/>
  <c r="AK326" i="44" s="1"/>
  <c r="AL326" i="44" s="1"/>
  <c r="Z326" i="44" s="1"/>
  <c r="M28" i="44" s="1"/>
  <c r="AH330" i="44"/>
  <c r="AI330" i="44" s="1"/>
  <c r="AJ330" i="44" s="1"/>
  <c r="AK330" i="44"/>
  <c r="AL330" i="44" s="1"/>
  <c r="Z330" i="44" s="1"/>
  <c r="M33" i="44" s="1"/>
  <c r="AH334" i="44"/>
  <c r="AI334" i="44" s="1"/>
  <c r="AJ334" i="44" s="1"/>
  <c r="AK334" i="44" s="1"/>
  <c r="AL334" i="44" s="1"/>
  <c r="Z334" i="44" s="1"/>
  <c r="M37" i="44" s="1"/>
  <c r="AH340" i="44"/>
  <c r="AI340" i="44"/>
  <c r="AJ340" i="44"/>
  <c r="AK340" i="44" s="1"/>
  <c r="AL340" i="44" s="1"/>
  <c r="AH344" i="44"/>
  <c r="AI344" i="44"/>
  <c r="AJ344" i="44"/>
  <c r="AK344" i="44"/>
  <c r="AL344" i="44" s="1"/>
  <c r="AH348" i="44"/>
  <c r="AI348" i="44" s="1"/>
  <c r="AJ348" i="44" s="1"/>
  <c r="AK348" i="44" s="1"/>
  <c r="AL348" i="44" s="1"/>
  <c r="AH223" i="44"/>
  <c r="AI223" i="44"/>
  <c r="AJ223" i="44" s="1"/>
  <c r="AK223" i="44" s="1"/>
  <c r="AL223" i="44" s="1"/>
  <c r="Z223" i="44" s="1"/>
  <c r="J16" i="44" s="1"/>
  <c r="AH239" i="44"/>
  <c r="AI239" i="44"/>
  <c r="AJ239" i="44" s="1"/>
  <c r="AK239" i="44" s="1"/>
  <c r="AL239" i="44" s="1"/>
  <c r="Z239" i="44" s="1"/>
  <c r="J34" i="44" s="1"/>
  <c r="AH258" i="44"/>
  <c r="AI258" i="44"/>
  <c r="AJ258" i="44"/>
  <c r="AK258" i="44" s="1"/>
  <c r="AL258" i="44" s="1"/>
  <c r="Z258" i="44" s="1"/>
  <c r="K22" i="44" s="1"/>
  <c r="AH271" i="44"/>
  <c r="AI271" i="44" s="1"/>
  <c r="AJ271" i="44" s="1"/>
  <c r="AK271" i="44"/>
  <c r="AL271" i="44" s="1"/>
  <c r="Z271" i="44" s="1"/>
  <c r="K36" i="44" s="1"/>
  <c r="AH275" i="44"/>
  <c r="AI275" i="44" s="1"/>
  <c r="AJ275" i="44" s="1"/>
  <c r="AK275" i="44" s="1"/>
  <c r="AL275" i="44" s="1"/>
  <c r="Z275" i="44" s="1"/>
  <c r="K40" i="44" s="1"/>
  <c r="AH278" i="44"/>
  <c r="AI278" i="44"/>
  <c r="AJ278" i="44"/>
  <c r="AK278" i="44" s="1"/>
  <c r="AL278" i="44" s="1"/>
  <c r="Z278" i="44" s="1"/>
  <c r="L10" i="44" s="1"/>
  <c r="AH282" i="44"/>
  <c r="AI282" i="44"/>
  <c r="AJ282" i="44"/>
  <c r="AK282" i="44"/>
  <c r="AL282" i="44" s="1"/>
  <c r="Z282" i="44" s="1"/>
  <c r="L14" i="44" s="1"/>
  <c r="AH286" i="44"/>
  <c r="AI286" i="44" s="1"/>
  <c r="AJ286" i="44" s="1"/>
  <c r="AK286" i="44" s="1"/>
  <c r="AL286" i="44" s="1"/>
  <c r="Z286" i="44" s="1"/>
  <c r="L18" i="44" s="1"/>
  <c r="AH290" i="44"/>
  <c r="AI290" i="44"/>
  <c r="AJ290" i="44" s="1"/>
  <c r="AK290" i="44" s="1"/>
  <c r="AL290" i="44" s="1"/>
  <c r="Z290" i="44" s="1"/>
  <c r="L23" i="44" s="1"/>
  <c r="AH294" i="44"/>
  <c r="AI294" i="44"/>
  <c r="AJ294" i="44" s="1"/>
  <c r="AK294" i="44" s="1"/>
  <c r="AL294" i="44" s="1"/>
  <c r="Z294" i="44" s="1"/>
  <c r="L27" i="44" s="1"/>
  <c r="AH298" i="44"/>
  <c r="AI298" i="44"/>
  <c r="AJ298" i="44"/>
  <c r="AK298" i="44" s="1"/>
  <c r="AL298" i="44" s="1"/>
  <c r="Z298" i="44" s="1"/>
  <c r="L32" i="44" s="1"/>
  <c r="AH302" i="44"/>
  <c r="AI302" i="44" s="1"/>
  <c r="AJ302" i="44" s="1"/>
  <c r="AK302" i="44"/>
  <c r="AL302" i="44" s="1"/>
  <c r="AH306" i="44"/>
  <c r="AI306" i="44" s="1"/>
  <c r="AJ306" i="44" s="1"/>
  <c r="AK306" i="44" s="1"/>
  <c r="AL306" i="44" s="1"/>
  <c r="AH310" i="44"/>
  <c r="AI310" i="44"/>
  <c r="AJ310" i="44"/>
  <c r="AK310" i="44" s="1"/>
  <c r="AL310" i="44" s="1"/>
  <c r="Z310" i="44" s="1"/>
  <c r="M11" i="44" s="1"/>
  <c r="AH314" i="44"/>
  <c r="AI314" i="44"/>
  <c r="AJ314" i="44"/>
  <c r="AK314" i="44"/>
  <c r="AL314" i="44" s="1"/>
  <c r="Z314" i="44" s="1"/>
  <c r="M15" i="44" s="1"/>
  <c r="AH319" i="44"/>
  <c r="AI319" i="44" s="1"/>
  <c r="AJ319" i="44" s="1"/>
  <c r="AK319" i="44" s="1"/>
  <c r="AL319" i="44" s="1"/>
  <c r="AH323" i="44"/>
  <c r="AI323" i="44"/>
  <c r="AJ323" i="44" s="1"/>
  <c r="AK323" i="44" s="1"/>
  <c r="AL323" i="44" s="1"/>
  <c r="AH327" i="44"/>
  <c r="AI327" i="44"/>
  <c r="AJ327" i="44" s="1"/>
  <c r="AK327" i="44" s="1"/>
  <c r="AL327" i="44" s="1"/>
  <c r="AH331" i="44"/>
  <c r="AI331" i="44"/>
  <c r="AJ331" i="44"/>
  <c r="AK331" i="44" s="1"/>
  <c r="AL331" i="44" s="1"/>
  <c r="AH335" i="44"/>
  <c r="AI335" i="44" s="1"/>
  <c r="AJ335" i="44" s="1"/>
  <c r="AK335" i="44"/>
  <c r="AL335" i="44" s="1"/>
  <c r="AH337" i="44"/>
  <c r="AI337" i="44" s="1"/>
  <c r="AJ337" i="44" s="1"/>
  <c r="AK337" i="44" s="1"/>
  <c r="AL337" i="44" s="1"/>
  <c r="Z337" i="44" s="1"/>
  <c r="N9" i="44" s="1"/>
  <c r="AH341" i="44"/>
  <c r="AI341" i="44"/>
  <c r="AJ341" i="44"/>
  <c r="AK341" i="44" s="1"/>
  <c r="AL341" i="44" s="1"/>
  <c r="Z341" i="44" s="1"/>
  <c r="N13" i="44" s="1"/>
  <c r="AH345" i="44"/>
  <c r="AI345" i="44"/>
  <c r="AJ345" i="44"/>
  <c r="AK345" i="44"/>
  <c r="AL345" i="44" s="1"/>
  <c r="Z345" i="44" s="1"/>
  <c r="N17" i="44" s="1"/>
  <c r="AH349" i="44"/>
  <c r="AI349" i="44" s="1"/>
  <c r="AJ349" i="44" s="1"/>
  <c r="AK349" i="44" s="1"/>
  <c r="AL349" i="44" s="1"/>
  <c r="Z349" i="44" s="1"/>
  <c r="N22" i="44" s="1"/>
  <c r="AH353" i="44"/>
  <c r="AI353" i="44"/>
  <c r="AJ353" i="44" s="1"/>
  <c r="AK353" i="44" s="1"/>
  <c r="AL353" i="44" s="1"/>
  <c r="AH321" i="44"/>
  <c r="AI321" i="44"/>
  <c r="AJ321" i="44" s="1"/>
  <c r="AK321" i="44" s="1"/>
  <c r="AL321" i="44" s="1"/>
  <c r="Z321" i="44" s="1"/>
  <c r="M23" i="44" s="1"/>
  <c r="AH325" i="44"/>
  <c r="AI325" i="44"/>
  <c r="AJ325" i="44"/>
  <c r="AK325" i="44" s="1"/>
  <c r="AL325" i="44" s="1"/>
  <c r="AH329" i="44"/>
  <c r="AI329" i="44" s="1"/>
  <c r="AJ329" i="44" s="1"/>
  <c r="AK329" i="44"/>
  <c r="AL329" i="44" s="1"/>
  <c r="AH333" i="44"/>
  <c r="AI333" i="44" s="1"/>
  <c r="AJ333" i="44" s="1"/>
  <c r="AK333" i="44" s="1"/>
  <c r="AL333" i="44" s="1"/>
  <c r="AH355" i="44"/>
  <c r="AI355" i="44"/>
  <c r="AJ355" i="44"/>
  <c r="AK355" i="44" s="1"/>
  <c r="AL355" i="44" s="1"/>
  <c r="AH359" i="44"/>
  <c r="AI359" i="44"/>
  <c r="AJ359" i="44"/>
  <c r="AK359" i="44"/>
  <c r="AL359" i="44" s="1"/>
  <c r="AH363" i="44"/>
  <c r="AI363" i="44"/>
  <c r="AJ363" i="44" s="1"/>
  <c r="AK363" i="44" s="1"/>
  <c r="AL363" i="44" s="1"/>
  <c r="Z363" i="44" s="1"/>
  <c r="N37" i="44" s="1"/>
  <c r="AH367" i="44"/>
  <c r="AI367" i="44"/>
  <c r="AJ367" i="44"/>
  <c r="AK367" i="44" s="1"/>
  <c r="AL367" i="44" s="1"/>
  <c r="Z367" i="44" s="1"/>
  <c r="N41" i="44" s="1"/>
  <c r="AH356" i="44"/>
  <c r="AI356" i="44" s="1"/>
  <c r="AJ356" i="44" s="1"/>
  <c r="AK356" i="44"/>
  <c r="AL356" i="44" s="1"/>
  <c r="Z356" i="44" s="1"/>
  <c r="N29" i="44" s="1"/>
  <c r="AH360" i="44"/>
  <c r="AI360" i="44" s="1"/>
  <c r="AJ360" i="44" s="1"/>
  <c r="AK360" i="44" s="1"/>
  <c r="AL360" i="44" s="1"/>
  <c r="AH364" i="44"/>
  <c r="AI364" i="44"/>
  <c r="AJ364" i="44"/>
  <c r="AK364" i="44" s="1"/>
  <c r="AL364" i="44" s="1"/>
  <c r="Z364" i="44" s="1"/>
  <c r="N38" i="44" s="1"/>
  <c r="AH352" i="44"/>
  <c r="AI352" i="44"/>
  <c r="AJ352" i="44"/>
  <c r="AK352" i="44"/>
  <c r="AL352" i="44" s="1"/>
  <c r="Z352" i="44" s="1"/>
  <c r="N25" i="44" s="1"/>
  <c r="AH357" i="44"/>
  <c r="AI357" i="44" s="1"/>
  <c r="AJ357" i="44" s="1"/>
  <c r="AK357" i="44" s="1"/>
  <c r="AL357" i="44" s="1"/>
  <c r="AH361" i="44"/>
  <c r="AI361" i="44"/>
  <c r="AJ361" i="44"/>
  <c r="AK361" i="44" s="1"/>
  <c r="AL361" i="44" s="1"/>
  <c r="AH365" i="44"/>
  <c r="AI365" i="44" s="1"/>
  <c r="AJ365" i="44" s="1"/>
  <c r="AK365" i="44" s="1"/>
  <c r="AL365" i="44" s="1"/>
  <c r="Z365" i="44" s="1"/>
  <c r="N39" i="44" s="1"/>
  <c r="AH317" i="44"/>
  <c r="AI317" i="44" s="1"/>
  <c r="AJ317" i="44" s="1"/>
  <c r="AK317" i="44" s="1"/>
  <c r="AL317" i="44" s="1"/>
  <c r="Z317" i="44" s="1"/>
  <c r="M18" i="44" s="1"/>
  <c r="AH339" i="44"/>
  <c r="AI339" i="44"/>
  <c r="AJ339" i="44" s="1"/>
  <c r="AK339" i="44" s="1"/>
  <c r="AL339" i="44" s="1"/>
  <c r="Z339" i="44" s="1"/>
  <c r="N11" i="44" s="1"/>
  <c r="AH343" i="44"/>
  <c r="AI343" i="44"/>
  <c r="AJ343" i="44" s="1"/>
  <c r="AK343" i="44" s="1"/>
  <c r="AL343" i="44" s="1"/>
  <c r="Z343" i="44" s="1"/>
  <c r="N15" i="44" s="1"/>
  <c r="AH347" i="44"/>
  <c r="AI347" i="44" s="1"/>
  <c r="AJ347" i="44"/>
  <c r="AK347" i="44" s="1"/>
  <c r="AL347" i="44" s="1"/>
  <c r="Z347" i="44" s="1"/>
  <c r="N20" i="44" s="1"/>
  <c r="AH351" i="44"/>
  <c r="AI351" i="44" s="1"/>
  <c r="AJ351" i="44" s="1"/>
  <c r="AK351" i="44" s="1"/>
  <c r="AL351" i="44" s="1"/>
  <c r="Z351" i="44" s="1"/>
  <c r="N24" i="44" s="1"/>
  <c r="AH358" i="44"/>
  <c r="AI358" i="44"/>
  <c r="AJ358" i="44" s="1"/>
  <c r="AK358" i="44" s="1"/>
  <c r="AL358" i="44" s="1"/>
  <c r="Z358" i="44" s="1"/>
  <c r="N32" i="44" s="1"/>
  <c r="AH362" i="44"/>
  <c r="AI362" i="44"/>
  <c r="AJ362" i="44" s="1"/>
  <c r="AK362" i="44" s="1"/>
  <c r="AL362" i="44" s="1"/>
  <c r="Z362" i="44" s="1"/>
  <c r="N36" i="44" s="1"/>
  <c r="AH366" i="44"/>
  <c r="AI366" i="44" s="1"/>
  <c r="AJ366" i="44"/>
  <c r="AK366" i="44" s="1"/>
  <c r="AL366" i="44" s="1"/>
  <c r="Z366" i="44" s="1"/>
  <c r="N40" i="44" s="1"/>
  <c r="AH13" i="44"/>
  <c r="AI13" i="44"/>
  <c r="AJ13" i="44" s="1"/>
  <c r="AK13" i="44" s="1"/>
  <c r="AL13" i="44" s="1"/>
  <c r="Z13" i="44" s="1"/>
  <c r="C22" i="44" s="1"/>
  <c r="AW17" i="32" s="1"/>
  <c r="AC13" i="44"/>
  <c r="AA13" i="44"/>
  <c r="AH14" i="44"/>
  <c r="AI14" i="44"/>
  <c r="AJ14" i="44" s="1"/>
  <c r="AK14" i="44" s="1"/>
  <c r="AL14" i="44" s="1"/>
  <c r="Z14" i="44" s="1"/>
  <c r="C23" i="44" s="1"/>
  <c r="AW18" i="32" s="1"/>
  <c r="AC14" i="44"/>
  <c r="AA14" i="44" s="1"/>
  <c r="AH307" i="44"/>
  <c r="AI307" i="44"/>
  <c r="AJ307" i="44" s="1"/>
  <c r="AK307" i="44" s="1"/>
  <c r="AL307" i="44" s="1"/>
  <c r="AH42" i="44"/>
  <c r="AI42" i="44" s="1"/>
  <c r="AJ42" i="44" s="1"/>
  <c r="AK42" i="44" s="1"/>
  <c r="AL42" i="44" s="1"/>
  <c r="AH336" i="44"/>
  <c r="AI336" i="44" s="1"/>
  <c r="AJ336" i="44" s="1"/>
  <c r="AK336" i="44" s="1"/>
  <c r="AL336" i="44" s="1"/>
  <c r="AH12" i="44"/>
  <c r="AI12" i="44" s="1"/>
  <c r="AJ12" i="44" s="1"/>
  <c r="AK12" i="44" s="1"/>
  <c r="AL12" i="44" s="1"/>
  <c r="Z12" i="44" s="1"/>
  <c r="C21" i="44" s="1"/>
  <c r="AH2" i="44"/>
  <c r="AI2" i="44"/>
  <c r="AJ2" i="44" s="1"/>
  <c r="AK2" i="44" s="1"/>
  <c r="AL2" i="44" s="1"/>
  <c r="Z2" i="44" s="1"/>
  <c r="C10" i="44" s="1"/>
  <c r="AH30" i="44"/>
  <c r="AI30" i="44" s="1"/>
  <c r="AJ30" i="44" s="1"/>
  <c r="AK30" i="44" s="1"/>
  <c r="AL30" i="44" s="1"/>
  <c r="Z30" i="44" s="1"/>
  <c r="C40" i="44" s="1"/>
  <c r="AH46" i="44"/>
  <c r="AI46" i="44"/>
  <c r="AJ46" i="44"/>
  <c r="AK46" i="44" s="1"/>
  <c r="AL46" i="44" s="1"/>
  <c r="Z46" i="44" s="1"/>
  <c r="D24" i="44" s="1"/>
  <c r="AH62" i="44"/>
  <c r="AI62" i="44" s="1"/>
  <c r="AJ62" i="44" s="1"/>
  <c r="AK62" i="44" s="1"/>
  <c r="AL62" i="44" s="1"/>
  <c r="Z62" i="44" s="1"/>
  <c r="D41" i="44" s="1"/>
  <c r="E35" i="47"/>
  <c r="AG87" i="44"/>
  <c r="F78" i="34"/>
  <c r="AN37" i="9"/>
  <c r="AE37" i="9" s="1"/>
  <c r="AM37" i="9"/>
  <c r="AC37" i="9" s="1"/>
  <c r="F81" i="34" s="1"/>
  <c r="E39" i="47"/>
  <c r="AG91" i="44"/>
  <c r="J78" i="34"/>
  <c r="AM41" i="9"/>
  <c r="AC41" i="9"/>
  <c r="AN41" i="9"/>
  <c r="AE41" i="9" s="1"/>
  <c r="AH8" i="44"/>
  <c r="AI8" i="44" s="1"/>
  <c r="AJ8" i="44" s="1"/>
  <c r="AK8" i="44" s="1"/>
  <c r="AL8" i="44" s="1"/>
  <c r="Z8" i="44" s="1"/>
  <c r="C16" i="44" s="1"/>
  <c r="AH11" i="44"/>
  <c r="AI11" i="44"/>
  <c r="AJ11" i="44"/>
  <c r="AK11" i="44" s="1"/>
  <c r="AL11" i="44" s="1"/>
  <c r="Z11" i="44" s="1"/>
  <c r="C20" i="44" s="1"/>
  <c r="AH23" i="44"/>
  <c r="AI23" i="44" s="1"/>
  <c r="AJ23" i="44" s="1"/>
  <c r="AK23" i="44" s="1"/>
  <c r="AL23" i="44" s="1"/>
  <c r="Z23" i="44" s="1"/>
  <c r="C33" i="44" s="1"/>
  <c r="AH5" i="44"/>
  <c r="AI5" i="44"/>
  <c r="AJ5" i="44" s="1"/>
  <c r="AK5" i="44" s="1"/>
  <c r="AL5" i="44" s="1"/>
  <c r="Z5" i="44" s="1"/>
  <c r="C13" i="44" s="1"/>
  <c r="AH33" i="44"/>
  <c r="AI33" i="44" s="1"/>
  <c r="AJ33" i="44" s="1"/>
  <c r="AK33" i="44" s="1"/>
  <c r="AL33" i="44" s="1"/>
  <c r="Z33" i="44" s="1"/>
  <c r="D11" i="44" s="1"/>
  <c r="AH52" i="44"/>
  <c r="AI52" i="44"/>
  <c r="AJ52" i="44"/>
  <c r="AK52" i="44" s="1"/>
  <c r="AL52" i="44" s="1"/>
  <c r="Z52" i="44" s="1"/>
  <c r="D31" i="44" s="1"/>
  <c r="AH6" i="44"/>
  <c r="AI6" i="44" s="1"/>
  <c r="AJ6" i="44" s="1"/>
  <c r="AK6" i="44" s="1"/>
  <c r="AL6" i="44" s="1"/>
  <c r="Z6" i="44" s="1"/>
  <c r="C14" i="44" s="1"/>
  <c r="C87" i="43"/>
  <c r="R77" i="43"/>
  <c r="AQ361" i="32"/>
  <c r="AC361" i="44"/>
  <c r="AA361" i="44" s="1"/>
  <c r="AD361" i="44"/>
  <c r="AB361" i="44"/>
  <c r="E62" i="29"/>
  <c r="AE362" i="32"/>
  <c r="AC362" i="44"/>
  <c r="AA362" i="44"/>
  <c r="AD362" i="44"/>
  <c r="AB362" i="44" s="1"/>
  <c r="H82" i="43"/>
  <c r="P62" i="43" s="1"/>
  <c r="AF17" i="18"/>
  <c r="H88" i="43"/>
  <c r="T62" i="43" s="1"/>
  <c r="AD27" i="18"/>
  <c r="B87" i="43"/>
  <c r="AQ360" i="32"/>
  <c r="H83" i="43"/>
  <c r="P72" i="43" s="1"/>
  <c r="AF28" i="18"/>
  <c r="H89" i="43" s="1"/>
  <c r="T72" i="43" s="1"/>
  <c r="N88" i="39"/>
  <c r="O90" i="39" s="1"/>
  <c r="AF29" i="14"/>
  <c r="I89" i="39" s="1"/>
  <c r="T73" i="39"/>
  <c r="I83" i="39"/>
  <c r="P73" i="39"/>
  <c r="P88" i="35"/>
  <c r="AF33" i="10"/>
  <c r="B90" i="35" s="1"/>
  <c r="T76" i="35" s="1"/>
  <c r="B84" i="35"/>
  <c r="P76" i="35" s="1"/>
  <c r="F79" i="34"/>
  <c r="N60" i="34"/>
  <c r="AK70" i="32"/>
  <c r="D80" i="34"/>
  <c r="N68" i="34" s="1"/>
  <c r="AK78" i="32"/>
  <c r="AK58" i="44"/>
  <c r="AL58" i="44"/>
  <c r="Z58" i="44" s="1"/>
  <c r="D37" i="44" s="1"/>
  <c r="AH17" i="44"/>
  <c r="AI17" i="44" s="1"/>
  <c r="AJ17" i="44" s="1"/>
  <c r="AK17" i="44" s="1"/>
  <c r="AL17" i="44" s="1"/>
  <c r="Z17" i="44" s="1"/>
  <c r="C26" i="44" s="1"/>
  <c r="AH9" i="44"/>
  <c r="AI9" i="44"/>
  <c r="AJ9" i="44"/>
  <c r="AK9" i="44" s="1"/>
  <c r="AL9" i="44" s="1"/>
  <c r="Z9" i="44" s="1"/>
  <c r="C17" i="44" s="1"/>
  <c r="E36" i="47"/>
  <c r="AE91" i="32" s="1"/>
  <c r="AG88" i="44"/>
  <c r="AN38" i="9"/>
  <c r="AE38" i="9" s="1"/>
  <c r="AM38" i="9"/>
  <c r="AC38" i="9" s="1"/>
  <c r="G78" i="34"/>
  <c r="E40" i="47"/>
  <c r="AE95" i="32" s="1"/>
  <c r="AG92" i="44"/>
  <c r="AN42" i="9"/>
  <c r="AE42" i="9"/>
  <c r="AM42" i="9"/>
  <c r="AC42" i="9" s="1"/>
  <c r="K78" i="34"/>
  <c r="AH22" i="44"/>
  <c r="AI22" i="44" s="1"/>
  <c r="AJ22" i="44" s="1"/>
  <c r="AK22" i="44" s="1"/>
  <c r="AL22" i="44" s="1"/>
  <c r="Z22" i="44" s="1"/>
  <c r="C32" i="44" s="1"/>
  <c r="AH4" i="44"/>
  <c r="AI4" i="44"/>
  <c r="AJ4" i="44" s="1"/>
  <c r="AK4" i="44" s="1"/>
  <c r="AL4" i="44" s="1"/>
  <c r="Z4" i="44" s="1"/>
  <c r="C12" i="44" s="1"/>
  <c r="AH7" i="44"/>
  <c r="AI7" i="44"/>
  <c r="AJ7" i="44" s="1"/>
  <c r="AK7" i="44" s="1"/>
  <c r="AL7" i="44" s="1"/>
  <c r="Z7" i="44" s="1"/>
  <c r="C15" i="44" s="1"/>
  <c r="AH19" i="44"/>
  <c r="AI19" i="44" s="1"/>
  <c r="AJ19" i="44"/>
  <c r="AK19" i="44" s="1"/>
  <c r="AL19" i="44" s="1"/>
  <c r="Z19" i="44" s="1"/>
  <c r="C28" i="44" s="1"/>
  <c r="AH1" i="44"/>
  <c r="AI1" i="44" s="1"/>
  <c r="AJ1" i="44" s="1"/>
  <c r="AK1" i="44" s="1"/>
  <c r="AL1" i="44" s="1"/>
  <c r="Z1" i="44" s="1"/>
  <c r="C9" i="44" s="1"/>
  <c r="AH37" i="44"/>
  <c r="AI37" i="44"/>
  <c r="AJ37" i="44" s="1"/>
  <c r="AK37" i="44" s="1"/>
  <c r="AL37" i="44" s="1"/>
  <c r="Z37" i="44" s="1"/>
  <c r="D15" i="44" s="1"/>
  <c r="AH54" i="44"/>
  <c r="AI54" i="44"/>
  <c r="AJ54" i="44" s="1"/>
  <c r="AK54" i="44" s="1"/>
  <c r="AL54" i="44" s="1"/>
  <c r="Z54" i="44" s="1"/>
  <c r="D33" i="44" s="1"/>
  <c r="D62" i="29"/>
  <c r="AE361" i="32"/>
  <c r="G62" i="29"/>
  <c r="AE364" i="32"/>
  <c r="AC359" i="44"/>
  <c r="AA359" i="44" s="1"/>
  <c r="Z359" i="44"/>
  <c r="N33" i="44" s="1"/>
  <c r="AB359" i="44"/>
  <c r="AD359" i="44"/>
  <c r="AC41" i="18"/>
  <c r="J81" i="43" s="1"/>
  <c r="N84" i="43" s="1"/>
  <c r="AD41" i="18"/>
  <c r="AF41" i="18" s="1"/>
  <c r="L62" i="29"/>
  <c r="AE369" i="32"/>
  <c r="E84" i="43"/>
  <c r="P79" i="43" s="1"/>
  <c r="AF36" i="18"/>
  <c r="E90" i="43" s="1"/>
  <c r="T79" i="43" s="1"/>
  <c r="G80" i="43"/>
  <c r="N71" i="43" s="1"/>
  <c r="AK355" i="32"/>
  <c r="AC357" i="44"/>
  <c r="AA357" i="44" s="1"/>
  <c r="AD357" i="44"/>
  <c r="AB357" i="44" s="1"/>
  <c r="N88" i="41"/>
  <c r="K84" i="36"/>
  <c r="P85" i="36"/>
  <c r="AF42" i="11"/>
  <c r="K90" i="36"/>
  <c r="T85" i="36" s="1"/>
  <c r="AF37" i="10"/>
  <c r="F90" i="35" s="1"/>
  <c r="T80" i="35"/>
  <c r="F84" i="35"/>
  <c r="P80" i="35"/>
  <c r="U5" i="12"/>
  <c r="U5" i="14"/>
  <c r="U5" i="9"/>
  <c r="U5" i="11"/>
  <c r="U5" i="13"/>
  <c r="U5" i="16"/>
  <c r="U5" i="6"/>
  <c r="U5" i="8"/>
  <c r="U5" i="10"/>
  <c r="U5" i="15"/>
  <c r="U5" i="18"/>
  <c r="U5" i="17"/>
  <c r="O45" i="16"/>
  <c r="AQ27" i="44"/>
  <c r="AR27" i="44" s="1"/>
  <c r="AS27" i="44" s="1"/>
  <c r="AT27" i="44" s="1"/>
  <c r="AU27" i="44" s="1"/>
  <c r="E45" i="6"/>
  <c r="AM45" i="6" s="1"/>
  <c r="L46" i="6"/>
  <c r="AK18" i="44"/>
  <c r="AL18" i="44"/>
  <c r="Z18" i="44" s="1"/>
  <c r="C27" i="44" s="1"/>
  <c r="AK41" i="44"/>
  <c r="AL41" i="44" s="1"/>
  <c r="Z41" i="44" s="1"/>
  <c r="D20" i="44" s="1"/>
  <c r="AC358" i="44"/>
  <c r="AA358" i="44"/>
  <c r="AD358" i="44"/>
  <c r="AB358" i="44" s="1"/>
  <c r="AC365" i="44"/>
  <c r="AA365" i="44"/>
  <c r="AD365" i="44"/>
  <c r="AB365" i="44" s="1"/>
  <c r="I62" i="29"/>
  <c r="AE366" i="32"/>
  <c r="AC366" i="44"/>
  <c r="AA366" i="44"/>
  <c r="AD366" i="44"/>
  <c r="AB366" i="44"/>
  <c r="F81" i="43"/>
  <c r="N80" i="43"/>
  <c r="AK364" i="32"/>
  <c r="H61" i="29"/>
  <c r="AE355" i="32"/>
  <c r="C62" i="29"/>
  <c r="AE360" i="32"/>
  <c r="M62" i="29"/>
  <c r="AE370" i="32"/>
  <c r="K84" i="40"/>
  <c r="P85" i="40" s="1"/>
  <c r="AF42" i="15"/>
  <c r="K90" i="40"/>
  <c r="T85" i="40" s="1"/>
  <c r="AF35" i="18"/>
  <c r="D90" i="43"/>
  <c r="T78" i="43"/>
  <c r="AF35" i="14"/>
  <c r="D90" i="39" s="1"/>
  <c r="T78" i="39"/>
  <c r="D84" i="39"/>
  <c r="P78" i="39"/>
  <c r="N88" i="36"/>
  <c r="AF35" i="10"/>
  <c r="D90" i="35" s="1"/>
  <c r="T78" i="35" s="1"/>
  <c r="D84" i="35"/>
  <c r="P78" i="35"/>
  <c r="B79" i="34"/>
  <c r="N56" i="34" s="1"/>
  <c r="AK66" i="32"/>
  <c r="J79" i="34"/>
  <c r="N64" i="34"/>
  <c r="AK74" i="32"/>
  <c r="H80" i="34"/>
  <c r="N72" i="34" s="1"/>
  <c r="AK82" i="32"/>
  <c r="K81" i="33"/>
  <c r="N85" i="33"/>
  <c r="AK64" i="32"/>
  <c r="AQ157" i="32"/>
  <c r="O46" i="6"/>
  <c r="AF35" i="12"/>
  <c r="D90" i="37"/>
  <c r="T78" i="37"/>
  <c r="D84" i="37"/>
  <c r="P78" i="37" s="1"/>
  <c r="O46" i="12"/>
  <c r="R64" i="37"/>
  <c r="P89" i="37"/>
  <c r="P88" i="37" s="1"/>
  <c r="R89" i="37" s="1"/>
  <c r="J82" i="37"/>
  <c r="P64" i="37" s="1"/>
  <c r="O89" i="37" s="1"/>
  <c r="AF19" i="12"/>
  <c r="J88" i="37"/>
  <c r="T64" i="37"/>
  <c r="J84" i="43"/>
  <c r="P84" i="43" s="1"/>
  <c r="J90" i="43"/>
  <c r="T84" i="43" s="1"/>
  <c r="AC88" i="44"/>
  <c r="AA88" i="44"/>
  <c r="AD88" i="44"/>
  <c r="AB88" i="44" s="1"/>
  <c r="AD41" i="9"/>
  <c r="L15" i="45"/>
  <c r="L40" i="45"/>
  <c r="M11" i="45"/>
  <c r="AW311" i="32"/>
  <c r="AW279" i="32"/>
  <c r="J40" i="45"/>
  <c r="AW263" i="32"/>
  <c r="AW248" i="32"/>
  <c r="AW232" i="32"/>
  <c r="AW201" i="32"/>
  <c r="AW166" i="32"/>
  <c r="AW258" i="32"/>
  <c r="J37" i="45"/>
  <c r="AW227" i="32"/>
  <c r="AW212" i="32"/>
  <c r="AW162" i="32"/>
  <c r="I27" i="45"/>
  <c r="AW264" i="32"/>
  <c r="J39" i="45"/>
  <c r="AW245" i="32"/>
  <c r="AW229" i="32"/>
  <c r="I39" i="45"/>
  <c r="I12" i="45"/>
  <c r="AW189" i="32"/>
  <c r="H39" i="45"/>
  <c r="AW184" i="32"/>
  <c r="H22" i="45"/>
  <c r="AW168" i="32"/>
  <c r="G39" i="45"/>
  <c r="I20" i="45"/>
  <c r="AW197" i="32"/>
  <c r="H38" i="45"/>
  <c r="AW183" i="32"/>
  <c r="H20" i="45"/>
  <c r="G38" i="45"/>
  <c r="AW152" i="32"/>
  <c r="G37" i="45"/>
  <c r="AW151" i="32"/>
  <c r="I19" i="45"/>
  <c r="AW196" i="32"/>
  <c r="H36" i="45"/>
  <c r="AW181" i="32"/>
  <c r="H18" i="45"/>
  <c r="AW165" i="32"/>
  <c r="G14" i="45"/>
  <c r="AW130" i="32"/>
  <c r="G16" i="45"/>
  <c r="AW132" i="32"/>
  <c r="F34" i="45"/>
  <c r="AW117" i="32"/>
  <c r="G19" i="45"/>
  <c r="AW135" i="32"/>
  <c r="F37" i="45"/>
  <c r="AW120" i="32"/>
  <c r="F19" i="45"/>
  <c r="AW104" i="32"/>
  <c r="F31" i="45"/>
  <c r="AW115" i="32"/>
  <c r="F15" i="45"/>
  <c r="AW100" i="32"/>
  <c r="G26" i="45"/>
  <c r="AW141" i="32"/>
  <c r="F43" i="45"/>
  <c r="AW126" i="32"/>
  <c r="F26" i="45"/>
  <c r="AW110" i="32"/>
  <c r="F13" i="45"/>
  <c r="AW98" i="32"/>
  <c r="E25" i="45"/>
  <c r="AW79" i="32"/>
  <c r="F14" i="45"/>
  <c r="AW99" i="32"/>
  <c r="E23" i="45"/>
  <c r="AW77" i="32"/>
  <c r="C27" i="45"/>
  <c r="AW20" i="32"/>
  <c r="D41" i="45"/>
  <c r="AW63" i="32"/>
  <c r="D24" i="45"/>
  <c r="AW47" i="32"/>
  <c r="C31" i="45"/>
  <c r="AW24" i="32"/>
  <c r="D42" i="45"/>
  <c r="AW64" i="32"/>
  <c r="D27" i="45"/>
  <c r="AW50" i="32"/>
  <c r="D12" i="45"/>
  <c r="AW36" i="32"/>
  <c r="E22" i="45"/>
  <c r="AW76" i="32"/>
  <c r="C37" i="45"/>
  <c r="AW29" i="32"/>
  <c r="C39" i="45"/>
  <c r="AW31" i="32"/>
  <c r="H87" i="34"/>
  <c r="R82" i="34" s="1"/>
  <c r="AQ92" i="32"/>
  <c r="AC89" i="44"/>
  <c r="AA89" i="44"/>
  <c r="Z89" i="44" s="1"/>
  <c r="E37" i="44" s="1"/>
  <c r="AD89" i="44"/>
  <c r="AB89" i="44"/>
  <c r="B91" i="34"/>
  <c r="N84" i="38"/>
  <c r="C26" i="45"/>
  <c r="AW19" i="32"/>
  <c r="O90" i="36"/>
  <c r="O89" i="36"/>
  <c r="K87" i="34"/>
  <c r="R85" i="34"/>
  <c r="AQ95" i="32"/>
  <c r="AD38" i="9"/>
  <c r="AF38" i="9" s="1"/>
  <c r="G90" i="34" s="1"/>
  <c r="T81" i="34" s="1"/>
  <c r="H35" i="29"/>
  <c r="R76" i="43"/>
  <c r="AE90" i="32"/>
  <c r="G35" i="29"/>
  <c r="L11" i="45"/>
  <c r="AW280" i="32"/>
  <c r="AW303" i="32"/>
  <c r="K33" i="45"/>
  <c r="AW269" i="32"/>
  <c r="AW335" i="32"/>
  <c r="K39" i="45"/>
  <c r="AW275" i="32"/>
  <c r="J23" i="45"/>
  <c r="AW230" i="32"/>
  <c r="K22" i="45"/>
  <c r="AW259" i="32"/>
  <c r="J38" i="45"/>
  <c r="AW244" i="32"/>
  <c r="J20" i="45"/>
  <c r="AW228" i="32"/>
  <c r="I38" i="45"/>
  <c r="AW213" i="32"/>
  <c r="I23" i="45"/>
  <c r="AW199" i="32"/>
  <c r="K34" i="45"/>
  <c r="AW270" i="32"/>
  <c r="K16" i="45"/>
  <c r="AW254" i="32"/>
  <c r="J33" i="45"/>
  <c r="AW239" i="32"/>
  <c r="J15" i="45"/>
  <c r="AW223" i="32"/>
  <c r="I33" i="45"/>
  <c r="AW208" i="32"/>
  <c r="I40" i="45"/>
  <c r="AW215" i="32"/>
  <c r="I16" i="45"/>
  <c r="AW193" i="32"/>
  <c r="AW260" i="32"/>
  <c r="J35" i="45"/>
  <c r="AW241" i="32"/>
  <c r="J17" i="45"/>
  <c r="AW225" i="32"/>
  <c r="I35" i="45"/>
  <c r="AW210" i="32"/>
  <c r="AW186" i="32"/>
  <c r="H35" i="45"/>
  <c r="AW180" i="32"/>
  <c r="H17" i="45"/>
  <c r="AW164" i="32"/>
  <c r="G36" i="45"/>
  <c r="AW150" i="32"/>
  <c r="I17" i="45"/>
  <c r="AW194" i="32"/>
  <c r="H34" i="45"/>
  <c r="AW179" i="32"/>
  <c r="H16" i="45"/>
  <c r="AW163" i="32"/>
  <c r="G23" i="45"/>
  <c r="AW138" i="32"/>
  <c r="G34" i="45"/>
  <c r="AW148" i="32"/>
  <c r="I15" i="45"/>
  <c r="AW192" i="32"/>
  <c r="H31" i="45"/>
  <c r="AW177" i="32"/>
  <c r="H14" i="45"/>
  <c r="AW161" i="32"/>
  <c r="G29" i="45"/>
  <c r="AW144" i="32"/>
  <c r="G12" i="45"/>
  <c r="AW128" i="32"/>
  <c r="F29" i="45"/>
  <c r="AW113" i="32"/>
  <c r="E24" i="45"/>
  <c r="AW78" i="32"/>
  <c r="E33" i="45"/>
  <c r="AW86" i="32"/>
  <c r="E29" i="45"/>
  <c r="AW83" i="32"/>
  <c r="E16" i="45"/>
  <c r="AW71" i="32"/>
  <c r="D37" i="45"/>
  <c r="AW59" i="32"/>
  <c r="D15" i="45"/>
  <c r="AW39" i="32"/>
  <c r="E19" i="45"/>
  <c r="AW74" i="32"/>
  <c r="D40" i="45"/>
  <c r="AW62" i="32"/>
  <c r="D25" i="45"/>
  <c r="AW48" i="32"/>
  <c r="D11" i="45"/>
  <c r="AW35" i="32"/>
  <c r="E17" i="45"/>
  <c r="AW72" i="32"/>
  <c r="C36" i="45"/>
  <c r="AW28" i="32"/>
  <c r="AD36" i="9"/>
  <c r="AC86" i="44"/>
  <c r="AA86" i="44" s="1"/>
  <c r="AD86" i="44"/>
  <c r="AB86" i="44" s="1"/>
  <c r="AE92" i="32"/>
  <c r="I35" i="29"/>
  <c r="D87" i="34"/>
  <c r="R78" i="34" s="1"/>
  <c r="AQ88" i="32"/>
  <c r="N88" i="30"/>
  <c r="O89" i="30" s="1"/>
  <c r="N90" i="33"/>
  <c r="O45" i="12"/>
  <c r="AD40" i="9"/>
  <c r="AF40" i="9" s="1"/>
  <c r="I90" i="34" s="1"/>
  <c r="T83" i="34" s="1"/>
  <c r="AC90" i="44"/>
  <c r="AA90" i="44"/>
  <c r="Z90" i="44" s="1"/>
  <c r="E38" i="44" s="1"/>
  <c r="AD90" i="44"/>
  <c r="AB90" i="44"/>
  <c r="AC92" i="44"/>
  <c r="AA92" i="44" s="1"/>
  <c r="AD92" i="44"/>
  <c r="AB92" i="44" s="1"/>
  <c r="G81" i="34"/>
  <c r="N81" i="34" s="1"/>
  <c r="AK91" i="32"/>
  <c r="G83" i="43"/>
  <c r="P71" i="43" s="1"/>
  <c r="AF27" i="18"/>
  <c r="G89" i="43" s="1"/>
  <c r="T71" i="43" s="1"/>
  <c r="J87" i="34"/>
  <c r="R84" i="34"/>
  <c r="AQ94" i="32"/>
  <c r="AC91" i="44"/>
  <c r="AA91" i="44" s="1"/>
  <c r="Z91" i="44" s="1"/>
  <c r="E39" i="44" s="1"/>
  <c r="AD91" i="44"/>
  <c r="AB91" i="44" s="1"/>
  <c r="K41" i="45"/>
  <c r="AW277" i="32"/>
  <c r="AW299" i="32"/>
  <c r="K15" i="45"/>
  <c r="AW253" i="32"/>
  <c r="AW331" i="32"/>
  <c r="L35" i="45"/>
  <c r="AW302" i="32"/>
  <c r="K28" i="45"/>
  <c r="AW265" i="32"/>
  <c r="K35" i="45"/>
  <c r="AW271" i="32"/>
  <c r="K17" i="45"/>
  <c r="AW255" i="32"/>
  <c r="J34" i="45"/>
  <c r="AW240" i="32"/>
  <c r="J16" i="45"/>
  <c r="AW224" i="32"/>
  <c r="I34" i="45"/>
  <c r="AW209" i="32"/>
  <c r="I18" i="45"/>
  <c r="AW195" i="32"/>
  <c r="K29" i="45"/>
  <c r="AW266" i="32"/>
  <c r="K12" i="45"/>
  <c r="AW250" i="32"/>
  <c r="J28" i="45"/>
  <c r="AW235" i="32"/>
  <c r="J11" i="45"/>
  <c r="AW219" i="32"/>
  <c r="I28" i="45"/>
  <c r="AW204" i="32"/>
  <c r="I36" i="45"/>
  <c r="AW211" i="32"/>
  <c r="H28" i="45"/>
  <c r="AW174" i="32"/>
  <c r="K18" i="45"/>
  <c r="AW256" i="32"/>
  <c r="J30" i="45"/>
  <c r="AW237" i="32"/>
  <c r="J13" i="45"/>
  <c r="AW221" i="32"/>
  <c r="I30" i="45"/>
  <c r="AW206" i="32"/>
  <c r="H24" i="45"/>
  <c r="AW170" i="32"/>
  <c r="H30" i="45"/>
  <c r="AW176" i="32"/>
  <c r="H13" i="45"/>
  <c r="AW160" i="32"/>
  <c r="G27" i="45"/>
  <c r="AW142" i="32"/>
  <c r="I13" i="45"/>
  <c r="AW190" i="32"/>
  <c r="H29" i="45"/>
  <c r="AW175" i="32"/>
  <c r="H12" i="45"/>
  <c r="AW159" i="32"/>
  <c r="H11" i="45"/>
  <c r="AW158" i="32"/>
  <c r="G18" i="45"/>
  <c r="AW134" i="32"/>
  <c r="I11" i="45"/>
  <c r="AW188" i="32"/>
  <c r="H27" i="45"/>
  <c r="AW173" i="32"/>
  <c r="G40" i="45"/>
  <c r="AW154" i="32"/>
  <c r="G25" i="45"/>
  <c r="AW140" i="32"/>
  <c r="F42" i="45"/>
  <c r="AW125" i="32"/>
  <c r="F25" i="45"/>
  <c r="AW109" i="32"/>
  <c r="G28" i="45"/>
  <c r="AW143" i="32"/>
  <c r="G11" i="45"/>
  <c r="AW127" i="32"/>
  <c r="F28" i="45"/>
  <c r="AW112" i="32"/>
  <c r="F40" i="45"/>
  <c r="AW123" i="32"/>
  <c r="F23" i="45"/>
  <c r="AW107" i="32"/>
  <c r="G35" i="45"/>
  <c r="AW149" i="32"/>
  <c r="G17" i="45"/>
  <c r="AW133" i="32"/>
  <c r="F35" i="45"/>
  <c r="AW118" i="32"/>
  <c r="F17" i="45"/>
  <c r="AW102" i="32"/>
  <c r="F16" i="45"/>
  <c r="AW101" i="32"/>
  <c r="E18" i="45"/>
  <c r="AW73" i="32"/>
  <c r="E30" i="45"/>
  <c r="AW84" i="32"/>
  <c r="D30" i="45"/>
  <c r="AW53" i="32"/>
  <c r="E14" i="45"/>
  <c r="AW69" i="32"/>
  <c r="D34" i="45"/>
  <c r="AW56" i="32"/>
  <c r="D29" i="45"/>
  <c r="AW52" i="32"/>
  <c r="E15" i="45"/>
  <c r="AW70" i="32"/>
  <c r="D38" i="45"/>
  <c r="AW60" i="32"/>
  <c r="D23" i="45"/>
  <c r="AW46" i="32"/>
  <c r="C40" i="45"/>
  <c r="AW32" i="32"/>
  <c r="E13" i="45"/>
  <c r="AW68" i="32"/>
  <c r="D18" i="45"/>
  <c r="AW42" i="32"/>
  <c r="E81" i="34"/>
  <c r="N79" i="34"/>
  <c r="AK89" i="32"/>
  <c r="AE89" i="32"/>
  <c r="F35" i="29"/>
  <c r="AD39" i="9"/>
  <c r="AF39" i="9" s="1"/>
  <c r="H90" i="34" s="1"/>
  <c r="T82" i="34" s="1"/>
  <c r="AD35" i="9"/>
  <c r="AC85" i="44"/>
  <c r="AA85" i="44" s="1"/>
  <c r="AD85" i="44"/>
  <c r="AB85" i="44" s="1"/>
  <c r="I81" i="34"/>
  <c r="N83" i="34" s="1"/>
  <c r="AK93" i="32"/>
  <c r="AE93" i="32"/>
  <c r="J35" i="29"/>
  <c r="J81" i="34"/>
  <c r="N84" i="34"/>
  <c r="AK94" i="32"/>
  <c r="AE94" i="32"/>
  <c r="K35" i="29"/>
  <c r="L19" i="45"/>
  <c r="AW288" i="32"/>
  <c r="AW315" i="32"/>
  <c r="K40" i="45"/>
  <c r="AW276" i="32"/>
  <c r="M14" i="45"/>
  <c r="AW314" i="32"/>
  <c r="L13" i="45"/>
  <c r="K11" i="45"/>
  <c r="AW249" i="32"/>
  <c r="AW267" i="32"/>
  <c r="K13" i="45"/>
  <c r="AW251" i="32"/>
  <c r="AW236" i="32"/>
  <c r="J12" i="45"/>
  <c r="J24" i="45"/>
  <c r="J26" i="45"/>
  <c r="J41" i="45"/>
  <c r="AW220" i="32"/>
  <c r="I29" i="45"/>
  <c r="AW205" i="32"/>
  <c r="H37" i="45"/>
  <c r="AW182" i="32"/>
  <c r="K25" i="45"/>
  <c r="AW262" i="32"/>
  <c r="AW247" i="32"/>
  <c r="AW231" i="32"/>
  <c r="I41" i="45"/>
  <c r="AW216" i="32"/>
  <c r="H33" i="45"/>
  <c r="AW178" i="32"/>
  <c r="I31" i="45"/>
  <c r="AW207" i="32"/>
  <c r="K31" i="45"/>
  <c r="AW268" i="32"/>
  <c r="K14" i="45"/>
  <c r="AW252" i="32"/>
  <c r="AW233" i="32"/>
  <c r="I43" i="45"/>
  <c r="AW218" i="32"/>
  <c r="I26" i="45"/>
  <c r="AW202" i="32"/>
  <c r="I14" i="45"/>
  <c r="I24" i="45"/>
  <c r="AW191" i="32"/>
  <c r="H26" i="45"/>
  <c r="AW172" i="32"/>
  <c r="G43" i="45"/>
  <c r="AW157" i="32"/>
  <c r="AW200" i="32"/>
  <c r="G24" i="45"/>
  <c r="AW139" i="32"/>
  <c r="F41" i="45"/>
  <c r="AW124" i="32"/>
  <c r="F24" i="45"/>
  <c r="AW108" i="32"/>
  <c r="F36" i="45"/>
  <c r="AW119" i="32"/>
  <c r="F18" i="45"/>
  <c r="AW103" i="32"/>
  <c r="G30" i="45"/>
  <c r="AW145" i="32"/>
  <c r="G13" i="45"/>
  <c r="AW129" i="32"/>
  <c r="F30" i="45"/>
  <c r="AW114" i="32"/>
  <c r="D31" i="45"/>
  <c r="AW54" i="32"/>
  <c r="E87" i="34"/>
  <c r="R79" i="34"/>
  <c r="AQ89" i="32"/>
  <c r="C13" i="45"/>
  <c r="C38" i="45"/>
  <c r="AW7" i="32"/>
  <c r="H81" i="34"/>
  <c r="N82" i="34" s="1"/>
  <c r="AK92" i="32"/>
  <c r="D81" i="34"/>
  <c r="N78" i="34"/>
  <c r="AK88" i="32"/>
  <c r="AE88" i="32"/>
  <c r="E35" i="29"/>
  <c r="N85" i="37"/>
  <c r="N90" i="37"/>
  <c r="I87" i="34"/>
  <c r="R83" i="34" s="1"/>
  <c r="AQ93" i="32"/>
  <c r="AW30" i="32"/>
  <c r="D84" i="34"/>
  <c r="P78" i="34"/>
  <c r="AF35" i="9"/>
  <c r="D90" i="34"/>
  <c r="T78" i="34" s="1"/>
  <c r="O90" i="30"/>
  <c r="C91" i="30" s="1"/>
  <c r="H84" i="34"/>
  <c r="P82" i="34" s="1"/>
  <c r="J84" i="34"/>
  <c r="P84" i="34"/>
  <c r="AF41" i="9"/>
  <c r="J90" i="34"/>
  <c r="T84" i="34" s="1"/>
  <c r="N88" i="37"/>
  <c r="O90" i="37" s="1"/>
  <c r="N88" i="33"/>
  <c r="O90" i="33" s="1"/>
  <c r="AF36" i="9"/>
  <c r="E90" i="34"/>
  <c r="T79" i="34" s="1"/>
  <c r="E84" i="34"/>
  <c r="P79" i="34" s="1"/>
  <c r="G84" i="34"/>
  <c r="P81" i="34" s="1"/>
  <c r="O89" i="33"/>
  <c r="AW14" i="32"/>
  <c r="D4" i="29"/>
  <c r="C17" i="45" l="1"/>
  <c r="AW11" i="32"/>
  <c r="AW26" i="32"/>
  <c r="C34" i="45"/>
  <c r="C19" i="45"/>
  <c r="AW13" i="32"/>
  <c r="D39" i="45"/>
  <c r="AW61" i="32"/>
  <c r="N80" i="34"/>
  <c r="C23" i="45"/>
  <c r="AW16" i="32"/>
  <c r="N42" i="45"/>
  <c r="AW369" i="32"/>
  <c r="AW361" i="32"/>
  <c r="N34" i="45"/>
  <c r="N39" i="45"/>
  <c r="AW366" i="32"/>
  <c r="N19" i="45"/>
  <c r="AW348" i="32"/>
  <c r="AW344" i="32"/>
  <c r="N15" i="45"/>
  <c r="AW301" i="32"/>
  <c r="L34" i="45"/>
  <c r="L16" i="45"/>
  <c r="AW285" i="32"/>
  <c r="L12" i="45"/>
  <c r="AW281" i="32"/>
  <c r="AW274" i="32"/>
  <c r="K38" i="45"/>
  <c r="AW329" i="32"/>
  <c r="M30" i="45"/>
  <c r="M12" i="45"/>
  <c r="AW312" i="32"/>
  <c r="L41" i="45"/>
  <c r="AW308" i="32"/>
  <c r="L33" i="45"/>
  <c r="AW300" i="32"/>
  <c r="J31" i="45"/>
  <c r="AW238" i="32"/>
  <c r="L27" i="45"/>
  <c r="AW295" i="32"/>
  <c r="AW327" i="32"/>
  <c r="M28" i="45"/>
  <c r="AW22" i="32"/>
  <c r="C29" i="45"/>
  <c r="C91" i="37"/>
  <c r="C11" i="45"/>
  <c r="AW5" i="32"/>
  <c r="AQ91" i="32"/>
  <c r="G87" i="34"/>
  <c r="R81" i="34" s="1"/>
  <c r="C35" i="45"/>
  <c r="AW27" i="32"/>
  <c r="AW12" i="32"/>
  <c r="C18" i="45"/>
  <c r="AQ90" i="32"/>
  <c r="F87" i="34"/>
  <c r="AW65" i="32"/>
  <c r="D43" i="45"/>
  <c r="C42" i="45"/>
  <c r="AW34" i="32"/>
  <c r="AW346" i="32"/>
  <c r="N17" i="45"/>
  <c r="AW320" i="32"/>
  <c r="M20" i="45"/>
  <c r="AW370" i="32"/>
  <c r="N43" i="45"/>
  <c r="L25" i="45"/>
  <c r="AW293" i="32"/>
  <c r="J36" i="45"/>
  <c r="AW242" i="32"/>
  <c r="M39" i="45"/>
  <c r="AW337" i="32"/>
  <c r="M22" i="45"/>
  <c r="AW321" i="32"/>
  <c r="L24" i="45"/>
  <c r="AW292" i="32"/>
  <c r="AW291" i="32"/>
  <c r="L23" i="45"/>
  <c r="L14" i="45"/>
  <c r="AW283" i="32"/>
  <c r="M18" i="45"/>
  <c r="AW318" i="32"/>
  <c r="AW298" i="32"/>
  <c r="L30" i="45"/>
  <c r="E39" i="45"/>
  <c r="AW92" i="32"/>
  <c r="C14" i="45"/>
  <c r="AW8" i="32"/>
  <c r="D13" i="45"/>
  <c r="O13" i="45" s="1"/>
  <c r="AW37" i="32"/>
  <c r="C22" i="45"/>
  <c r="AW15" i="32"/>
  <c r="AW49" i="32"/>
  <c r="D26" i="45"/>
  <c r="AW6" i="32"/>
  <c r="C12" i="45"/>
  <c r="C25" i="45"/>
  <c r="C24" i="45"/>
  <c r="AW365" i="32"/>
  <c r="N38" i="45"/>
  <c r="N26" i="45"/>
  <c r="AW354" i="32"/>
  <c r="N41" i="45"/>
  <c r="AW368" i="32"/>
  <c r="Z357" i="44"/>
  <c r="N31" i="44" s="1"/>
  <c r="M17" i="45"/>
  <c r="AW317" i="32"/>
  <c r="M13" i="45"/>
  <c r="AW313" i="32"/>
  <c r="AW261" i="32"/>
  <c r="K24" i="45"/>
  <c r="M35" i="45"/>
  <c r="AW333" i="32"/>
  <c r="AW296" i="32"/>
  <c r="L28" i="45"/>
  <c r="K37" i="45"/>
  <c r="AW273" i="32"/>
  <c r="L18" i="45"/>
  <c r="AW287" i="32"/>
  <c r="J27" i="45"/>
  <c r="AW234" i="32"/>
  <c r="M19" i="45"/>
  <c r="AW319" i="32"/>
  <c r="L26" i="45"/>
  <c r="AW294" i="32"/>
  <c r="L17" i="45"/>
  <c r="AW286" i="32"/>
  <c r="AW57" i="32"/>
  <c r="D35" i="45"/>
  <c r="E41" i="45"/>
  <c r="AW94" i="32"/>
  <c r="AW93" i="32"/>
  <c r="E40" i="45"/>
  <c r="C30" i="45"/>
  <c r="AW23" i="32"/>
  <c r="E46" i="9"/>
  <c r="AM46" i="9" s="1"/>
  <c r="O46" i="9" s="1"/>
  <c r="K81" i="34"/>
  <c r="N85" i="34" s="1"/>
  <c r="AK95" i="32"/>
  <c r="AW10" i="32"/>
  <c r="C16" i="45"/>
  <c r="D22" i="45"/>
  <c r="AW45" i="32"/>
  <c r="O45" i="6"/>
  <c r="L45" i="6"/>
  <c r="AW362" i="32"/>
  <c r="N35" i="45"/>
  <c r="AW41" i="32"/>
  <c r="D17" i="45"/>
  <c r="C28" i="45"/>
  <c r="AW21" i="32"/>
  <c r="D33" i="45"/>
  <c r="AW55" i="32"/>
  <c r="C15" i="45"/>
  <c r="AW9" i="32"/>
  <c r="N22" i="45"/>
  <c r="AW350" i="32"/>
  <c r="N13" i="45"/>
  <c r="AW342" i="32"/>
  <c r="Z361" i="44"/>
  <c r="N35" i="44" s="1"/>
  <c r="N27" i="45"/>
  <c r="AW355" i="32"/>
  <c r="N40" i="45"/>
  <c r="AW367" i="32"/>
  <c r="N31" i="45"/>
  <c r="AW359" i="32"/>
  <c r="M25" i="45"/>
  <c r="AW324" i="32"/>
  <c r="AW352" i="32"/>
  <c r="N24" i="45"/>
  <c r="N11" i="45"/>
  <c r="AW340" i="32"/>
  <c r="L29" i="45"/>
  <c r="AW297" i="32"/>
  <c r="AW289" i="32"/>
  <c r="L20" i="45"/>
  <c r="K42" i="45"/>
  <c r="AW278" i="32"/>
  <c r="AW226" i="32"/>
  <c r="J18" i="45"/>
  <c r="M26" i="45"/>
  <c r="AW325" i="32"/>
  <c r="AW316" i="32"/>
  <c r="M16" i="45"/>
  <c r="L37" i="45"/>
  <c r="AW304" i="32"/>
  <c r="K19" i="45"/>
  <c r="K47" i="45" s="1"/>
  <c r="K45" i="44"/>
  <c r="K46" i="44"/>
  <c r="AW257" i="32"/>
  <c r="K43" i="44"/>
  <c r="K47" i="44"/>
  <c r="K44" i="44"/>
  <c r="J14" i="45"/>
  <c r="J46" i="45" s="1"/>
  <c r="J44" i="44"/>
  <c r="AW222" i="32"/>
  <c r="J43" i="44"/>
  <c r="J47" i="44" s="1"/>
  <c r="J45" i="44"/>
  <c r="J46" i="44"/>
  <c r="N29" i="45"/>
  <c r="AW357" i="32"/>
  <c r="L22" i="45"/>
  <c r="AW290" i="32"/>
  <c r="AC87" i="44"/>
  <c r="AD87" i="44"/>
  <c r="L46" i="9"/>
  <c r="I84" i="34"/>
  <c r="P83" i="34" s="1"/>
  <c r="J48" i="45"/>
  <c r="AK90" i="32"/>
  <c r="AK368" i="32"/>
  <c r="L35" i="29"/>
  <c r="AW217" i="32"/>
  <c r="AD42" i="9"/>
  <c r="Z88" i="44"/>
  <c r="E36" i="44" s="1"/>
  <c r="K36" i="45"/>
  <c r="K48" i="45" s="1"/>
  <c r="AA87" i="44"/>
  <c r="Z87" i="44" s="1"/>
  <c r="E35" i="44" s="1"/>
  <c r="S45" i="9"/>
  <c r="J45" i="45"/>
  <c r="O90" i="41"/>
  <c r="J47" i="45"/>
  <c r="AB87" i="44"/>
  <c r="O89" i="39"/>
  <c r="AD37" i="9"/>
  <c r="E45" i="9"/>
  <c r="AM45" i="9" s="1"/>
  <c r="O45" i="9" s="1"/>
  <c r="L46" i="12"/>
  <c r="S45" i="12"/>
  <c r="W9" i="20"/>
  <c r="W9" i="23"/>
  <c r="AH184" i="44"/>
  <c r="AI184" i="44" s="1"/>
  <c r="AJ184" i="44" s="1"/>
  <c r="AK184" i="44" s="1"/>
  <c r="AL184" i="44" s="1"/>
  <c r="Z184" i="44" s="1"/>
  <c r="H40" i="44" s="1"/>
  <c r="AH168" i="44"/>
  <c r="AI168" i="44" s="1"/>
  <c r="AJ168" i="44" s="1"/>
  <c r="AK168" i="44" s="1"/>
  <c r="AL168" i="44" s="1"/>
  <c r="Z168" i="44" s="1"/>
  <c r="H23" i="44" s="1"/>
  <c r="AH153" i="44"/>
  <c r="AI153" i="44" s="1"/>
  <c r="AJ153" i="44" s="1"/>
  <c r="AK153" i="44" s="1"/>
  <c r="AL153" i="44" s="1"/>
  <c r="Z153" i="44" s="1"/>
  <c r="G40" i="44" s="1"/>
  <c r="AH152" i="44"/>
  <c r="AI152" i="44" s="1"/>
  <c r="AJ152" i="44" s="1"/>
  <c r="AK152" i="44" s="1"/>
  <c r="AL152" i="44" s="1"/>
  <c r="Z152" i="44" s="1"/>
  <c r="G39" i="44" s="1"/>
  <c r="AH195" i="44"/>
  <c r="AI195" i="44" s="1"/>
  <c r="AJ195" i="44" s="1"/>
  <c r="AK195" i="44" s="1"/>
  <c r="AL195" i="44" s="1"/>
  <c r="Z195" i="44" s="1"/>
  <c r="I20" i="44" s="1"/>
  <c r="AH182" i="44"/>
  <c r="AI182" i="44" s="1"/>
  <c r="AJ182" i="44" s="1"/>
  <c r="AK182" i="44" s="1"/>
  <c r="AL182" i="44" s="1"/>
  <c r="Z182" i="44" s="1"/>
  <c r="H38" i="44" s="1"/>
  <c r="AH166" i="44"/>
  <c r="AI166" i="44" s="1"/>
  <c r="AJ166" i="44" s="1"/>
  <c r="AK166" i="44" s="1"/>
  <c r="AL166" i="44" s="1"/>
  <c r="Z166" i="44" s="1"/>
  <c r="H21" i="44" s="1"/>
  <c r="AH143" i="44"/>
  <c r="AI143" i="44" s="1"/>
  <c r="AJ143" i="44" s="1"/>
  <c r="AK143" i="44" s="1"/>
  <c r="AL143" i="44" s="1"/>
  <c r="Z143" i="44" s="1"/>
  <c r="G29" i="44" s="1"/>
  <c r="AH133" i="44"/>
  <c r="AI133" i="44" s="1"/>
  <c r="AJ133" i="44" s="1"/>
  <c r="AK133" i="44" s="1"/>
  <c r="AL133" i="44" s="1"/>
  <c r="Z133" i="44" s="1"/>
  <c r="G18" i="44" s="1"/>
  <c r="AH118" i="44"/>
  <c r="AI118" i="44" s="1"/>
  <c r="AJ118" i="44" s="1"/>
  <c r="AK118" i="44" s="1"/>
  <c r="AL118" i="44" s="1"/>
  <c r="Z118" i="44" s="1"/>
  <c r="F36" i="44" s="1"/>
  <c r="AH102" i="44"/>
  <c r="AI102" i="44" s="1"/>
  <c r="AJ102" i="44" s="1"/>
  <c r="AK102" i="44" s="1"/>
  <c r="AL102" i="44" s="1"/>
  <c r="Z102" i="44" s="1"/>
  <c r="F18" i="44" s="1"/>
  <c r="AH144" i="44"/>
  <c r="AI144" i="44" s="1"/>
  <c r="AJ144" i="44" s="1"/>
  <c r="AK144" i="44" s="1"/>
  <c r="AL144" i="44" s="1"/>
  <c r="Z144" i="44" s="1"/>
  <c r="G31" i="44" s="1"/>
  <c r="AH128" i="44"/>
  <c r="AI128" i="44" s="1"/>
  <c r="AJ128" i="44" s="1"/>
  <c r="AK128" i="44" s="1"/>
  <c r="AL128" i="44" s="1"/>
  <c r="Z128" i="44" s="1"/>
  <c r="G13" i="44" s="1"/>
  <c r="AH113" i="44"/>
  <c r="AI113" i="44" s="1"/>
  <c r="AJ113" i="44" s="1"/>
  <c r="AK113" i="44" s="1"/>
  <c r="AL113" i="44" s="1"/>
  <c r="Z113" i="44" s="1"/>
  <c r="F31" i="44" s="1"/>
  <c r="AH72" i="44"/>
  <c r="AI72" i="44" s="1"/>
  <c r="AJ72" i="44" s="1"/>
  <c r="AK72" i="44" s="1"/>
  <c r="AL72" i="44" s="1"/>
  <c r="Z72" i="44" s="1"/>
  <c r="E18" i="44" s="1"/>
  <c r="AH108" i="44"/>
  <c r="AI108" i="44" s="1"/>
  <c r="AJ108" i="44" s="1"/>
  <c r="AK108" i="44" s="1"/>
  <c r="AL108" i="44" s="1"/>
  <c r="Z108" i="44" s="1"/>
  <c r="F25" i="44" s="1"/>
  <c r="AH93" i="44"/>
  <c r="AI93" i="44" s="1"/>
  <c r="AJ93" i="44" s="1"/>
  <c r="AK93" i="44" s="1"/>
  <c r="AL93" i="44" s="1"/>
  <c r="Z93" i="44" s="1"/>
  <c r="F9" i="44" s="1"/>
  <c r="AH134" i="44"/>
  <c r="AI134" i="44" s="1"/>
  <c r="AJ134" i="44" s="1"/>
  <c r="AK134" i="44" s="1"/>
  <c r="AL134" i="44" s="1"/>
  <c r="Z134" i="44" s="1"/>
  <c r="G20" i="44" s="1"/>
  <c r="AH119" i="44"/>
  <c r="AI119" i="44" s="1"/>
  <c r="AJ119" i="44" s="1"/>
  <c r="AK119" i="44" s="1"/>
  <c r="AL119" i="44" s="1"/>
  <c r="Z119" i="44" s="1"/>
  <c r="F37" i="44" s="1"/>
  <c r="AH103" i="44"/>
  <c r="AI103" i="44" s="1"/>
  <c r="AJ103" i="44" s="1"/>
  <c r="AK103" i="44" s="1"/>
  <c r="AL103" i="44" s="1"/>
  <c r="Z103" i="44" s="1"/>
  <c r="F20" i="44" s="1"/>
  <c r="AH86" i="44"/>
  <c r="AI86" i="44" s="1"/>
  <c r="AJ86" i="44" s="1"/>
  <c r="AK86" i="44" s="1"/>
  <c r="AL86" i="44" s="1"/>
  <c r="Z86" i="44" s="1"/>
  <c r="E34" i="44" s="1"/>
  <c r="AH92" i="44"/>
  <c r="AI92" i="44" s="1"/>
  <c r="AJ92" i="44" s="1"/>
  <c r="AK92" i="44" s="1"/>
  <c r="AL92" i="44" s="1"/>
  <c r="Z92" i="44" s="1"/>
  <c r="E40" i="44" s="1"/>
  <c r="AH78" i="44"/>
  <c r="AI78" i="44" s="1"/>
  <c r="AJ78" i="44" s="1"/>
  <c r="AK78" i="44" s="1"/>
  <c r="AL78" i="44" s="1"/>
  <c r="Z78" i="44" s="1"/>
  <c r="E25" i="44" s="1"/>
  <c r="AH94" i="44"/>
  <c r="AI94" i="44" s="1"/>
  <c r="AJ94" i="44" s="1"/>
  <c r="AK94" i="44" s="1"/>
  <c r="AL94" i="44" s="1"/>
  <c r="Z94" i="44" s="1"/>
  <c r="F10" i="44" s="1"/>
  <c r="AH82" i="44"/>
  <c r="AI82" i="44" s="1"/>
  <c r="AJ82" i="44" s="1"/>
  <c r="AK82" i="44" s="1"/>
  <c r="AL82" i="44" s="1"/>
  <c r="Z82" i="44" s="1"/>
  <c r="E29" i="44" s="1"/>
  <c r="AH85" i="44"/>
  <c r="AI85" i="44" s="1"/>
  <c r="AJ85" i="44" s="1"/>
  <c r="AK85" i="44" s="1"/>
  <c r="AL85" i="44" s="1"/>
  <c r="Z85" i="44" s="1"/>
  <c r="E33" i="44" s="1"/>
  <c r="AH79" i="44"/>
  <c r="AI79" i="44" s="1"/>
  <c r="AJ79" i="44" s="1"/>
  <c r="AK79" i="44" s="1"/>
  <c r="AL79" i="44" s="1"/>
  <c r="Z79" i="44" s="1"/>
  <c r="E26" i="44" s="1"/>
  <c r="AH39" i="44"/>
  <c r="AI39" i="44" s="1"/>
  <c r="AJ39" i="44" s="1"/>
  <c r="AK39" i="44" s="1"/>
  <c r="AL39" i="44" s="1"/>
  <c r="Z39" i="44" s="1"/>
  <c r="D17" i="44" s="1"/>
  <c r="AH64" i="44"/>
  <c r="AI64" i="44" s="1"/>
  <c r="AJ64" i="44" s="1"/>
  <c r="AK64" i="44" s="1"/>
  <c r="AL64" i="44" s="1"/>
  <c r="Z64" i="44" s="1"/>
  <c r="E10" i="44" s="1"/>
  <c r="AH48" i="44"/>
  <c r="AI48" i="44" s="1"/>
  <c r="AJ48" i="44" s="1"/>
  <c r="AK48" i="44" s="1"/>
  <c r="AL48" i="44" s="1"/>
  <c r="Z48" i="44" s="1"/>
  <c r="D26" i="44" s="1"/>
  <c r="AH36" i="44"/>
  <c r="AI36" i="44" s="1"/>
  <c r="AJ36" i="44" s="1"/>
  <c r="AK36" i="44" s="1"/>
  <c r="AL36" i="44" s="1"/>
  <c r="Z36" i="44" s="1"/>
  <c r="D14" i="44" s="1"/>
  <c r="AH63" i="44"/>
  <c r="AI63" i="44" s="1"/>
  <c r="AJ63" i="44" s="1"/>
  <c r="AK63" i="44" s="1"/>
  <c r="AL63" i="44" s="1"/>
  <c r="Z63" i="44" s="1"/>
  <c r="E9" i="44" s="1"/>
  <c r="AH55" i="44"/>
  <c r="AI55" i="44" s="1"/>
  <c r="AJ55" i="44" s="1"/>
  <c r="AK55" i="44" s="1"/>
  <c r="AL55" i="44" s="1"/>
  <c r="Z55" i="44" s="1"/>
  <c r="D34" i="44" s="1"/>
  <c r="AH40" i="44"/>
  <c r="AI40" i="44" s="1"/>
  <c r="AJ40" i="44" s="1"/>
  <c r="AK40" i="44" s="1"/>
  <c r="AL40" i="44" s="1"/>
  <c r="Z40" i="44" s="1"/>
  <c r="D18" i="44" s="1"/>
  <c r="AH77" i="44"/>
  <c r="AI77" i="44" s="1"/>
  <c r="AJ77" i="44" s="1"/>
  <c r="AK77" i="44" s="1"/>
  <c r="AL77" i="44" s="1"/>
  <c r="Z77" i="44" s="1"/>
  <c r="E24" i="44" s="1"/>
  <c r="AH29" i="44"/>
  <c r="AI29" i="44" s="1"/>
  <c r="AJ29" i="44" s="1"/>
  <c r="AK29" i="44" s="1"/>
  <c r="AL29" i="44" s="1"/>
  <c r="Z29" i="44" s="1"/>
  <c r="C39" i="44" s="1"/>
  <c r="AH34" i="44"/>
  <c r="AI34" i="44" s="1"/>
  <c r="AJ34" i="44" s="1"/>
  <c r="AK34" i="44" s="1"/>
  <c r="AL34" i="44" s="1"/>
  <c r="Z34" i="44" s="1"/>
  <c r="D12" i="44" s="1"/>
  <c r="D44" i="44" s="1"/>
  <c r="AH21" i="44"/>
  <c r="AI21" i="44" s="1"/>
  <c r="AJ21" i="44" s="1"/>
  <c r="AK21" i="44" s="1"/>
  <c r="AL21" i="44" s="1"/>
  <c r="Z21" i="44" s="1"/>
  <c r="C31" i="44" s="1"/>
  <c r="AD163" i="44"/>
  <c r="AB163" i="44" s="1"/>
  <c r="AM43" i="14"/>
  <c r="AC43" i="14" s="1"/>
  <c r="AN43" i="14"/>
  <c r="AE43" i="14" s="1"/>
  <c r="AF20" i="10"/>
  <c r="K88" i="35" s="1"/>
  <c r="T65" i="35" s="1"/>
  <c r="K82" i="35"/>
  <c r="P65" i="35" s="1"/>
  <c r="AF12" i="10"/>
  <c r="C88" i="35" s="1"/>
  <c r="T57" i="35" s="1"/>
  <c r="C82" i="35"/>
  <c r="P57" i="35" s="1"/>
  <c r="AT29" i="44"/>
  <c r="AS29" i="44"/>
  <c r="AS31" i="44" s="1"/>
  <c r="S45" i="11"/>
  <c r="E45" i="11"/>
  <c r="AM45" i="11" s="1"/>
  <c r="O45" i="11" s="1"/>
  <c r="I84" i="33"/>
  <c r="P83" i="33" s="1"/>
  <c r="AF40" i="8"/>
  <c r="I90" i="33" s="1"/>
  <c r="T83" i="33" s="1"/>
  <c r="H84" i="30"/>
  <c r="P82" i="30" s="1"/>
  <c r="AF39" i="6"/>
  <c r="H90" i="30" s="1"/>
  <c r="T82" i="30" s="1"/>
  <c r="AF25" i="10"/>
  <c r="E89" i="35" s="1"/>
  <c r="T69" i="35" s="1"/>
  <c r="E83" i="35"/>
  <c r="P69" i="35" s="1"/>
  <c r="AF16" i="10"/>
  <c r="G88" i="35" s="1"/>
  <c r="T61" i="35" s="1"/>
  <c r="G82" i="35"/>
  <c r="P61" i="35" s="1"/>
  <c r="K43" i="47"/>
  <c r="AC43" i="13"/>
  <c r="AK218" i="32" s="1"/>
  <c r="AC43" i="8"/>
  <c r="G84" i="30"/>
  <c r="P81" i="30" s="1"/>
  <c r="J83" i="30"/>
  <c r="P74" i="30" s="1"/>
  <c r="H83" i="30"/>
  <c r="P72" i="30" s="1"/>
  <c r="G83" i="30"/>
  <c r="P71" i="30" s="1"/>
  <c r="F83" i="30"/>
  <c r="P70" i="30" s="1"/>
  <c r="E83" i="30"/>
  <c r="P69" i="30" s="1"/>
  <c r="D83" i="30"/>
  <c r="P68" i="30" s="1"/>
  <c r="C83" i="30"/>
  <c r="P67" i="30" s="1"/>
  <c r="B83" i="30"/>
  <c r="P66" i="30" s="1"/>
  <c r="K82" i="30"/>
  <c r="P65" i="30" s="1"/>
  <c r="J82" i="30"/>
  <c r="P64" i="30" s="1"/>
  <c r="I82" i="30"/>
  <c r="P63" i="30" s="1"/>
  <c r="H82" i="30"/>
  <c r="P62" i="30" s="1"/>
  <c r="G82" i="30"/>
  <c r="P61" i="30" s="1"/>
  <c r="B82" i="30"/>
  <c r="P56" i="30" s="1"/>
  <c r="AE31" i="8"/>
  <c r="AE17" i="8"/>
  <c r="AE16" i="8"/>
  <c r="AE15" i="8"/>
  <c r="AD30" i="9"/>
  <c r="AD16" i="9"/>
  <c r="AF14" i="9"/>
  <c r="E88" i="34" s="1"/>
  <c r="T59" i="34" s="1"/>
  <c r="AD12" i="9"/>
  <c r="AD39" i="10"/>
  <c r="G83" i="35"/>
  <c r="P71" i="35" s="1"/>
  <c r="AD26" i="10"/>
  <c r="AC25" i="10"/>
  <c r="C83" i="35"/>
  <c r="P67" i="35" s="1"/>
  <c r="AD22" i="10"/>
  <c r="AC20" i="10"/>
  <c r="I82" i="35"/>
  <c r="P63" i="35" s="1"/>
  <c r="AD17" i="10"/>
  <c r="AC16" i="10"/>
  <c r="E82" i="35"/>
  <c r="P59" i="35" s="1"/>
  <c r="AD13" i="10"/>
  <c r="AC12" i="10"/>
  <c r="AD11" i="10"/>
  <c r="B83" i="38"/>
  <c r="P66" i="38" s="1"/>
  <c r="AF22" i="13"/>
  <c r="B89" i="38" s="1"/>
  <c r="T66" i="38" s="1"/>
  <c r="AD42" i="10"/>
  <c r="G84" i="35"/>
  <c r="P81" i="35" s="1"/>
  <c r="H83" i="35"/>
  <c r="P72" i="35" s="1"/>
  <c r="D83" i="35"/>
  <c r="P68" i="35" s="1"/>
  <c r="J82" i="35"/>
  <c r="P64" i="35" s="1"/>
  <c r="F82" i="35"/>
  <c r="P60" i="35" s="1"/>
  <c r="B82" i="37"/>
  <c r="P56" i="37" s="1"/>
  <c r="AF11" i="12"/>
  <c r="B88" i="37" s="1"/>
  <c r="T56" i="37" s="1"/>
  <c r="AF36" i="13"/>
  <c r="E90" i="38" s="1"/>
  <c r="T79" i="38" s="1"/>
  <c r="E84" i="38"/>
  <c r="P79" i="38" s="1"/>
  <c r="G84" i="38"/>
  <c r="P81" i="38" s="1"/>
  <c r="AF38" i="13"/>
  <c r="G90" i="38" s="1"/>
  <c r="T81" i="38" s="1"/>
  <c r="AD43" i="11"/>
  <c r="AF43" i="11" s="1"/>
  <c r="C83" i="38"/>
  <c r="P67" i="38" s="1"/>
  <c r="AF23" i="13"/>
  <c r="C89" i="38" s="1"/>
  <c r="T67" i="38" s="1"/>
  <c r="I84" i="36"/>
  <c r="P83" i="36" s="1"/>
  <c r="AE39" i="11"/>
  <c r="F84" i="36"/>
  <c r="P80" i="36" s="1"/>
  <c r="G83" i="36"/>
  <c r="P71" i="36" s="1"/>
  <c r="F83" i="36"/>
  <c r="P70" i="36" s="1"/>
  <c r="E83" i="36"/>
  <c r="P69" i="36" s="1"/>
  <c r="B82" i="36"/>
  <c r="P56" i="36" s="1"/>
  <c r="H84" i="38"/>
  <c r="P82" i="38" s="1"/>
  <c r="AF37" i="13"/>
  <c r="F90" i="38" s="1"/>
  <c r="T80" i="38" s="1"/>
  <c r="AF35" i="13"/>
  <c r="D90" i="38" s="1"/>
  <c r="T78" i="38" s="1"/>
  <c r="AF33" i="13"/>
  <c r="B90" i="38" s="1"/>
  <c r="T76" i="38" s="1"/>
  <c r="AF30" i="13"/>
  <c r="J89" i="38" s="1"/>
  <c r="T74" i="38" s="1"/>
  <c r="AF28" i="13"/>
  <c r="H89" i="38" s="1"/>
  <c r="T72" i="38" s="1"/>
  <c r="AF24" i="13"/>
  <c r="D89" i="38" s="1"/>
  <c r="T68" i="38" s="1"/>
  <c r="AC23" i="13"/>
  <c r="AE16" i="13"/>
  <c r="AD14" i="13"/>
  <c r="B82" i="38"/>
  <c r="P56" i="38" s="1"/>
  <c r="AF34" i="13"/>
  <c r="C90" i="38" s="1"/>
  <c r="T77" i="38" s="1"/>
  <c r="AF31" i="13"/>
  <c r="K89" i="38" s="1"/>
  <c r="T75" i="38" s="1"/>
  <c r="AF29" i="13"/>
  <c r="I89" i="38" s="1"/>
  <c r="T73" i="38" s="1"/>
  <c r="AD26" i="13"/>
  <c r="AF29" i="15"/>
  <c r="I89" i="40" s="1"/>
  <c r="T73" i="40" s="1"/>
  <c r="I83" i="40"/>
  <c r="P73" i="40" s="1"/>
  <c r="AF19" i="13"/>
  <c r="J88" i="38" s="1"/>
  <c r="T64" i="38" s="1"/>
  <c r="AD18" i="13"/>
  <c r="AD12" i="13"/>
  <c r="I84" i="40"/>
  <c r="P83" i="40" s="1"/>
  <c r="AF40" i="15"/>
  <c r="I90" i="40" s="1"/>
  <c r="T83" i="40" s="1"/>
  <c r="R89" i="40" s="1"/>
  <c r="AF27" i="14"/>
  <c r="G89" i="39" s="1"/>
  <c r="T71" i="39" s="1"/>
  <c r="AE13" i="14"/>
  <c r="AF31" i="15"/>
  <c r="K89" i="40" s="1"/>
  <c r="T75" i="40" s="1"/>
  <c r="AC29" i="15"/>
  <c r="AF26" i="15"/>
  <c r="F89" i="40" s="1"/>
  <c r="T70" i="40" s="1"/>
  <c r="B83" i="40"/>
  <c r="P66" i="40" s="1"/>
  <c r="AF22" i="15"/>
  <c r="B89" i="40" s="1"/>
  <c r="T66" i="40" s="1"/>
  <c r="I84" i="41"/>
  <c r="P83" i="41" s="1"/>
  <c r="AF40" i="16"/>
  <c r="I90" i="41" s="1"/>
  <c r="T83" i="41" s="1"/>
  <c r="AD30" i="15"/>
  <c r="C83" i="40"/>
  <c r="P67" i="40" s="1"/>
  <c r="AF23" i="15"/>
  <c r="C89" i="40" s="1"/>
  <c r="T67" i="40" s="1"/>
  <c r="C84" i="42"/>
  <c r="P77" i="42" s="1"/>
  <c r="AF34" i="17"/>
  <c r="C90" i="42" s="1"/>
  <c r="T77" i="42" s="1"/>
  <c r="AF25" i="15"/>
  <c r="E89" i="40" s="1"/>
  <c r="T69" i="40" s="1"/>
  <c r="D83" i="40"/>
  <c r="P68" i="40" s="1"/>
  <c r="AF24" i="15"/>
  <c r="D89" i="40" s="1"/>
  <c r="T68" i="40" s="1"/>
  <c r="J83" i="41"/>
  <c r="P74" i="41" s="1"/>
  <c r="O89" i="41" s="1"/>
  <c r="H83" i="41"/>
  <c r="P72" i="41" s="1"/>
  <c r="AF17" i="16"/>
  <c r="H88" i="41" s="1"/>
  <c r="T62" i="41" s="1"/>
  <c r="AF16" i="16"/>
  <c r="G88" i="41" s="1"/>
  <c r="T61" i="41" s="1"/>
  <c r="AF15" i="16"/>
  <c r="F88" i="41" s="1"/>
  <c r="T60" i="41" s="1"/>
  <c r="AN42" i="17"/>
  <c r="AE42" i="17" s="1"/>
  <c r="K87" i="42" s="1"/>
  <c r="AM42" i="17"/>
  <c r="AC42" i="17" s="1"/>
  <c r="K81" i="42" s="1"/>
  <c r="N85" i="42" s="1"/>
  <c r="AF36" i="17"/>
  <c r="E90" i="42" s="1"/>
  <c r="T79" i="42" s="1"/>
  <c r="AC34" i="17"/>
  <c r="AD33" i="17"/>
  <c r="AF31" i="17"/>
  <c r="K89" i="42" s="1"/>
  <c r="T75" i="42" s="1"/>
  <c r="AD38" i="17"/>
  <c r="B91" i="42"/>
  <c r="AF30" i="17"/>
  <c r="J89" i="42" s="1"/>
  <c r="T74" i="42" s="1"/>
  <c r="J84" i="42"/>
  <c r="P84" i="42" s="1"/>
  <c r="K78" i="42"/>
  <c r="AF29" i="17"/>
  <c r="I89" i="42" s="1"/>
  <c r="T73" i="42" s="1"/>
  <c r="H84" i="43"/>
  <c r="P82" i="43" s="1"/>
  <c r="AF39" i="18"/>
  <c r="H90" i="43" s="1"/>
  <c r="T82" i="43" s="1"/>
  <c r="B82" i="43"/>
  <c r="P56" i="43" s="1"/>
  <c r="AF11" i="18"/>
  <c r="B88" i="43" s="1"/>
  <c r="T56" i="43" s="1"/>
  <c r="AC31" i="18"/>
  <c r="AG360" i="44"/>
  <c r="N34" i="47"/>
  <c r="AG348" i="44"/>
  <c r="N21" i="47"/>
  <c r="AG340" i="44"/>
  <c r="AM14" i="18"/>
  <c r="N12" i="47"/>
  <c r="AN14" i="18"/>
  <c r="AE14" i="18" s="1"/>
  <c r="AG335" i="44"/>
  <c r="M38" i="47"/>
  <c r="M29" i="47"/>
  <c r="AG327" i="44"/>
  <c r="AC39" i="18"/>
  <c r="AC38" i="18"/>
  <c r="F83" i="43"/>
  <c r="P70" i="43" s="1"/>
  <c r="AG353" i="44"/>
  <c r="N26" i="47"/>
  <c r="AG350" i="44"/>
  <c r="N23" i="47"/>
  <c r="N14" i="47"/>
  <c r="AG342" i="44"/>
  <c r="AM16" i="18"/>
  <c r="AG329" i="44"/>
  <c r="M32" i="47"/>
  <c r="AG307" i="44"/>
  <c r="L41" i="47"/>
  <c r="AG355" i="44"/>
  <c r="N28" i="47"/>
  <c r="AG344" i="44"/>
  <c r="N16" i="47"/>
  <c r="AG331" i="44"/>
  <c r="M34" i="47"/>
  <c r="M25" i="47"/>
  <c r="AG323" i="44"/>
  <c r="AG320" i="44"/>
  <c r="M22" i="47"/>
  <c r="AG306" i="44"/>
  <c r="L40" i="47"/>
  <c r="L37" i="47"/>
  <c r="AG303" i="44"/>
  <c r="N18" i="47"/>
  <c r="AG346" i="44"/>
  <c r="AM12" i="18"/>
  <c r="AC12" i="18" s="1"/>
  <c r="AD12" i="18"/>
  <c r="N10" i="47"/>
  <c r="AG338" i="44"/>
  <c r="AN12" i="18"/>
  <c r="AE12" i="18" s="1"/>
  <c r="AG333" i="44"/>
  <c r="M36" i="47"/>
  <c r="AG325" i="44"/>
  <c r="M27" i="47"/>
  <c r="AG319" i="44"/>
  <c r="M21" i="47"/>
  <c r="M44" i="47" s="1"/>
  <c r="AG302" i="44"/>
  <c r="L36" i="47"/>
  <c r="AD5" i="44"/>
  <c r="AB5" i="44" s="1"/>
  <c r="AG84" i="44"/>
  <c r="E32" i="47"/>
  <c r="AQ7" i="44"/>
  <c r="E37" i="45" l="1"/>
  <c r="AW90" i="32"/>
  <c r="AC327" i="44"/>
  <c r="AA327" i="44" s="1"/>
  <c r="Z327" i="44" s="1"/>
  <c r="M29" i="44" s="1"/>
  <c r="AD327" i="44"/>
  <c r="AB327" i="44" s="1"/>
  <c r="AF33" i="17"/>
  <c r="B90" i="42" s="1"/>
  <c r="T76" i="42" s="1"/>
  <c r="B84" i="42"/>
  <c r="P76" i="42" s="1"/>
  <c r="R85" i="42"/>
  <c r="P89" i="42"/>
  <c r="P88" i="42" s="1"/>
  <c r="R89" i="42" s="1"/>
  <c r="G85" i="38"/>
  <c r="AQ193" i="32"/>
  <c r="K79" i="35"/>
  <c r="N65" i="35" s="1"/>
  <c r="AK105" i="32"/>
  <c r="AF26" i="10"/>
  <c r="F89" i="35" s="1"/>
  <c r="T70" i="35" s="1"/>
  <c r="F83" i="35"/>
  <c r="P70" i="35" s="1"/>
  <c r="G85" i="33"/>
  <c r="R61" i="33" s="1"/>
  <c r="AQ40" i="32"/>
  <c r="AQ29" i="44"/>
  <c r="AP29" i="44" s="1"/>
  <c r="D48" i="44" s="1"/>
  <c r="J49" i="44" s="1"/>
  <c r="AQ31" i="44"/>
  <c r="AQ32" i="44"/>
  <c r="AW25" i="32"/>
  <c r="C33" i="45"/>
  <c r="C46" i="45" s="1"/>
  <c r="D20" i="45"/>
  <c r="AW44" i="32"/>
  <c r="D28" i="45"/>
  <c r="AW51" i="32"/>
  <c r="AW88" i="32"/>
  <c r="E35" i="45"/>
  <c r="AW95" i="32"/>
  <c r="E42" i="45"/>
  <c r="G22" i="45"/>
  <c r="AW137" i="32"/>
  <c r="F33" i="45"/>
  <c r="AW116" i="32"/>
  <c r="F38" i="45"/>
  <c r="AW121" i="32"/>
  <c r="H40" i="45"/>
  <c r="AW185" i="32"/>
  <c r="AW171" i="32"/>
  <c r="H25" i="45"/>
  <c r="E38" i="45"/>
  <c r="AW91" i="32"/>
  <c r="K45" i="45"/>
  <c r="N33" i="45"/>
  <c r="AW360" i="32"/>
  <c r="O35" i="45"/>
  <c r="C44" i="44"/>
  <c r="N90" i="34"/>
  <c r="AC333" i="44"/>
  <c r="AD333" i="44"/>
  <c r="AA333" i="44"/>
  <c r="Z333" i="44" s="1"/>
  <c r="M36" i="44" s="1"/>
  <c r="AB333" i="44"/>
  <c r="E58" i="29"/>
  <c r="AE323" i="32"/>
  <c r="D59" i="29"/>
  <c r="AE332" i="32"/>
  <c r="E85" i="43"/>
  <c r="R59" i="43" s="1"/>
  <c r="AQ343" i="32"/>
  <c r="K80" i="43"/>
  <c r="N75" i="43" s="1"/>
  <c r="AK359" i="32"/>
  <c r="H56" i="29"/>
  <c r="L43" i="47"/>
  <c r="L44" i="47"/>
  <c r="AE305" i="32"/>
  <c r="C85" i="43"/>
  <c r="AQ341" i="32"/>
  <c r="I56" i="29"/>
  <c r="AE306" i="32"/>
  <c r="AD331" i="44"/>
  <c r="AB331" i="44" s="1"/>
  <c r="AC331" i="44"/>
  <c r="AA331" i="44" s="1"/>
  <c r="Z331" i="44" s="1"/>
  <c r="M34" i="44" s="1"/>
  <c r="AA329" i="44"/>
  <c r="AD329" i="44"/>
  <c r="AB329" i="44"/>
  <c r="AC329" i="44"/>
  <c r="Z329" i="44"/>
  <c r="M32" i="44" s="1"/>
  <c r="F61" i="29"/>
  <c r="AE353" i="32"/>
  <c r="L58" i="29"/>
  <c r="AE330" i="32"/>
  <c r="F60" i="29"/>
  <c r="AE343" i="32"/>
  <c r="AD348" i="44"/>
  <c r="AC348" i="44"/>
  <c r="AA348" i="44" s="1"/>
  <c r="Z348" i="44" s="1"/>
  <c r="N21" i="44" s="1"/>
  <c r="AB348" i="44"/>
  <c r="C81" i="42"/>
  <c r="AK332" i="32"/>
  <c r="E45" i="17"/>
  <c r="AM45" i="17" s="1"/>
  <c r="E46" i="17"/>
  <c r="AM46" i="17" s="1"/>
  <c r="L46" i="17" s="1"/>
  <c r="L45" i="17"/>
  <c r="O45" i="17"/>
  <c r="S45" i="17"/>
  <c r="AF30" i="15"/>
  <c r="J89" i="40" s="1"/>
  <c r="T74" i="40" s="1"/>
  <c r="J83" i="40"/>
  <c r="P74" i="40" s="1"/>
  <c r="D85" i="39"/>
  <c r="AQ221" i="32"/>
  <c r="AF12" i="13"/>
  <c r="C88" i="38" s="1"/>
  <c r="T57" i="38" s="1"/>
  <c r="C82" i="38"/>
  <c r="P57" i="38" s="1"/>
  <c r="C80" i="38"/>
  <c r="AK199" i="32"/>
  <c r="S45" i="13"/>
  <c r="E45" i="13"/>
  <c r="AM45" i="13" s="1"/>
  <c r="O45" i="13" s="1"/>
  <c r="E46" i="13"/>
  <c r="AM46" i="13" s="1"/>
  <c r="O46" i="13" s="1"/>
  <c r="AF11" i="10"/>
  <c r="B88" i="35" s="1"/>
  <c r="T56" i="35" s="1"/>
  <c r="R89" i="35" s="1"/>
  <c r="B82" i="35"/>
  <c r="P56" i="35" s="1"/>
  <c r="G79" i="35"/>
  <c r="N61" i="35" s="1"/>
  <c r="AK101" i="32"/>
  <c r="AF22" i="10"/>
  <c r="B89" i="35" s="1"/>
  <c r="T66" i="35" s="1"/>
  <c r="B83" i="35"/>
  <c r="P66" i="35" s="1"/>
  <c r="G82" i="34"/>
  <c r="P61" i="34" s="1"/>
  <c r="AF16" i="9"/>
  <c r="G88" i="34" s="1"/>
  <c r="T61" i="34" s="1"/>
  <c r="H85" i="33"/>
  <c r="R62" i="33" s="1"/>
  <c r="AQ41" i="32"/>
  <c r="AW38" i="32"/>
  <c r="D14" i="45"/>
  <c r="D36" i="45"/>
  <c r="AW58" i="32"/>
  <c r="AW67" i="32"/>
  <c r="E12" i="45"/>
  <c r="E31" i="45"/>
  <c r="AW85" i="32"/>
  <c r="AW89" i="32"/>
  <c r="E36" i="45"/>
  <c r="F44" i="44"/>
  <c r="AW96" i="32"/>
  <c r="F46" i="44"/>
  <c r="F43" i="44"/>
  <c r="F45" i="44"/>
  <c r="F11" i="45"/>
  <c r="F47" i="44"/>
  <c r="G44" i="44"/>
  <c r="G15" i="45"/>
  <c r="O15" i="45" s="1"/>
  <c r="G45" i="44"/>
  <c r="G46" i="44"/>
  <c r="AW131" i="32"/>
  <c r="G43" i="44"/>
  <c r="G47" i="44" s="1"/>
  <c r="G20" i="45"/>
  <c r="AW136" i="32"/>
  <c r="I47" i="44"/>
  <c r="I45" i="44"/>
  <c r="I43" i="44"/>
  <c r="I22" i="45"/>
  <c r="AW198" i="32"/>
  <c r="I44" i="44"/>
  <c r="I46" i="44"/>
  <c r="H42" i="45"/>
  <c r="AW187" i="32"/>
  <c r="F84" i="34"/>
  <c r="P80" i="34" s="1"/>
  <c r="AF37" i="9"/>
  <c r="F90" i="34" s="1"/>
  <c r="T80" i="34" s="1"/>
  <c r="AF42" i="9"/>
  <c r="K90" i="34" s="1"/>
  <c r="T85" i="34" s="1"/>
  <c r="K84" i="34"/>
  <c r="P85" i="34" s="1"/>
  <c r="H44" i="44"/>
  <c r="L45" i="9"/>
  <c r="D45" i="44"/>
  <c r="C45" i="44"/>
  <c r="D45" i="45"/>
  <c r="O17" i="45"/>
  <c r="AF12" i="18"/>
  <c r="C88" i="43" s="1"/>
  <c r="T57" i="43" s="1"/>
  <c r="C82" i="43"/>
  <c r="P57" i="43" s="1"/>
  <c r="F59" i="29"/>
  <c r="AE334" i="32"/>
  <c r="H60" i="29"/>
  <c r="AE345" i="32"/>
  <c r="J58" i="29"/>
  <c r="AE328" i="32"/>
  <c r="C79" i="43"/>
  <c r="AK341" i="32"/>
  <c r="E46" i="18"/>
  <c r="AM46" i="18" s="1"/>
  <c r="L46" i="18"/>
  <c r="O46" i="18"/>
  <c r="AD320" i="44"/>
  <c r="AB320" i="44" s="1"/>
  <c r="AC320" i="44"/>
  <c r="AA320" i="44" s="1"/>
  <c r="Z320" i="44" s="1"/>
  <c r="M22" i="44" s="1"/>
  <c r="AC355" i="44"/>
  <c r="AA355" i="44"/>
  <c r="Z355" i="44" s="1"/>
  <c r="N28" i="44" s="1"/>
  <c r="AD355" i="44"/>
  <c r="AB355" i="44"/>
  <c r="AC84" i="44"/>
  <c r="AD84" i="44"/>
  <c r="AB84" i="44" s="1"/>
  <c r="AA84" i="44"/>
  <c r="Z84" i="44"/>
  <c r="E32" i="44" s="1"/>
  <c r="E46" i="44" s="1"/>
  <c r="AD302" i="44"/>
  <c r="AB302" i="44"/>
  <c r="AC302" i="44"/>
  <c r="AA302" i="44"/>
  <c r="Z302" i="44" s="1"/>
  <c r="L36" i="44" s="1"/>
  <c r="AC325" i="44"/>
  <c r="AA325" i="44" s="1"/>
  <c r="Z325" i="44" s="1"/>
  <c r="M27" i="44" s="1"/>
  <c r="AD325" i="44"/>
  <c r="AB325" i="44" s="1"/>
  <c r="AD338" i="44"/>
  <c r="AB338" i="44" s="1"/>
  <c r="AC338" i="44"/>
  <c r="AA338" i="44"/>
  <c r="Z338" i="44" s="1"/>
  <c r="N10" i="44" s="1"/>
  <c r="AA346" i="44"/>
  <c r="AD346" i="44"/>
  <c r="AB346" i="44"/>
  <c r="AC346" i="44"/>
  <c r="Z346" i="44"/>
  <c r="N18" i="44" s="1"/>
  <c r="L56" i="29"/>
  <c r="AE309" i="32"/>
  <c r="AC323" i="44"/>
  <c r="AA323" i="44" s="1"/>
  <c r="Z323" i="44" s="1"/>
  <c r="M25" i="44" s="1"/>
  <c r="AD323" i="44"/>
  <c r="AB323" i="44"/>
  <c r="J60" i="29"/>
  <c r="AE347" i="32"/>
  <c r="M56" i="29"/>
  <c r="AE310" i="32"/>
  <c r="AD16" i="18"/>
  <c r="AC16" i="18"/>
  <c r="AA350" i="44"/>
  <c r="AD350" i="44"/>
  <c r="AB350" i="44"/>
  <c r="AC350" i="44"/>
  <c r="Z350" i="44"/>
  <c r="N23" i="44" s="1"/>
  <c r="G81" i="43"/>
  <c r="N81" i="43" s="1"/>
  <c r="AK365" i="32"/>
  <c r="J59" i="29"/>
  <c r="AE338" i="32"/>
  <c r="AE339" i="32"/>
  <c r="AD14" i="18"/>
  <c r="AC14" i="18"/>
  <c r="F62" i="29"/>
  <c r="AE363" i="32"/>
  <c r="G84" i="42"/>
  <c r="P81" i="42" s="1"/>
  <c r="AF38" i="17"/>
  <c r="G90" i="42" s="1"/>
  <c r="T81" i="42" s="1"/>
  <c r="I82" i="38"/>
  <c r="P63" i="38" s="1"/>
  <c r="AF18" i="13"/>
  <c r="I88" i="38" s="1"/>
  <c r="T63" i="38" s="1"/>
  <c r="AF26" i="13"/>
  <c r="F89" i="38" s="1"/>
  <c r="T70" i="38" s="1"/>
  <c r="F83" i="38"/>
  <c r="P70" i="38" s="1"/>
  <c r="H87" i="36"/>
  <c r="AQ153" i="32"/>
  <c r="E46" i="11"/>
  <c r="AM46" i="11" s="1"/>
  <c r="AF42" i="10"/>
  <c r="K90" i="35" s="1"/>
  <c r="T85" i="35" s="1"/>
  <c r="K84" i="35"/>
  <c r="P85" i="35" s="1"/>
  <c r="C79" i="35"/>
  <c r="E46" i="10"/>
  <c r="AM46" i="10" s="1"/>
  <c r="O46" i="10" s="1"/>
  <c r="AK97" i="32"/>
  <c r="S45" i="10"/>
  <c r="E45" i="10"/>
  <c r="AM45" i="10" s="1"/>
  <c r="L45" i="10" s="1"/>
  <c r="O45" i="10"/>
  <c r="AF17" i="10"/>
  <c r="H88" i="35" s="1"/>
  <c r="T62" i="35" s="1"/>
  <c r="H82" i="35"/>
  <c r="P62" i="35" s="1"/>
  <c r="H84" i="35"/>
  <c r="P82" i="35" s="1"/>
  <c r="AF39" i="10"/>
  <c r="H90" i="35" s="1"/>
  <c r="T82" i="35" s="1"/>
  <c r="AF30" i="9"/>
  <c r="J89" i="34" s="1"/>
  <c r="T74" i="34" s="1"/>
  <c r="J83" i="34"/>
  <c r="P74" i="34" s="1"/>
  <c r="K86" i="33"/>
  <c r="R75" i="33" s="1"/>
  <c r="AQ54" i="32"/>
  <c r="AK65" i="32"/>
  <c r="E45" i="8"/>
  <c r="AM45" i="8" s="1"/>
  <c r="O46" i="8"/>
  <c r="E46" i="8"/>
  <c r="AM46" i="8" s="1"/>
  <c r="L45" i="8"/>
  <c r="O45" i="8"/>
  <c r="S45" i="8"/>
  <c r="L46" i="8"/>
  <c r="L45" i="11"/>
  <c r="E46" i="14"/>
  <c r="AM46" i="14" s="1"/>
  <c r="S45" i="14"/>
  <c r="O46" i="14"/>
  <c r="L46" i="14"/>
  <c r="E45" i="14"/>
  <c r="AM45" i="14" s="1"/>
  <c r="O45" i="14" s="1"/>
  <c r="C41" i="45"/>
  <c r="C47" i="45" s="1"/>
  <c r="AW33" i="32"/>
  <c r="E11" i="45"/>
  <c r="E45" i="44"/>
  <c r="AW66" i="32"/>
  <c r="E43" i="44"/>
  <c r="E47" i="44" s="1"/>
  <c r="D19" i="45"/>
  <c r="O19" i="45" s="1"/>
  <c r="AW43" i="32"/>
  <c r="AW97" i="32"/>
  <c r="F12" i="45"/>
  <c r="F22" i="45"/>
  <c r="AW106" i="32"/>
  <c r="F27" i="45"/>
  <c r="AW111" i="32"/>
  <c r="G33" i="45"/>
  <c r="AW147" i="32"/>
  <c r="AW146" i="32"/>
  <c r="G31" i="45"/>
  <c r="AW155" i="32"/>
  <c r="G41" i="45"/>
  <c r="K46" i="45"/>
  <c r="N37" i="45"/>
  <c r="AW364" i="32"/>
  <c r="O22" i="45"/>
  <c r="D46" i="44"/>
  <c r="C46" i="44"/>
  <c r="AD319" i="44"/>
  <c r="AB319" i="44"/>
  <c r="AC319" i="44"/>
  <c r="AA319" i="44"/>
  <c r="Z319" i="44" s="1"/>
  <c r="M21" i="44" s="1"/>
  <c r="AD303" i="44"/>
  <c r="AB303" i="44"/>
  <c r="AB313" i="44"/>
  <c r="AC303" i="44"/>
  <c r="AA303" i="44" s="1"/>
  <c r="Z303" i="44" s="1"/>
  <c r="L37" i="44" s="1"/>
  <c r="K61" i="29"/>
  <c r="AE358" i="32"/>
  <c r="AD353" i="44"/>
  <c r="AB353" i="44" s="1"/>
  <c r="AC353" i="44"/>
  <c r="AA353" i="44"/>
  <c r="Z353" i="44" s="1"/>
  <c r="N26" i="44" s="1"/>
  <c r="D61" i="29"/>
  <c r="AE351" i="32"/>
  <c r="AE87" i="32"/>
  <c r="D35" i="29"/>
  <c r="E43" i="47"/>
  <c r="E44" i="47"/>
  <c r="E45" i="47"/>
  <c r="D58" i="29"/>
  <c r="M43" i="47"/>
  <c r="M45" i="47"/>
  <c r="AE322" i="32"/>
  <c r="H59" i="29"/>
  <c r="AE336" i="32"/>
  <c r="D60" i="29"/>
  <c r="AE341" i="32"/>
  <c r="N45" i="47"/>
  <c r="N43" i="47"/>
  <c r="N44" i="47"/>
  <c r="L60" i="29"/>
  <c r="AE349" i="32"/>
  <c r="AD306" i="44"/>
  <c r="AB306" i="44"/>
  <c r="AC306" i="44"/>
  <c r="AA306" i="44"/>
  <c r="Z306" i="44" s="1"/>
  <c r="L40" i="44" s="1"/>
  <c r="H58" i="29"/>
  <c r="AE326" i="32"/>
  <c r="AC344" i="44"/>
  <c r="AD344" i="44"/>
  <c r="AA344" i="44"/>
  <c r="Z344" i="44" s="1"/>
  <c r="N16" i="44" s="1"/>
  <c r="AB344" i="44"/>
  <c r="AD307" i="44"/>
  <c r="AB307" i="44"/>
  <c r="AC307" i="44"/>
  <c r="AA307" i="44"/>
  <c r="Z307" i="44" s="1"/>
  <c r="L41" i="44" s="1"/>
  <c r="AD342" i="44"/>
  <c r="AB342" i="44" s="1"/>
  <c r="AC342" i="44"/>
  <c r="AA342" i="44" s="1"/>
  <c r="Z342" i="44" s="1"/>
  <c r="N14" i="44" s="1"/>
  <c r="I61" i="29"/>
  <c r="AE356" i="32"/>
  <c r="H81" i="43"/>
  <c r="N82" i="43" s="1"/>
  <c r="AK366" i="32"/>
  <c r="AC335" i="44"/>
  <c r="AD335" i="44"/>
  <c r="AB335" i="44" s="1"/>
  <c r="AA335" i="44"/>
  <c r="Z335" i="44" s="1"/>
  <c r="M38" i="44" s="1"/>
  <c r="AC340" i="44"/>
  <c r="AA340" i="44" s="1"/>
  <c r="Z340" i="44" s="1"/>
  <c r="N12" i="44" s="1"/>
  <c r="AD340" i="44"/>
  <c r="AB340" i="44" s="1"/>
  <c r="AC360" i="44"/>
  <c r="AD360" i="44"/>
  <c r="AB360" i="44" s="1"/>
  <c r="AA360" i="44"/>
  <c r="Z360" i="44" s="1"/>
  <c r="N34" i="44" s="1"/>
  <c r="I80" i="40"/>
  <c r="AK266" i="32"/>
  <c r="S45" i="15"/>
  <c r="L46" i="15"/>
  <c r="E45" i="15"/>
  <c r="AM45" i="15" s="1"/>
  <c r="L45" i="15" s="1"/>
  <c r="E46" i="15"/>
  <c r="AM46" i="15" s="1"/>
  <c r="O46" i="15" s="1"/>
  <c r="O45" i="15"/>
  <c r="AF14" i="13"/>
  <c r="E88" i="38" s="1"/>
  <c r="T59" i="38" s="1"/>
  <c r="E82" i="38"/>
  <c r="P59" i="38" s="1"/>
  <c r="AF13" i="10"/>
  <c r="D88" i="35" s="1"/>
  <c r="T58" i="35" s="1"/>
  <c r="D82" i="35"/>
  <c r="P58" i="35" s="1"/>
  <c r="E80" i="35"/>
  <c r="N69" i="35" s="1"/>
  <c r="AK109" i="32"/>
  <c r="C82" i="34"/>
  <c r="P57" i="34" s="1"/>
  <c r="AF12" i="9"/>
  <c r="C88" i="34" s="1"/>
  <c r="T57" i="34" s="1"/>
  <c r="F85" i="33"/>
  <c r="AQ39" i="32"/>
  <c r="BA154" i="32" s="1"/>
  <c r="L45" i="47"/>
  <c r="AR29" i="44"/>
  <c r="AW80" i="32"/>
  <c r="E26" i="45"/>
  <c r="D16" i="45"/>
  <c r="AW40" i="32"/>
  <c r="E28" i="45"/>
  <c r="AW82" i="32"/>
  <c r="E27" i="45"/>
  <c r="AW81" i="32"/>
  <c r="AW122" i="32"/>
  <c r="F39" i="45"/>
  <c r="E20" i="45"/>
  <c r="AW75" i="32"/>
  <c r="F20" i="45"/>
  <c r="AW105" i="32"/>
  <c r="H43" i="44"/>
  <c r="H47" i="44" s="1"/>
  <c r="H23" i="45"/>
  <c r="H46" i="44"/>
  <c r="H45" i="44"/>
  <c r="AW169" i="32"/>
  <c r="G42" i="45"/>
  <c r="AW156" i="32"/>
  <c r="C91" i="41"/>
  <c r="O26" i="45"/>
  <c r="D43" i="44"/>
  <c r="D47" i="44"/>
  <c r="R80" i="34"/>
  <c r="P89" i="34"/>
  <c r="P88" i="34" s="1"/>
  <c r="R89" i="34" s="1"/>
  <c r="C43" i="44"/>
  <c r="AW306" i="32" l="1"/>
  <c r="L39" i="45"/>
  <c r="N18" i="45"/>
  <c r="O18" i="45" s="1"/>
  <c r="AW347" i="32"/>
  <c r="N30" i="45"/>
  <c r="O30" i="45" s="1"/>
  <c r="AW358" i="32"/>
  <c r="O40" i="45"/>
  <c r="M40" i="45"/>
  <c r="AW338" i="32"/>
  <c r="AW339" i="32"/>
  <c r="N36" i="45"/>
  <c r="AW363" i="32"/>
  <c r="AW343" i="32"/>
  <c r="N14" i="45"/>
  <c r="O14" i="45" s="1"/>
  <c r="N16" i="45"/>
  <c r="AW345" i="32"/>
  <c r="L42" i="45"/>
  <c r="O42" i="45" s="1"/>
  <c r="AW309" i="32"/>
  <c r="AW356" i="32"/>
  <c r="N28" i="45"/>
  <c r="O28" i="45" s="1"/>
  <c r="AW326" i="32"/>
  <c r="M27" i="45"/>
  <c r="AW341" i="32"/>
  <c r="N12" i="45"/>
  <c r="N46" i="44"/>
  <c r="N44" i="44"/>
  <c r="N47" i="44"/>
  <c r="N43" i="44"/>
  <c r="N45" i="44"/>
  <c r="AW328" i="32"/>
  <c r="M29" i="45"/>
  <c r="O29" i="45" s="1"/>
  <c r="M31" i="45"/>
  <c r="AW330" i="32"/>
  <c r="AW322" i="32"/>
  <c r="M23" i="45"/>
  <c r="M44" i="44"/>
  <c r="M43" i="44"/>
  <c r="M47" i="44" s="1"/>
  <c r="M45" i="44"/>
  <c r="M46" i="44"/>
  <c r="M24" i="45"/>
  <c r="O24" i="45" s="1"/>
  <c r="AW323" i="32"/>
  <c r="AW351" i="32"/>
  <c r="N23" i="45"/>
  <c r="M38" i="45"/>
  <c r="AW336" i="32"/>
  <c r="O23" i="45"/>
  <c r="O12" i="45"/>
  <c r="L38" i="45"/>
  <c r="AW305" i="32"/>
  <c r="L43" i="44"/>
  <c r="L47" i="44" s="1"/>
  <c r="L46" i="44"/>
  <c r="L44" i="44"/>
  <c r="L45" i="44"/>
  <c r="O45" i="44" s="1"/>
  <c r="O16" i="45"/>
  <c r="L43" i="45"/>
  <c r="O43" i="45" s="1"/>
  <c r="AW310" i="32"/>
  <c r="AW334" i="32"/>
  <c r="M36" i="45"/>
  <c r="O36" i="45" s="1"/>
  <c r="N73" i="40"/>
  <c r="N90" i="40"/>
  <c r="E47" i="45"/>
  <c r="O31" i="45"/>
  <c r="N77" i="42"/>
  <c r="N90" i="42"/>
  <c r="M34" i="45"/>
  <c r="AW332" i="32"/>
  <c r="O27" i="45"/>
  <c r="O46" i="44"/>
  <c r="E79" i="43"/>
  <c r="N59" i="43" s="1"/>
  <c r="AK343" i="32"/>
  <c r="BB154" i="32" s="1"/>
  <c r="G79" i="43"/>
  <c r="N61" i="43" s="1"/>
  <c r="AK345" i="32"/>
  <c r="S45" i="18"/>
  <c r="E45" i="18"/>
  <c r="AM45" i="18" s="1"/>
  <c r="N57" i="43"/>
  <c r="N90" i="43"/>
  <c r="D47" i="45"/>
  <c r="I48" i="45"/>
  <c r="I47" i="45"/>
  <c r="I46" i="45"/>
  <c r="I45" i="45"/>
  <c r="D46" i="45"/>
  <c r="D48" i="45"/>
  <c r="L46" i="13"/>
  <c r="L45" i="13"/>
  <c r="N67" i="38"/>
  <c r="N90" i="38"/>
  <c r="R58" i="39"/>
  <c r="P89" i="39"/>
  <c r="O46" i="17"/>
  <c r="R57" i="43"/>
  <c r="P89" i="43"/>
  <c r="O37" i="45"/>
  <c r="R82" i="36"/>
  <c r="P89" i="36"/>
  <c r="O39" i="45"/>
  <c r="O41" i="45"/>
  <c r="O46" i="11"/>
  <c r="L46" i="11"/>
  <c r="AF14" i="18"/>
  <c r="E88" i="43" s="1"/>
  <c r="T59" i="43" s="1"/>
  <c r="E82" i="43"/>
  <c r="P59" i="43" s="1"/>
  <c r="G82" i="43"/>
  <c r="P61" i="43" s="1"/>
  <c r="AF16" i="18"/>
  <c r="G88" i="43" s="1"/>
  <c r="T61" i="43" s="1"/>
  <c r="N20" i="45"/>
  <c r="O20" i="45" s="1"/>
  <c r="AW349" i="32"/>
  <c r="E34" i="45"/>
  <c r="AW87" i="32"/>
  <c r="C47" i="44"/>
  <c r="C48" i="45"/>
  <c r="O11" i="45"/>
  <c r="H45" i="45"/>
  <c r="H48" i="45"/>
  <c r="H47" i="45"/>
  <c r="H46" i="45"/>
  <c r="O44" i="47"/>
  <c r="L45" i="14"/>
  <c r="N25" i="45"/>
  <c r="O25" i="45" s="1"/>
  <c r="AW353" i="32"/>
  <c r="R60" i="33"/>
  <c r="P89" i="33"/>
  <c r="O45" i="47"/>
  <c r="E44" i="44"/>
  <c r="O44" i="44" s="1"/>
  <c r="L46" i="10"/>
  <c r="N57" i="35"/>
  <c r="N90" i="35"/>
  <c r="G47" i="45"/>
  <c r="G46" i="45"/>
  <c r="G45" i="45"/>
  <c r="G48" i="45"/>
  <c r="F47" i="45"/>
  <c r="F45" i="45"/>
  <c r="F48" i="45"/>
  <c r="F46" i="45"/>
  <c r="N88" i="34"/>
  <c r="C45" i="45"/>
  <c r="O33" i="45"/>
  <c r="R61" i="38"/>
  <c r="P89" i="38"/>
  <c r="P88" i="38" s="1"/>
  <c r="R89" i="38" s="1"/>
  <c r="O90" i="34" l="1"/>
  <c r="C91" i="34" s="1"/>
  <c r="O89" i="34"/>
  <c r="N88" i="35"/>
  <c r="O34" i="45"/>
  <c r="O43" i="44"/>
  <c r="P88" i="39"/>
  <c r="R89" i="39" s="1"/>
  <c r="P88" i="33"/>
  <c r="R89" i="33" s="1"/>
  <c r="C91" i="33"/>
  <c r="P88" i="36"/>
  <c r="R89" i="36" s="1"/>
  <c r="P88" i="43"/>
  <c r="R89" i="43" s="1"/>
  <c r="E48" i="45"/>
  <c r="O48" i="45" s="1"/>
  <c r="L47" i="45"/>
  <c r="L45" i="45"/>
  <c r="L46" i="45"/>
  <c r="L48" i="45"/>
  <c r="N88" i="42"/>
  <c r="E45" i="45"/>
  <c r="O45" i="45" s="1"/>
  <c r="N88" i="40"/>
  <c r="N45" i="45"/>
  <c r="N46" i="45"/>
  <c r="N47" i="45"/>
  <c r="N48" i="45"/>
  <c r="O47" i="44"/>
  <c r="D49" i="44" s="1"/>
  <c r="N88" i="38"/>
  <c r="N88" i="43"/>
  <c r="L45" i="18"/>
  <c r="O45" i="18"/>
  <c r="O38" i="45"/>
  <c r="E46" i="45"/>
  <c r="O46" i="45" s="1"/>
  <c r="M45" i="45"/>
  <c r="M48" i="45"/>
  <c r="M47" i="45"/>
  <c r="O47" i="45" s="1"/>
  <c r="M46" i="45"/>
  <c r="O90" i="35" l="1"/>
  <c r="O89" i="35"/>
  <c r="C91" i="36"/>
  <c r="O89" i="43"/>
  <c r="O90" i="43"/>
  <c r="O89" i="42"/>
  <c r="O90" i="42"/>
  <c r="C91" i="42" s="1"/>
  <c r="O90" i="38"/>
  <c r="O89" i="38"/>
  <c r="O90" i="40"/>
  <c r="O89" i="40"/>
  <c r="C91" i="39"/>
  <c r="C91" i="38" l="1"/>
  <c r="C91" i="40"/>
  <c r="C91" i="43"/>
  <c r="C91" i="35"/>
</calcChain>
</file>

<file path=xl/comments1.xml><?xml version="1.0" encoding="utf-8"?>
<comments xmlns="http://schemas.openxmlformats.org/spreadsheetml/2006/main">
  <authors>
    <author>jurairus rujinarong</author>
  </authors>
  <commentList>
    <comment ref="J4" authorId="0">
      <text>
        <r>
          <rPr>
            <b/>
            <sz val="8"/>
            <color indexed="10"/>
            <rFont val="Tahoma"/>
            <family val="2"/>
          </rPr>
          <t>ใส่ค่า Log C Value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M4" authorId="0">
      <text>
        <r>
          <rPr>
            <b/>
            <sz val="8"/>
            <color indexed="10"/>
            <rFont val="Tahoma"/>
            <family val="2"/>
          </rPr>
          <t xml:space="preserve">ใส่ค่า M Value
</t>
        </r>
      </text>
    </comment>
    <comment ref="J5" authorId="0">
      <text>
        <r>
          <rPr>
            <b/>
            <sz val="8"/>
            <color indexed="10"/>
            <rFont val="Tahoma"/>
            <family val="2"/>
          </rPr>
          <t xml:space="preserve">ใส่ค่า
</t>
        </r>
      </text>
    </comment>
    <comment ref="M5" authorId="0">
      <text>
        <r>
          <rPr>
            <b/>
            <sz val="8"/>
            <color indexed="10"/>
            <rFont val="Tahoma"/>
            <family val="2"/>
          </rPr>
          <t>ใส่ค่า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O5" authorId="0">
      <text>
        <r>
          <rPr>
            <b/>
            <sz val="8"/>
            <color indexed="10"/>
            <rFont val="Tahoma"/>
            <family val="2"/>
          </rPr>
          <t>ใส่ค่า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N6" authorId="0">
      <text>
        <r>
          <rPr>
            <b/>
            <sz val="8"/>
            <color indexed="10"/>
            <rFont val="Tahoma"/>
            <family val="2"/>
          </rPr>
          <t xml:space="preserve"> (blank-tons/day,1-100 tons/day) ใส่ค่า 0, 1</t>
        </r>
        <r>
          <rPr>
            <sz val="8"/>
            <color indexed="81"/>
            <rFont val="Tahoma"/>
            <charset val="22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sz val="8"/>
            <color indexed="10"/>
            <rFont val="Tahoma"/>
            <family val="2"/>
          </rPr>
          <t>ใส่ค่าที่ Sheet HourGH-APR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sz val="8"/>
            <color indexed="10"/>
            <rFont val="Tahoma"/>
            <family val="2"/>
          </rPr>
          <t>ใส่ค่าที่ Sheet HourGH-APR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sz val="8"/>
            <color indexed="10"/>
            <rFont val="Tahoma"/>
            <family val="2"/>
          </rPr>
          <t xml:space="preserve">ใส่ค่าที่ Sheet HourGH-APR
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jurairus rujinarong</author>
  </authors>
  <commentList>
    <comment ref="J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U5" authorId="0">
      <text>
        <r>
          <rPr>
            <b/>
            <sz val="8"/>
            <color indexed="10"/>
            <rFont val="Tahoma"/>
            <family val="2"/>
          </rPr>
          <t xml:space="preserve">รับค่าจาก c-form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X5" authorId="0">
      <text>
        <r>
          <rPr>
            <sz val="8"/>
            <color indexed="10"/>
            <rFont val="Tahoma"/>
            <family val="2"/>
          </rPr>
          <t xml:space="preserve">ใส่ชื่อภาค
</t>
        </r>
      </text>
    </comment>
    <comment ref="G7" authorId="0">
      <text>
        <r>
          <rPr>
            <sz val="8"/>
            <color indexed="10"/>
            <rFont val="Tahoma"/>
            <family val="2"/>
          </rPr>
          <t xml:space="preserve">รับค่าจาก c-form
</t>
        </r>
      </text>
    </comment>
    <comment ref="P7" authorId="0">
      <text>
        <r>
          <rPr>
            <b/>
            <sz val="8"/>
            <color indexed="10"/>
            <rFont val="Tahoma"/>
            <family val="2"/>
          </rPr>
          <t>ใส่ค่าที่ Sheet HourGH-APR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ohm</author>
    <author>jurairus rujinarong</author>
  </authors>
  <commentList>
    <comment ref="Z14" authorId="0">
      <text>
        <r>
          <rPr>
            <b/>
            <sz val="8"/>
            <color indexed="10"/>
            <rFont val="Tahoma"/>
            <family val="2"/>
          </rPr>
          <t>คีย์ 3 ตัวอักษร Jan,Feb,…,Mar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N18" authorId="1">
      <text>
        <r>
          <rPr>
            <b/>
            <sz val="8"/>
            <color indexed="81"/>
            <rFont val="Tahoma"/>
            <charset val="222"/>
          </rPr>
          <t>ใส่วันเดือน(0101)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P18" authorId="1">
      <text>
        <r>
          <rPr>
            <b/>
            <sz val="8"/>
            <color indexed="81"/>
            <rFont val="Tahoma"/>
            <charset val="222"/>
          </rPr>
          <t>ใส่วันเดือน(0101)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Q18" authorId="0">
      <text>
        <r>
          <rPr>
            <sz val="8"/>
            <color indexed="81"/>
            <rFont val="Tahoma"/>
            <charset val="222"/>
          </rPr>
          <t>ใส่วันเดือน(0101)</t>
        </r>
      </text>
    </comment>
    <comment ref="R18" authorId="0">
      <text>
        <r>
          <rPr>
            <b/>
            <sz val="8"/>
            <color indexed="81"/>
            <rFont val="Tahoma"/>
            <charset val="222"/>
          </rPr>
          <t>ใส่วันเดือน(0101)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C49" authorId="1">
      <text>
        <r>
          <rPr>
            <b/>
            <sz val="8"/>
            <color indexed="81"/>
            <rFont val="Courier"/>
            <family val="3"/>
          </rPr>
          <t>ให้ใส่ปีจากฟอร์ม R</t>
        </r>
        <r>
          <rPr>
            <b/>
            <sz val="14"/>
            <color indexed="81"/>
            <rFont val="Courier"/>
            <family val="3"/>
          </rPr>
          <t>1</t>
        </r>
      </text>
    </comment>
    <comment ref="B52" authorId="1">
      <text>
        <r>
          <rPr>
            <b/>
            <sz val="8"/>
            <color indexed="10"/>
            <rFont val="Tahoma"/>
            <family val="2"/>
          </rPr>
          <t>ส่วนบรรทัดที่ 0010 - 0040
ให้คีย์จากส่วน R1 ข้างบน</t>
        </r>
      </text>
    </comment>
    <comment ref="C57" authorId="1">
      <text>
        <r>
          <rPr>
            <sz val="8"/>
            <color indexed="10"/>
            <rFont val="Tahoma"/>
            <family val="2"/>
          </rPr>
          <t>ส่วนบรรทัดที่ 0010 - 0040
ให้คีย์จากส่วน R1 ข้างบน</t>
        </r>
      </text>
    </comment>
    <comment ref="N60" authorId="1">
      <text>
        <r>
          <rPr>
            <b/>
            <sz val="8"/>
            <color indexed="81"/>
            <rFont val="Tahoma"/>
            <charset val="222"/>
          </rPr>
          <t>ใส่วันเดือน(0101)</t>
        </r>
        <r>
          <rPr>
            <sz val="8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<sst xmlns="http://schemas.openxmlformats.org/spreadsheetml/2006/main" count="2220" uniqueCount="328">
  <si>
    <t>RIVER BED</t>
  </si>
  <si>
    <t xml:space="preserve">11   12   13    14    15    16    17    18    19    20    21    22    23    24    25    26    27    28    29    30    31    32    33    34    35    36    37    38   39    40    41    42    43    44    45    46    47    48   49    50    51    52    53    54    55    56    57    58    59    60    61    62    63    64    65    66    67    68    69    70    71    72    73    74    75    76    77    78    79    80 </t>
  </si>
  <si>
    <t>set</t>
  </si>
  <si>
    <t>RATING     TABLE       DATA          (R!)</t>
  </si>
  <si>
    <t>G.H.</t>
  </si>
  <si>
    <t>CMS.</t>
  </si>
  <si>
    <t>Hydrology Division</t>
  </si>
  <si>
    <t>Royal Irrigation Department.</t>
  </si>
  <si>
    <t>STREAM  GAGING  &amp;  DISCHARGE</t>
  </si>
  <si>
    <t>Coding Form No.1</t>
  </si>
  <si>
    <t>อ.ท.๖๗</t>
  </si>
  <si>
    <t>H. 67</t>
  </si>
  <si>
    <t>STATION CODE</t>
  </si>
  <si>
    <t>WATER YEAR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</si>
  <si>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</si>
  <si>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</si>
  <si>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</si>
  <si>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</si>
  <si>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</si>
  <si>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</si>
  <si>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</si>
  <si>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</si>
  <si>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</si>
  <si>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</si>
  <si>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1  2  3  4  5</t>
  </si>
  <si>
    <t xml:space="preserve"> 6  7  8  9  10</t>
  </si>
  <si>
    <t>SEQUENCE</t>
  </si>
  <si>
    <t>0010</t>
  </si>
  <si>
    <t xml:space="preserve">         STREAM</t>
  </si>
  <si>
    <t>0020</t>
  </si>
  <si>
    <t>BOTTOM ELEV.</t>
  </si>
  <si>
    <t xml:space="preserve">ZERO GAGE AT </t>
  </si>
  <si>
    <t>DRAINAGE  AREA</t>
  </si>
  <si>
    <t>S Q. ,K.M.</t>
  </si>
  <si>
    <t>LEFT BANK</t>
  </si>
  <si>
    <t>ELEV.</t>
  </si>
  <si>
    <t>RIGHT BANK</t>
  </si>
  <si>
    <t>DAILY GAGE HEIGHT</t>
  </si>
  <si>
    <t>ABOVE ELEV.</t>
  </si>
  <si>
    <t>FROM</t>
  </si>
  <si>
    <t>TO</t>
  </si>
  <si>
    <t>ANNUAL  MAX.  MOMENTARY</t>
  </si>
  <si>
    <t>GAGE HEIGHT</t>
  </si>
  <si>
    <t>AT HOURS</t>
  </si>
  <si>
    <t>MONTH</t>
  </si>
  <si>
    <t>DATE</t>
  </si>
  <si>
    <t>Q</t>
  </si>
  <si>
    <t>0030</t>
  </si>
  <si>
    <t>RATING  TABLE</t>
  </si>
  <si>
    <t>HYDROLOGY     NO.</t>
  </si>
  <si>
    <t>POINT</t>
  </si>
  <si>
    <t>R1</t>
  </si>
  <si>
    <t>R2</t>
  </si>
  <si>
    <t>0040</t>
  </si>
  <si>
    <t>AUG</t>
  </si>
  <si>
    <t xml:space="preserve">  พฤษภาคม</t>
  </si>
  <si>
    <t xml:space="preserve"> 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</si>
  <si>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</si>
  <si>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</si>
  <si>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</si>
  <si>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</si>
  <si>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</si>
  <si>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</si>
  <si>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</si>
  <si>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</si>
  <si>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</si>
  <si>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ค่าสูงสุด แกน X =</t>
  </si>
  <si>
    <t>ค่าต่ำสุด แกนX</t>
  </si>
  <si>
    <t>ระดับน้ำสูงสุด</t>
  </si>
  <si>
    <t>ระดับน้ำต่ำสุด</t>
  </si>
  <si>
    <t>ม.  (</t>
  </si>
  <si>
    <t>)</t>
  </si>
  <si>
    <t>ระดับน้ำเฉลี่ย</t>
  </si>
  <si>
    <t>ผู้จด</t>
  </si>
  <si>
    <t>ผู้ตรวจ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</si>
  <si>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</si>
  <si>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</si>
  <si>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</si>
  <si>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</si>
  <si>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</si>
  <si>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</si>
  <si>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</si>
  <si>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</si>
  <si>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</si>
  <si>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</si>
  <si>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Station</t>
  </si>
  <si>
    <t>Stream</t>
  </si>
  <si>
    <t xml:space="preserve">  STATION NAME,   AMPHOE,  PROVINCE , (CODE)</t>
  </si>
  <si>
    <t>-</t>
  </si>
  <si>
    <t>River</t>
  </si>
  <si>
    <t>River  System</t>
  </si>
  <si>
    <t xml:space="preserve">RID  Computer  Center,  Processing    :  </t>
  </si>
  <si>
    <t>Program By IEC Center</t>
  </si>
  <si>
    <t>Royal   Irrigation  Department</t>
  </si>
  <si>
    <t>Thailand</t>
  </si>
  <si>
    <t xml:space="preserve">Hydrology  Division  </t>
  </si>
  <si>
    <t xml:space="preserve">Rating  Curve  </t>
  </si>
  <si>
    <t>Gahe  Height</t>
  </si>
  <si>
    <t>Flow</t>
  </si>
  <si>
    <t/>
  </si>
  <si>
    <t>REVISION</t>
  </si>
  <si>
    <t xml:space="preserve">  DATE</t>
  </si>
  <si>
    <t xml:space="preserve">               RIVER   STREAM</t>
  </si>
  <si>
    <t xml:space="preserve">            RIVER</t>
  </si>
  <si>
    <t>(By กลุ่มงานสารสนเทศเพื่อการบริหาร ศูนย์สารสนเทศ กรมชลฯ)</t>
  </si>
  <si>
    <t>ส่วนอุทกวิทยา</t>
  </si>
  <si>
    <t>กรมชลประทาน</t>
  </si>
  <si>
    <t>ตารางแสดงสถิติระดับน้ำประจำเดือน</t>
  </si>
  <si>
    <t>อ.ท. 1-01</t>
  </si>
  <si>
    <t>แม่น้ำ</t>
  </si>
  <si>
    <t>สถานี</t>
  </si>
  <si>
    <t>ตำบล</t>
  </si>
  <si>
    <t>ใส่ข้อมูลกำหนดค่าแกนด้วย</t>
  </si>
  <si>
    <t>อำเภอ</t>
  </si>
  <si>
    <t>จังหวัด</t>
  </si>
  <si>
    <t>ภาค</t>
  </si>
  <si>
    <t>ประจำเดือน</t>
  </si>
  <si>
    <t>พ.ศ.</t>
  </si>
  <si>
    <t xml:space="preserve">  เมษายน</t>
  </si>
  <si>
    <t>ศูนย์เสาระดับอยู่</t>
  </si>
  <si>
    <t>ราคาศูนย์เสาระดับ</t>
  </si>
  <si>
    <t>ม.      (</t>
  </si>
  <si>
    <t xml:space="preserve">  )</t>
  </si>
  <si>
    <t>เครื่อง</t>
  </si>
  <si>
    <t xml:space="preserve">วัดระดับน้ำโดย   </t>
  </si>
  <si>
    <t>เสาระดับ</t>
  </si>
  <si>
    <t>ล่าง</t>
  </si>
  <si>
    <t>วันที่</t>
  </si>
  <si>
    <t>ระดับเฉลี่ย</t>
  </si>
  <si>
    <t>เวลาและระดับ    -    เมตร</t>
  </si>
  <si>
    <t>เฉลี่ย</t>
  </si>
  <si>
    <t>สูงสุด</t>
  </si>
  <si>
    <t>เวลา</t>
  </si>
  <si>
    <t>ต่ำสุด</t>
  </si>
  <si>
    <t>ระดับน้ำเทียบ</t>
  </si>
  <si>
    <t>River  System -</t>
  </si>
  <si>
    <t>Station              -</t>
  </si>
  <si>
    <t>Stream             -</t>
  </si>
  <si>
    <t>River                -</t>
  </si>
  <si>
    <t>OPTION</t>
  </si>
  <si>
    <t>RUN0000</t>
  </si>
  <si>
    <t>UpLoadWeb-Hydroweb</t>
  </si>
  <si>
    <t>สูงสุดแกน Y =</t>
  </si>
  <si>
    <t>ต่ำสุดแกน Y =</t>
  </si>
  <si>
    <t>APR</t>
  </si>
  <si>
    <t>NOTE</t>
  </si>
  <si>
    <t>01:001</t>
  </si>
  <si>
    <t>01:002</t>
  </si>
  <si>
    <t>01:003</t>
  </si>
  <si>
    <t>02:001</t>
  </si>
  <si>
    <t>02:002</t>
  </si>
  <si>
    <t>02:003</t>
  </si>
  <si>
    <t>03:001</t>
  </si>
  <si>
    <t>03:002</t>
  </si>
  <si>
    <t>03:003</t>
  </si>
  <si>
    <t>04:001</t>
  </si>
  <si>
    <t>04:002</t>
  </si>
  <si>
    <t>04:003</t>
  </si>
  <si>
    <t>05:001</t>
  </si>
  <si>
    <t>05:002</t>
  </si>
  <si>
    <t>05:003</t>
  </si>
  <si>
    <t>06:001</t>
  </si>
  <si>
    <t>06:002</t>
  </si>
  <si>
    <t>06:003</t>
  </si>
  <si>
    <t>07:001</t>
  </si>
  <si>
    <t>07:002</t>
  </si>
  <si>
    <t>07:003</t>
  </si>
  <si>
    <t>08:001</t>
  </si>
  <si>
    <t>08:002</t>
  </si>
  <si>
    <t>08:003</t>
  </si>
  <si>
    <t>09:001</t>
  </si>
  <si>
    <t>09:002</t>
  </si>
  <si>
    <t>09:003</t>
  </si>
  <si>
    <t>10:001</t>
  </si>
  <si>
    <t>10:002</t>
  </si>
  <si>
    <t>10:003</t>
  </si>
  <si>
    <t>11:001</t>
  </si>
  <si>
    <t>11:002</t>
  </si>
  <si>
    <t>11:003</t>
  </si>
  <si>
    <t>12:001</t>
  </si>
  <si>
    <t>12:002</t>
  </si>
  <si>
    <t>12:003</t>
  </si>
  <si>
    <t>13:001</t>
  </si>
  <si>
    <t>13:002</t>
  </si>
  <si>
    <t>13:003</t>
  </si>
  <si>
    <t>14:001</t>
  </si>
  <si>
    <t>14:002</t>
  </si>
  <si>
    <t>14:003</t>
  </si>
  <si>
    <t>15:001</t>
  </si>
  <si>
    <t>15:002</t>
  </si>
  <si>
    <t>15:003</t>
  </si>
  <si>
    <t>16:001</t>
  </si>
  <si>
    <t>16:002</t>
  </si>
  <si>
    <t>16:003</t>
  </si>
  <si>
    <t>17:001</t>
  </si>
  <si>
    <t>17:002</t>
  </si>
  <si>
    <t>17:003</t>
  </si>
  <si>
    <t>18:001</t>
  </si>
  <si>
    <t>18:002</t>
  </si>
  <si>
    <t>18:003</t>
  </si>
  <si>
    <t>19:001</t>
  </si>
  <si>
    <t>19:002</t>
  </si>
  <si>
    <t>19:003</t>
  </si>
  <si>
    <t>20:001</t>
  </si>
  <si>
    <t>20:002</t>
  </si>
  <si>
    <t>20:003</t>
  </si>
  <si>
    <t>21:001</t>
  </si>
  <si>
    <t>21:002</t>
  </si>
  <si>
    <t>21:003</t>
  </si>
  <si>
    <t>22:001</t>
  </si>
  <si>
    <t>22:002</t>
  </si>
  <si>
    <t>22:003</t>
  </si>
  <si>
    <t>23:001</t>
  </si>
  <si>
    <t>23:002</t>
  </si>
  <si>
    <t>23:003</t>
  </si>
  <si>
    <t>24:001</t>
  </si>
  <si>
    <t>24:002</t>
  </si>
  <si>
    <t>24:003</t>
  </si>
  <si>
    <t>MEAN</t>
  </si>
  <si>
    <t>TIME11</t>
  </si>
  <si>
    <t>TIME12</t>
  </si>
  <si>
    <t>TIME13</t>
  </si>
  <si>
    <t>TIME21</t>
  </si>
  <si>
    <t>TIME22</t>
  </si>
  <si>
    <t>TIME23</t>
  </si>
  <si>
    <t>Daily Mean-GH</t>
  </si>
  <si>
    <t>Daily Max-GH</t>
  </si>
  <si>
    <t>Daily Min-GH</t>
  </si>
  <si>
    <t>MEAN 1</t>
  </si>
  <si>
    <t>MEAN 2</t>
  </si>
  <si>
    <t>MEAN 3</t>
  </si>
  <si>
    <t>MAX 1</t>
  </si>
  <si>
    <t>MAX 2</t>
  </si>
  <si>
    <t>MAX 3</t>
  </si>
  <si>
    <t>MIN 1</t>
  </si>
  <si>
    <t>MIN 2</t>
  </si>
  <si>
    <t>MIN 3</t>
  </si>
  <si>
    <t>MAY</t>
  </si>
  <si>
    <t>JUN</t>
  </si>
  <si>
    <t>JUL</t>
  </si>
  <si>
    <t>SEP</t>
  </si>
  <si>
    <t>OCT</t>
  </si>
  <si>
    <t>NOV</t>
  </si>
  <si>
    <t>DEC</t>
  </si>
  <si>
    <t>JAN</t>
  </si>
  <si>
    <t>FEB</t>
  </si>
  <si>
    <t>MAR</t>
  </si>
  <si>
    <t>Sep</t>
  </si>
  <si>
    <t>R1(CMS)</t>
  </si>
  <si>
    <t>R1(GH)</t>
  </si>
  <si>
    <t>R2(GH)</t>
  </si>
  <si>
    <t>R2(CMS)</t>
  </si>
  <si>
    <t>Date</t>
  </si>
  <si>
    <t>Apr</t>
  </si>
  <si>
    <t>May</t>
  </si>
  <si>
    <t>Jun</t>
  </si>
  <si>
    <t>Jul</t>
  </si>
  <si>
    <t>Aug</t>
  </si>
  <si>
    <t>Oct</t>
  </si>
  <si>
    <t>Nov</t>
  </si>
  <si>
    <t>Dec</t>
  </si>
  <si>
    <t>Jan</t>
  </si>
  <si>
    <t>Feb</t>
  </si>
  <si>
    <t>Mar</t>
  </si>
  <si>
    <t>Station    -</t>
  </si>
  <si>
    <t>Stream    -</t>
  </si>
  <si>
    <t>Annual</t>
  </si>
  <si>
    <t>Royal  Irrigation</t>
  </si>
  <si>
    <t>Hydrology  Division</t>
  </si>
  <si>
    <t xml:space="preserve">           River  System</t>
  </si>
  <si>
    <t>River         -</t>
  </si>
  <si>
    <t>River  System   -</t>
  </si>
  <si>
    <t>Total</t>
  </si>
  <si>
    <t>CMSDAY</t>
  </si>
  <si>
    <t>Mean</t>
  </si>
  <si>
    <t xml:space="preserve">  CMS    </t>
  </si>
  <si>
    <t>Max</t>
  </si>
  <si>
    <t>Min</t>
  </si>
  <si>
    <t>Runoff</t>
  </si>
  <si>
    <t>Momentary Peak</t>
  </si>
  <si>
    <t>Runoff  Yield</t>
  </si>
  <si>
    <t xml:space="preserve">  MCM  </t>
  </si>
  <si>
    <t xml:space="preserve">  CMS,  at</t>
  </si>
  <si>
    <t>Hours, on</t>
  </si>
  <si>
    <t xml:space="preserve">  Liters/Second/Square  KM,  Momentary  Yield</t>
  </si>
  <si>
    <t xml:space="preserve">  Liters/Second/Square  KM</t>
  </si>
  <si>
    <t>M (</t>
  </si>
  <si>
    <t>) ,at</t>
  </si>
  <si>
    <t>Time :</t>
  </si>
  <si>
    <t>March</t>
  </si>
  <si>
    <t>December Time :</t>
  </si>
  <si>
    <t>February  Time :</t>
  </si>
  <si>
    <t>January Time :</t>
  </si>
  <si>
    <t>November Time :</t>
  </si>
  <si>
    <t>October</t>
  </si>
  <si>
    <t>September Time:</t>
  </si>
  <si>
    <t>August</t>
  </si>
  <si>
    <t>July</t>
  </si>
  <si>
    <t>June</t>
  </si>
  <si>
    <t>April</t>
  </si>
  <si>
    <t>Log C  =</t>
  </si>
  <si>
    <t>M Value =</t>
  </si>
  <si>
    <t xml:space="preserve">ใช้สมการ log C ตั้งแต่ปี </t>
  </si>
  <si>
    <t>ถึงปี</t>
  </si>
  <si>
    <t>จ.น ตัวอย่าง</t>
  </si>
  <si>
    <t>จุด</t>
  </si>
  <si>
    <t>100Ton</t>
  </si>
  <si>
    <t>Begin LogC</t>
  </si>
  <si>
    <t xml:space="preserve">End </t>
  </si>
  <si>
    <t>N. Example</t>
  </si>
  <si>
    <t>Sediment</t>
  </si>
  <si>
    <t>0000</t>
  </si>
  <si>
    <t>Daily Discharge</t>
  </si>
  <si>
    <t>ต้องการพิมพ์กราฟรูปไหนให้คลิ๊กที่กราฟรูปนั้นแล้วสั่งพิมพ์</t>
  </si>
  <si>
    <t>การแก้ไขค่ามากที่สุด - น้อยที่สุดของแกนY ให้คลิ๊กขวาที่แกนนั้นแล้วแก้ไขที่มาตราส่วนกำหนดค่าสูงสุด-ต่ำสุดตามที่ต้องการ</t>
  </si>
  <si>
    <t>Unit 0,1  =</t>
  </si>
  <si>
    <t>Royal  Irrigation By Pc</t>
  </si>
  <si>
    <t>Annual Max Momentary Gage Height</t>
  </si>
  <si>
    <t>Zero Gage At Bottom Elevation</t>
  </si>
  <si>
    <t>Left Bank Elevation</t>
  </si>
  <si>
    <t>Right Bank Elevation</t>
  </si>
  <si>
    <t>P.75</t>
  </si>
  <si>
    <t>Ban Cho Lae,  Mae Taeng, Chiang Mai,P.75</t>
  </si>
  <si>
    <t>Ping</t>
  </si>
  <si>
    <t>Nam  Ping</t>
  </si>
  <si>
    <t>MSL.</t>
  </si>
  <si>
    <t>เหนือตอนบน</t>
  </si>
  <si>
    <t>HC.1/2424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</si>
</sst>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0.0000000000"/>
  </numFmts>
  <fonts count="95">
    <font>
      <sz val="10"/>
      <name val="Arial"/>
      <charset val="222"/>
    </font>
    <font>
      <sz val="10"/>
      <name val="Arial"/>
      <charset val="222"/>
    </font>
    <font>
      <u/>
      <sz val="10"/>
      <color indexed="12"/>
      <name val="Arial"/>
      <charset val="222"/>
    </font>
    <font>
      <sz val="12"/>
      <name val="Arial"/>
      <charset val="22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22"/>
      <name val="Arial"/>
      <charset val="222"/>
    </font>
    <font>
      <sz val="7"/>
      <color indexed="22"/>
      <name val="Arial"/>
      <charset val="222"/>
    </font>
    <font>
      <sz val="7"/>
      <name val="Arial"/>
      <charset val="222"/>
    </font>
    <font>
      <sz val="9"/>
      <color indexed="22"/>
      <name val="Arial"/>
      <charset val="222"/>
    </font>
    <font>
      <sz val="9"/>
      <name val="Arial"/>
      <charset val="22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6"/>
      <name val="Arial"/>
      <family val="2"/>
    </font>
    <font>
      <sz val="11"/>
      <color indexed="16"/>
      <name val="AngsanaUPC"/>
      <family val="1"/>
      <charset val="222"/>
    </font>
    <font>
      <b/>
      <sz val="11"/>
      <color indexed="16"/>
      <name val="AngsanaUPC"/>
      <family val="1"/>
      <charset val="222"/>
    </font>
    <font>
      <b/>
      <sz val="12"/>
      <name val="Arial"/>
      <family val="2"/>
    </font>
    <font>
      <b/>
      <u/>
      <sz val="9"/>
      <color indexed="12"/>
      <name val="Arial"/>
      <charset val="222"/>
    </font>
    <font>
      <sz val="10"/>
      <color indexed="10"/>
      <name val="Arial"/>
      <charset val="222"/>
    </font>
    <font>
      <b/>
      <sz val="10"/>
      <color indexed="10"/>
      <name val="Arial"/>
      <family val="2"/>
    </font>
    <font>
      <sz val="10"/>
      <color indexed="16"/>
      <name val="Arial"/>
      <charset val="222"/>
    </font>
    <font>
      <b/>
      <sz val="6"/>
      <color indexed="18"/>
      <name val="Tahoma"/>
      <family val="2"/>
    </font>
    <font>
      <b/>
      <sz val="10"/>
      <name val="Arial"/>
      <family val="2"/>
    </font>
    <font>
      <sz val="10"/>
      <color indexed="18"/>
      <name val="Arial"/>
      <charset val="222"/>
    </font>
    <font>
      <b/>
      <sz val="10"/>
      <color indexed="62"/>
      <name val="Arial"/>
      <family val="2"/>
    </font>
    <font>
      <b/>
      <sz val="10"/>
      <color indexed="18"/>
      <name val="Arial"/>
      <charset val="222"/>
    </font>
    <font>
      <sz val="11"/>
      <name val="Arial"/>
      <charset val="222"/>
    </font>
    <font>
      <sz val="16"/>
      <name val="Arial"/>
      <charset val="222"/>
    </font>
    <font>
      <b/>
      <sz val="18"/>
      <color indexed="18"/>
      <name val="Cordia New"/>
      <family val="2"/>
    </font>
    <font>
      <sz val="18"/>
      <color indexed="18"/>
      <name val="Cordia New"/>
      <family val="2"/>
    </font>
    <font>
      <b/>
      <sz val="16"/>
      <color indexed="18"/>
      <name val="Cordia New"/>
      <family val="2"/>
    </font>
    <font>
      <sz val="16"/>
      <color indexed="18"/>
      <name val="AngsanaUPC"/>
      <family val="1"/>
      <charset val="222"/>
    </font>
    <font>
      <sz val="16"/>
      <name val="AngsanaUPC"/>
      <family val="1"/>
      <charset val="222"/>
    </font>
    <font>
      <b/>
      <sz val="16"/>
      <color indexed="16"/>
      <name val="AngsanaUPC"/>
      <family val="1"/>
      <charset val="222"/>
    </font>
    <font>
      <b/>
      <sz val="16"/>
      <color indexed="18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6"/>
      <color indexed="16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name val="AngsanaUPC"/>
      <family val="1"/>
      <charset val="222"/>
    </font>
    <font>
      <b/>
      <sz val="18"/>
      <color indexed="18"/>
      <name val="CordiaUPC"/>
      <family val="2"/>
      <charset val="222"/>
    </font>
    <font>
      <b/>
      <sz val="14"/>
      <color indexed="18"/>
      <name val="AngsanaUPC"/>
      <family val="1"/>
      <charset val="222"/>
    </font>
    <font>
      <sz val="12"/>
      <color indexed="12"/>
      <name val="CordiaUPC"/>
      <family val="2"/>
      <charset val="222"/>
    </font>
    <font>
      <sz val="12"/>
      <name val="CordiaUPC"/>
      <family val="2"/>
      <charset val="222"/>
    </font>
    <font>
      <sz val="14"/>
      <name val="Arial"/>
      <charset val="222"/>
    </font>
    <font>
      <sz val="16"/>
      <color indexed="12"/>
      <name val="Cordia New"/>
      <family val="2"/>
      <charset val="222"/>
    </font>
    <font>
      <sz val="16"/>
      <name val="Cordia New"/>
      <family val="2"/>
      <charset val="222"/>
    </font>
    <font>
      <sz val="10"/>
      <name val="Cordia New"/>
      <family val="2"/>
      <charset val="222"/>
    </font>
    <font>
      <b/>
      <sz val="10"/>
      <color indexed="18"/>
      <name val="Cordia New"/>
      <family val="2"/>
      <charset val="222"/>
    </font>
    <font>
      <sz val="14"/>
      <color indexed="12"/>
      <name val="Cordia New"/>
      <family val="2"/>
      <charset val="222"/>
    </font>
    <font>
      <sz val="14"/>
      <name val="Cordia New"/>
      <family val="2"/>
      <charset val="222"/>
    </font>
    <font>
      <sz val="14"/>
      <color indexed="18"/>
      <name val="Cordia New"/>
      <family val="2"/>
      <charset val="222"/>
    </font>
    <font>
      <b/>
      <sz val="14"/>
      <color indexed="18"/>
      <name val="Cordia New"/>
      <family val="2"/>
      <charset val="222"/>
    </font>
    <font>
      <b/>
      <sz val="16"/>
      <color indexed="18"/>
      <name val="Cordia New"/>
      <family val="2"/>
      <charset val="222"/>
    </font>
    <font>
      <sz val="16"/>
      <color indexed="18"/>
      <name val="Cordia New"/>
      <family val="2"/>
      <charset val="222"/>
    </font>
    <font>
      <sz val="16"/>
      <color indexed="8"/>
      <name val="Cordia New"/>
      <family val="2"/>
      <charset val="222"/>
    </font>
    <font>
      <b/>
      <sz val="10"/>
      <color indexed="18"/>
      <name val="Arial"/>
      <family val="2"/>
      <charset val="222"/>
    </font>
    <font>
      <sz val="10"/>
      <color indexed="18"/>
      <name val="Arial"/>
      <family val="2"/>
      <charset val="222"/>
    </font>
    <font>
      <sz val="16"/>
      <color indexed="18"/>
      <name val="Cordia New"/>
      <family val="2"/>
    </font>
    <font>
      <sz val="18"/>
      <color indexed="18"/>
      <name val="Cordia New"/>
      <family val="2"/>
      <charset val="222"/>
    </font>
    <font>
      <b/>
      <sz val="18"/>
      <color indexed="1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0"/>
      <color indexed="18"/>
      <name val="Cordia New"/>
      <family val="2"/>
      <charset val="222"/>
    </font>
    <font>
      <sz val="11"/>
      <name val="Cordia New"/>
      <family val="2"/>
      <charset val="222"/>
    </font>
    <font>
      <sz val="11"/>
      <name val="Arial"/>
      <family val="2"/>
      <charset val="222"/>
    </font>
    <font>
      <sz val="10"/>
      <name val="Comic Sans MS"/>
      <family val="4"/>
      <charset val="222"/>
    </font>
    <font>
      <b/>
      <sz val="10"/>
      <color indexed="18"/>
      <name val="Comic Sans MS"/>
      <family val="4"/>
      <charset val="222"/>
    </font>
    <font>
      <sz val="18"/>
      <color indexed="18"/>
      <name val="Comic Sans MS"/>
      <family val="4"/>
      <charset val="222"/>
    </font>
    <font>
      <b/>
      <sz val="18"/>
      <color indexed="18"/>
      <name val="Comic Sans MS"/>
      <family val="4"/>
      <charset val="222"/>
    </font>
    <font>
      <sz val="11"/>
      <name val="Comic Sans MS"/>
      <family val="4"/>
      <charset val="222"/>
    </font>
    <font>
      <sz val="8"/>
      <name val="Arial"/>
      <charset val="222"/>
    </font>
    <font>
      <sz val="10"/>
      <name val="Arial"/>
      <family val="2"/>
    </font>
    <font>
      <sz val="8"/>
      <color indexed="81"/>
      <name val="Tahoma"/>
      <charset val="222"/>
    </font>
    <font>
      <b/>
      <sz val="8"/>
      <color indexed="81"/>
      <name val="Tahoma"/>
      <charset val="222"/>
    </font>
    <font>
      <sz val="11"/>
      <name val="Arial"/>
      <family val="2"/>
    </font>
    <font>
      <b/>
      <sz val="10"/>
      <name val="Arial"/>
      <charset val="222"/>
    </font>
    <font>
      <sz val="10"/>
      <name val="Arial"/>
      <charset val="22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18"/>
      <name val="Arial"/>
      <family val="2"/>
    </font>
    <font>
      <sz val="9"/>
      <color indexed="18"/>
      <name val="Arial"/>
      <charset val="222"/>
    </font>
    <font>
      <sz val="10"/>
      <color indexed="20"/>
      <name val="Arial"/>
      <charset val="222"/>
    </font>
    <font>
      <b/>
      <sz val="8"/>
      <color indexed="81"/>
      <name val="Courier"/>
      <family val="3"/>
    </font>
    <font>
      <b/>
      <sz val="14"/>
      <color indexed="81"/>
      <name val="Courier"/>
      <family val="3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2"/>
      <color indexed="10"/>
      <name val="Courier New"/>
      <family val="3"/>
    </font>
    <font>
      <b/>
      <sz val="10"/>
      <color indexed="20"/>
      <name val="Arial"/>
      <family val="2"/>
    </font>
    <font>
      <sz val="9"/>
      <color indexed="16"/>
      <name val="Arial"/>
      <charset val="222"/>
    </font>
    <font>
      <sz val="9"/>
      <color indexed="16"/>
      <name val="Arial"/>
      <family val="2"/>
    </font>
    <font>
      <b/>
      <sz val="10"/>
      <color indexed="56"/>
      <name val="Arial"/>
      <family val="2"/>
    </font>
    <font>
      <sz val="12"/>
      <color indexed="10"/>
      <name val="Arial"/>
      <charset val="222"/>
    </font>
    <font>
      <b/>
      <sz val="9"/>
      <color indexed="56"/>
      <name val="Arial"/>
      <family val="2"/>
    </font>
    <font>
      <sz val="14"/>
      <name val="Cordia Ne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lightGrid">
        <fgColor indexed="49"/>
        <bgColor indexed="15"/>
      </patternFill>
    </fill>
    <fill>
      <patternFill patternType="solid">
        <fgColor indexed="65"/>
        <bgColor indexed="64"/>
      </patternFill>
    </fill>
    <fill>
      <patternFill patternType="gray0625">
        <bgColor indexed="47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10">
    <xf numFmtId="0" fontId="0" fillId="0" borderId="0" xfId="0"/>
    <xf numFmtId="0" fontId="19" fillId="2" borderId="0" xfId="0" applyFont="1" applyFill="1" applyProtection="1"/>
    <xf numFmtId="0" fontId="12" fillId="3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3" fillId="0" borderId="3" xfId="0" quotePrefix="1" applyFont="1" applyBorder="1" applyAlignment="1" applyProtection="1">
      <alignment horizontal="right" vertical="center"/>
      <protection locked="0"/>
    </xf>
    <xf numFmtId="0" fontId="0" fillId="4" borderId="0" xfId="0" applyFill="1" applyProtection="1"/>
    <xf numFmtId="0" fontId="0" fillId="2" borderId="0" xfId="0" applyFill="1" applyProtection="1"/>
    <xf numFmtId="0" fontId="3" fillId="4" borderId="0" xfId="0" applyFont="1" applyFill="1" applyProtection="1"/>
    <xf numFmtId="0" fontId="0" fillId="0" borderId="0" xfId="0" applyProtection="1"/>
    <xf numFmtId="0" fontId="0" fillId="4" borderId="0" xfId="0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0" fillId="4" borderId="0" xfId="0" applyFont="1" applyFill="1" applyProtection="1"/>
    <xf numFmtId="0" fontId="10" fillId="2" borderId="0" xfId="0" applyFont="1" applyFill="1" applyProtection="1"/>
    <xf numFmtId="0" fontId="10" fillId="0" borderId="0" xfId="0" applyFont="1" applyProtection="1"/>
    <xf numFmtId="0" fontId="2" fillId="2" borderId="0" xfId="1" applyFill="1" applyAlignment="1" applyProtection="1"/>
    <xf numFmtId="0" fontId="13" fillId="3" borderId="1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/>
    </xf>
    <xf numFmtId="0" fontId="11" fillId="3" borderId="4" xfId="0" applyFont="1" applyFill="1" applyBorder="1" applyProtection="1"/>
    <xf numFmtId="0" fontId="12" fillId="4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2" borderId="0" xfId="0" quotePrefix="1" applyFill="1" applyProtection="1"/>
    <xf numFmtId="0" fontId="12" fillId="5" borderId="0" xfId="0" applyFont="1" applyFill="1" applyBorder="1" applyAlignment="1" applyProtection="1">
      <alignment horizontal="center" wrapText="1"/>
    </xf>
    <xf numFmtId="0" fontId="0" fillId="5" borderId="0" xfId="0" applyFill="1" applyBorder="1" applyAlignment="1" applyProtection="1"/>
    <xf numFmtId="0" fontId="13" fillId="3" borderId="5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quotePrefix="1" applyBorder="1" applyAlignment="1" applyProtection="1">
      <alignment horizontal="center" vertical="center"/>
      <protection locked="0"/>
    </xf>
    <xf numFmtId="0" fontId="6" fillId="4" borderId="0" xfId="0" applyFont="1" applyFill="1" applyBorder="1" applyProtection="1"/>
    <xf numFmtId="0" fontId="7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Protection="1"/>
    <xf numFmtId="0" fontId="12" fillId="4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5" borderId="0" xfId="0" applyFill="1" applyBorder="1" applyAlignment="1" applyProtection="1">
      <alignment horizontal="right" vertical="center"/>
    </xf>
    <xf numFmtId="0" fontId="5" fillId="5" borderId="0" xfId="0" applyFont="1" applyFill="1" applyBorder="1" applyProtection="1"/>
    <xf numFmtId="0" fontId="16" fillId="4" borderId="3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2" fillId="5" borderId="0" xfId="1" applyFill="1" applyBorder="1" applyAlignment="1" applyProtection="1"/>
    <xf numFmtId="0" fontId="11" fillId="3" borderId="3" xfId="0" applyFont="1" applyFill="1" applyBorder="1" applyAlignment="1" applyProtection="1">
      <alignment vertical="center"/>
    </xf>
    <xf numFmtId="0" fontId="14" fillId="6" borderId="3" xfId="0" quotePrefix="1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right" vertical="center"/>
    </xf>
    <xf numFmtId="0" fontId="0" fillId="5" borderId="6" xfId="0" applyFill="1" applyBorder="1" applyAlignment="1" applyProtection="1"/>
    <xf numFmtId="0" fontId="0" fillId="5" borderId="7" xfId="0" applyFill="1" applyBorder="1" applyAlignment="1" applyProtection="1"/>
    <xf numFmtId="0" fontId="0" fillId="5" borderId="8" xfId="0" applyFill="1" applyBorder="1" applyAlignment="1" applyProtection="1"/>
    <xf numFmtId="0" fontId="0" fillId="5" borderId="9" xfId="0" applyFill="1" applyBorder="1" applyAlignment="1" applyProtection="1"/>
    <xf numFmtId="0" fontId="16" fillId="5" borderId="0" xfId="0" applyFont="1" applyFill="1" applyBorder="1" applyAlignment="1" applyProtection="1">
      <alignment horizontal="center"/>
    </xf>
    <xf numFmtId="0" fontId="24" fillId="0" borderId="0" xfId="0" applyFont="1"/>
    <xf numFmtId="0" fontId="4" fillId="0" borderId="0" xfId="0" applyFont="1"/>
    <xf numFmtId="2" fontId="0" fillId="0" borderId="0" xfId="0" applyNumberFormat="1" applyAlignment="1">
      <alignment horizontal="right" vertical="center"/>
    </xf>
    <xf numFmtId="0" fontId="24" fillId="0" borderId="8" xfId="0" applyFont="1" applyBorder="1"/>
    <xf numFmtId="0" fontId="30" fillId="0" borderId="0" xfId="0" applyFont="1" applyAlignment="1">
      <alignment vertical="center"/>
    </xf>
    <xf numFmtId="2" fontId="27" fillId="0" borderId="3" xfId="0" applyNumberFormat="1" applyFont="1" applyBorder="1" applyAlignment="1">
      <alignment horizontal="right" vertical="center"/>
    </xf>
    <xf numFmtId="187" fontId="27" fillId="0" borderId="3" xfId="0" applyNumberFormat="1" applyFont="1" applyBorder="1" applyAlignment="1">
      <alignment horizontal="right" vertical="center"/>
    </xf>
    <xf numFmtId="2" fontId="27" fillId="0" borderId="3" xfId="0" applyNumberFormat="1" applyFont="1" applyBorder="1" applyAlignment="1">
      <alignment vertical="center"/>
    </xf>
    <xf numFmtId="0" fontId="0" fillId="0" borderId="0" xfId="0" applyBorder="1"/>
    <xf numFmtId="0" fontId="26" fillId="0" borderId="10" xfId="0" applyFont="1" applyBorder="1" applyAlignment="1">
      <alignment horizontal="center" vertical="center"/>
    </xf>
    <xf numFmtId="187" fontId="2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vertical="center"/>
      <protection locked="0"/>
    </xf>
    <xf numFmtId="2" fontId="33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35" fillId="5" borderId="11" xfId="0" applyFont="1" applyFill="1" applyBorder="1" applyProtection="1"/>
    <xf numFmtId="0" fontId="47" fillId="0" borderId="0" xfId="0" applyFont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0" fillId="0" borderId="0" xfId="0" applyFont="1"/>
    <xf numFmtId="0" fontId="4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1" fontId="59" fillId="0" borderId="0" xfId="0" applyNumberFormat="1" applyFont="1" applyAlignment="1">
      <alignment horizontal="right" vertical="center"/>
    </xf>
    <xf numFmtId="0" fontId="59" fillId="0" borderId="0" xfId="0" applyFont="1" applyAlignment="1" applyProtection="1">
      <alignment vertical="center"/>
      <protection locked="0"/>
    </xf>
    <xf numFmtId="0" fontId="48" fillId="0" borderId="0" xfId="0" applyFont="1"/>
    <xf numFmtId="0" fontId="49" fillId="0" borderId="0" xfId="0" applyFont="1"/>
    <xf numFmtId="0" fontId="60" fillId="0" borderId="0" xfId="0" applyFont="1" applyAlignment="1">
      <alignment vertical="center"/>
    </xf>
    <xf numFmtId="0" fontId="47" fillId="0" borderId="0" xfId="0" applyFont="1"/>
    <xf numFmtId="0" fontId="46" fillId="0" borderId="0" xfId="0" applyFont="1"/>
    <xf numFmtId="0" fontId="54" fillId="0" borderId="0" xfId="0" applyFont="1"/>
    <xf numFmtId="0" fontId="63" fillId="0" borderId="8" xfId="0" applyFont="1" applyBorder="1"/>
    <xf numFmtId="0" fontId="63" fillId="0" borderId="0" xfId="0" applyFont="1"/>
    <xf numFmtId="0" fontId="48" fillId="0" borderId="0" xfId="0" applyFont="1" applyBorder="1"/>
    <xf numFmtId="2" fontId="48" fillId="0" borderId="0" xfId="0" applyNumberFormat="1" applyFont="1" applyAlignment="1">
      <alignment horizontal="right" vertical="center"/>
    </xf>
    <xf numFmtId="187" fontId="61" fillId="0" borderId="0" xfId="0" applyNumberFormat="1" applyFont="1" applyAlignment="1">
      <alignment vertical="center"/>
    </xf>
    <xf numFmtId="2" fontId="65" fillId="0" borderId="3" xfId="0" applyNumberFormat="1" applyFont="1" applyBorder="1" applyAlignment="1">
      <alignment horizontal="right" vertical="center"/>
    </xf>
    <xf numFmtId="0" fontId="57" fillId="0" borderId="10" xfId="0" applyFont="1" applyBorder="1" applyAlignment="1">
      <alignment horizontal="center" vertical="center"/>
    </xf>
    <xf numFmtId="0" fontId="55" fillId="0" borderId="0" xfId="0" applyFont="1" applyAlignment="1">
      <alignment horizontal="right" vertical="center"/>
    </xf>
    <xf numFmtId="1" fontId="55" fillId="0" borderId="0" xfId="0" applyNumberFormat="1" applyFont="1" applyAlignment="1">
      <alignment horizontal="right" vertical="center"/>
    </xf>
    <xf numFmtId="0" fontId="55" fillId="0" borderId="0" xfId="0" applyFont="1" applyAlignment="1" applyProtection="1">
      <alignment vertical="center"/>
      <protection locked="0"/>
    </xf>
    <xf numFmtId="0" fontId="28" fillId="0" borderId="0" xfId="0" applyFont="1"/>
    <xf numFmtId="0" fontId="66" fillId="0" borderId="0" xfId="0" applyFont="1"/>
    <xf numFmtId="0" fontId="66" fillId="0" borderId="0" xfId="0" applyFont="1" applyBorder="1"/>
    <xf numFmtId="2" fontId="66" fillId="0" borderId="0" xfId="0" applyNumberFormat="1" applyFont="1" applyAlignment="1">
      <alignment horizontal="right" vertical="center"/>
    </xf>
    <xf numFmtId="0" fontId="51" fillId="0" borderId="0" xfId="0" applyFont="1"/>
    <xf numFmtId="0" fontId="3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21" fillId="0" borderId="12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0" fillId="4" borderId="0" xfId="0" applyFill="1"/>
    <xf numFmtId="0" fontId="0" fillId="5" borderId="0" xfId="0" applyFill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72" fillId="2" borderId="0" xfId="0" applyFont="1" applyFill="1" applyAlignment="1" applyProtection="1">
      <alignment horizontal="center"/>
    </xf>
    <xf numFmtId="0" fontId="72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12" fillId="3" borderId="11" xfId="0" applyFont="1" applyFill="1" applyBorder="1" applyAlignment="1" applyProtection="1">
      <alignment horizontal="center"/>
    </xf>
    <xf numFmtId="0" fontId="0" fillId="0" borderId="0" xfId="0" quotePrefix="1"/>
    <xf numFmtId="0" fontId="0" fillId="0" borderId="0" xfId="0" applyNumberFormat="1" applyAlignment="1">
      <alignment horizontal="right"/>
    </xf>
    <xf numFmtId="188" fontId="0" fillId="0" borderId="0" xfId="0" applyNumberFormat="1" applyAlignment="1">
      <alignment horizontal="right"/>
    </xf>
    <xf numFmtId="2" fontId="75" fillId="0" borderId="3" xfId="0" applyNumberFormat="1" applyFont="1" applyBorder="1" applyAlignment="1">
      <alignment horizontal="right" vertical="center"/>
    </xf>
    <xf numFmtId="2" fontId="27" fillId="0" borderId="3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64" fillId="0" borderId="3" xfId="0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2" borderId="0" xfId="0" applyFont="1" applyFill="1"/>
    <xf numFmtId="0" fontId="0" fillId="0" borderId="0" xfId="0" applyAlignment="1">
      <alignment horizontal="left" vertical="center"/>
    </xf>
    <xf numFmtId="187" fontId="27" fillId="0" borderId="3" xfId="0" applyNumberFormat="1" applyFont="1" applyBorder="1" applyAlignment="1">
      <alignment vertical="center"/>
    </xf>
    <xf numFmtId="2" fontId="27" fillId="2" borderId="3" xfId="0" applyNumberFormat="1" applyFont="1" applyFill="1" applyBorder="1" applyAlignment="1">
      <alignment horizontal="right" vertical="center"/>
    </xf>
    <xf numFmtId="187" fontId="27" fillId="2" borderId="3" xfId="0" applyNumberFormat="1" applyFont="1" applyFill="1" applyBorder="1" applyAlignment="1">
      <alignment horizontal="right" vertical="center"/>
    </xf>
    <xf numFmtId="187" fontId="27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7" fillId="0" borderId="3" xfId="0" applyFont="1" applyBorder="1" applyAlignment="1">
      <alignment horizontal="center" vertical="center"/>
    </xf>
    <xf numFmtId="0" fontId="67" fillId="2" borderId="3" xfId="0" applyFont="1" applyFill="1" applyBorder="1" applyAlignment="1">
      <alignment horizontal="center" vertical="center"/>
    </xf>
    <xf numFmtId="2" fontId="70" fillId="2" borderId="3" xfId="0" applyNumberFormat="1" applyFont="1" applyFill="1" applyBorder="1" applyAlignment="1">
      <alignment horizontal="right" vertical="center"/>
    </xf>
    <xf numFmtId="0" fontId="57" fillId="0" borderId="3" xfId="0" applyFont="1" applyBorder="1" applyAlignment="1">
      <alignment horizontal="center" vertical="center"/>
    </xf>
    <xf numFmtId="0" fontId="57" fillId="2" borderId="3" xfId="0" applyFont="1" applyFill="1" applyBorder="1" applyAlignment="1">
      <alignment horizontal="center" vertical="center"/>
    </xf>
    <xf numFmtId="2" fontId="64" fillId="2" borderId="3" xfId="0" applyNumberFormat="1" applyFont="1" applyFill="1" applyBorder="1" applyAlignment="1">
      <alignment horizontal="right" vertical="center"/>
    </xf>
    <xf numFmtId="2" fontId="75" fillId="2" borderId="3" xfId="0" applyNumberFormat="1" applyFont="1" applyFill="1" applyBorder="1" applyAlignment="1">
      <alignment horizontal="right" vertical="center"/>
    </xf>
    <xf numFmtId="2" fontId="65" fillId="2" borderId="3" xfId="0" applyNumberFormat="1" applyFont="1" applyFill="1" applyBorder="1" applyAlignment="1">
      <alignment horizontal="right" vertical="center"/>
    </xf>
    <xf numFmtId="2" fontId="27" fillId="0" borderId="3" xfId="0" applyNumberFormat="1" applyFont="1" applyBorder="1" applyAlignment="1">
      <alignment horizontal="center" vertical="center"/>
    </xf>
    <xf numFmtId="2" fontId="27" fillId="2" borderId="3" xfId="0" applyNumberFormat="1" applyFont="1" applyFill="1" applyBorder="1" applyAlignment="1">
      <alignment horizontal="center" vertical="center"/>
    </xf>
    <xf numFmtId="0" fontId="55" fillId="0" borderId="0" xfId="0" applyFont="1" applyAlignment="1" applyProtection="1">
      <alignment vertical="center"/>
    </xf>
    <xf numFmtId="0" fontId="55" fillId="0" borderId="0" xfId="0" applyFont="1" applyAlignment="1" applyProtection="1">
      <alignment horizontal="right" vertical="center"/>
    </xf>
    <xf numFmtId="0" fontId="54" fillId="0" borderId="0" xfId="0" applyFont="1" applyAlignment="1" applyProtection="1">
      <alignment horizontal="center" vertical="center"/>
    </xf>
    <xf numFmtId="0" fontId="66" fillId="0" borderId="0" xfId="0" applyFont="1" applyProtection="1"/>
    <xf numFmtId="187" fontId="69" fillId="0" borderId="0" xfId="0" applyNumberFormat="1" applyFont="1" applyAlignment="1" applyProtection="1">
      <alignment vertical="center"/>
    </xf>
    <xf numFmtId="0" fontId="68" fillId="0" borderId="0" xfId="0" applyFont="1" applyAlignment="1" applyProtection="1">
      <alignment vertical="center"/>
    </xf>
    <xf numFmtId="0" fontId="48" fillId="0" borderId="0" xfId="0" applyFont="1" applyProtection="1"/>
    <xf numFmtId="0" fontId="55" fillId="0" borderId="0" xfId="0" applyFont="1" applyAlignment="1" applyProtection="1">
      <alignment vertical="top"/>
    </xf>
    <xf numFmtId="0" fontId="47" fillId="0" borderId="0" xfId="0" applyFont="1" applyAlignment="1" applyProtection="1">
      <alignment vertical="center"/>
    </xf>
    <xf numFmtId="0" fontId="47" fillId="0" borderId="0" xfId="0" applyFont="1" applyProtection="1"/>
    <xf numFmtId="0" fontId="52" fillId="0" borderId="0" xfId="0" applyFont="1" applyAlignment="1" applyProtection="1">
      <alignment vertical="top"/>
    </xf>
    <xf numFmtId="0" fontId="5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  <xf numFmtId="0" fontId="78" fillId="0" borderId="0" xfId="0" applyFont="1" applyAlignment="1" applyProtection="1">
      <alignment horizontal="center"/>
    </xf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6" fillId="0" borderId="0" xfId="0" applyFont="1" applyAlignment="1" applyProtection="1">
      <alignment horizontal="center"/>
    </xf>
    <xf numFmtId="0" fontId="77" fillId="0" borderId="0" xfId="0" applyFont="1" applyAlignment="1" applyProtection="1">
      <alignment vertical="center"/>
    </xf>
    <xf numFmtId="0" fontId="35" fillId="0" borderId="13" xfId="0" applyFont="1" applyBorder="1" applyAlignment="1" applyProtection="1">
      <alignment horizontal="center"/>
    </xf>
    <xf numFmtId="2" fontId="0" fillId="0" borderId="0" xfId="0" applyNumberFormat="1" applyAlignment="1" applyProtection="1">
      <alignment vertical="center"/>
    </xf>
    <xf numFmtId="2" fontId="77" fillId="0" borderId="0" xfId="0" applyNumberFormat="1" applyFont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187" fontId="0" fillId="0" borderId="0" xfId="0" applyNumberFormat="1" applyAlignment="1" applyProtection="1">
      <alignment vertical="center"/>
    </xf>
    <xf numFmtId="0" fontId="26" fillId="0" borderId="13" xfId="0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2" fontId="0" fillId="0" borderId="0" xfId="0" applyNumberFormat="1" applyBorder="1" applyAlignment="1" applyProtection="1">
      <alignment vertical="center"/>
    </xf>
    <xf numFmtId="187" fontId="0" fillId="0" borderId="0" xfId="0" applyNumberForma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2" fontId="82" fillId="0" borderId="0" xfId="0" applyNumberFormat="1" applyFont="1" applyAlignment="1" applyProtection="1">
      <alignment vertical="center"/>
    </xf>
    <xf numFmtId="2" fontId="82" fillId="0" borderId="0" xfId="0" applyNumberFormat="1" applyFont="1" applyAlignment="1" applyProtection="1">
      <alignment horizontal="center" vertical="center"/>
    </xf>
    <xf numFmtId="2" fontId="82" fillId="0" borderId="0" xfId="0" applyNumberFormat="1" applyFont="1" applyAlignment="1" applyProtection="1">
      <alignment horizontal="right" vertical="center"/>
    </xf>
    <xf numFmtId="187" fontId="82" fillId="0" borderId="0" xfId="0" applyNumberFormat="1" applyFont="1" applyAlignment="1" applyProtection="1">
      <alignment horizontal="right" vertical="center"/>
    </xf>
    <xf numFmtId="0" fontId="0" fillId="0" borderId="13" xfId="0" applyBorder="1" applyAlignment="1" applyProtection="1">
      <alignment vertical="center"/>
    </xf>
    <xf numFmtId="0" fontId="35" fillId="0" borderId="13" xfId="0" applyFont="1" applyBorder="1" applyAlignment="1" applyProtection="1">
      <alignment horizontal="right"/>
    </xf>
    <xf numFmtId="0" fontId="0" fillId="0" borderId="2" xfId="0" applyBorder="1" applyAlignment="1" applyProtection="1">
      <alignment horizontal="center" vertical="center"/>
    </xf>
    <xf numFmtId="0" fontId="31" fillId="0" borderId="0" xfId="0" applyFont="1" applyAlignment="1">
      <alignment horizontal="left" vertical="center"/>
    </xf>
    <xf numFmtId="0" fontId="23" fillId="0" borderId="12" xfId="0" applyFont="1" applyBorder="1" applyAlignment="1" applyProtection="1">
      <alignment horizontal="right" vertical="center"/>
    </xf>
    <xf numFmtId="0" fontId="23" fillId="0" borderId="3" xfId="0" quotePrefix="1" applyFont="1" applyBorder="1" applyAlignment="1" applyProtection="1">
      <alignment horizontal="right" vertical="center"/>
    </xf>
    <xf numFmtId="0" fontId="23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quotePrefix="1" applyBorder="1" applyAlignment="1" applyProtection="1">
      <alignment horizontal="center" vertical="center"/>
    </xf>
    <xf numFmtId="0" fontId="31" fillId="0" borderId="0" xfId="0" applyFont="1" applyAlignment="1">
      <alignment horizontal="right" vertical="center"/>
    </xf>
    <xf numFmtId="187" fontId="0" fillId="2" borderId="0" xfId="0" applyNumberFormat="1" applyFill="1" applyProtection="1"/>
    <xf numFmtId="2" fontId="31" fillId="0" borderId="0" xfId="0" applyNumberFormat="1" applyFont="1" applyAlignment="1">
      <alignment horizontal="left" vertical="center"/>
    </xf>
    <xf numFmtId="2" fontId="23" fillId="0" borderId="12" xfId="0" applyNumberFormat="1" applyFont="1" applyBorder="1" applyAlignment="1" applyProtection="1">
      <alignment horizontal="right" vertical="center"/>
      <protection locked="0"/>
    </xf>
    <xf numFmtId="0" fontId="79" fillId="0" borderId="0" xfId="0" applyFont="1" applyAlignment="1" applyProtection="1">
      <alignment vertical="center"/>
    </xf>
    <xf numFmtId="0" fontId="90" fillId="0" borderId="0" xfId="0" applyFont="1" applyAlignment="1" applyProtection="1">
      <alignment vertical="center"/>
    </xf>
    <xf numFmtId="0" fontId="0" fillId="0" borderId="0" xfId="0" applyAlignment="1">
      <alignment horizontal="center"/>
    </xf>
    <xf numFmtId="0" fontId="90" fillId="0" borderId="0" xfId="0" applyFont="1" applyFill="1" applyAlignment="1" applyProtection="1">
      <alignment horizontal="center" vertical="center"/>
    </xf>
    <xf numFmtId="0" fontId="90" fillId="0" borderId="0" xfId="0" applyNumberFormat="1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91" fillId="0" borderId="0" xfId="0" applyFont="1" applyFill="1" applyAlignment="1" applyProtection="1">
      <alignment horizontal="center" vertical="center"/>
      <protection locked="0"/>
    </xf>
    <xf numFmtId="1" fontId="91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quotePrefix="1" applyAlignment="1">
      <alignment horizontal="left"/>
    </xf>
    <xf numFmtId="18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92" fillId="0" borderId="0" xfId="0" applyFont="1" applyAlignment="1">
      <alignment vertical="center"/>
    </xf>
    <xf numFmtId="0" fontId="90" fillId="0" borderId="0" xfId="0" applyFont="1" applyAlignment="1" applyProtection="1">
      <alignment horizontal="center"/>
    </xf>
    <xf numFmtId="0" fontId="93" fillId="0" borderId="0" xfId="0" applyFont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 vertical="center"/>
    </xf>
    <xf numFmtId="187" fontId="27" fillId="0" borderId="3" xfId="0" applyNumberFormat="1" applyFont="1" applyBorder="1" applyAlignment="1" applyProtection="1">
      <alignment horizontal="right" vertical="center"/>
    </xf>
    <xf numFmtId="2" fontId="27" fillId="0" borderId="3" xfId="0" applyNumberFormat="1" applyFont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2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57" fillId="0" borderId="3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82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80" fillId="0" borderId="0" xfId="0" applyFont="1" applyBorder="1" applyAlignment="1" applyProtection="1">
      <alignment vertical="center"/>
    </xf>
    <xf numFmtId="0" fontId="80" fillId="0" borderId="0" xfId="0" applyFont="1" applyAlignme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1" fillId="0" borderId="0" xfId="0" applyFont="1" applyAlignment="1" applyProtection="1">
      <alignment vertical="center"/>
    </xf>
    <xf numFmtId="0" fontId="81" fillId="0" borderId="0" xfId="0" applyFont="1" applyAlignment="1" applyProtection="1">
      <alignment horizontal="right" vertical="center"/>
    </xf>
    <xf numFmtId="0" fontId="78" fillId="0" borderId="0" xfId="0" applyFont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6" fillId="0" borderId="0" xfId="0" applyFont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right" vertical="center"/>
    </xf>
    <xf numFmtId="2" fontId="0" fillId="0" borderId="0" xfId="0" applyNumberForma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2" fontId="33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2" fontId="36" fillId="0" borderId="0" xfId="0" applyNumberFormat="1" applyFont="1" applyAlignment="1" applyProtection="1">
      <alignment vertical="center"/>
    </xf>
    <xf numFmtId="2" fontId="35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Protection="1"/>
    <xf numFmtId="2" fontId="0" fillId="0" borderId="3" xfId="0" applyNumberFormat="1" applyBorder="1" applyAlignment="1" applyProtection="1">
      <alignment horizontal="right" vertical="center"/>
      <protection locked="0"/>
    </xf>
    <xf numFmtId="2" fontId="0" fillId="0" borderId="0" xfId="0" applyNumberFormat="1" applyBorder="1" applyAlignment="1" applyProtection="1">
      <alignment horizontal="right" vertical="center"/>
    </xf>
    <xf numFmtId="2" fontId="1" fillId="0" borderId="3" xfId="0" applyNumberFormat="1" applyFont="1" applyBorder="1" applyAlignment="1" applyProtection="1">
      <alignment horizontal="right" vertical="center"/>
      <protection locked="0"/>
    </xf>
    <xf numFmtId="0" fontId="42" fillId="7" borderId="0" xfId="0" applyFont="1" applyFill="1" applyAlignment="1" applyProtection="1">
      <alignment horizontal="center" vertical="center" wrapText="1"/>
    </xf>
    <xf numFmtId="0" fontId="45" fillId="7" borderId="0" xfId="0" applyFont="1" applyFill="1" applyAlignment="1" applyProtection="1">
      <alignment horizontal="center" vertical="center" wrapText="1"/>
    </xf>
    <xf numFmtId="0" fontId="33" fillId="0" borderId="0" xfId="0" quotePrefix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22" fontId="38" fillId="0" borderId="0" xfId="0" applyNumberFormat="1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Protection="1"/>
    <xf numFmtId="0" fontId="33" fillId="0" borderId="0" xfId="0" quotePrefix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vertical="center"/>
    </xf>
    <xf numFmtId="0" fontId="87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89" fontId="88" fillId="0" borderId="0" xfId="0" applyNumberFormat="1" applyFont="1" applyFill="1" applyAlignment="1" applyProtection="1">
      <alignment horizontal="left" vertical="center"/>
      <protection locked="0"/>
    </xf>
    <xf numFmtId="189" fontId="0" fillId="0" borderId="0" xfId="0" applyNumberFormat="1" applyFill="1" applyAlignment="1" applyProtection="1">
      <alignment horizontal="left"/>
      <protection locked="0"/>
    </xf>
    <xf numFmtId="0" fontId="88" fillId="0" borderId="0" xfId="0" applyNumberFormat="1" applyFont="1" applyFill="1" applyAlignment="1" applyProtection="1">
      <alignment horizontal="left" vertical="center"/>
      <protection locked="0"/>
    </xf>
    <xf numFmtId="0" fontId="23" fillId="0" borderId="0" xfId="0" applyNumberFormat="1" applyFont="1" applyFill="1" applyAlignment="1" applyProtection="1">
      <alignment horizontal="left" vertical="center"/>
      <protection locked="0"/>
    </xf>
    <xf numFmtId="0" fontId="89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7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9" fillId="0" borderId="0" xfId="0" applyFont="1" applyAlignment="1" applyProtection="1">
      <alignment vertical="center"/>
    </xf>
    <xf numFmtId="2" fontId="0" fillId="0" borderId="0" xfId="0" applyNumberForma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35" fillId="0" borderId="13" xfId="0" applyFont="1" applyBorder="1" applyAlignment="1" applyProtection="1">
      <alignment horizontal="right"/>
    </xf>
    <xf numFmtId="0" fontId="0" fillId="0" borderId="13" xfId="0" applyBorder="1" applyAlignment="1">
      <alignment horizontal="right"/>
    </xf>
    <xf numFmtId="0" fontId="26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82" fillId="0" borderId="0" xfId="0" applyFont="1" applyAlignment="1" applyProtection="1">
      <alignment horizontal="center" vertical="center"/>
    </xf>
    <xf numFmtId="2" fontId="79" fillId="0" borderId="0" xfId="0" applyNumberFormat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82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2" fontId="82" fillId="0" borderId="0" xfId="0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2" fontId="82" fillId="0" borderId="0" xfId="0" applyNumberFormat="1" applyFont="1" applyAlignment="1" applyProtection="1">
      <alignment vertical="center"/>
    </xf>
    <xf numFmtId="0" fontId="9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horizontal="right"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5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87" fontId="54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4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 applyProtection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187" fontId="31" fillId="0" borderId="0" xfId="0" applyNumberFormat="1" applyFont="1" applyAlignment="1">
      <alignment vertical="center"/>
    </xf>
    <xf numFmtId="0" fontId="57" fillId="0" borderId="1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187" fontId="31" fillId="0" borderId="0" xfId="0" applyNumberFormat="1" applyFont="1" applyAlignment="1">
      <alignment horizontal="left" vertical="center"/>
    </xf>
    <xf numFmtId="0" fontId="54" fillId="0" borderId="10" xfId="0" applyFont="1" applyBorder="1" applyAlignment="1">
      <alignment horizontal="center" vertical="center" textRotation="90"/>
    </xf>
    <xf numFmtId="0" fontId="54" fillId="0" borderId="11" xfId="0" applyFont="1" applyBorder="1" applyAlignment="1">
      <alignment horizontal="center" vertical="center" textRotation="90"/>
    </xf>
    <xf numFmtId="0" fontId="54" fillId="0" borderId="6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 textRotation="90"/>
    </xf>
    <xf numFmtId="0" fontId="53" fillId="0" borderId="14" xfId="0" applyFont="1" applyBorder="1" applyAlignment="1">
      <alignment horizontal="center" vertical="center" textRotation="90"/>
    </xf>
    <xf numFmtId="0" fontId="50" fillId="0" borderId="0" xfId="0" applyFont="1" applyAlignment="1"/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51" fillId="0" borderId="0" xfId="0" applyFont="1" applyAlignment="1" applyProtection="1">
      <protection locked="0"/>
    </xf>
    <xf numFmtId="0" fontId="46" fillId="0" borderId="0" xfId="0" applyFont="1" applyAlignment="1">
      <alignment horizontal="left" vertical="center"/>
    </xf>
    <xf numFmtId="0" fontId="62" fillId="0" borderId="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 textRotation="90"/>
    </xf>
    <xf numFmtId="0" fontId="46" fillId="0" borderId="0" xfId="0" applyFont="1" applyAlignment="1">
      <alignment vertical="center"/>
    </xf>
    <xf numFmtId="0" fontId="59" fillId="0" borderId="0" xfId="0" applyFont="1" applyAlignment="1">
      <alignment horizontal="right" vertical="center"/>
    </xf>
    <xf numFmtId="0" fontId="77" fillId="0" borderId="0" xfId="0" applyFont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8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187" fontId="54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54" fillId="0" borderId="0" xfId="0" quotePrefix="1" applyFont="1" applyAlignment="1" applyProtection="1">
      <alignment horizontal="center" vertical="center"/>
    </xf>
    <xf numFmtId="187" fontId="54" fillId="0" borderId="0" xfId="0" applyNumberFormat="1" applyFont="1" applyAlignment="1" applyProtection="1">
      <alignment vertical="center"/>
    </xf>
    <xf numFmtId="0" fontId="55" fillId="0" borderId="0" xfId="0" applyFont="1" applyAlignment="1" applyProtection="1">
      <alignment vertical="center"/>
    </xf>
    <xf numFmtId="187" fontId="54" fillId="0" borderId="0" xfId="0" applyNumberFormat="1" applyFont="1" applyAlignment="1" applyProtection="1">
      <alignment horizontal="left" vertical="center"/>
    </xf>
    <xf numFmtId="0" fontId="5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23" fillId="0" borderId="1" xfId="0" quotePrefix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right" vertical="center"/>
    </xf>
    <xf numFmtId="187" fontId="23" fillId="0" borderId="1" xfId="0" applyNumberFormat="1" applyFont="1" applyBorder="1" applyAlignment="1" applyProtection="1">
      <alignment vertical="center"/>
    </xf>
    <xf numFmtId="187" fontId="23" fillId="0" borderId="2" xfId="0" applyNumberFormat="1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43" fillId="2" borderId="0" xfId="0" applyFont="1" applyFill="1" applyAlignment="1" applyProtection="1">
      <alignment horizontal="center" vertical="center"/>
    </xf>
    <xf numFmtId="0" fontId="44" fillId="0" borderId="0" xfId="0" applyFont="1" applyAlignment="1">
      <alignment horizontal="center" vertical="center"/>
    </xf>
    <xf numFmtId="2" fontId="0" fillId="0" borderId="1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15" fillId="4" borderId="0" xfId="0" applyFont="1" applyFill="1" applyBorder="1" applyAlignment="1" applyProtection="1">
      <alignment horizontal="left" vertical="center"/>
    </xf>
    <xf numFmtId="2" fontId="23" fillId="0" borderId="1" xfId="0" applyNumberFormat="1" applyFon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1" xfId="0" quotePrefix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2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left" vertical="center"/>
    </xf>
    <xf numFmtId="0" fontId="12" fillId="3" borderId="12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left" vertical="center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5" fillId="6" borderId="1" xfId="0" applyFont="1" applyFill="1" applyBorder="1" applyAlignment="1" applyProtection="1">
      <alignment horizontal="center" vertical="center"/>
    </xf>
    <xf numFmtId="0" fontId="25" fillId="6" borderId="2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 textRotation="90"/>
    </xf>
    <xf numFmtId="0" fontId="22" fillId="3" borderId="14" xfId="0" applyFont="1" applyFill="1" applyBorder="1" applyAlignment="1" applyProtection="1">
      <alignment horizontal="center" vertical="center" textRotation="90"/>
    </xf>
    <xf numFmtId="0" fontId="22" fillId="3" borderId="4" xfId="0" applyFont="1" applyFill="1" applyBorder="1" applyAlignment="1" applyProtection="1">
      <alignment horizontal="center" vertical="center" textRotation="90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2" fontId="23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3" borderId="10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 textRotation="90"/>
    </xf>
    <xf numFmtId="0" fontId="13" fillId="3" borderId="4" xfId="0" applyFont="1" applyFill="1" applyBorder="1" applyAlignment="1" applyProtection="1">
      <alignment horizontal="center" vertical="center" textRotation="9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vertical="center"/>
    </xf>
    <xf numFmtId="0" fontId="12" fillId="3" borderId="12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0" fontId="0" fillId="9" borderId="4" xfId="0" applyFill="1" applyBorder="1" applyAlignment="1" applyProtection="1">
      <alignment horizontal="center" vertical="center"/>
    </xf>
    <xf numFmtId="187" fontId="23" fillId="0" borderId="1" xfId="0" applyNumberFormat="1" applyFont="1" applyBorder="1" applyAlignment="1" applyProtection="1">
      <alignment vertical="center"/>
      <protection locked="0"/>
    </xf>
    <xf numFmtId="187" fontId="23" fillId="0" borderId="2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3" fillId="0" borderId="1" xfId="0" quotePrefix="1" applyFont="1" applyBorder="1" applyAlignment="1" applyProtection="1">
      <alignment horizontal="right" vertical="center"/>
      <protection locked="0"/>
    </xf>
    <xf numFmtId="0" fontId="13" fillId="3" borderId="5" xfId="0" applyFont="1" applyFill="1" applyBorder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2" fillId="3" borderId="5" xfId="0" applyFont="1" applyFill="1" applyBorder="1" applyAlignment="1" applyProtection="1">
      <alignment horizontal="center" vertical="center"/>
    </xf>
    <xf numFmtId="0" fontId="0" fillId="0" borderId="13" xfId="0" applyBorder="1" applyProtection="1"/>
    <xf numFmtId="0" fontId="0" fillId="0" borderId="9" xfId="0" applyBorder="1" applyProtection="1"/>
    <xf numFmtId="0" fontId="12" fillId="3" borderId="13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/>
    </xf>
    <xf numFmtId="0" fontId="16" fillId="4" borderId="2" xfId="0" applyFont="1" applyFill="1" applyBorder="1" applyAlignment="1" applyProtection="1">
      <alignment horizontal="center"/>
    </xf>
    <xf numFmtId="0" fontId="41" fillId="5" borderId="0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center" wrapText="1"/>
    </xf>
    <xf numFmtId="0" fontId="12" fillId="3" borderId="2" xfId="0" applyFont="1" applyFill="1" applyBorder="1" applyAlignment="1" applyProtection="1">
      <alignment horizontal="center" wrapText="1"/>
    </xf>
    <xf numFmtId="0" fontId="18" fillId="5" borderId="0" xfId="1" applyFont="1" applyFill="1" applyBorder="1" applyAlignment="1" applyProtection="1">
      <alignment horizontal="center"/>
    </xf>
    <xf numFmtId="0" fontId="12" fillId="3" borderId="10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13" fillId="3" borderId="15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/>
    <xf numFmtId="0" fontId="4" fillId="5" borderId="6" xfId="0" applyFont="1" applyFill="1" applyBorder="1" applyAlignment="1" applyProtection="1"/>
    <xf numFmtId="0" fontId="17" fillId="5" borderId="6" xfId="0" applyFont="1" applyFill="1" applyBorder="1" applyAlignment="1" applyProtection="1">
      <alignment horizontal="right"/>
    </xf>
    <xf numFmtId="0" fontId="17" fillId="5" borderId="0" xfId="0" applyFont="1" applyFill="1" applyBorder="1" applyAlignment="1" applyProtection="1">
      <alignment horizontal="right"/>
    </xf>
    <xf numFmtId="0" fontId="40" fillId="5" borderId="6" xfId="0" applyFont="1" applyFill="1" applyBorder="1" applyAlignment="1" applyProtection="1">
      <alignment horizontal="right"/>
    </xf>
    <xf numFmtId="0" fontId="4" fillId="5" borderId="11" xfId="0" applyFont="1" applyFill="1" applyBorder="1" applyAlignment="1" applyProtection="1"/>
    <xf numFmtId="0" fontId="4" fillId="5" borderId="0" xfId="0" applyFont="1" applyFill="1" applyBorder="1" applyAlignment="1" applyProtection="1"/>
    <xf numFmtId="0" fontId="15" fillId="4" borderId="1" xfId="0" applyFont="1" applyFill="1" applyBorder="1" applyAlignment="1" applyProtection="1">
      <alignment horizontal="left" vertical="center"/>
    </xf>
    <xf numFmtId="0" fontId="15" fillId="4" borderId="12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vertical="center"/>
    </xf>
    <xf numFmtId="0" fontId="11" fillId="3" borderId="12" xfId="0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5" fillId="6" borderId="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20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1" applyFill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Rating  Curve  and  Rating  Table R1</a:t>
            </a:r>
          </a:p>
        </c:rich>
      </c:tx>
      <c:layout>
        <c:manualLayout>
          <c:xMode val="edge"/>
          <c:yMode val="edge"/>
          <c:x val="0.36246813621305046"/>
          <c:y val="3.2876718435673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8387158320587"/>
          <c:y val="0.17260273972602741"/>
          <c:w val="0.85218562481524696"/>
          <c:h val="0.638356164383561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'RatingCurve-R1'!$Q$8</c:f>
              <c:strCache>
                <c:ptCount val="1"/>
                <c:pt idx="0">
                  <c:v>Flow</c:v>
                </c:pt>
              </c:strCache>
            </c:strRef>
          </c:tx>
          <c:xVal>
            <c:numRef>
              <c:f>'[1]RatingCurve-R2'!$Q$9:$Q$29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8.5</c:v>
                </c:pt>
                <c:pt idx="4">
                  <c:v>13.9</c:v>
                </c:pt>
                <c:pt idx="5">
                  <c:v>24</c:v>
                </c:pt>
                <c:pt idx="6">
                  <c:v>30.5</c:v>
                </c:pt>
                <c:pt idx="7">
                  <c:v>50</c:v>
                </c:pt>
                <c:pt idx="8">
                  <c:v>70</c:v>
                </c:pt>
                <c:pt idx="9">
                  <c:v>95</c:v>
                </c:pt>
                <c:pt idx="10">
                  <c:v>155</c:v>
                </c:pt>
                <c:pt idx="11">
                  <c:v>186</c:v>
                </c:pt>
                <c:pt idx="12">
                  <c:v>220</c:v>
                </c:pt>
                <c:pt idx="13">
                  <c:v>257</c:v>
                </c:pt>
                <c:pt idx="14">
                  <c:v>295</c:v>
                </c:pt>
                <c:pt idx="15">
                  <c:v>335</c:v>
                </c:pt>
                <c:pt idx="16">
                  <c:v>425</c:v>
                </c:pt>
                <c:pt idx="17">
                  <c:v>472</c:v>
                </c:pt>
                <c:pt idx="18">
                  <c:v>572</c:v>
                </c:pt>
                <c:pt idx="19">
                  <c:v>728</c:v>
                </c:pt>
                <c:pt idx="20">
                  <c:v>782</c:v>
                </c:pt>
              </c:numCache>
            </c:numRef>
          </c:xVal>
          <c:yVal>
            <c:numRef>
              <c:f>'RatingCurve-R1'!$Q$9:$Q$22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6.5</c:v>
                </c:pt>
                <c:pt idx="5">
                  <c:v>13</c:v>
                </c:pt>
                <c:pt idx="6">
                  <c:v>22</c:v>
                </c:pt>
                <c:pt idx="7">
                  <c:v>42</c:v>
                </c:pt>
                <c:pt idx="8">
                  <c:v>53.5</c:v>
                </c:pt>
                <c:pt idx="9">
                  <c:v>66</c:v>
                </c:pt>
                <c:pt idx="10">
                  <c:v>79</c:v>
                </c:pt>
                <c:pt idx="11">
                  <c:v>92.5</c:v>
                </c:pt>
                <c:pt idx="12">
                  <c:v>134.5</c:v>
                </c:pt>
                <c:pt idx="13">
                  <c:v>142</c:v>
                </c:pt>
              </c:numCache>
            </c:numRef>
          </c:yVal>
          <c:smooth val="0"/>
        </c:ser>
        <c:ser>
          <c:idx val="0"/>
          <c:order val="1"/>
          <c:xVal>
            <c:numRef>
              <c:f>'[1]RatingCurve-R2'!$Q$9:$Q$29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8.5</c:v>
                </c:pt>
                <c:pt idx="4">
                  <c:v>13.9</c:v>
                </c:pt>
                <c:pt idx="5">
                  <c:v>24</c:v>
                </c:pt>
                <c:pt idx="6">
                  <c:v>30.5</c:v>
                </c:pt>
                <c:pt idx="7">
                  <c:v>50</c:v>
                </c:pt>
                <c:pt idx="8">
                  <c:v>70</c:v>
                </c:pt>
                <c:pt idx="9">
                  <c:v>95</c:v>
                </c:pt>
                <c:pt idx="10">
                  <c:v>155</c:v>
                </c:pt>
                <c:pt idx="11">
                  <c:v>186</c:v>
                </c:pt>
                <c:pt idx="12">
                  <c:v>220</c:v>
                </c:pt>
                <c:pt idx="13">
                  <c:v>257</c:v>
                </c:pt>
                <c:pt idx="14">
                  <c:v>295</c:v>
                </c:pt>
                <c:pt idx="15">
                  <c:v>335</c:v>
                </c:pt>
                <c:pt idx="16">
                  <c:v>425</c:v>
                </c:pt>
                <c:pt idx="17">
                  <c:v>472</c:v>
                </c:pt>
                <c:pt idx="18">
                  <c:v>572</c:v>
                </c:pt>
                <c:pt idx="19">
                  <c:v>728</c:v>
                </c:pt>
                <c:pt idx="20">
                  <c:v>782</c:v>
                </c:pt>
              </c:numCache>
            </c:numRef>
          </c:xVal>
          <c:yVal>
            <c:numRef>
              <c:f>'RatingCurve-R1'!$Q$9:$Q$22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6.5</c:v>
                </c:pt>
                <c:pt idx="5">
                  <c:v>13</c:v>
                </c:pt>
                <c:pt idx="6">
                  <c:v>22</c:v>
                </c:pt>
                <c:pt idx="7">
                  <c:v>42</c:v>
                </c:pt>
                <c:pt idx="8">
                  <c:v>53.5</c:v>
                </c:pt>
                <c:pt idx="9">
                  <c:v>66</c:v>
                </c:pt>
                <c:pt idx="10">
                  <c:v>79</c:v>
                </c:pt>
                <c:pt idx="11">
                  <c:v>92.5</c:v>
                </c:pt>
                <c:pt idx="12">
                  <c:v>134.5</c:v>
                </c:pt>
                <c:pt idx="13">
                  <c:v>142</c:v>
                </c:pt>
              </c:numCache>
            </c:numRef>
          </c:yVal>
          <c:smooth val="0"/>
        </c:ser>
        <c:ser>
          <c:idx val="3"/>
          <c:order val="2"/>
          <c:xVal>
            <c:numRef>
              <c:f>'[1]RatingCurve-R2'!$Q$9:$Q$29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8.5</c:v>
                </c:pt>
                <c:pt idx="4">
                  <c:v>13.9</c:v>
                </c:pt>
                <c:pt idx="5">
                  <c:v>24</c:v>
                </c:pt>
                <c:pt idx="6">
                  <c:v>30.5</c:v>
                </c:pt>
                <c:pt idx="7">
                  <c:v>50</c:v>
                </c:pt>
                <c:pt idx="8">
                  <c:v>70</c:v>
                </c:pt>
                <c:pt idx="9">
                  <c:v>95</c:v>
                </c:pt>
                <c:pt idx="10">
                  <c:v>155</c:v>
                </c:pt>
                <c:pt idx="11">
                  <c:v>186</c:v>
                </c:pt>
                <c:pt idx="12">
                  <c:v>220</c:v>
                </c:pt>
                <c:pt idx="13">
                  <c:v>257</c:v>
                </c:pt>
                <c:pt idx="14">
                  <c:v>295</c:v>
                </c:pt>
                <c:pt idx="15">
                  <c:v>335</c:v>
                </c:pt>
                <c:pt idx="16">
                  <c:v>425</c:v>
                </c:pt>
                <c:pt idx="17">
                  <c:v>472</c:v>
                </c:pt>
                <c:pt idx="18">
                  <c:v>572</c:v>
                </c:pt>
                <c:pt idx="19">
                  <c:v>728</c:v>
                </c:pt>
                <c:pt idx="20">
                  <c:v>782</c:v>
                </c:pt>
              </c:numCache>
            </c:numRef>
          </c:xVal>
          <c:yVal>
            <c:numRef>
              <c:f>'RatingCurve-R1'!$Q$9:$Q$22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6.5</c:v>
                </c:pt>
                <c:pt idx="5">
                  <c:v>13</c:v>
                </c:pt>
                <c:pt idx="6">
                  <c:v>22</c:v>
                </c:pt>
                <c:pt idx="7">
                  <c:v>42</c:v>
                </c:pt>
                <c:pt idx="8">
                  <c:v>53.5</c:v>
                </c:pt>
                <c:pt idx="9">
                  <c:v>66</c:v>
                </c:pt>
                <c:pt idx="10">
                  <c:v>79</c:v>
                </c:pt>
                <c:pt idx="11">
                  <c:v>92.5</c:v>
                </c:pt>
                <c:pt idx="12">
                  <c:v>134.5</c:v>
                </c:pt>
                <c:pt idx="13">
                  <c:v>142</c:v>
                </c:pt>
              </c:numCache>
            </c:numRef>
          </c:yVal>
          <c:smooth val="0"/>
        </c:ser>
        <c:ser>
          <c:idx val="4"/>
          <c:order val="3"/>
          <c:xVal>
            <c:numRef>
              <c:f>'[1]RatingCurve-R2'!$Q$9:$Q$29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8.5</c:v>
                </c:pt>
                <c:pt idx="4">
                  <c:v>13.9</c:v>
                </c:pt>
                <c:pt idx="5">
                  <c:v>24</c:v>
                </c:pt>
                <c:pt idx="6">
                  <c:v>30.5</c:v>
                </c:pt>
                <c:pt idx="7">
                  <c:v>50</c:v>
                </c:pt>
                <c:pt idx="8">
                  <c:v>70</c:v>
                </c:pt>
                <c:pt idx="9">
                  <c:v>95</c:v>
                </c:pt>
                <c:pt idx="10">
                  <c:v>155</c:v>
                </c:pt>
                <c:pt idx="11">
                  <c:v>186</c:v>
                </c:pt>
                <c:pt idx="12">
                  <c:v>220</c:v>
                </c:pt>
                <c:pt idx="13">
                  <c:v>257</c:v>
                </c:pt>
                <c:pt idx="14">
                  <c:v>295</c:v>
                </c:pt>
                <c:pt idx="15">
                  <c:v>335</c:v>
                </c:pt>
                <c:pt idx="16">
                  <c:v>425</c:v>
                </c:pt>
                <c:pt idx="17">
                  <c:v>472</c:v>
                </c:pt>
                <c:pt idx="18">
                  <c:v>572</c:v>
                </c:pt>
                <c:pt idx="19">
                  <c:v>728</c:v>
                </c:pt>
                <c:pt idx="20">
                  <c:v>782</c:v>
                </c:pt>
              </c:numCache>
            </c:numRef>
          </c:xVal>
          <c:yVal>
            <c:numRef>
              <c:f>'RatingCurve-R1'!$Q$9:$Q$22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6.5</c:v>
                </c:pt>
                <c:pt idx="5">
                  <c:v>13</c:v>
                </c:pt>
                <c:pt idx="6">
                  <c:v>22</c:v>
                </c:pt>
                <c:pt idx="7">
                  <c:v>42</c:v>
                </c:pt>
                <c:pt idx="8">
                  <c:v>53.5</c:v>
                </c:pt>
                <c:pt idx="9">
                  <c:v>66</c:v>
                </c:pt>
                <c:pt idx="10">
                  <c:v>79</c:v>
                </c:pt>
                <c:pt idx="11">
                  <c:v>92.5</c:v>
                </c:pt>
                <c:pt idx="12">
                  <c:v>134.5</c:v>
                </c:pt>
                <c:pt idx="13">
                  <c:v>142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'RatingCurve-R1'!$Q$8</c:f>
              <c:strCache>
                <c:ptCount val="1"/>
                <c:pt idx="0">
                  <c:v>Flow</c:v>
                </c:pt>
              </c:strCache>
            </c:strRef>
          </c:tx>
          <c:xVal>
            <c:numRef>
              <c:f>'[1]RatingCurve-R2'!$Q$9:$Q$29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8.5</c:v>
                </c:pt>
                <c:pt idx="4">
                  <c:v>13.9</c:v>
                </c:pt>
                <c:pt idx="5">
                  <c:v>24</c:v>
                </c:pt>
                <c:pt idx="6">
                  <c:v>30.5</c:v>
                </c:pt>
                <c:pt idx="7">
                  <c:v>50</c:v>
                </c:pt>
                <c:pt idx="8">
                  <c:v>70</c:v>
                </c:pt>
                <c:pt idx="9">
                  <c:v>95</c:v>
                </c:pt>
                <c:pt idx="10">
                  <c:v>155</c:v>
                </c:pt>
                <c:pt idx="11">
                  <c:v>186</c:v>
                </c:pt>
                <c:pt idx="12">
                  <c:v>220</c:v>
                </c:pt>
                <c:pt idx="13">
                  <c:v>257</c:v>
                </c:pt>
                <c:pt idx="14">
                  <c:v>295</c:v>
                </c:pt>
                <c:pt idx="15">
                  <c:v>335</c:v>
                </c:pt>
                <c:pt idx="16">
                  <c:v>425</c:v>
                </c:pt>
                <c:pt idx="17">
                  <c:v>472</c:v>
                </c:pt>
                <c:pt idx="18">
                  <c:v>572</c:v>
                </c:pt>
                <c:pt idx="19">
                  <c:v>728</c:v>
                </c:pt>
                <c:pt idx="20">
                  <c:v>782</c:v>
                </c:pt>
              </c:numCache>
            </c:numRef>
          </c:xVal>
          <c:yVal>
            <c:numRef>
              <c:f>'RatingCurve-R1'!$Q$9:$Q$22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6.5</c:v>
                </c:pt>
                <c:pt idx="5">
                  <c:v>13</c:v>
                </c:pt>
                <c:pt idx="6">
                  <c:v>22</c:v>
                </c:pt>
                <c:pt idx="7">
                  <c:v>42</c:v>
                </c:pt>
                <c:pt idx="8">
                  <c:v>53.5</c:v>
                </c:pt>
                <c:pt idx="9">
                  <c:v>66</c:v>
                </c:pt>
                <c:pt idx="10">
                  <c:v>79</c:v>
                </c:pt>
                <c:pt idx="11">
                  <c:v>92.5</c:v>
                </c:pt>
                <c:pt idx="12">
                  <c:v>134.5</c:v>
                </c:pt>
                <c:pt idx="13">
                  <c:v>142</c:v>
                </c:pt>
              </c:numCache>
            </c:numRef>
          </c:yVal>
          <c:smooth val="0"/>
        </c:ser>
        <c:ser>
          <c:idx val="5"/>
          <c:order val="5"/>
          <c:xVal>
            <c:numRef>
              <c:f>'[1]RatingCurve-R2'!$Q$9:$Q$29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8.5</c:v>
                </c:pt>
                <c:pt idx="4">
                  <c:v>13.9</c:v>
                </c:pt>
                <c:pt idx="5">
                  <c:v>24</c:v>
                </c:pt>
                <c:pt idx="6">
                  <c:v>30.5</c:v>
                </c:pt>
                <c:pt idx="7">
                  <c:v>50</c:v>
                </c:pt>
                <c:pt idx="8">
                  <c:v>70</c:v>
                </c:pt>
                <c:pt idx="9">
                  <c:v>95</c:v>
                </c:pt>
                <c:pt idx="10">
                  <c:v>155</c:v>
                </c:pt>
                <c:pt idx="11">
                  <c:v>186</c:v>
                </c:pt>
                <c:pt idx="12">
                  <c:v>220</c:v>
                </c:pt>
                <c:pt idx="13">
                  <c:v>257</c:v>
                </c:pt>
                <c:pt idx="14">
                  <c:v>295</c:v>
                </c:pt>
                <c:pt idx="15">
                  <c:v>335</c:v>
                </c:pt>
                <c:pt idx="16">
                  <c:v>425</c:v>
                </c:pt>
                <c:pt idx="17">
                  <c:v>472</c:v>
                </c:pt>
                <c:pt idx="18">
                  <c:v>572</c:v>
                </c:pt>
                <c:pt idx="19">
                  <c:v>728</c:v>
                </c:pt>
                <c:pt idx="20">
                  <c:v>782</c:v>
                </c:pt>
              </c:numCache>
            </c:numRef>
          </c:xVal>
          <c:yVal>
            <c:numRef>
              <c:f>'RatingCurve-R1'!$Q$9:$Q$22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6.5</c:v>
                </c:pt>
                <c:pt idx="5">
                  <c:v>13</c:v>
                </c:pt>
                <c:pt idx="6">
                  <c:v>22</c:v>
                </c:pt>
                <c:pt idx="7">
                  <c:v>42</c:v>
                </c:pt>
                <c:pt idx="8">
                  <c:v>53.5</c:v>
                </c:pt>
                <c:pt idx="9">
                  <c:v>66</c:v>
                </c:pt>
                <c:pt idx="10">
                  <c:v>79</c:v>
                </c:pt>
                <c:pt idx="11">
                  <c:v>92.5</c:v>
                </c:pt>
                <c:pt idx="12">
                  <c:v>134.5</c:v>
                </c:pt>
                <c:pt idx="13">
                  <c:v>142</c:v>
                </c:pt>
              </c:numCache>
            </c:numRef>
          </c:yVal>
          <c:smooth val="0"/>
        </c:ser>
        <c:ser>
          <c:idx val="6"/>
          <c:order val="6"/>
          <c:marker>
            <c:spPr>
              <a:ln w="15875"/>
            </c:spPr>
          </c:marker>
          <c:xVal>
            <c:numRef>
              <c:f>'RatingCurve-R1'!$Q$9:$Q$22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6.5</c:v>
                </c:pt>
                <c:pt idx="5">
                  <c:v>13</c:v>
                </c:pt>
                <c:pt idx="6">
                  <c:v>22</c:v>
                </c:pt>
                <c:pt idx="7">
                  <c:v>42</c:v>
                </c:pt>
                <c:pt idx="8">
                  <c:v>53.5</c:v>
                </c:pt>
                <c:pt idx="9">
                  <c:v>66</c:v>
                </c:pt>
                <c:pt idx="10">
                  <c:v>79</c:v>
                </c:pt>
                <c:pt idx="11">
                  <c:v>92.5</c:v>
                </c:pt>
                <c:pt idx="12">
                  <c:v>134.5</c:v>
                </c:pt>
                <c:pt idx="13">
                  <c:v>142</c:v>
                </c:pt>
              </c:numCache>
            </c:numRef>
          </c:xVal>
          <c:yVal>
            <c:numRef>
              <c:f>'RatingCurve-R1'!$R$9:$R$22</c:f>
              <c:numCache>
                <c:formatCode>General</c:formatCode>
                <c:ptCount val="14"/>
                <c:pt idx="0">
                  <c:v>337.6</c:v>
                </c:pt>
                <c:pt idx="1">
                  <c:v>337.7</c:v>
                </c:pt>
                <c:pt idx="2">
                  <c:v>337.8</c:v>
                </c:pt>
                <c:pt idx="3">
                  <c:v>337.9</c:v>
                </c:pt>
                <c:pt idx="4">
                  <c:v>338</c:v>
                </c:pt>
                <c:pt idx="5">
                  <c:v>338.2</c:v>
                </c:pt>
                <c:pt idx="6">
                  <c:v>338.4</c:v>
                </c:pt>
                <c:pt idx="7">
                  <c:v>338.8</c:v>
                </c:pt>
                <c:pt idx="8">
                  <c:v>339</c:v>
                </c:pt>
                <c:pt idx="9">
                  <c:v>339.2</c:v>
                </c:pt>
                <c:pt idx="10">
                  <c:v>339.4</c:v>
                </c:pt>
                <c:pt idx="11">
                  <c:v>339.6</c:v>
                </c:pt>
                <c:pt idx="12">
                  <c:v>340.2</c:v>
                </c:pt>
                <c:pt idx="13">
                  <c:v>340.3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78208"/>
        <c:axId val="38893056"/>
      </c:scatterChart>
      <c:valAx>
        <c:axId val="38878208"/>
        <c:scaling>
          <c:orientation val="minMax"/>
          <c:max val="150"/>
          <c:min val="0"/>
        </c:scaling>
        <c:delete val="0"/>
        <c:axPos val="b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IN CUBIC METERS PER SECOND</a:t>
                </a:r>
              </a:p>
            </c:rich>
          </c:tx>
          <c:layout>
            <c:manualLayout>
              <c:xMode val="edge"/>
              <c:yMode val="edge"/>
              <c:x val="0.37275091256266485"/>
              <c:y val="0.89589046592105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38893056"/>
        <c:crosses val="autoZero"/>
        <c:crossBetween val="midCat"/>
        <c:majorUnit val="30"/>
      </c:valAx>
      <c:valAx>
        <c:axId val="38893056"/>
        <c:scaling>
          <c:orientation val="minMax"/>
          <c:max val="341"/>
          <c:min val="337.6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GAGE HEIGHT IN METERS</a:t>
                </a:r>
              </a:p>
            </c:rich>
          </c:tx>
          <c:layout>
            <c:manualLayout>
              <c:xMode val="edge"/>
              <c:yMode val="edge"/>
              <c:x val="1.0282776349614395E-2"/>
              <c:y val="0.29415316715983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38878208"/>
        <c:crosses val="autoZero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April</a:t>
            </a:r>
          </a:p>
        </c:rich>
      </c:tx>
      <c:layout>
        <c:manualLayout>
          <c:xMode val="edge"/>
          <c:yMode val="edge"/>
          <c:x val="0.48589256067401021"/>
          <c:y val="2.9038112522686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06037292011825E-2"/>
          <c:y val="0.16152450090744103"/>
          <c:w val="0.9645672381759165"/>
          <c:h val="0.68965517241379315"/>
        </c:manualLayout>
      </c:layout>
      <c:scatterChart>
        <c:scatterStyle val="lineMarker"/>
        <c:varyColors val="0"/>
        <c:ser>
          <c:idx val="0"/>
          <c:order val="0"/>
          <c:tx>
            <c:v>"Apr-Hourly"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'Graph-Hou'!$BF$2:$BF$721</c:f>
              <c:numCache>
                <c:formatCode>General</c:formatCode>
                <c:ptCount val="7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</c:numCache>
            </c:numRef>
          </c:xVal>
          <c:yVal>
            <c:numRef>
              <c:f>'Graph-Hou'!$BI$2:$BI$721</c:f>
              <c:numCache>
                <c:formatCode>0.00</c:formatCode>
                <c:ptCount val="720"/>
                <c:pt idx="0">
                  <c:v>0.34</c:v>
                </c:pt>
                <c:pt idx="1">
                  <c:v>0.36</c:v>
                </c:pt>
                <c:pt idx="2">
                  <c:v>0.38</c:v>
                </c:pt>
                <c:pt idx="3">
                  <c:v>0.4</c:v>
                </c:pt>
                <c:pt idx="4">
                  <c:v>0.42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  <c:pt idx="13">
                  <c:v>0.45</c:v>
                </c:pt>
                <c:pt idx="14">
                  <c:v>0.45</c:v>
                </c:pt>
                <c:pt idx="15">
                  <c:v>0.46</c:v>
                </c:pt>
                <c:pt idx="16">
                  <c:v>0.47</c:v>
                </c:pt>
                <c:pt idx="17">
                  <c:v>0.48</c:v>
                </c:pt>
                <c:pt idx="18">
                  <c:v>0.5</c:v>
                </c:pt>
                <c:pt idx="19">
                  <c:v>0.51</c:v>
                </c:pt>
                <c:pt idx="20">
                  <c:v>0.52</c:v>
                </c:pt>
                <c:pt idx="21">
                  <c:v>0.53</c:v>
                </c:pt>
                <c:pt idx="22">
                  <c:v>0.55000000000000004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0.65</c:v>
                </c:pt>
                <c:pt idx="29">
                  <c:v>0.67</c:v>
                </c:pt>
                <c:pt idx="30">
                  <c:v>0.69</c:v>
                </c:pt>
                <c:pt idx="31">
                  <c:v>0.7</c:v>
                </c:pt>
                <c:pt idx="32">
                  <c:v>0.71</c:v>
                </c:pt>
                <c:pt idx="33">
                  <c:v>0.72</c:v>
                </c:pt>
                <c:pt idx="34">
                  <c:v>0.73</c:v>
                </c:pt>
                <c:pt idx="35">
                  <c:v>0.74</c:v>
                </c:pt>
                <c:pt idx="36">
                  <c:v>0.75</c:v>
                </c:pt>
                <c:pt idx="37">
                  <c:v>0.76</c:v>
                </c:pt>
                <c:pt idx="38">
                  <c:v>0.77</c:v>
                </c:pt>
                <c:pt idx="39">
                  <c:v>0.77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0.77</c:v>
                </c:pt>
                <c:pt idx="45">
                  <c:v>0.76</c:v>
                </c:pt>
                <c:pt idx="46">
                  <c:v>0.75</c:v>
                </c:pt>
                <c:pt idx="47">
                  <c:v>0.74</c:v>
                </c:pt>
                <c:pt idx="48">
                  <c:v>0.73</c:v>
                </c:pt>
                <c:pt idx="49">
                  <c:v>0.72</c:v>
                </c:pt>
                <c:pt idx="50">
                  <c:v>0.71</c:v>
                </c:pt>
                <c:pt idx="51">
                  <c:v>0.7</c:v>
                </c:pt>
                <c:pt idx="52">
                  <c:v>0.7</c:v>
                </c:pt>
                <c:pt idx="53">
                  <c:v>0.69</c:v>
                </c:pt>
                <c:pt idx="54">
                  <c:v>0.68</c:v>
                </c:pt>
                <c:pt idx="55">
                  <c:v>0.66</c:v>
                </c:pt>
                <c:pt idx="56">
                  <c:v>0.65</c:v>
                </c:pt>
                <c:pt idx="57">
                  <c:v>0.63</c:v>
                </c:pt>
                <c:pt idx="58">
                  <c:v>0.62</c:v>
                </c:pt>
                <c:pt idx="59">
                  <c:v>0.61</c:v>
                </c:pt>
                <c:pt idx="60">
                  <c:v>0.6</c:v>
                </c:pt>
                <c:pt idx="61">
                  <c:v>0.59</c:v>
                </c:pt>
                <c:pt idx="62">
                  <c:v>0.57999999999999996</c:v>
                </c:pt>
                <c:pt idx="63">
                  <c:v>0.56999999999999995</c:v>
                </c:pt>
                <c:pt idx="64">
                  <c:v>0.56000000000000005</c:v>
                </c:pt>
                <c:pt idx="65">
                  <c:v>0.55000000000000004</c:v>
                </c:pt>
                <c:pt idx="66">
                  <c:v>0.54</c:v>
                </c:pt>
                <c:pt idx="67">
                  <c:v>0.53</c:v>
                </c:pt>
                <c:pt idx="68">
                  <c:v>0.53</c:v>
                </c:pt>
                <c:pt idx="69">
                  <c:v>0.52</c:v>
                </c:pt>
                <c:pt idx="70">
                  <c:v>0.52</c:v>
                </c:pt>
                <c:pt idx="71">
                  <c:v>0.51</c:v>
                </c:pt>
                <c:pt idx="72">
                  <c:v>0.51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0.51</c:v>
                </c:pt>
                <c:pt idx="78">
                  <c:v>0.51</c:v>
                </c:pt>
                <c:pt idx="79">
                  <c:v>0.51</c:v>
                </c:pt>
                <c:pt idx="80">
                  <c:v>0.52</c:v>
                </c:pt>
                <c:pt idx="81">
                  <c:v>0.52</c:v>
                </c:pt>
                <c:pt idx="82">
                  <c:v>0.53</c:v>
                </c:pt>
                <c:pt idx="83">
                  <c:v>0.54</c:v>
                </c:pt>
                <c:pt idx="84">
                  <c:v>0.55000000000000004</c:v>
                </c:pt>
                <c:pt idx="85">
                  <c:v>0.56000000000000005</c:v>
                </c:pt>
                <c:pt idx="86">
                  <c:v>0.56000000000000005</c:v>
                </c:pt>
                <c:pt idx="87">
                  <c:v>0.56999999999999995</c:v>
                </c:pt>
                <c:pt idx="88">
                  <c:v>0.56999999999999995</c:v>
                </c:pt>
                <c:pt idx="89">
                  <c:v>0.57999999999999996</c:v>
                </c:pt>
                <c:pt idx="90">
                  <c:v>0.57999999999999996</c:v>
                </c:pt>
                <c:pt idx="91">
                  <c:v>0.59</c:v>
                </c:pt>
                <c:pt idx="92">
                  <c:v>0.59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0.59</c:v>
                </c:pt>
                <c:pt idx="100">
                  <c:v>0.59</c:v>
                </c:pt>
                <c:pt idx="101">
                  <c:v>0.59</c:v>
                </c:pt>
                <c:pt idx="102">
                  <c:v>0.59</c:v>
                </c:pt>
                <c:pt idx="103">
                  <c:v>0.59</c:v>
                </c:pt>
                <c:pt idx="104">
                  <c:v>0.57999999999999996</c:v>
                </c:pt>
                <c:pt idx="105">
                  <c:v>0.57999999999999996</c:v>
                </c:pt>
                <c:pt idx="106">
                  <c:v>0.57999999999999996</c:v>
                </c:pt>
                <c:pt idx="107">
                  <c:v>0.57999999999999996</c:v>
                </c:pt>
                <c:pt idx="108">
                  <c:v>0.56999999999999995</c:v>
                </c:pt>
                <c:pt idx="109">
                  <c:v>0.56999999999999995</c:v>
                </c:pt>
                <c:pt idx="110">
                  <c:v>0.56999999999999995</c:v>
                </c:pt>
                <c:pt idx="111">
                  <c:v>0.56999999999999995</c:v>
                </c:pt>
                <c:pt idx="112">
                  <c:v>0.56000000000000005</c:v>
                </c:pt>
                <c:pt idx="113">
                  <c:v>0.56000000000000005</c:v>
                </c:pt>
                <c:pt idx="114">
                  <c:v>0.56000000000000005</c:v>
                </c:pt>
                <c:pt idx="115">
                  <c:v>0.56000000000000005</c:v>
                </c:pt>
                <c:pt idx="116">
                  <c:v>0.56000000000000005</c:v>
                </c:pt>
                <c:pt idx="117">
                  <c:v>0.56000000000000005</c:v>
                </c:pt>
                <c:pt idx="118">
                  <c:v>0.56000000000000005</c:v>
                </c:pt>
                <c:pt idx="119">
                  <c:v>0.56000000000000005</c:v>
                </c:pt>
                <c:pt idx="120">
                  <c:v>0.56000000000000005</c:v>
                </c:pt>
                <c:pt idx="121">
                  <c:v>0.56000000000000005</c:v>
                </c:pt>
                <c:pt idx="122">
                  <c:v>0.56999999999999995</c:v>
                </c:pt>
                <c:pt idx="123">
                  <c:v>0.56999999999999995</c:v>
                </c:pt>
                <c:pt idx="124">
                  <c:v>0.56999999999999995</c:v>
                </c:pt>
                <c:pt idx="125">
                  <c:v>0.56999999999999995</c:v>
                </c:pt>
                <c:pt idx="126">
                  <c:v>0.56999999999999995</c:v>
                </c:pt>
                <c:pt idx="127">
                  <c:v>0.56999999999999995</c:v>
                </c:pt>
                <c:pt idx="128">
                  <c:v>0.57999999999999996</c:v>
                </c:pt>
                <c:pt idx="129">
                  <c:v>0.57999999999999996</c:v>
                </c:pt>
                <c:pt idx="130">
                  <c:v>0.57999999999999996</c:v>
                </c:pt>
                <c:pt idx="131">
                  <c:v>0.59</c:v>
                </c:pt>
                <c:pt idx="132">
                  <c:v>0.59</c:v>
                </c:pt>
                <c:pt idx="133">
                  <c:v>0.6</c:v>
                </c:pt>
                <c:pt idx="134">
                  <c:v>0.6</c:v>
                </c:pt>
                <c:pt idx="135">
                  <c:v>0.61</c:v>
                </c:pt>
                <c:pt idx="136">
                  <c:v>0.61</c:v>
                </c:pt>
                <c:pt idx="137">
                  <c:v>0.62</c:v>
                </c:pt>
                <c:pt idx="138">
                  <c:v>0.62</c:v>
                </c:pt>
                <c:pt idx="139">
                  <c:v>0.63</c:v>
                </c:pt>
                <c:pt idx="140">
                  <c:v>0.63</c:v>
                </c:pt>
                <c:pt idx="141">
                  <c:v>0.64</c:v>
                </c:pt>
                <c:pt idx="142">
                  <c:v>0.65</c:v>
                </c:pt>
                <c:pt idx="143">
                  <c:v>0.66</c:v>
                </c:pt>
                <c:pt idx="144">
                  <c:v>0.66</c:v>
                </c:pt>
                <c:pt idx="145">
                  <c:v>0.67</c:v>
                </c:pt>
                <c:pt idx="146">
                  <c:v>0.67</c:v>
                </c:pt>
                <c:pt idx="147">
                  <c:v>0.68</c:v>
                </c:pt>
                <c:pt idx="148">
                  <c:v>0.68</c:v>
                </c:pt>
                <c:pt idx="149">
                  <c:v>0.69</c:v>
                </c:pt>
                <c:pt idx="150">
                  <c:v>0.69</c:v>
                </c:pt>
                <c:pt idx="151">
                  <c:v>0.69</c:v>
                </c:pt>
                <c:pt idx="152">
                  <c:v>0.7</c:v>
                </c:pt>
                <c:pt idx="153">
                  <c:v>0.7</c:v>
                </c:pt>
                <c:pt idx="154">
                  <c:v>0.7</c:v>
                </c:pt>
                <c:pt idx="155">
                  <c:v>0.71</c:v>
                </c:pt>
                <c:pt idx="156">
                  <c:v>0.71</c:v>
                </c:pt>
                <c:pt idx="157">
                  <c:v>0.71</c:v>
                </c:pt>
                <c:pt idx="158">
                  <c:v>0.71</c:v>
                </c:pt>
                <c:pt idx="159">
                  <c:v>0.71</c:v>
                </c:pt>
                <c:pt idx="160">
                  <c:v>0.71</c:v>
                </c:pt>
                <c:pt idx="161">
                  <c:v>0.71</c:v>
                </c:pt>
                <c:pt idx="162">
                  <c:v>0.7</c:v>
                </c:pt>
                <c:pt idx="163">
                  <c:v>0.7</c:v>
                </c:pt>
                <c:pt idx="164">
                  <c:v>0.69</c:v>
                </c:pt>
                <c:pt idx="165">
                  <c:v>0.69</c:v>
                </c:pt>
                <c:pt idx="166">
                  <c:v>0.68</c:v>
                </c:pt>
                <c:pt idx="167">
                  <c:v>0.68</c:v>
                </c:pt>
                <c:pt idx="168">
                  <c:v>0.67</c:v>
                </c:pt>
                <c:pt idx="169">
                  <c:v>0.67</c:v>
                </c:pt>
                <c:pt idx="170">
                  <c:v>0.66</c:v>
                </c:pt>
                <c:pt idx="171">
                  <c:v>0.66</c:v>
                </c:pt>
                <c:pt idx="172">
                  <c:v>0.65</c:v>
                </c:pt>
                <c:pt idx="173">
                  <c:v>0.65</c:v>
                </c:pt>
                <c:pt idx="174">
                  <c:v>0.65</c:v>
                </c:pt>
                <c:pt idx="175">
                  <c:v>0.64</c:v>
                </c:pt>
                <c:pt idx="176">
                  <c:v>0.64</c:v>
                </c:pt>
                <c:pt idx="177">
                  <c:v>0.64</c:v>
                </c:pt>
                <c:pt idx="178">
                  <c:v>0.63</c:v>
                </c:pt>
                <c:pt idx="179">
                  <c:v>0.63</c:v>
                </c:pt>
                <c:pt idx="180">
                  <c:v>0.63</c:v>
                </c:pt>
                <c:pt idx="181">
                  <c:v>0.63</c:v>
                </c:pt>
                <c:pt idx="182">
                  <c:v>0.63</c:v>
                </c:pt>
                <c:pt idx="183">
                  <c:v>0.62</c:v>
                </c:pt>
                <c:pt idx="184">
                  <c:v>0.62</c:v>
                </c:pt>
                <c:pt idx="185">
                  <c:v>0.62</c:v>
                </c:pt>
                <c:pt idx="186">
                  <c:v>0.62</c:v>
                </c:pt>
                <c:pt idx="187">
                  <c:v>0.61</c:v>
                </c:pt>
                <c:pt idx="188">
                  <c:v>0.61</c:v>
                </c:pt>
                <c:pt idx="189">
                  <c:v>0.61</c:v>
                </c:pt>
                <c:pt idx="190">
                  <c:v>0.61</c:v>
                </c:pt>
                <c:pt idx="191">
                  <c:v>0.61</c:v>
                </c:pt>
                <c:pt idx="192">
                  <c:v>0.6</c:v>
                </c:pt>
                <c:pt idx="193">
                  <c:v>0.6</c:v>
                </c:pt>
                <c:pt idx="194">
                  <c:v>0.6</c:v>
                </c:pt>
                <c:pt idx="195">
                  <c:v>0.6</c:v>
                </c:pt>
                <c:pt idx="196">
                  <c:v>0.6</c:v>
                </c:pt>
                <c:pt idx="197">
                  <c:v>0.6</c:v>
                </c:pt>
                <c:pt idx="198">
                  <c:v>0.6</c:v>
                </c:pt>
                <c:pt idx="199">
                  <c:v>0.6</c:v>
                </c:pt>
                <c:pt idx="200">
                  <c:v>0.6</c:v>
                </c:pt>
                <c:pt idx="201">
                  <c:v>0.6</c:v>
                </c:pt>
                <c:pt idx="202">
                  <c:v>0.6</c:v>
                </c:pt>
                <c:pt idx="203">
                  <c:v>0.6</c:v>
                </c:pt>
                <c:pt idx="204">
                  <c:v>0.6</c:v>
                </c:pt>
                <c:pt idx="205">
                  <c:v>0.6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</c:v>
                </c:pt>
                <c:pt idx="210">
                  <c:v>0.6</c:v>
                </c:pt>
                <c:pt idx="211">
                  <c:v>0.6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0.6</c:v>
                </c:pt>
                <c:pt idx="217">
                  <c:v>0.6</c:v>
                </c:pt>
                <c:pt idx="218">
                  <c:v>0.6</c:v>
                </c:pt>
                <c:pt idx="219">
                  <c:v>0.6</c:v>
                </c:pt>
                <c:pt idx="220">
                  <c:v>0.6</c:v>
                </c:pt>
                <c:pt idx="221">
                  <c:v>0.6</c:v>
                </c:pt>
                <c:pt idx="222">
                  <c:v>0.6</c:v>
                </c:pt>
                <c:pt idx="223">
                  <c:v>0.6</c:v>
                </c:pt>
                <c:pt idx="224">
                  <c:v>0.6</c:v>
                </c:pt>
                <c:pt idx="225">
                  <c:v>0.6</c:v>
                </c:pt>
                <c:pt idx="226">
                  <c:v>0.6</c:v>
                </c:pt>
                <c:pt idx="227">
                  <c:v>0.6</c:v>
                </c:pt>
                <c:pt idx="228">
                  <c:v>0.61</c:v>
                </c:pt>
                <c:pt idx="229">
                  <c:v>0.61</c:v>
                </c:pt>
                <c:pt idx="230">
                  <c:v>0.61</c:v>
                </c:pt>
                <c:pt idx="231">
                  <c:v>0.61</c:v>
                </c:pt>
                <c:pt idx="232">
                  <c:v>0.61</c:v>
                </c:pt>
                <c:pt idx="233">
                  <c:v>0.61</c:v>
                </c:pt>
                <c:pt idx="234">
                  <c:v>0.61</c:v>
                </c:pt>
                <c:pt idx="235">
                  <c:v>0.61</c:v>
                </c:pt>
                <c:pt idx="236">
                  <c:v>0.61</c:v>
                </c:pt>
                <c:pt idx="237">
                  <c:v>0.61</c:v>
                </c:pt>
                <c:pt idx="238">
                  <c:v>0.61</c:v>
                </c:pt>
                <c:pt idx="239">
                  <c:v>0.61</c:v>
                </c:pt>
                <c:pt idx="240">
                  <c:v>0.62</c:v>
                </c:pt>
                <c:pt idx="241">
                  <c:v>0.62</c:v>
                </c:pt>
                <c:pt idx="242">
                  <c:v>0.62</c:v>
                </c:pt>
                <c:pt idx="243">
                  <c:v>0.62</c:v>
                </c:pt>
                <c:pt idx="244">
                  <c:v>0.62</c:v>
                </c:pt>
                <c:pt idx="245">
                  <c:v>0.62</c:v>
                </c:pt>
                <c:pt idx="246">
                  <c:v>0.62</c:v>
                </c:pt>
                <c:pt idx="247">
                  <c:v>0.62</c:v>
                </c:pt>
                <c:pt idx="248">
                  <c:v>0.62</c:v>
                </c:pt>
                <c:pt idx="249">
                  <c:v>0.62</c:v>
                </c:pt>
                <c:pt idx="250">
                  <c:v>0.62</c:v>
                </c:pt>
                <c:pt idx="251">
                  <c:v>0.62</c:v>
                </c:pt>
                <c:pt idx="252">
                  <c:v>0.61</c:v>
                </c:pt>
                <c:pt idx="253">
                  <c:v>0.61</c:v>
                </c:pt>
                <c:pt idx="254">
                  <c:v>0.61</c:v>
                </c:pt>
                <c:pt idx="255">
                  <c:v>0.61</c:v>
                </c:pt>
                <c:pt idx="256">
                  <c:v>0.61</c:v>
                </c:pt>
                <c:pt idx="257">
                  <c:v>0.61</c:v>
                </c:pt>
                <c:pt idx="258">
                  <c:v>0.61</c:v>
                </c:pt>
                <c:pt idx="259">
                  <c:v>0.61</c:v>
                </c:pt>
                <c:pt idx="260">
                  <c:v>0.61</c:v>
                </c:pt>
                <c:pt idx="261">
                  <c:v>0.61</c:v>
                </c:pt>
                <c:pt idx="262">
                  <c:v>0.61</c:v>
                </c:pt>
                <c:pt idx="263">
                  <c:v>0.61</c:v>
                </c:pt>
                <c:pt idx="264">
                  <c:v>0.6</c:v>
                </c:pt>
                <c:pt idx="265">
                  <c:v>0.6</c:v>
                </c:pt>
                <c:pt idx="266">
                  <c:v>0.6</c:v>
                </c:pt>
                <c:pt idx="267">
                  <c:v>0.6</c:v>
                </c:pt>
                <c:pt idx="268">
                  <c:v>0.6</c:v>
                </c:pt>
                <c:pt idx="269">
                  <c:v>0.6</c:v>
                </c:pt>
                <c:pt idx="270">
                  <c:v>0.6</c:v>
                </c:pt>
                <c:pt idx="271">
                  <c:v>0.59</c:v>
                </c:pt>
                <c:pt idx="272">
                  <c:v>0.59</c:v>
                </c:pt>
                <c:pt idx="273">
                  <c:v>0.59</c:v>
                </c:pt>
                <c:pt idx="274">
                  <c:v>0.57999999999999996</c:v>
                </c:pt>
                <c:pt idx="275">
                  <c:v>0.57999999999999996</c:v>
                </c:pt>
                <c:pt idx="276">
                  <c:v>0.57999999999999996</c:v>
                </c:pt>
                <c:pt idx="277">
                  <c:v>0.56999999999999995</c:v>
                </c:pt>
                <c:pt idx="278">
                  <c:v>0.56999999999999995</c:v>
                </c:pt>
                <c:pt idx="279">
                  <c:v>0.56999999999999995</c:v>
                </c:pt>
                <c:pt idx="280">
                  <c:v>0.56000000000000005</c:v>
                </c:pt>
                <c:pt idx="281">
                  <c:v>0.56000000000000005</c:v>
                </c:pt>
                <c:pt idx="282">
                  <c:v>0.56000000000000005</c:v>
                </c:pt>
                <c:pt idx="283">
                  <c:v>0.56000000000000005</c:v>
                </c:pt>
                <c:pt idx="284">
                  <c:v>0.55000000000000004</c:v>
                </c:pt>
                <c:pt idx="285">
                  <c:v>0.55000000000000004</c:v>
                </c:pt>
                <c:pt idx="286">
                  <c:v>0.55000000000000004</c:v>
                </c:pt>
                <c:pt idx="287">
                  <c:v>0.55000000000000004</c:v>
                </c:pt>
                <c:pt idx="288">
                  <c:v>0.54</c:v>
                </c:pt>
                <c:pt idx="289">
                  <c:v>0.54</c:v>
                </c:pt>
                <c:pt idx="290">
                  <c:v>0.54</c:v>
                </c:pt>
                <c:pt idx="291">
                  <c:v>0.54</c:v>
                </c:pt>
                <c:pt idx="292">
                  <c:v>0.54</c:v>
                </c:pt>
                <c:pt idx="293">
                  <c:v>0.54</c:v>
                </c:pt>
                <c:pt idx="294">
                  <c:v>0.55000000000000004</c:v>
                </c:pt>
                <c:pt idx="295">
                  <c:v>0.55000000000000004</c:v>
                </c:pt>
                <c:pt idx="296">
                  <c:v>0.55000000000000004</c:v>
                </c:pt>
                <c:pt idx="297">
                  <c:v>0.56000000000000005</c:v>
                </c:pt>
                <c:pt idx="298">
                  <c:v>0.56000000000000005</c:v>
                </c:pt>
                <c:pt idx="299">
                  <c:v>0.56000000000000005</c:v>
                </c:pt>
                <c:pt idx="300">
                  <c:v>0.56000000000000005</c:v>
                </c:pt>
                <c:pt idx="301">
                  <c:v>0.56999999999999995</c:v>
                </c:pt>
                <c:pt idx="302">
                  <c:v>0.56999999999999995</c:v>
                </c:pt>
                <c:pt idx="303">
                  <c:v>0.56999999999999995</c:v>
                </c:pt>
                <c:pt idx="304">
                  <c:v>0.56999999999999995</c:v>
                </c:pt>
                <c:pt idx="305">
                  <c:v>0.57999999999999996</c:v>
                </c:pt>
                <c:pt idx="306">
                  <c:v>0.57999999999999996</c:v>
                </c:pt>
                <c:pt idx="307">
                  <c:v>0.57999999999999996</c:v>
                </c:pt>
                <c:pt idx="308">
                  <c:v>0.57999999999999996</c:v>
                </c:pt>
                <c:pt idx="309">
                  <c:v>0.59</c:v>
                </c:pt>
                <c:pt idx="310">
                  <c:v>0.59</c:v>
                </c:pt>
                <c:pt idx="311">
                  <c:v>0.59</c:v>
                </c:pt>
                <c:pt idx="312">
                  <c:v>0.6</c:v>
                </c:pt>
                <c:pt idx="313">
                  <c:v>0.6</c:v>
                </c:pt>
                <c:pt idx="314">
                  <c:v>0.6</c:v>
                </c:pt>
                <c:pt idx="315">
                  <c:v>0.6</c:v>
                </c:pt>
                <c:pt idx="316">
                  <c:v>0.6</c:v>
                </c:pt>
                <c:pt idx="317">
                  <c:v>0.6</c:v>
                </c:pt>
                <c:pt idx="318">
                  <c:v>0.6</c:v>
                </c:pt>
                <c:pt idx="319">
                  <c:v>0.6</c:v>
                </c:pt>
                <c:pt idx="320">
                  <c:v>0.6</c:v>
                </c:pt>
                <c:pt idx="321">
                  <c:v>0.6</c:v>
                </c:pt>
                <c:pt idx="322">
                  <c:v>0.6</c:v>
                </c:pt>
                <c:pt idx="323">
                  <c:v>0.6</c:v>
                </c:pt>
                <c:pt idx="324">
                  <c:v>0.6</c:v>
                </c:pt>
                <c:pt idx="325">
                  <c:v>0.6</c:v>
                </c:pt>
                <c:pt idx="326">
                  <c:v>0.6</c:v>
                </c:pt>
                <c:pt idx="327">
                  <c:v>0.6</c:v>
                </c:pt>
                <c:pt idx="328">
                  <c:v>0.6</c:v>
                </c:pt>
                <c:pt idx="329">
                  <c:v>0.6</c:v>
                </c:pt>
                <c:pt idx="330">
                  <c:v>0.6</c:v>
                </c:pt>
                <c:pt idx="331">
                  <c:v>0.6</c:v>
                </c:pt>
                <c:pt idx="332">
                  <c:v>0.6</c:v>
                </c:pt>
                <c:pt idx="333">
                  <c:v>0.6</c:v>
                </c:pt>
                <c:pt idx="334">
                  <c:v>0.6</c:v>
                </c:pt>
                <c:pt idx="335">
                  <c:v>0.6</c:v>
                </c:pt>
                <c:pt idx="336">
                  <c:v>0.6</c:v>
                </c:pt>
                <c:pt idx="337">
                  <c:v>0.6</c:v>
                </c:pt>
                <c:pt idx="338">
                  <c:v>0.6</c:v>
                </c:pt>
                <c:pt idx="339">
                  <c:v>0.6</c:v>
                </c:pt>
                <c:pt idx="340">
                  <c:v>0.6</c:v>
                </c:pt>
                <c:pt idx="341">
                  <c:v>0.6</c:v>
                </c:pt>
                <c:pt idx="342">
                  <c:v>0.6</c:v>
                </c:pt>
                <c:pt idx="343">
                  <c:v>0.6</c:v>
                </c:pt>
                <c:pt idx="344">
                  <c:v>0.6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0.6</c:v>
                </c:pt>
                <c:pt idx="349">
                  <c:v>0.6</c:v>
                </c:pt>
                <c:pt idx="350">
                  <c:v>0.6</c:v>
                </c:pt>
                <c:pt idx="351">
                  <c:v>0.6</c:v>
                </c:pt>
                <c:pt idx="352">
                  <c:v>0.6</c:v>
                </c:pt>
                <c:pt idx="353">
                  <c:v>0.6</c:v>
                </c:pt>
                <c:pt idx="354">
                  <c:v>0.6</c:v>
                </c:pt>
                <c:pt idx="355">
                  <c:v>0.6</c:v>
                </c:pt>
                <c:pt idx="356">
                  <c:v>0.6</c:v>
                </c:pt>
                <c:pt idx="357">
                  <c:v>0.6</c:v>
                </c:pt>
                <c:pt idx="358">
                  <c:v>0.6</c:v>
                </c:pt>
                <c:pt idx="359">
                  <c:v>0.6</c:v>
                </c:pt>
                <c:pt idx="360">
                  <c:v>0.6</c:v>
                </c:pt>
                <c:pt idx="361">
                  <c:v>0.6</c:v>
                </c:pt>
                <c:pt idx="362">
                  <c:v>0.6</c:v>
                </c:pt>
                <c:pt idx="363">
                  <c:v>0.6</c:v>
                </c:pt>
                <c:pt idx="364">
                  <c:v>0.6</c:v>
                </c:pt>
                <c:pt idx="365">
                  <c:v>0.6</c:v>
                </c:pt>
                <c:pt idx="366">
                  <c:v>0.6</c:v>
                </c:pt>
                <c:pt idx="367">
                  <c:v>0.6</c:v>
                </c:pt>
                <c:pt idx="368">
                  <c:v>0.6</c:v>
                </c:pt>
                <c:pt idx="369">
                  <c:v>0.6</c:v>
                </c:pt>
                <c:pt idx="370">
                  <c:v>0.6</c:v>
                </c:pt>
                <c:pt idx="371">
                  <c:v>0.6</c:v>
                </c:pt>
                <c:pt idx="372">
                  <c:v>0.6</c:v>
                </c:pt>
                <c:pt idx="373">
                  <c:v>0.6</c:v>
                </c:pt>
                <c:pt idx="374">
                  <c:v>0.6</c:v>
                </c:pt>
                <c:pt idx="375">
                  <c:v>0.6</c:v>
                </c:pt>
                <c:pt idx="376">
                  <c:v>0.6</c:v>
                </c:pt>
                <c:pt idx="377">
                  <c:v>0.6</c:v>
                </c:pt>
                <c:pt idx="378">
                  <c:v>0.6</c:v>
                </c:pt>
                <c:pt idx="379">
                  <c:v>0.6</c:v>
                </c:pt>
                <c:pt idx="380">
                  <c:v>0.6</c:v>
                </c:pt>
                <c:pt idx="381">
                  <c:v>0.6</c:v>
                </c:pt>
                <c:pt idx="382">
                  <c:v>0.6</c:v>
                </c:pt>
                <c:pt idx="383">
                  <c:v>0.6</c:v>
                </c:pt>
                <c:pt idx="384">
                  <c:v>0.6</c:v>
                </c:pt>
                <c:pt idx="385">
                  <c:v>0.6</c:v>
                </c:pt>
                <c:pt idx="386">
                  <c:v>0.6</c:v>
                </c:pt>
                <c:pt idx="387">
                  <c:v>0.6</c:v>
                </c:pt>
                <c:pt idx="388">
                  <c:v>0.6</c:v>
                </c:pt>
                <c:pt idx="389">
                  <c:v>0.6</c:v>
                </c:pt>
                <c:pt idx="390">
                  <c:v>0.6</c:v>
                </c:pt>
                <c:pt idx="391">
                  <c:v>0.6</c:v>
                </c:pt>
                <c:pt idx="392">
                  <c:v>0.6</c:v>
                </c:pt>
                <c:pt idx="393">
                  <c:v>0.6</c:v>
                </c:pt>
                <c:pt idx="394">
                  <c:v>0.6</c:v>
                </c:pt>
                <c:pt idx="395">
                  <c:v>0.6</c:v>
                </c:pt>
                <c:pt idx="396">
                  <c:v>0.6</c:v>
                </c:pt>
                <c:pt idx="397">
                  <c:v>0.6</c:v>
                </c:pt>
                <c:pt idx="398">
                  <c:v>0.6</c:v>
                </c:pt>
                <c:pt idx="399">
                  <c:v>0.6</c:v>
                </c:pt>
                <c:pt idx="400">
                  <c:v>0.6</c:v>
                </c:pt>
                <c:pt idx="401">
                  <c:v>0.6</c:v>
                </c:pt>
                <c:pt idx="402">
                  <c:v>0.6</c:v>
                </c:pt>
                <c:pt idx="403">
                  <c:v>0.6</c:v>
                </c:pt>
                <c:pt idx="404">
                  <c:v>0.6</c:v>
                </c:pt>
                <c:pt idx="405">
                  <c:v>0.6</c:v>
                </c:pt>
                <c:pt idx="406">
                  <c:v>0.6</c:v>
                </c:pt>
                <c:pt idx="407">
                  <c:v>0.6</c:v>
                </c:pt>
                <c:pt idx="408">
                  <c:v>0.6</c:v>
                </c:pt>
                <c:pt idx="409">
                  <c:v>0.6</c:v>
                </c:pt>
                <c:pt idx="410">
                  <c:v>0.6</c:v>
                </c:pt>
                <c:pt idx="411">
                  <c:v>0.6</c:v>
                </c:pt>
                <c:pt idx="412">
                  <c:v>0.6</c:v>
                </c:pt>
                <c:pt idx="413">
                  <c:v>0.6</c:v>
                </c:pt>
                <c:pt idx="414">
                  <c:v>0.6</c:v>
                </c:pt>
                <c:pt idx="415">
                  <c:v>0.6</c:v>
                </c:pt>
                <c:pt idx="416">
                  <c:v>0.6</c:v>
                </c:pt>
                <c:pt idx="417">
                  <c:v>0.6</c:v>
                </c:pt>
                <c:pt idx="418">
                  <c:v>0.6</c:v>
                </c:pt>
                <c:pt idx="419">
                  <c:v>0.6</c:v>
                </c:pt>
                <c:pt idx="420">
                  <c:v>0.6</c:v>
                </c:pt>
                <c:pt idx="421">
                  <c:v>0.6</c:v>
                </c:pt>
                <c:pt idx="422">
                  <c:v>0.6</c:v>
                </c:pt>
                <c:pt idx="423">
                  <c:v>0.6</c:v>
                </c:pt>
                <c:pt idx="424">
                  <c:v>0.6</c:v>
                </c:pt>
                <c:pt idx="425">
                  <c:v>0.6</c:v>
                </c:pt>
                <c:pt idx="426">
                  <c:v>0.6</c:v>
                </c:pt>
                <c:pt idx="427">
                  <c:v>0.6</c:v>
                </c:pt>
                <c:pt idx="428">
                  <c:v>0.6</c:v>
                </c:pt>
                <c:pt idx="429">
                  <c:v>0.6</c:v>
                </c:pt>
                <c:pt idx="430">
                  <c:v>0.6</c:v>
                </c:pt>
                <c:pt idx="431">
                  <c:v>0.6</c:v>
                </c:pt>
                <c:pt idx="432">
                  <c:v>0.6</c:v>
                </c:pt>
                <c:pt idx="433">
                  <c:v>0.6</c:v>
                </c:pt>
                <c:pt idx="434">
                  <c:v>0.6</c:v>
                </c:pt>
                <c:pt idx="435">
                  <c:v>0.6</c:v>
                </c:pt>
                <c:pt idx="436">
                  <c:v>0.6</c:v>
                </c:pt>
                <c:pt idx="437">
                  <c:v>0.6</c:v>
                </c:pt>
                <c:pt idx="438">
                  <c:v>0.59</c:v>
                </c:pt>
                <c:pt idx="439">
                  <c:v>0.59</c:v>
                </c:pt>
                <c:pt idx="440">
                  <c:v>0.59</c:v>
                </c:pt>
                <c:pt idx="441">
                  <c:v>0.59</c:v>
                </c:pt>
                <c:pt idx="442">
                  <c:v>0.59</c:v>
                </c:pt>
                <c:pt idx="443">
                  <c:v>0.59</c:v>
                </c:pt>
                <c:pt idx="444">
                  <c:v>0.59</c:v>
                </c:pt>
                <c:pt idx="445">
                  <c:v>0.59</c:v>
                </c:pt>
                <c:pt idx="446">
                  <c:v>0.59</c:v>
                </c:pt>
                <c:pt idx="447">
                  <c:v>0.59</c:v>
                </c:pt>
                <c:pt idx="448">
                  <c:v>0.59</c:v>
                </c:pt>
                <c:pt idx="449">
                  <c:v>0.57999999999999996</c:v>
                </c:pt>
                <c:pt idx="450">
                  <c:v>0.57999999999999996</c:v>
                </c:pt>
                <c:pt idx="451">
                  <c:v>0.57999999999999996</c:v>
                </c:pt>
                <c:pt idx="452">
                  <c:v>0.57999999999999996</c:v>
                </c:pt>
                <c:pt idx="453">
                  <c:v>0.57999999999999996</c:v>
                </c:pt>
                <c:pt idx="454">
                  <c:v>0.57999999999999996</c:v>
                </c:pt>
                <c:pt idx="455">
                  <c:v>0.57999999999999996</c:v>
                </c:pt>
                <c:pt idx="456">
                  <c:v>0.56999999999999995</c:v>
                </c:pt>
                <c:pt idx="457">
                  <c:v>0.56999999999999995</c:v>
                </c:pt>
                <c:pt idx="458">
                  <c:v>0.56999999999999995</c:v>
                </c:pt>
                <c:pt idx="459">
                  <c:v>0.56999999999999995</c:v>
                </c:pt>
                <c:pt idx="460">
                  <c:v>0.56999999999999995</c:v>
                </c:pt>
                <c:pt idx="461">
                  <c:v>0.56999999999999995</c:v>
                </c:pt>
                <c:pt idx="462">
                  <c:v>0.56999999999999995</c:v>
                </c:pt>
                <c:pt idx="463">
                  <c:v>0.56999999999999995</c:v>
                </c:pt>
                <c:pt idx="464">
                  <c:v>0.56999999999999995</c:v>
                </c:pt>
                <c:pt idx="465">
                  <c:v>0.56999999999999995</c:v>
                </c:pt>
                <c:pt idx="466">
                  <c:v>0.56999999999999995</c:v>
                </c:pt>
                <c:pt idx="467">
                  <c:v>0.56999999999999995</c:v>
                </c:pt>
                <c:pt idx="468">
                  <c:v>0.56999999999999995</c:v>
                </c:pt>
                <c:pt idx="469">
                  <c:v>0.56999999999999995</c:v>
                </c:pt>
                <c:pt idx="470">
                  <c:v>0.56999999999999995</c:v>
                </c:pt>
                <c:pt idx="471">
                  <c:v>0.56999999999999995</c:v>
                </c:pt>
                <c:pt idx="472">
                  <c:v>0.56999999999999995</c:v>
                </c:pt>
                <c:pt idx="473">
                  <c:v>0.56999999999999995</c:v>
                </c:pt>
                <c:pt idx="474">
                  <c:v>0.56999999999999995</c:v>
                </c:pt>
                <c:pt idx="475">
                  <c:v>0.56999999999999995</c:v>
                </c:pt>
                <c:pt idx="476">
                  <c:v>0.56999999999999995</c:v>
                </c:pt>
                <c:pt idx="477">
                  <c:v>0.56999999999999995</c:v>
                </c:pt>
                <c:pt idx="478">
                  <c:v>0.56999999999999995</c:v>
                </c:pt>
                <c:pt idx="479">
                  <c:v>0.56999999999999995</c:v>
                </c:pt>
                <c:pt idx="480">
                  <c:v>0.56999999999999995</c:v>
                </c:pt>
                <c:pt idx="481">
                  <c:v>0.56999999999999995</c:v>
                </c:pt>
                <c:pt idx="482">
                  <c:v>0.56999999999999995</c:v>
                </c:pt>
                <c:pt idx="483">
                  <c:v>0.56999999999999995</c:v>
                </c:pt>
                <c:pt idx="484">
                  <c:v>0.56999999999999995</c:v>
                </c:pt>
                <c:pt idx="485">
                  <c:v>0.56999999999999995</c:v>
                </c:pt>
                <c:pt idx="486">
                  <c:v>0.56999999999999995</c:v>
                </c:pt>
                <c:pt idx="487">
                  <c:v>0.56999999999999995</c:v>
                </c:pt>
                <c:pt idx="488">
                  <c:v>0.56999999999999995</c:v>
                </c:pt>
                <c:pt idx="489">
                  <c:v>0.56999999999999995</c:v>
                </c:pt>
                <c:pt idx="490">
                  <c:v>0.56999999999999995</c:v>
                </c:pt>
                <c:pt idx="491">
                  <c:v>0.56999999999999995</c:v>
                </c:pt>
                <c:pt idx="492">
                  <c:v>0.56999999999999995</c:v>
                </c:pt>
                <c:pt idx="493">
                  <c:v>0.56999999999999995</c:v>
                </c:pt>
                <c:pt idx="494">
                  <c:v>0.56999999999999995</c:v>
                </c:pt>
                <c:pt idx="495">
                  <c:v>0.56999999999999995</c:v>
                </c:pt>
                <c:pt idx="496">
                  <c:v>0.56999999999999995</c:v>
                </c:pt>
                <c:pt idx="497">
                  <c:v>0.56999999999999995</c:v>
                </c:pt>
                <c:pt idx="498">
                  <c:v>0.56999999999999995</c:v>
                </c:pt>
                <c:pt idx="499">
                  <c:v>0.56999999999999995</c:v>
                </c:pt>
                <c:pt idx="500">
                  <c:v>0.56999999999999995</c:v>
                </c:pt>
                <c:pt idx="501">
                  <c:v>0.56999999999999995</c:v>
                </c:pt>
                <c:pt idx="502">
                  <c:v>0.56999999999999995</c:v>
                </c:pt>
                <c:pt idx="503">
                  <c:v>0.56999999999999995</c:v>
                </c:pt>
                <c:pt idx="504">
                  <c:v>0.56999999999999995</c:v>
                </c:pt>
                <c:pt idx="505">
                  <c:v>0.56999999999999995</c:v>
                </c:pt>
                <c:pt idx="506">
                  <c:v>0.56999999999999995</c:v>
                </c:pt>
                <c:pt idx="507">
                  <c:v>0.56999999999999995</c:v>
                </c:pt>
                <c:pt idx="508">
                  <c:v>0.56999999999999995</c:v>
                </c:pt>
                <c:pt idx="509">
                  <c:v>0.56999999999999995</c:v>
                </c:pt>
                <c:pt idx="510">
                  <c:v>0.57999999999999996</c:v>
                </c:pt>
                <c:pt idx="511">
                  <c:v>0.57999999999999996</c:v>
                </c:pt>
                <c:pt idx="512">
                  <c:v>0.57999999999999996</c:v>
                </c:pt>
                <c:pt idx="513">
                  <c:v>0.57999999999999996</c:v>
                </c:pt>
                <c:pt idx="514">
                  <c:v>0.57999999999999996</c:v>
                </c:pt>
                <c:pt idx="515">
                  <c:v>0.57999999999999996</c:v>
                </c:pt>
                <c:pt idx="516">
                  <c:v>0.59</c:v>
                </c:pt>
                <c:pt idx="517">
                  <c:v>0.59</c:v>
                </c:pt>
                <c:pt idx="518">
                  <c:v>0.59</c:v>
                </c:pt>
                <c:pt idx="519">
                  <c:v>0.59</c:v>
                </c:pt>
                <c:pt idx="520">
                  <c:v>0.59</c:v>
                </c:pt>
                <c:pt idx="521">
                  <c:v>0.59</c:v>
                </c:pt>
                <c:pt idx="522">
                  <c:v>0.59</c:v>
                </c:pt>
                <c:pt idx="523">
                  <c:v>0.59</c:v>
                </c:pt>
                <c:pt idx="524">
                  <c:v>0.59</c:v>
                </c:pt>
                <c:pt idx="525">
                  <c:v>0.59</c:v>
                </c:pt>
                <c:pt idx="526">
                  <c:v>0.59</c:v>
                </c:pt>
                <c:pt idx="527">
                  <c:v>0.59</c:v>
                </c:pt>
                <c:pt idx="528">
                  <c:v>0.57999999999999996</c:v>
                </c:pt>
                <c:pt idx="529">
                  <c:v>0.57999999999999996</c:v>
                </c:pt>
                <c:pt idx="530">
                  <c:v>0.57999999999999996</c:v>
                </c:pt>
                <c:pt idx="531">
                  <c:v>0.57999999999999996</c:v>
                </c:pt>
                <c:pt idx="532">
                  <c:v>0.57999999999999996</c:v>
                </c:pt>
                <c:pt idx="533">
                  <c:v>0.56999999999999995</c:v>
                </c:pt>
                <c:pt idx="534">
                  <c:v>0.56999999999999995</c:v>
                </c:pt>
                <c:pt idx="535">
                  <c:v>0.56999999999999995</c:v>
                </c:pt>
                <c:pt idx="536">
                  <c:v>0.56999999999999995</c:v>
                </c:pt>
                <c:pt idx="537">
                  <c:v>0.56999999999999995</c:v>
                </c:pt>
                <c:pt idx="538">
                  <c:v>0.56999999999999995</c:v>
                </c:pt>
                <c:pt idx="539">
                  <c:v>0.56999999999999995</c:v>
                </c:pt>
                <c:pt idx="540">
                  <c:v>0.56999999999999995</c:v>
                </c:pt>
                <c:pt idx="541">
                  <c:v>0.56999999999999995</c:v>
                </c:pt>
                <c:pt idx="542">
                  <c:v>0.56999999999999995</c:v>
                </c:pt>
                <c:pt idx="543">
                  <c:v>0.56999999999999995</c:v>
                </c:pt>
                <c:pt idx="544">
                  <c:v>0.56999999999999995</c:v>
                </c:pt>
                <c:pt idx="545">
                  <c:v>0.56999999999999995</c:v>
                </c:pt>
                <c:pt idx="546">
                  <c:v>0.56999999999999995</c:v>
                </c:pt>
                <c:pt idx="547">
                  <c:v>0.56999999999999995</c:v>
                </c:pt>
                <c:pt idx="548">
                  <c:v>0.56999999999999995</c:v>
                </c:pt>
                <c:pt idx="549">
                  <c:v>0.56999999999999995</c:v>
                </c:pt>
                <c:pt idx="550">
                  <c:v>0.56999999999999995</c:v>
                </c:pt>
                <c:pt idx="551">
                  <c:v>0.56999999999999995</c:v>
                </c:pt>
                <c:pt idx="552">
                  <c:v>0.56999999999999995</c:v>
                </c:pt>
                <c:pt idx="553">
                  <c:v>0.56999999999999995</c:v>
                </c:pt>
                <c:pt idx="554">
                  <c:v>0.56999999999999995</c:v>
                </c:pt>
                <c:pt idx="555">
                  <c:v>0.56999999999999995</c:v>
                </c:pt>
                <c:pt idx="556">
                  <c:v>0.56999999999999995</c:v>
                </c:pt>
                <c:pt idx="557">
                  <c:v>0.56999999999999995</c:v>
                </c:pt>
                <c:pt idx="558">
                  <c:v>0.56999999999999995</c:v>
                </c:pt>
                <c:pt idx="559">
                  <c:v>0.56999999999999995</c:v>
                </c:pt>
                <c:pt idx="560">
                  <c:v>0.56999999999999995</c:v>
                </c:pt>
                <c:pt idx="561">
                  <c:v>0.56999999999999995</c:v>
                </c:pt>
                <c:pt idx="562">
                  <c:v>0.56999999999999995</c:v>
                </c:pt>
                <c:pt idx="563">
                  <c:v>0.56999999999999995</c:v>
                </c:pt>
                <c:pt idx="564">
                  <c:v>0.56999999999999995</c:v>
                </c:pt>
                <c:pt idx="565">
                  <c:v>0.56999999999999995</c:v>
                </c:pt>
                <c:pt idx="566">
                  <c:v>0.56999999999999995</c:v>
                </c:pt>
                <c:pt idx="567">
                  <c:v>0.56999999999999995</c:v>
                </c:pt>
                <c:pt idx="568">
                  <c:v>0.56999999999999995</c:v>
                </c:pt>
                <c:pt idx="569">
                  <c:v>0.56999999999999995</c:v>
                </c:pt>
                <c:pt idx="570">
                  <c:v>0.56999999999999995</c:v>
                </c:pt>
                <c:pt idx="571">
                  <c:v>0.56999999999999995</c:v>
                </c:pt>
                <c:pt idx="572">
                  <c:v>0.56999999999999995</c:v>
                </c:pt>
                <c:pt idx="573">
                  <c:v>0.56999999999999995</c:v>
                </c:pt>
                <c:pt idx="574">
                  <c:v>0.56999999999999995</c:v>
                </c:pt>
                <c:pt idx="575">
                  <c:v>0.56999999999999995</c:v>
                </c:pt>
                <c:pt idx="576">
                  <c:v>0.56999999999999995</c:v>
                </c:pt>
                <c:pt idx="577">
                  <c:v>0.56999999999999995</c:v>
                </c:pt>
                <c:pt idx="578">
                  <c:v>0.56999999999999995</c:v>
                </c:pt>
                <c:pt idx="579">
                  <c:v>0.56999999999999995</c:v>
                </c:pt>
                <c:pt idx="580">
                  <c:v>0.56999999999999995</c:v>
                </c:pt>
                <c:pt idx="581">
                  <c:v>0.56999999999999995</c:v>
                </c:pt>
                <c:pt idx="582">
                  <c:v>0.56999999999999995</c:v>
                </c:pt>
                <c:pt idx="583">
                  <c:v>0.56999999999999995</c:v>
                </c:pt>
                <c:pt idx="584">
                  <c:v>0.56999999999999995</c:v>
                </c:pt>
                <c:pt idx="585">
                  <c:v>0.56999999999999995</c:v>
                </c:pt>
                <c:pt idx="586">
                  <c:v>0.56999999999999995</c:v>
                </c:pt>
                <c:pt idx="587">
                  <c:v>0.56999999999999995</c:v>
                </c:pt>
                <c:pt idx="588">
                  <c:v>0.56999999999999995</c:v>
                </c:pt>
                <c:pt idx="589">
                  <c:v>0.56999999999999995</c:v>
                </c:pt>
                <c:pt idx="590">
                  <c:v>0.56999999999999995</c:v>
                </c:pt>
                <c:pt idx="591">
                  <c:v>0.56999999999999995</c:v>
                </c:pt>
                <c:pt idx="592">
                  <c:v>0.56999999999999995</c:v>
                </c:pt>
                <c:pt idx="593">
                  <c:v>0.56999999999999995</c:v>
                </c:pt>
                <c:pt idx="594">
                  <c:v>0.56999999999999995</c:v>
                </c:pt>
                <c:pt idx="595">
                  <c:v>0.56999999999999995</c:v>
                </c:pt>
                <c:pt idx="596">
                  <c:v>0.56999999999999995</c:v>
                </c:pt>
                <c:pt idx="597">
                  <c:v>0.56999999999999995</c:v>
                </c:pt>
                <c:pt idx="598">
                  <c:v>0.56999999999999995</c:v>
                </c:pt>
                <c:pt idx="599">
                  <c:v>0.56999999999999995</c:v>
                </c:pt>
                <c:pt idx="600">
                  <c:v>0.56000000000000005</c:v>
                </c:pt>
                <c:pt idx="601">
                  <c:v>0.56000000000000005</c:v>
                </c:pt>
                <c:pt idx="602">
                  <c:v>0.56000000000000005</c:v>
                </c:pt>
                <c:pt idx="603">
                  <c:v>0.56000000000000005</c:v>
                </c:pt>
                <c:pt idx="604">
                  <c:v>0.56000000000000005</c:v>
                </c:pt>
                <c:pt idx="605">
                  <c:v>0.56000000000000005</c:v>
                </c:pt>
                <c:pt idx="606">
                  <c:v>0.56000000000000005</c:v>
                </c:pt>
                <c:pt idx="607">
                  <c:v>0.56000000000000005</c:v>
                </c:pt>
                <c:pt idx="608">
                  <c:v>0.56000000000000005</c:v>
                </c:pt>
                <c:pt idx="609">
                  <c:v>0.56000000000000005</c:v>
                </c:pt>
                <c:pt idx="610">
                  <c:v>0.56000000000000005</c:v>
                </c:pt>
                <c:pt idx="611">
                  <c:v>0.56000000000000005</c:v>
                </c:pt>
                <c:pt idx="612">
                  <c:v>0.56000000000000005</c:v>
                </c:pt>
                <c:pt idx="613">
                  <c:v>0.56000000000000005</c:v>
                </c:pt>
                <c:pt idx="614">
                  <c:v>0.56000000000000005</c:v>
                </c:pt>
                <c:pt idx="615">
                  <c:v>0.56000000000000005</c:v>
                </c:pt>
                <c:pt idx="616">
                  <c:v>0.56000000000000005</c:v>
                </c:pt>
                <c:pt idx="617">
                  <c:v>0.56000000000000005</c:v>
                </c:pt>
                <c:pt idx="618">
                  <c:v>0.56000000000000005</c:v>
                </c:pt>
                <c:pt idx="619">
                  <c:v>0.56000000000000005</c:v>
                </c:pt>
                <c:pt idx="620">
                  <c:v>0.56000000000000005</c:v>
                </c:pt>
                <c:pt idx="621">
                  <c:v>0.56000000000000005</c:v>
                </c:pt>
                <c:pt idx="622">
                  <c:v>0.56000000000000005</c:v>
                </c:pt>
                <c:pt idx="623">
                  <c:v>0.56000000000000005</c:v>
                </c:pt>
                <c:pt idx="624">
                  <c:v>0.56000000000000005</c:v>
                </c:pt>
                <c:pt idx="625">
                  <c:v>0.56000000000000005</c:v>
                </c:pt>
                <c:pt idx="626">
                  <c:v>0.56000000000000005</c:v>
                </c:pt>
                <c:pt idx="627">
                  <c:v>0.56000000000000005</c:v>
                </c:pt>
                <c:pt idx="628">
                  <c:v>0.56000000000000005</c:v>
                </c:pt>
                <c:pt idx="629">
                  <c:v>0.56000000000000005</c:v>
                </c:pt>
                <c:pt idx="630">
                  <c:v>0.56000000000000005</c:v>
                </c:pt>
                <c:pt idx="631">
                  <c:v>0.56000000000000005</c:v>
                </c:pt>
                <c:pt idx="632">
                  <c:v>0.56000000000000005</c:v>
                </c:pt>
                <c:pt idx="633">
                  <c:v>0.56000000000000005</c:v>
                </c:pt>
                <c:pt idx="634">
                  <c:v>0.56000000000000005</c:v>
                </c:pt>
                <c:pt idx="635">
                  <c:v>0.56000000000000005</c:v>
                </c:pt>
                <c:pt idx="636">
                  <c:v>0.56000000000000005</c:v>
                </c:pt>
                <c:pt idx="637">
                  <c:v>0.56000000000000005</c:v>
                </c:pt>
                <c:pt idx="638">
                  <c:v>0.56000000000000005</c:v>
                </c:pt>
                <c:pt idx="639">
                  <c:v>0.56000000000000005</c:v>
                </c:pt>
                <c:pt idx="640">
                  <c:v>0.56000000000000005</c:v>
                </c:pt>
                <c:pt idx="641">
                  <c:v>0.56000000000000005</c:v>
                </c:pt>
                <c:pt idx="642">
                  <c:v>0.56000000000000005</c:v>
                </c:pt>
                <c:pt idx="643">
                  <c:v>0.56000000000000005</c:v>
                </c:pt>
                <c:pt idx="644">
                  <c:v>0.56000000000000005</c:v>
                </c:pt>
                <c:pt idx="645">
                  <c:v>0.56000000000000005</c:v>
                </c:pt>
                <c:pt idx="646">
                  <c:v>0.56000000000000005</c:v>
                </c:pt>
                <c:pt idx="647">
                  <c:v>0.56000000000000005</c:v>
                </c:pt>
                <c:pt idx="648">
                  <c:v>0.56000000000000005</c:v>
                </c:pt>
                <c:pt idx="649">
                  <c:v>0.56000000000000005</c:v>
                </c:pt>
                <c:pt idx="650">
                  <c:v>0.56000000000000005</c:v>
                </c:pt>
                <c:pt idx="651">
                  <c:v>0.56000000000000005</c:v>
                </c:pt>
                <c:pt idx="652">
                  <c:v>0.56000000000000005</c:v>
                </c:pt>
                <c:pt idx="653">
                  <c:v>0.56000000000000005</c:v>
                </c:pt>
                <c:pt idx="654">
                  <c:v>0.56000000000000005</c:v>
                </c:pt>
                <c:pt idx="655">
                  <c:v>0.56000000000000005</c:v>
                </c:pt>
                <c:pt idx="656">
                  <c:v>0.56000000000000005</c:v>
                </c:pt>
                <c:pt idx="657">
                  <c:v>0.56000000000000005</c:v>
                </c:pt>
                <c:pt idx="658">
                  <c:v>0.56000000000000005</c:v>
                </c:pt>
                <c:pt idx="659">
                  <c:v>0.56000000000000005</c:v>
                </c:pt>
                <c:pt idx="660">
                  <c:v>0.56000000000000005</c:v>
                </c:pt>
                <c:pt idx="661">
                  <c:v>0.56000000000000005</c:v>
                </c:pt>
                <c:pt idx="662">
                  <c:v>0.56000000000000005</c:v>
                </c:pt>
                <c:pt idx="663">
                  <c:v>0.56000000000000005</c:v>
                </c:pt>
                <c:pt idx="664">
                  <c:v>0.56000000000000005</c:v>
                </c:pt>
                <c:pt idx="665">
                  <c:v>0.56000000000000005</c:v>
                </c:pt>
                <c:pt idx="666">
                  <c:v>0.56000000000000005</c:v>
                </c:pt>
                <c:pt idx="667">
                  <c:v>0.56000000000000005</c:v>
                </c:pt>
                <c:pt idx="668">
                  <c:v>0.56000000000000005</c:v>
                </c:pt>
                <c:pt idx="669">
                  <c:v>0.56000000000000005</c:v>
                </c:pt>
                <c:pt idx="670">
                  <c:v>0.56000000000000005</c:v>
                </c:pt>
                <c:pt idx="671">
                  <c:v>0.56000000000000005</c:v>
                </c:pt>
                <c:pt idx="672">
                  <c:v>0.56000000000000005</c:v>
                </c:pt>
                <c:pt idx="673">
                  <c:v>0.56000000000000005</c:v>
                </c:pt>
                <c:pt idx="674">
                  <c:v>0.56000000000000005</c:v>
                </c:pt>
                <c:pt idx="675">
                  <c:v>0.56000000000000005</c:v>
                </c:pt>
                <c:pt idx="676">
                  <c:v>0.56000000000000005</c:v>
                </c:pt>
                <c:pt idx="677">
                  <c:v>0.56000000000000005</c:v>
                </c:pt>
                <c:pt idx="678">
                  <c:v>0.56000000000000005</c:v>
                </c:pt>
                <c:pt idx="679">
                  <c:v>0.56000000000000005</c:v>
                </c:pt>
                <c:pt idx="680">
                  <c:v>0.56000000000000005</c:v>
                </c:pt>
                <c:pt idx="681">
                  <c:v>0.56000000000000005</c:v>
                </c:pt>
                <c:pt idx="682">
                  <c:v>0.56000000000000005</c:v>
                </c:pt>
                <c:pt idx="683">
                  <c:v>0.56000000000000005</c:v>
                </c:pt>
                <c:pt idx="684">
                  <c:v>0.56000000000000005</c:v>
                </c:pt>
                <c:pt idx="685">
                  <c:v>0.56000000000000005</c:v>
                </c:pt>
                <c:pt idx="686">
                  <c:v>0.56000000000000005</c:v>
                </c:pt>
                <c:pt idx="687">
                  <c:v>0.56000000000000005</c:v>
                </c:pt>
                <c:pt idx="688">
                  <c:v>0.56000000000000005</c:v>
                </c:pt>
                <c:pt idx="689">
                  <c:v>0.56000000000000005</c:v>
                </c:pt>
                <c:pt idx="690">
                  <c:v>0.56000000000000005</c:v>
                </c:pt>
                <c:pt idx="691">
                  <c:v>0.56000000000000005</c:v>
                </c:pt>
                <c:pt idx="692">
                  <c:v>0.56000000000000005</c:v>
                </c:pt>
                <c:pt idx="693">
                  <c:v>0.56000000000000005</c:v>
                </c:pt>
                <c:pt idx="694">
                  <c:v>0.56000000000000005</c:v>
                </c:pt>
                <c:pt idx="695">
                  <c:v>0.56000000000000005</c:v>
                </c:pt>
                <c:pt idx="696">
                  <c:v>0.56000000000000005</c:v>
                </c:pt>
                <c:pt idx="697">
                  <c:v>0.56000000000000005</c:v>
                </c:pt>
                <c:pt idx="698">
                  <c:v>0.56000000000000005</c:v>
                </c:pt>
                <c:pt idx="699">
                  <c:v>0.56000000000000005</c:v>
                </c:pt>
                <c:pt idx="700">
                  <c:v>0.56000000000000005</c:v>
                </c:pt>
                <c:pt idx="701">
                  <c:v>0.56000000000000005</c:v>
                </c:pt>
                <c:pt idx="702">
                  <c:v>0.56000000000000005</c:v>
                </c:pt>
                <c:pt idx="703">
                  <c:v>0.56000000000000005</c:v>
                </c:pt>
                <c:pt idx="704">
                  <c:v>0.56000000000000005</c:v>
                </c:pt>
                <c:pt idx="705">
                  <c:v>0.56000000000000005</c:v>
                </c:pt>
                <c:pt idx="706">
                  <c:v>0.56000000000000005</c:v>
                </c:pt>
                <c:pt idx="707">
                  <c:v>0.56000000000000005</c:v>
                </c:pt>
                <c:pt idx="708">
                  <c:v>0.56000000000000005</c:v>
                </c:pt>
                <c:pt idx="709">
                  <c:v>0.56000000000000005</c:v>
                </c:pt>
                <c:pt idx="710">
                  <c:v>0.56000000000000005</c:v>
                </c:pt>
                <c:pt idx="711">
                  <c:v>0.56000000000000005</c:v>
                </c:pt>
                <c:pt idx="712">
                  <c:v>0.56000000000000005</c:v>
                </c:pt>
                <c:pt idx="713">
                  <c:v>0.56000000000000005</c:v>
                </c:pt>
                <c:pt idx="714">
                  <c:v>0.56000000000000005</c:v>
                </c:pt>
                <c:pt idx="715">
                  <c:v>0.56000000000000005</c:v>
                </c:pt>
                <c:pt idx="716">
                  <c:v>0.56000000000000005</c:v>
                </c:pt>
                <c:pt idx="717">
                  <c:v>0.56000000000000005</c:v>
                </c:pt>
                <c:pt idx="718">
                  <c:v>0.56000000000000005</c:v>
                </c:pt>
                <c:pt idx="719">
                  <c:v>0.56000000000000005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8240"/>
        <c:axId val="40700160"/>
      </c:scatterChart>
      <c:valAx>
        <c:axId val="40698240"/>
        <c:scaling>
          <c:orientation val="minMax"/>
          <c:max val="730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66FF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40700160"/>
        <c:crosses val="autoZero"/>
        <c:crossBetween val="midCat"/>
        <c:majorUnit val="24"/>
        <c:minorUnit val="1.46"/>
      </c:valAx>
      <c:valAx>
        <c:axId val="4070016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40698240"/>
        <c:crosses val="autoZero"/>
        <c:crossBetween val="midCat"/>
        <c:majorUnit val="1"/>
        <c:minorUnit val="0.0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May</a:t>
            </a:r>
          </a:p>
        </c:rich>
      </c:tx>
      <c:layout>
        <c:manualLayout>
          <c:xMode val="edge"/>
          <c:yMode val="edge"/>
          <c:x val="0.4862206446635115"/>
          <c:y val="2.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028877487824204E-2"/>
          <c:y val="0.12521739130434784"/>
          <c:w val="0.96161448132435756"/>
          <c:h val="0.72"/>
        </c:manualLayout>
      </c:layout>
      <c:scatterChart>
        <c:scatterStyle val="lineMarker"/>
        <c:varyColors val="0"/>
        <c:ser>
          <c:idx val="0"/>
          <c:order val="0"/>
          <c:tx>
            <c:v>May-Hourly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'Graph-Hou'!$BJ$2:$BJ$745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</c:numCache>
            </c:numRef>
          </c:xVal>
          <c:yVal>
            <c:numRef>
              <c:f>'Graph-Hou'!$BM$2:$BM$745</c:f>
              <c:numCache>
                <c:formatCode>0.00</c:formatCode>
                <c:ptCount val="744"/>
                <c:pt idx="0">
                  <c:v>0.56999999999999995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0.56999999999999995</c:v>
                </c:pt>
                <c:pt idx="11">
                  <c:v>0.56999999999999995</c:v>
                </c:pt>
                <c:pt idx="12">
                  <c:v>0.56999999999999995</c:v>
                </c:pt>
                <c:pt idx="13">
                  <c:v>0.56999999999999995</c:v>
                </c:pt>
                <c:pt idx="14">
                  <c:v>0.56999999999999995</c:v>
                </c:pt>
                <c:pt idx="15">
                  <c:v>0.56999999999999995</c:v>
                </c:pt>
                <c:pt idx="16">
                  <c:v>0.56999999999999995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0.56999999999999995</c:v>
                </c:pt>
                <c:pt idx="20">
                  <c:v>0.56999999999999995</c:v>
                </c:pt>
                <c:pt idx="21">
                  <c:v>0.56999999999999995</c:v>
                </c:pt>
                <c:pt idx="22">
                  <c:v>0.56999999999999995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0.56999999999999995</c:v>
                </c:pt>
                <c:pt idx="27">
                  <c:v>0.56999999999999995</c:v>
                </c:pt>
                <c:pt idx="28">
                  <c:v>0.56999999999999995</c:v>
                </c:pt>
                <c:pt idx="29">
                  <c:v>0.56999999999999995</c:v>
                </c:pt>
                <c:pt idx="30">
                  <c:v>0.56999999999999995</c:v>
                </c:pt>
                <c:pt idx="31">
                  <c:v>0.56999999999999995</c:v>
                </c:pt>
                <c:pt idx="32">
                  <c:v>0.56999999999999995</c:v>
                </c:pt>
                <c:pt idx="33">
                  <c:v>0.56999999999999995</c:v>
                </c:pt>
                <c:pt idx="34">
                  <c:v>0.56999999999999995</c:v>
                </c:pt>
                <c:pt idx="35">
                  <c:v>0.56999999999999995</c:v>
                </c:pt>
                <c:pt idx="36">
                  <c:v>0.56999999999999995</c:v>
                </c:pt>
                <c:pt idx="37">
                  <c:v>0.56999999999999995</c:v>
                </c:pt>
                <c:pt idx="38">
                  <c:v>0.56999999999999995</c:v>
                </c:pt>
                <c:pt idx="39">
                  <c:v>0.56999999999999995</c:v>
                </c:pt>
                <c:pt idx="40">
                  <c:v>0.56999999999999995</c:v>
                </c:pt>
                <c:pt idx="41">
                  <c:v>0.56999999999999995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0.56999999999999995</c:v>
                </c:pt>
                <c:pt idx="45">
                  <c:v>0.56999999999999995</c:v>
                </c:pt>
                <c:pt idx="46">
                  <c:v>0.56999999999999995</c:v>
                </c:pt>
                <c:pt idx="47">
                  <c:v>0.56999999999999995</c:v>
                </c:pt>
                <c:pt idx="48">
                  <c:v>0.57999999999999996</c:v>
                </c:pt>
                <c:pt idx="49">
                  <c:v>0.57999999999999996</c:v>
                </c:pt>
                <c:pt idx="50">
                  <c:v>0.57999999999999996</c:v>
                </c:pt>
                <c:pt idx="51">
                  <c:v>0.57999999999999996</c:v>
                </c:pt>
                <c:pt idx="52">
                  <c:v>0.57999999999999996</c:v>
                </c:pt>
                <c:pt idx="53">
                  <c:v>0.57999999999999996</c:v>
                </c:pt>
                <c:pt idx="54">
                  <c:v>0.57999999999999996</c:v>
                </c:pt>
                <c:pt idx="55">
                  <c:v>0.57999999999999996</c:v>
                </c:pt>
                <c:pt idx="56">
                  <c:v>0.57999999999999996</c:v>
                </c:pt>
                <c:pt idx="57">
                  <c:v>0.57999999999999996</c:v>
                </c:pt>
                <c:pt idx="58">
                  <c:v>0.57999999999999996</c:v>
                </c:pt>
                <c:pt idx="59">
                  <c:v>0.57999999999999996</c:v>
                </c:pt>
                <c:pt idx="60">
                  <c:v>0.57999999999999996</c:v>
                </c:pt>
                <c:pt idx="61">
                  <c:v>0.57999999999999996</c:v>
                </c:pt>
                <c:pt idx="62">
                  <c:v>0.57999999999999996</c:v>
                </c:pt>
                <c:pt idx="63">
                  <c:v>0.57999999999999996</c:v>
                </c:pt>
                <c:pt idx="64">
                  <c:v>0.57999999999999996</c:v>
                </c:pt>
                <c:pt idx="65">
                  <c:v>0.57999999999999996</c:v>
                </c:pt>
                <c:pt idx="66">
                  <c:v>0.57999999999999996</c:v>
                </c:pt>
                <c:pt idx="67">
                  <c:v>0.57999999999999996</c:v>
                </c:pt>
                <c:pt idx="68">
                  <c:v>0.57999999999999996</c:v>
                </c:pt>
                <c:pt idx="69">
                  <c:v>0.57999999999999996</c:v>
                </c:pt>
                <c:pt idx="70">
                  <c:v>0.57999999999999996</c:v>
                </c:pt>
                <c:pt idx="71">
                  <c:v>0.57999999999999996</c:v>
                </c:pt>
                <c:pt idx="72">
                  <c:v>0.56000000000000005</c:v>
                </c:pt>
                <c:pt idx="73">
                  <c:v>0.56000000000000005</c:v>
                </c:pt>
                <c:pt idx="74">
                  <c:v>0.56000000000000005</c:v>
                </c:pt>
                <c:pt idx="75">
                  <c:v>0.56000000000000005</c:v>
                </c:pt>
                <c:pt idx="76">
                  <c:v>0.56000000000000005</c:v>
                </c:pt>
                <c:pt idx="77">
                  <c:v>0.56000000000000005</c:v>
                </c:pt>
                <c:pt idx="78">
                  <c:v>0.56000000000000005</c:v>
                </c:pt>
                <c:pt idx="79">
                  <c:v>0.56000000000000005</c:v>
                </c:pt>
                <c:pt idx="80">
                  <c:v>0.56000000000000005</c:v>
                </c:pt>
                <c:pt idx="81">
                  <c:v>0.56000000000000005</c:v>
                </c:pt>
                <c:pt idx="82">
                  <c:v>0.56000000000000005</c:v>
                </c:pt>
                <c:pt idx="83">
                  <c:v>0.56000000000000005</c:v>
                </c:pt>
                <c:pt idx="84">
                  <c:v>0.56000000000000005</c:v>
                </c:pt>
                <c:pt idx="85">
                  <c:v>0.56000000000000005</c:v>
                </c:pt>
                <c:pt idx="86">
                  <c:v>0.56000000000000005</c:v>
                </c:pt>
                <c:pt idx="87">
                  <c:v>0.56000000000000005</c:v>
                </c:pt>
                <c:pt idx="88">
                  <c:v>0.56000000000000005</c:v>
                </c:pt>
                <c:pt idx="89">
                  <c:v>0.56000000000000005</c:v>
                </c:pt>
                <c:pt idx="90">
                  <c:v>0.56000000000000005</c:v>
                </c:pt>
                <c:pt idx="91">
                  <c:v>0.56000000000000005</c:v>
                </c:pt>
                <c:pt idx="92">
                  <c:v>0.56000000000000005</c:v>
                </c:pt>
                <c:pt idx="93">
                  <c:v>0.56000000000000005</c:v>
                </c:pt>
                <c:pt idx="94">
                  <c:v>0.56000000000000005</c:v>
                </c:pt>
                <c:pt idx="95">
                  <c:v>0.56000000000000005</c:v>
                </c:pt>
                <c:pt idx="96">
                  <c:v>0.56999999999999995</c:v>
                </c:pt>
                <c:pt idx="97">
                  <c:v>0.56999999999999995</c:v>
                </c:pt>
                <c:pt idx="98">
                  <c:v>0.56999999999999995</c:v>
                </c:pt>
                <c:pt idx="99">
                  <c:v>0.56999999999999995</c:v>
                </c:pt>
                <c:pt idx="100">
                  <c:v>0.56999999999999995</c:v>
                </c:pt>
                <c:pt idx="101">
                  <c:v>0.56999999999999995</c:v>
                </c:pt>
                <c:pt idx="102">
                  <c:v>0.56999999999999995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0.56999999999999995</c:v>
                </c:pt>
                <c:pt idx="106">
                  <c:v>0.56999999999999995</c:v>
                </c:pt>
                <c:pt idx="107">
                  <c:v>0.56999999999999995</c:v>
                </c:pt>
                <c:pt idx="108">
                  <c:v>0.56000000000000005</c:v>
                </c:pt>
                <c:pt idx="109">
                  <c:v>0.56000000000000005</c:v>
                </c:pt>
                <c:pt idx="110">
                  <c:v>0.56000000000000005</c:v>
                </c:pt>
                <c:pt idx="111">
                  <c:v>0.56000000000000005</c:v>
                </c:pt>
                <c:pt idx="112">
                  <c:v>0.56000000000000005</c:v>
                </c:pt>
                <c:pt idx="113">
                  <c:v>0.56000000000000005</c:v>
                </c:pt>
                <c:pt idx="114">
                  <c:v>0.55000000000000004</c:v>
                </c:pt>
                <c:pt idx="115">
                  <c:v>0.55000000000000004</c:v>
                </c:pt>
                <c:pt idx="116">
                  <c:v>0.55000000000000004</c:v>
                </c:pt>
                <c:pt idx="117">
                  <c:v>0.55000000000000004</c:v>
                </c:pt>
                <c:pt idx="118">
                  <c:v>0.55000000000000004</c:v>
                </c:pt>
                <c:pt idx="119">
                  <c:v>0.55000000000000004</c:v>
                </c:pt>
                <c:pt idx="120">
                  <c:v>0.54</c:v>
                </c:pt>
                <c:pt idx="121">
                  <c:v>0.54</c:v>
                </c:pt>
                <c:pt idx="122">
                  <c:v>0.54</c:v>
                </c:pt>
                <c:pt idx="123">
                  <c:v>0.54</c:v>
                </c:pt>
                <c:pt idx="124">
                  <c:v>0.54</c:v>
                </c:pt>
                <c:pt idx="125">
                  <c:v>0.54</c:v>
                </c:pt>
                <c:pt idx="126">
                  <c:v>0.53</c:v>
                </c:pt>
                <c:pt idx="127">
                  <c:v>0.53</c:v>
                </c:pt>
                <c:pt idx="128">
                  <c:v>0.53</c:v>
                </c:pt>
                <c:pt idx="129">
                  <c:v>0.53</c:v>
                </c:pt>
                <c:pt idx="130">
                  <c:v>0.52</c:v>
                </c:pt>
                <c:pt idx="131">
                  <c:v>0.52</c:v>
                </c:pt>
                <c:pt idx="132">
                  <c:v>0.52</c:v>
                </c:pt>
                <c:pt idx="133">
                  <c:v>0.52</c:v>
                </c:pt>
                <c:pt idx="134">
                  <c:v>0.51</c:v>
                </c:pt>
                <c:pt idx="135">
                  <c:v>0.51</c:v>
                </c:pt>
                <c:pt idx="136">
                  <c:v>0.51</c:v>
                </c:pt>
                <c:pt idx="137">
                  <c:v>0.51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0.49</c:v>
                </c:pt>
                <c:pt idx="145">
                  <c:v>0.49</c:v>
                </c:pt>
                <c:pt idx="146">
                  <c:v>0.49</c:v>
                </c:pt>
                <c:pt idx="147">
                  <c:v>0.49</c:v>
                </c:pt>
                <c:pt idx="148">
                  <c:v>0.49</c:v>
                </c:pt>
                <c:pt idx="149">
                  <c:v>0.49</c:v>
                </c:pt>
                <c:pt idx="150">
                  <c:v>0.49</c:v>
                </c:pt>
                <c:pt idx="151">
                  <c:v>0.49</c:v>
                </c:pt>
                <c:pt idx="152">
                  <c:v>0.49</c:v>
                </c:pt>
                <c:pt idx="153">
                  <c:v>0.49</c:v>
                </c:pt>
                <c:pt idx="154">
                  <c:v>0.49</c:v>
                </c:pt>
                <c:pt idx="155">
                  <c:v>0.48</c:v>
                </c:pt>
                <c:pt idx="156">
                  <c:v>0.48</c:v>
                </c:pt>
                <c:pt idx="157">
                  <c:v>0.48</c:v>
                </c:pt>
                <c:pt idx="158">
                  <c:v>0.48</c:v>
                </c:pt>
                <c:pt idx="159">
                  <c:v>0.48</c:v>
                </c:pt>
                <c:pt idx="160">
                  <c:v>0.48</c:v>
                </c:pt>
                <c:pt idx="161">
                  <c:v>0.48</c:v>
                </c:pt>
                <c:pt idx="162">
                  <c:v>0.48</c:v>
                </c:pt>
                <c:pt idx="163">
                  <c:v>0.48</c:v>
                </c:pt>
                <c:pt idx="164">
                  <c:v>0.48</c:v>
                </c:pt>
                <c:pt idx="165">
                  <c:v>0.48</c:v>
                </c:pt>
                <c:pt idx="166">
                  <c:v>0.48</c:v>
                </c:pt>
                <c:pt idx="167">
                  <c:v>0.48</c:v>
                </c:pt>
                <c:pt idx="168">
                  <c:v>0.49</c:v>
                </c:pt>
                <c:pt idx="169">
                  <c:v>0.49</c:v>
                </c:pt>
                <c:pt idx="170">
                  <c:v>0.49</c:v>
                </c:pt>
                <c:pt idx="171">
                  <c:v>0.49</c:v>
                </c:pt>
                <c:pt idx="172">
                  <c:v>0.49</c:v>
                </c:pt>
                <c:pt idx="173">
                  <c:v>0.49</c:v>
                </c:pt>
                <c:pt idx="174">
                  <c:v>0.49</c:v>
                </c:pt>
                <c:pt idx="175">
                  <c:v>0.49</c:v>
                </c:pt>
                <c:pt idx="176">
                  <c:v>0.49</c:v>
                </c:pt>
                <c:pt idx="177">
                  <c:v>0.49</c:v>
                </c:pt>
                <c:pt idx="178">
                  <c:v>0.49</c:v>
                </c:pt>
                <c:pt idx="179">
                  <c:v>0.49</c:v>
                </c:pt>
                <c:pt idx="180">
                  <c:v>0.49</c:v>
                </c:pt>
                <c:pt idx="181">
                  <c:v>0.49</c:v>
                </c:pt>
                <c:pt idx="182">
                  <c:v>0.49</c:v>
                </c:pt>
                <c:pt idx="183">
                  <c:v>0.49</c:v>
                </c:pt>
                <c:pt idx="184">
                  <c:v>0.49</c:v>
                </c:pt>
                <c:pt idx="185">
                  <c:v>0.49</c:v>
                </c:pt>
                <c:pt idx="186">
                  <c:v>0.49</c:v>
                </c:pt>
                <c:pt idx="187">
                  <c:v>0.49</c:v>
                </c:pt>
                <c:pt idx="188">
                  <c:v>0.49</c:v>
                </c:pt>
                <c:pt idx="189">
                  <c:v>0.49</c:v>
                </c:pt>
                <c:pt idx="190">
                  <c:v>0.49</c:v>
                </c:pt>
                <c:pt idx="191">
                  <c:v>0.49</c:v>
                </c:pt>
                <c:pt idx="192">
                  <c:v>0.48</c:v>
                </c:pt>
                <c:pt idx="193">
                  <c:v>0.48</c:v>
                </c:pt>
                <c:pt idx="194">
                  <c:v>0.48</c:v>
                </c:pt>
                <c:pt idx="195">
                  <c:v>0.48</c:v>
                </c:pt>
                <c:pt idx="196">
                  <c:v>0.48</c:v>
                </c:pt>
                <c:pt idx="197">
                  <c:v>0.48</c:v>
                </c:pt>
                <c:pt idx="198">
                  <c:v>0.48</c:v>
                </c:pt>
                <c:pt idx="199">
                  <c:v>0.49</c:v>
                </c:pt>
                <c:pt idx="200">
                  <c:v>0.49</c:v>
                </c:pt>
                <c:pt idx="201">
                  <c:v>0.49</c:v>
                </c:pt>
                <c:pt idx="202">
                  <c:v>0.5</c:v>
                </c:pt>
                <c:pt idx="203">
                  <c:v>0.5</c:v>
                </c:pt>
                <c:pt idx="204">
                  <c:v>0.5</c:v>
                </c:pt>
                <c:pt idx="205">
                  <c:v>0.5</c:v>
                </c:pt>
                <c:pt idx="206">
                  <c:v>0.51</c:v>
                </c:pt>
                <c:pt idx="207">
                  <c:v>0.51</c:v>
                </c:pt>
                <c:pt idx="208">
                  <c:v>0.52</c:v>
                </c:pt>
                <c:pt idx="209">
                  <c:v>0.52</c:v>
                </c:pt>
                <c:pt idx="210">
                  <c:v>0.53</c:v>
                </c:pt>
                <c:pt idx="211">
                  <c:v>0.53</c:v>
                </c:pt>
                <c:pt idx="212">
                  <c:v>0.54</c:v>
                </c:pt>
                <c:pt idx="213">
                  <c:v>0.54</c:v>
                </c:pt>
                <c:pt idx="214">
                  <c:v>0.55000000000000004</c:v>
                </c:pt>
                <c:pt idx="215">
                  <c:v>0.55000000000000004</c:v>
                </c:pt>
                <c:pt idx="216">
                  <c:v>0.56000000000000005</c:v>
                </c:pt>
                <c:pt idx="217">
                  <c:v>0.56000000000000005</c:v>
                </c:pt>
                <c:pt idx="218">
                  <c:v>0.56999999999999995</c:v>
                </c:pt>
                <c:pt idx="219">
                  <c:v>0.56999999999999995</c:v>
                </c:pt>
                <c:pt idx="220">
                  <c:v>0.57999999999999996</c:v>
                </c:pt>
                <c:pt idx="221">
                  <c:v>0.57999999999999996</c:v>
                </c:pt>
                <c:pt idx="222">
                  <c:v>0.57999999999999996</c:v>
                </c:pt>
                <c:pt idx="223">
                  <c:v>0.59</c:v>
                </c:pt>
                <c:pt idx="224">
                  <c:v>0.59</c:v>
                </c:pt>
                <c:pt idx="225">
                  <c:v>0.59</c:v>
                </c:pt>
                <c:pt idx="226">
                  <c:v>0.59</c:v>
                </c:pt>
                <c:pt idx="227">
                  <c:v>0.59</c:v>
                </c:pt>
                <c:pt idx="228">
                  <c:v>0.59</c:v>
                </c:pt>
                <c:pt idx="229">
                  <c:v>0.59</c:v>
                </c:pt>
                <c:pt idx="230">
                  <c:v>0.59</c:v>
                </c:pt>
                <c:pt idx="231">
                  <c:v>0.59</c:v>
                </c:pt>
                <c:pt idx="232">
                  <c:v>0.59</c:v>
                </c:pt>
                <c:pt idx="233">
                  <c:v>0.59</c:v>
                </c:pt>
                <c:pt idx="234">
                  <c:v>0.57999999999999996</c:v>
                </c:pt>
                <c:pt idx="235">
                  <c:v>0.57999999999999996</c:v>
                </c:pt>
                <c:pt idx="236">
                  <c:v>0.57999999999999996</c:v>
                </c:pt>
                <c:pt idx="237">
                  <c:v>0.57999999999999996</c:v>
                </c:pt>
                <c:pt idx="238">
                  <c:v>0.57999999999999996</c:v>
                </c:pt>
                <c:pt idx="239">
                  <c:v>0.57999999999999996</c:v>
                </c:pt>
                <c:pt idx="240">
                  <c:v>0.57999999999999996</c:v>
                </c:pt>
                <c:pt idx="241">
                  <c:v>0.57999999999999996</c:v>
                </c:pt>
                <c:pt idx="242">
                  <c:v>0.57999999999999996</c:v>
                </c:pt>
                <c:pt idx="243">
                  <c:v>0.57999999999999996</c:v>
                </c:pt>
                <c:pt idx="244">
                  <c:v>0.57999999999999996</c:v>
                </c:pt>
                <c:pt idx="245">
                  <c:v>0.57999999999999996</c:v>
                </c:pt>
                <c:pt idx="246">
                  <c:v>0.57999999999999996</c:v>
                </c:pt>
                <c:pt idx="247">
                  <c:v>0.57999999999999996</c:v>
                </c:pt>
                <c:pt idx="248">
                  <c:v>0.57999999999999996</c:v>
                </c:pt>
                <c:pt idx="249">
                  <c:v>0.57999999999999996</c:v>
                </c:pt>
                <c:pt idx="250">
                  <c:v>0.57999999999999996</c:v>
                </c:pt>
                <c:pt idx="251">
                  <c:v>0.57999999999999996</c:v>
                </c:pt>
                <c:pt idx="252">
                  <c:v>0.57999999999999996</c:v>
                </c:pt>
                <c:pt idx="253">
                  <c:v>0.57999999999999996</c:v>
                </c:pt>
                <c:pt idx="254">
                  <c:v>0.57999999999999996</c:v>
                </c:pt>
                <c:pt idx="255">
                  <c:v>0.57999999999999996</c:v>
                </c:pt>
                <c:pt idx="256">
                  <c:v>0.57999999999999996</c:v>
                </c:pt>
                <c:pt idx="257">
                  <c:v>0.57999999999999996</c:v>
                </c:pt>
                <c:pt idx="258">
                  <c:v>0.57999999999999996</c:v>
                </c:pt>
                <c:pt idx="259">
                  <c:v>0.57999999999999996</c:v>
                </c:pt>
                <c:pt idx="260">
                  <c:v>0.57999999999999996</c:v>
                </c:pt>
                <c:pt idx="261">
                  <c:v>0.57999999999999996</c:v>
                </c:pt>
                <c:pt idx="262">
                  <c:v>0.57999999999999996</c:v>
                </c:pt>
                <c:pt idx="263">
                  <c:v>0.57999999999999996</c:v>
                </c:pt>
                <c:pt idx="264">
                  <c:v>0.56999999999999995</c:v>
                </c:pt>
                <c:pt idx="265">
                  <c:v>0.56999999999999995</c:v>
                </c:pt>
                <c:pt idx="266">
                  <c:v>0.56999999999999995</c:v>
                </c:pt>
                <c:pt idx="267">
                  <c:v>0.56999999999999995</c:v>
                </c:pt>
                <c:pt idx="268">
                  <c:v>0.56999999999999995</c:v>
                </c:pt>
                <c:pt idx="269">
                  <c:v>0.56999999999999995</c:v>
                </c:pt>
                <c:pt idx="270">
                  <c:v>0.56999999999999995</c:v>
                </c:pt>
                <c:pt idx="271">
                  <c:v>0.56999999999999995</c:v>
                </c:pt>
                <c:pt idx="272">
                  <c:v>0.56999999999999995</c:v>
                </c:pt>
                <c:pt idx="273">
                  <c:v>0.56999999999999995</c:v>
                </c:pt>
                <c:pt idx="274">
                  <c:v>0.56999999999999995</c:v>
                </c:pt>
                <c:pt idx="275">
                  <c:v>0.56999999999999995</c:v>
                </c:pt>
                <c:pt idx="276">
                  <c:v>0.56999999999999995</c:v>
                </c:pt>
                <c:pt idx="277">
                  <c:v>0.56999999999999995</c:v>
                </c:pt>
                <c:pt idx="278">
                  <c:v>0.56999999999999995</c:v>
                </c:pt>
                <c:pt idx="279">
                  <c:v>0.56999999999999995</c:v>
                </c:pt>
                <c:pt idx="280">
                  <c:v>0.56999999999999995</c:v>
                </c:pt>
                <c:pt idx="281">
                  <c:v>0.56999999999999995</c:v>
                </c:pt>
                <c:pt idx="282">
                  <c:v>0.56999999999999995</c:v>
                </c:pt>
                <c:pt idx="283">
                  <c:v>0.56999999999999995</c:v>
                </c:pt>
                <c:pt idx="284">
                  <c:v>0.56999999999999995</c:v>
                </c:pt>
                <c:pt idx="285">
                  <c:v>0.56999999999999995</c:v>
                </c:pt>
                <c:pt idx="286">
                  <c:v>0.56999999999999995</c:v>
                </c:pt>
                <c:pt idx="287">
                  <c:v>0.56999999999999995</c:v>
                </c:pt>
                <c:pt idx="288">
                  <c:v>0.56999999999999995</c:v>
                </c:pt>
                <c:pt idx="289">
                  <c:v>0.56999999999999995</c:v>
                </c:pt>
                <c:pt idx="290">
                  <c:v>0.56999999999999995</c:v>
                </c:pt>
                <c:pt idx="291">
                  <c:v>0.56999999999999995</c:v>
                </c:pt>
                <c:pt idx="292">
                  <c:v>0.56999999999999995</c:v>
                </c:pt>
                <c:pt idx="293">
                  <c:v>0.56999999999999995</c:v>
                </c:pt>
                <c:pt idx="294">
                  <c:v>0.56000000000000005</c:v>
                </c:pt>
                <c:pt idx="295">
                  <c:v>0.56000000000000005</c:v>
                </c:pt>
                <c:pt idx="296">
                  <c:v>0.56000000000000005</c:v>
                </c:pt>
                <c:pt idx="297">
                  <c:v>0.56000000000000005</c:v>
                </c:pt>
                <c:pt idx="298">
                  <c:v>0.55000000000000004</c:v>
                </c:pt>
                <c:pt idx="299">
                  <c:v>0.55000000000000004</c:v>
                </c:pt>
                <c:pt idx="300">
                  <c:v>0.55000000000000004</c:v>
                </c:pt>
                <c:pt idx="301">
                  <c:v>0.55000000000000004</c:v>
                </c:pt>
                <c:pt idx="302">
                  <c:v>0.54</c:v>
                </c:pt>
                <c:pt idx="303">
                  <c:v>0.54</c:v>
                </c:pt>
                <c:pt idx="304">
                  <c:v>0.54</c:v>
                </c:pt>
                <c:pt idx="305">
                  <c:v>0.54</c:v>
                </c:pt>
                <c:pt idx="306">
                  <c:v>0.53</c:v>
                </c:pt>
                <c:pt idx="307">
                  <c:v>0.53</c:v>
                </c:pt>
                <c:pt idx="308">
                  <c:v>0.53</c:v>
                </c:pt>
                <c:pt idx="309">
                  <c:v>0.53</c:v>
                </c:pt>
                <c:pt idx="310">
                  <c:v>0.52</c:v>
                </c:pt>
                <c:pt idx="311">
                  <c:v>0.52</c:v>
                </c:pt>
                <c:pt idx="312">
                  <c:v>0.52</c:v>
                </c:pt>
                <c:pt idx="313">
                  <c:v>0.52</c:v>
                </c:pt>
                <c:pt idx="314">
                  <c:v>0.51</c:v>
                </c:pt>
                <c:pt idx="315">
                  <c:v>0.51</c:v>
                </c:pt>
                <c:pt idx="316">
                  <c:v>0.51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0.49</c:v>
                </c:pt>
                <c:pt idx="361">
                  <c:v>0.49</c:v>
                </c:pt>
                <c:pt idx="362">
                  <c:v>0.49</c:v>
                </c:pt>
                <c:pt idx="363">
                  <c:v>0.49</c:v>
                </c:pt>
                <c:pt idx="364">
                  <c:v>0.49</c:v>
                </c:pt>
                <c:pt idx="365">
                  <c:v>0.49</c:v>
                </c:pt>
                <c:pt idx="366">
                  <c:v>0.49</c:v>
                </c:pt>
                <c:pt idx="367">
                  <c:v>0.49</c:v>
                </c:pt>
                <c:pt idx="368">
                  <c:v>0.49</c:v>
                </c:pt>
                <c:pt idx="369">
                  <c:v>0.49</c:v>
                </c:pt>
                <c:pt idx="370">
                  <c:v>0.49</c:v>
                </c:pt>
                <c:pt idx="371">
                  <c:v>0.49</c:v>
                </c:pt>
                <c:pt idx="372">
                  <c:v>0.49</c:v>
                </c:pt>
                <c:pt idx="373">
                  <c:v>0.49</c:v>
                </c:pt>
                <c:pt idx="374">
                  <c:v>0.49</c:v>
                </c:pt>
                <c:pt idx="375">
                  <c:v>0.49</c:v>
                </c:pt>
                <c:pt idx="376">
                  <c:v>0.49</c:v>
                </c:pt>
                <c:pt idx="377">
                  <c:v>0.49</c:v>
                </c:pt>
                <c:pt idx="378">
                  <c:v>0.49</c:v>
                </c:pt>
                <c:pt idx="379">
                  <c:v>0.49</c:v>
                </c:pt>
                <c:pt idx="380">
                  <c:v>0.49</c:v>
                </c:pt>
                <c:pt idx="381">
                  <c:v>0.49</c:v>
                </c:pt>
                <c:pt idx="382">
                  <c:v>0.49</c:v>
                </c:pt>
                <c:pt idx="383">
                  <c:v>0.49</c:v>
                </c:pt>
                <c:pt idx="384">
                  <c:v>0.48</c:v>
                </c:pt>
                <c:pt idx="385">
                  <c:v>0.48</c:v>
                </c:pt>
                <c:pt idx="386">
                  <c:v>0.48</c:v>
                </c:pt>
                <c:pt idx="387">
                  <c:v>0.48</c:v>
                </c:pt>
                <c:pt idx="388">
                  <c:v>0.48</c:v>
                </c:pt>
                <c:pt idx="389">
                  <c:v>0.48</c:v>
                </c:pt>
                <c:pt idx="390">
                  <c:v>0.48</c:v>
                </c:pt>
                <c:pt idx="391">
                  <c:v>0.48</c:v>
                </c:pt>
                <c:pt idx="392">
                  <c:v>0.48</c:v>
                </c:pt>
                <c:pt idx="393">
                  <c:v>0.48</c:v>
                </c:pt>
                <c:pt idx="394">
                  <c:v>0.48</c:v>
                </c:pt>
                <c:pt idx="395">
                  <c:v>0.48</c:v>
                </c:pt>
                <c:pt idx="396">
                  <c:v>0.48</c:v>
                </c:pt>
                <c:pt idx="397">
                  <c:v>0.48</c:v>
                </c:pt>
                <c:pt idx="398">
                  <c:v>0.48</c:v>
                </c:pt>
                <c:pt idx="399">
                  <c:v>0.48</c:v>
                </c:pt>
                <c:pt idx="400">
                  <c:v>0.48</c:v>
                </c:pt>
                <c:pt idx="401">
                  <c:v>0.48</c:v>
                </c:pt>
                <c:pt idx="402">
                  <c:v>0.48</c:v>
                </c:pt>
                <c:pt idx="403">
                  <c:v>0.48</c:v>
                </c:pt>
                <c:pt idx="404">
                  <c:v>0.48</c:v>
                </c:pt>
                <c:pt idx="405">
                  <c:v>0.48</c:v>
                </c:pt>
                <c:pt idx="406">
                  <c:v>0.48</c:v>
                </c:pt>
                <c:pt idx="407">
                  <c:v>0.48</c:v>
                </c:pt>
                <c:pt idx="408">
                  <c:v>0.48</c:v>
                </c:pt>
                <c:pt idx="409">
                  <c:v>0.48</c:v>
                </c:pt>
                <c:pt idx="410">
                  <c:v>0.48</c:v>
                </c:pt>
                <c:pt idx="411">
                  <c:v>0.48</c:v>
                </c:pt>
                <c:pt idx="412">
                  <c:v>0.48</c:v>
                </c:pt>
                <c:pt idx="413">
                  <c:v>0.48</c:v>
                </c:pt>
                <c:pt idx="414">
                  <c:v>0.48</c:v>
                </c:pt>
                <c:pt idx="415">
                  <c:v>0.48</c:v>
                </c:pt>
                <c:pt idx="416">
                  <c:v>0.48</c:v>
                </c:pt>
                <c:pt idx="417">
                  <c:v>0.48</c:v>
                </c:pt>
                <c:pt idx="418">
                  <c:v>0.48</c:v>
                </c:pt>
                <c:pt idx="419">
                  <c:v>0.48</c:v>
                </c:pt>
                <c:pt idx="420">
                  <c:v>0.48</c:v>
                </c:pt>
                <c:pt idx="421">
                  <c:v>0.48</c:v>
                </c:pt>
                <c:pt idx="422">
                  <c:v>0.48</c:v>
                </c:pt>
                <c:pt idx="423">
                  <c:v>0.48</c:v>
                </c:pt>
                <c:pt idx="424">
                  <c:v>0.48</c:v>
                </c:pt>
                <c:pt idx="425">
                  <c:v>0.48</c:v>
                </c:pt>
                <c:pt idx="426">
                  <c:v>0.48</c:v>
                </c:pt>
                <c:pt idx="427">
                  <c:v>0.48</c:v>
                </c:pt>
                <c:pt idx="428">
                  <c:v>0.48</c:v>
                </c:pt>
                <c:pt idx="429">
                  <c:v>0.48</c:v>
                </c:pt>
                <c:pt idx="430">
                  <c:v>0.48</c:v>
                </c:pt>
                <c:pt idx="431">
                  <c:v>0.48</c:v>
                </c:pt>
                <c:pt idx="432">
                  <c:v>0.48</c:v>
                </c:pt>
                <c:pt idx="433">
                  <c:v>0.48</c:v>
                </c:pt>
                <c:pt idx="434">
                  <c:v>0.48</c:v>
                </c:pt>
                <c:pt idx="435">
                  <c:v>0.48</c:v>
                </c:pt>
                <c:pt idx="436">
                  <c:v>0.48</c:v>
                </c:pt>
                <c:pt idx="437">
                  <c:v>0.48</c:v>
                </c:pt>
                <c:pt idx="438">
                  <c:v>0.48</c:v>
                </c:pt>
                <c:pt idx="439">
                  <c:v>0.47</c:v>
                </c:pt>
                <c:pt idx="440">
                  <c:v>0.46</c:v>
                </c:pt>
                <c:pt idx="441">
                  <c:v>0.45</c:v>
                </c:pt>
                <c:pt idx="442">
                  <c:v>0.44</c:v>
                </c:pt>
                <c:pt idx="443">
                  <c:v>0.43</c:v>
                </c:pt>
                <c:pt idx="444">
                  <c:v>0.41</c:v>
                </c:pt>
                <c:pt idx="445">
                  <c:v>0.39</c:v>
                </c:pt>
                <c:pt idx="446">
                  <c:v>0.37</c:v>
                </c:pt>
                <c:pt idx="447">
                  <c:v>0.35</c:v>
                </c:pt>
                <c:pt idx="448">
                  <c:v>0.33</c:v>
                </c:pt>
                <c:pt idx="449">
                  <c:v>0.31</c:v>
                </c:pt>
                <c:pt idx="450">
                  <c:v>0.28999999999999998</c:v>
                </c:pt>
                <c:pt idx="451">
                  <c:v>0.27</c:v>
                </c:pt>
                <c:pt idx="452">
                  <c:v>0.25</c:v>
                </c:pt>
                <c:pt idx="453">
                  <c:v>0.24</c:v>
                </c:pt>
                <c:pt idx="454">
                  <c:v>0.23</c:v>
                </c:pt>
                <c:pt idx="455">
                  <c:v>0.22</c:v>
                </c:pt>
                <c:pt idx="456">
                  <c:v>0.21</c:v>
                </c:pt>
                <c:pt idx="457">
                  <c:v>0.2</c:v>
                </c:pt>
                <c:pt idx="458">
                  <c:v>0.19</c:v>
                </c:pt>
                <c:pt idx="459">
                  <c:v>0.18</c:v>
                </c:pt>
                <c:pt idx="460">
                  <c:v>0.17</c:v>
                </c:pt>
                <c:pt idx="461">
                  <c:v>0.16</c:v>
                </c:pt>
                <c:pt idx="462">
                  <c:v>0.15</c:v>
                </c:pt>
                <c:pt idx="463">
                  <c:v>0.14000000000000001</c:v>
                </c:pt>
                <c:pt idx="464">
                  <c:v>0.14000000000000001</c:v>
                </c:pt>
                <c:pt idx="465">
                  <c:v>0.14000000000000001</c:v>
                </c:pt>
                <c:pt idx="466">
                  <c:v>0.14000000000000001</c:v>
                </c:pt>
                <c:pt idx="467">
                  <c:v>0.13</c:v>
                </c:pt>
                <c:pt idx="468">
                  <c:v>0.13</c:v>
                </c:pt>
                <c:pt idx="469">
                  <c:v>0.13</c:v>
                </c:pt>
                <c:pt idx="470">
                  <c:v>0.13</c:v>
                </c:pt>
                <c:pt idx="471">
                  <c:v>0.13</c:v>
                </c:pt>
                <c:pt idx="472">
                  <c:v>0.13</c:v>
                </c:pt>
                <c:pt idx="473">
                  <c:v>0.14000000000000001</c:v>
                </c:pt>
                <c:pt idx="474">
                  <c:v>0.14000000000000001</c:v>
                </c:pt>
                <c:pt idx="475">
                  <c:v>0.14000000000000001</c:v>
                </c:pt>
                <c:pt idx="476">
                  <c:v>0.15</c:v>
                </c:pt>
                <c:pt idx="477">
                  <c:v>0.15</c:v>
                </c:pt>
                <c:pt idx="478">
                  <c:v>0.16</c:v>
                </c:pt>
                <c:pt idx="479">
                  <c:v>0.16</c:v>
                </c:pt>
                <c:pt idx="480">
                  <c:v>0.17</c:v>
                </c:pt>
                <c:pt idx="481">
                  <c:v>0.17</c:v>
                </c:pt>
                <c:pt idx="482">
                  <c:v>0.18</c:v>
                </c:pt>
                <c:pt idx="483">
                  <c:v>0.18</c:v>
                </c:pt>
                <c:pt idx="484">
                  <c:v>0.19</c:v>
                </c:pt>
                <c:pt idx="485">
                  <c:v>0.19</c:v>
                </c:pt>
                <c:pt idx="486">
                  <c:v>0.2</c:v>
                </c:pt>
                <c:pt idx="487">
                  <c:v>0.2</c:v>
                </c:pt>
                <c:pt idx="488">
                  <c:v>0.21</c:v>
                </c:pt>
                <c:pt idx="489">
                  <c:v>0.21</c:v>
                </c:pt>
                <c:pt idx="490">
                  <c:v>0.22</c:v>
                </c:pt>
                <c:pt idx="491">
                  <c:v>0.22</c:v>
                </c:pt>
                <c:pt idx="492">
                  <c:v>0.23</c:v>
                </c:pt>
                <c:pt idx="493">
                  <c:v>0.24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0.24</c:v>
                </c:pt>
                <c:pt idx="503">
                  <c:v>0.24</c:v>
                </c:pt>
                <c:pt idx="504">
                  <c:v>0.23</c:v>
                </c:pt>
                <c:pt idx="505">
                  <c:v>0.23</c:v>
                </c:pt>
                <c:pt idx="506">
                  <c:v>0.22</c:v>
                </c:pt>
                <c:pt idx="507">
                  <c:v>0.22</c:v>
                </c:pt>
                <c:pt idx="508">
                  <c:v>0.21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0.19</c:v>
                </c:pt>
                <c:pt idx="516">
                  <c:v>0.19</c:v>
                </c:pt>
                <c:pt idx="517">
                  <c:v>0.19</c:v>
                </c:pt>
                <c:pt idx="518">
                  <c:v>0.19</c:v>
                </c:pt>
                <c:pt idx="519">
                  <c:v>0.19</c:v>
                </c:pt>
                <c:pt idx="520">
                  <c:v>0.19</c:v>
                </c:pt>
                <c:pt idx="521">
                  <c:v>0.19</c:v>
                </c:pt>
                <c:pt idx="522">
                  <c:v>0.18</c:v>
                </c:pt>
                <c:pt idx="523">
                  <c:v>0.18</c:v>
                </c:pt>
                <c:pt idx="524">
                  <c:v>0.18</c:v>
                </c:pt>
                <c:pt idx="525">
                  <c:v>0.18</c:v>
                </c:pt>
                <c:pt idx="526">
                  <c:v>0.18</c:v>
                </c:pt>
                <c:pt idx="527">
                  <c:v>0.18</c:v>
                </c:pt>
                <c:pt idx="528">
                  <c:v>0.19</c:v>
                </c:pt>
                <c:pt idx="529">
                  <c:v>0.19</c:v>
                </c:pt>
                <c:pt idx="530">
                  <c:v>0.19</c:v>
                </c:pt>
                <c:pt idx="531">
                  <c:v>0.19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0.19</c:v>
                </c:pt>
                <c:pt idx="538">
                  <c:v>0.19</c:v>
                </c:pt>
                <c:pt idx="539">
                  <c:v>0.18</c:v>
                </c:pt>
                <c:pt idx="540">
                  <c:v>0.18</c:v>
                </c:pt>
                <c:pt idx="541">
                  <c:v>0.18</c:v>
                </c:pt>
                <c:pt idx="542">
                  <c:v>0.18</c:v>
                </c:pt>
                <c:pt idx="543">
                  <c:v>0.18</c:v>
                </c:pt>
                <c:pt idx="544">
                  <c:v>0.18</c:v>
                </c:pt>
                <c:pt idx="545">
                  <c:v>0.18</c:v>
                </c:pt>
                <c:pt idx="546">
                  <c:v>0.19</c:v>
                </c:pt>
                <c:pt idx="547">
                  <c:v>0.19</c:v>
                </c:pt>
                <c:pt idx="548">
                  <c:v>0.19</c:v>
                </c:pt>
                <c:pt idx="549">
                  <c:v>0.19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0.21</c:v>
                </c:pt>
                <c:pt idx="554">
                  <c:v>0.21</c:v>
                </c:pt>
                <c:pt idx="555">
                  <c:v>0.21</c:v>
                </c:pt>
                <c:pt idx="556">
                  <c:v>0.21</c:v>
                </c:pt>
                <c:pt idx="557">
                  <c:v>0.22</c:v>
                </c:pt>
                <c:pt idx="558">
                  <c:v>0.22</c:v>
                </c:pt>
                <c:pt idx="559">
                  <c:v>0.22</c:v>
                </c:pt>
                <c:pt idx="560">
                  <c:v>0.22</c:v>
                </c:pt>
                <c:pt idx="561">
                  <c:v>0.22</c:v>
                </c:pt>
                <c:pt idx="562">
                  <c:v>0.22</c:v>
                </c:pt>
                <c:pt idx="563">
                  <c:v>0.22</c:v>
                </c:pt>
                <c:pt idx="564">
                  <c:v>0.21</c:v>
                </c:pt>
                <c:pt idx="565">
                  <c:v>0.21</c:v>
                </c:pt>
                <c:pt idx="566">
                  <c:v>0.21</c:v>
                </c:pt>
                <c:pt idx="567">
                  <c:v>0.21</c:v>
                </c:pt>
                <c:pt idx="568">
                  <c:v>0.21</c:v>
                </c:pt>
                <c:pt idx="569">
                  <c:v>0.21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0.19</c:v>
                </c:pt>
                <c:pt idx="577">
                  <c:v>0.19</c:v>
                </c:pt>
                <c:pt idx="578">
                  <c:v>0.19</c:v>
                </c:pt>
                <c:pt idx="579">
                  <c:v>0.19</c:v>
                </c:pt>
                <c:pt idx="580">
                  <c:v>0.19</c:v>
                </c:pt>
                <c:pt idx="581">
                  <c:v>0.19</c:v>
                </c:pt>
                <c:pt idx="582">
                  <c:v>0.18</c:v>
                </c:pt>
                <c:pt idx="583">
                  <c:v>0.18</c:v>
                </c:pt>
                <c:pt idx="584">
                  <c:v>0.18</c:v>
                </c:pt>
                <c:pt idx="585">
                  <c:v>0.18</c:v>
                </c:pt>
                <c:pt idx="586">
                  <c:v>0.18</c:v>
                </c:pt>
                <c:pt idx="587">
                  <c:v>0.18</c:v>
                </c:pt>
                <c:pt idx="588">
                  <c:v>0.17</c:v>
                </c:pt>
                <c:pt idx="589">
                  <c:v>0.17</c:v>
                </c:pt>
                <c:pt idx="590">
                  <c:v>0.17</c:v>
                </c:pt>
                <c:pt idx="591">
                  <c:v>0.17</c:v>
                </c:pt>
                <c:pt idx="592">
                  <c:v>0.17</c:v>
                </c:pt>
                <c:pt idx="593">
                  <c:v>0.17</c:v>
                </c:pt>
                <c:pt idx="594">
                  <c:v>0.16</c:v>
                </c:pt>
                <c:pt idx="595">
                  <c:v>0.16</c:v>
                </c:pt>
                <c:pt idx="596">
                  <c:v>0.16</c:v>
                </c:pt>
                <c:pt idx="597">
                  <c:v>0.16</c:v>
                </c:pt>
                <c:pt idx="598">
                  <c:v>0.16</c:v>
                </c:pt>
                <c:pt idx="599">
                  <c:v>0.16</c:v>
                </c:pt>
                <c:pt idx="600">
                  <c:v>0.15</c:v>
                </c:pt>
                <c:pt idx="601">
                  <c:v>0.15</c:v>
                </c:pt>
                <c:pt idx="602">
                  <c:v>0.15</c:v>
                </c:pt>
                <c:pt idx="603">
                  <c:v>0.15</c:v>
                </c:pt>
                <c:pt idx="604">
                  <c:v>0.15</c:v>
                </c:pt>
                <c:pt idx="605">
                  <c:v>0.14000000000000001</c:v>
                </c:pt>
                <c:pt idx="606">
                  <c:v>0.14000000000000001</c:v>
                </c:pt>
                <c:pt idx="607">
                  <c:v>0.14000000000000001</c:v>
                </c:pt>
                <c:pt idx="608">
                  <c:v>0.14000000000000001</c:v>
                </c:pt>
                <c:pt idx="609">
                  <c:v>0.14000000000000001</c:v>
                </c:pt>
                <c:pt idx="610">
                  <c:v>0.14000000000000001</c:v>
                </c:pt>
                <c:pt idx="611">
                  <c:v>0.14000000000000001</c:v>
                </c:pt>
                <c:pt idx="612">
                  <c:v>0.15</c:v>
                </c:pt>
                <c:pt idx="613">
                  <c:v>0.15</c:v>
                </c:pt>
                <c:pt idx="614">
                  <c:v>0.15</c:v>
                </c:pt>
                <c:pt idx="615">
                  <c:v>0.15</c:v>
                </c:pt>
                <c:pt idx="616">
                  <c:v>0.15</c:v>
                </c:pt>
                <c:pt idx="617">
                  <c:v>0.15</c:v>
                </c:pt>
                <c:pt idx="618">
                  <c:v>0.16</c:v>
                </c:pt>
                <c:pt idx="619">
                  <c:v>0.16</c:v>
                </c:pt>
                <c:pt idx="620">
                  <c:v>0.16</c:v>
                </c:pt>
                <c:pt idx="621">
                  <c:v>0.16</c:v>
                </c:pt>
                <c:pt idx="622">
                  <c:v>0.16</c:v>
                </c:pt>
                <c:pt idx="623">
                  <c:v>0.16</c:v>
                </c:pt>
                <c:pt idx="624">
                  <c:v>0.17</c:v>
                </c:pt>
                <c:pt idx="625">
                  <c:v>0.17</c:v>
                </c:pt>
                <c:pt idx="626">
                  <c:v>0.17</c:v>
                </c:pt>
                <c:pt idx="627">
                  <c:v>0.17</c:v>
                </c:pt>
                <c:pt idx="628">
                  <c:v>0.17</c:v>
                </c:pt>
                <c:pt idx="629">
                  <c:v>0.18</c:v>
                </c:pt>
                <c:pt idx="630">
                  <c:v>0.18</c:v>
                </c:pt>
                <c:pt idx="631">
                  <c:v>0.18</c:v>
                </c:pt>
                <c:pt idx="632">
                  <c:v>0.18</c:v>
                </c:pt>
                <c:pt idx="633">
                  <c:v>0.18</c:v>
                </c:pt>
                <c:pt idx="634">
                  <c:v>0.18</c:v>
                </c:pt>
                <c:pt idx="635">
                  <c:v>0.18</c:v>
                </c:pt>
                <c:pt idx="636">
                  <c:v>0.18</c:v>
                </c:pt>
                <c:pt idx="637">
                  <c:v>0.18</c:v>
                </c:pt>
                <c:pt idx="638">
                  <c:v>0.18</c:v>
                </c:pt>
                <c:pt idx="639">
                  <c:v>0.18</c:v>
                </c:pt>
                <c:pt idx="640">
                  <c:v>0.18</c:v>
                </c:pt>
                <c:pt idx="641">
                  <c:v>0.18</c:v>
                </c:pt>
                <c:pt idx="642">
                  <c:v>0.18</c:v>
                </c:pt>
                <c:pt idx="643">
                  <c:v>0.18</c:v>
                </c:pt>
                <c:pt idx="644">
                  <c:v>0.18</c:v>
                </c:pt>
                <c:pt idx="645">
                  <c:v>0.18</c:v>
                </c:pt>
                <c:pt idx="646">
                  <c:v>0.18</c:v>
                </c:pt>
                <c:pt idx="647">
                  <c:v>0.18</c:v>
                </c:pt>
                <c:pt idx="648">
                  <c:v>0.18</c:v>
                </c:pt>
                <c:pt idx="649">
                  <c:v>0.18</c:v>
                </c:pt>
                <c:pt idx="650">
                  <c:v>0.18</c:v>
                </c:pt>
                <c:pt idx="651">
                  <c:v>0.18</c:v>
                </c:pt>
                <c:pt idx="652">
                  <c:v>0.18</c:v>
                </c:pt>
                <c:pt idx="653">
                  <c:v>0.18</c:v>
                </c:pt>
                <c:pt idx="654">
                  <c:v>0.18</c:v>
                </c:pt>
                <c:pt idx="655">
                  <c:v>0.18</c:v>
                </c:pt>
                <c:pt idx="656">
                  <c:v>0.18</c:v>
                </c:pt>
                <c:pt idx="657">
                  <c:v>0.18</c:v>
                </c:pt>
                <c:pt idx="658">
                  <c:v>0.18</c:v>
                </c:pt>
                <c:pt idx="659">
                  <c:v>0.18</c:v>
                </c:pt>
                <c:pt idx="660">
                  <c:v>0.18</c:v>
                </c:pt>
                <c:pt idx="661">
                  <c:v>0.18</c:v>
                </c:pt>
                <c:pt idx="662">
                  <c:v>0.18</c:v>
                </c:pt>
                <c:pt idx="663">
                  <c:v>0.18</c:v>
                </c:pt>
                <c:pt idx="664">
                  <c:v>0.18</c:v>
                </c:pt>
                <c:pt idx="665">
                  <c:v>0.18</c:v>
                </c:pt>
                <c:pt idx="666">
                  <c:v>0.18</c:v>
                </c:pt>
                <c:pt idx="667">
                  <c:v>0.18</c:v>
                </c:pt>
                <c:pt idx="668">
                  <c:v>0.18</c:v>
                </c:pt>
                <c:pt idx="669">
                  <c:v>0.18</c:v>
                </c:pt>
                <c:pt idx="670">
                  <c:v>0.18</c:v>
                </c:pt>
                <c:pt idx="671">
                  <c:v>0.18</c:v>
                </c:pt>
                <c:pt idx="672">
                  <c:v>0.18</c:v>
                </c:pt>
                <c:pt idx="673">
                  <c:v>0.18</c:v>
                </c:pt>
                <c:pt idx="674">
                  <c:v>0.18</c:v>
                </c:pt>
                <c:pt idx="675">
                  <c:v>0.18</c:v>
                </c:pt>
                <c:pt idx="676">
                  <c:v>0.18</c:v>
                </c:pt>
                <c:pt idx="677">
                  <c:v>0.18</c:v>
                </c:pt>
                <c:pt idx="678">
                  <c:v>0.19</c:v>
                </c:pt>
                <c:pt idx="679">
                  <c:v>0.19</c:v>
                </c:pt>
                <c:pt idx="680">
                  <c:v>0.19</c:v>
                </c:pt>
                <c:pt idx="681">
                  <c:v>0.19</c:v>
                </c:pt>
                <c:pt idx="682">
                  <c:v>0.19</c:v>
                </c:pt>
                <c:pt idx="683">
                  <c:v>0.19</c:v>
                </c:pt>
                <c:pt idx="684">
                  <c:v>0.19</c:v>
                </c:pt>
                <c:pt idx="685">
                  <c:v>0.19</c:v>
                </c:pt>
                <c:pt idx="686">
                  <c:v>0.19</c:v>
                </c:pt>
                <c:pt idx="687">
                  <c:v>0.19</c:v>
                </c:pt>
                <c:pt idx="688">
                  <c:v>0.19</c:v>
                </c:pt>
                <c:pt idx="689">
                  <c:v>0.19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0.21</c:v>
                </c:pt>
                <c:pt idx="703">
                  <c:v>0.21</c:v>
                </c:pt>
                <c:pt idx="704">
                  <c:v>0.21</c:v>
                </c:pt>
                <c:pt idx="705">
                  <c:v>0.21</c:v>
                </c:pt>
                <c:pt idx="706">
                  <c:v>0.21</c:v>
                </c:pt>
                <c:pt idx="707">
                  <c:v>0.21</c:v>
                </c:pt>
                <c:pt idx="708">
                  <c:v>0.21</c:v>
                </c:pt>
                <c:pt idx="709">
                  <c:v>0.21</c:v>
                </c:pt>
                <c:pt idx="710">
                  <c:v>0.21</c:v>
                </c:pt>
                <c:pt idx="711">
                  <c:v>0.21</c:v>
                </c:pt>
                <c:pt idx="712">
                  <c:v>0.21</c:v>
                </c:pt>
                <c:pt idx="713">
                  <c:v>0.21</c:v>
                </c:pt>
                <c:pt idx="714">
                  <c:v>0.22</c:v>
                </c:pt>
                <c:pt idx="715">
                  <c:v>0.22</c:v>
                </c:pt>
                <c:pt idx="716">
                  <c:v>0.22</c:v>
                </c:pt>
                <c:pt idx="717">
                  <c:v>0.22</c:v>
                </c:pt>
                <c:pt idx="718">
                  <c:v>0.22</c:v>
                </c:pt>
                <c:pt idx="719">
                  <c:v>0.22</c:v>
                </c:pt>
                <c:pt idx="720">
                  <c:v>0.23</c:v>
                </c:pt>
                <c:pt idx="721">
                  <c:v>0.23</c:v>
                </c:pt>
                <c:pt idx="722">
                  <c:v>0.23</c:v>
                </c:pt>
                <c:pt idx="723">
                  <c:v>0.23</c:v>
                </c:pt>
                <c:pt idx="724">
                  <c:v>0.23</c:v>
                </c:pt>
                <c:pt idx="725">
                  <c:v>0.23</c:v>
                </c:pt>
                <c:pt idx="726">
                  <c:v>0.23</c:v>
                </c:pt>
                <c:pt idx="727">
                  <c:v>0.23</c:v>
                </c:pt>
                <c:pt idx="728">
                  <c:v>0.23</c:v>
                </c:pt>
                <c:pt idx="729">
                  <c:v>0.23</c:v>
                </c:pt>
                <c:pt idx="730">
                  <c:v>0.23</c:v>
                </c:pt>
                <c:pt idx="731">
                  <c:v>0.23</c:v>
                </c:pt>
                <c:pt idx="732">
                  <c:v>0.23</c:v>
                </c:pt>
                <c:pt idx="733">
                  <c:v>0.23</c:v>
                </c:pt>
                <c:pt idx="734">
                  <c:v>0.23</c:v>
                </c:pt>
                <c:pt idx="735">
                  <c:v>0.23</c:v>
                </c:pt>
                <c:pt idx="736">
                  <c:v>0.23</c:v>
                </c:pt>
                <c:pt idx="737">
                  <c:v>0.23</c:v>
                </c:pt>
                <c:pt idx="738">
                  <c:v>0.23</c:v>
                </c:pt>
                <c:pt idx="739">
                  <c:v>0.23</c:v>
                </c:pt>
                <c:pt idx="740">
                  <c:v>0.23</c:v>
                </c:pt>
                <c:pt idx="741">
                  <c:v>0.23</c:v>
                </c:pt>
                <c:pt idx="742">
                  <c:v>0.23</c:v>
                </c:pt>
                <c:pt idx="743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71904"/>
        <c:axId val="85374080"/>
      </c:scatterChart>
      <c:valAx>
        <c:axId val="85371904"/>
        <c:scaling>
          <c:orientation val="minMax"/>
          <c:max val="750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66FF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5374080"/>
        <c:crosses val="autoZero"/>
        <c:crossBetween val="midCat"/>
        <c:majorUnit val="24"/>
        <c:minorUnit val="1.5"/>
      </c:valAx>
      <c:valAx>
        <c:axId val="85374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53719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690259493594729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2.58677227444165E-2"/>
          <c:y val="0.13204236703135921"/>
          <c:w val="0.94302584182176608"/>
          <c:h val="0.72359217133184839"/>
        </c:manualLayout>
      </c:layout>
      <c:scatterChart>
        <c:scatterStyle val="lineMarker"/>
        <c:varyColors val="0"/>
        <c:ser>
          <c:idx val="0"/>
          <c:order val="0"/>
          <c:tx>
            <c:v>Hourly-June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'Graph-Hou'!$BN$2:$BN$721</c:f>
              <c:numCache>
                <c:formatCode>General</c:formatCode>
                <c:ptCount val="7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</c:numCache>
            </c:numRef>
          </c:xVal>
          <c:yVal>
            <c:numRef>
              <c:f>'Graph-Hou'!$BQ$2:$BQ$721</c:f>
              <c:numCache>
                <c:formatCode>0.00</c:formatCode>
                <c:ptCount val="720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0.23</c:v>
                </c:pt>
                <c:pt idx="5">
                  <c:v>0.23</c:v>
                </c:pt>
                <c:pt idx="6">
                  <c:v>0.23</c:v>
                </c:pt>
                <c:pt idx="7">
                  <c:v>0.23</c:v>
                </c:pt>
                <c:pt idx="8">
                  <c:v>0.23</c:v>
                </c:pt>
                <c:pt idx="9">
                  <c:v>0.23</c:v>
                </c:pt>
                <c:pt idx="10">
                  <c:v>0.23</c:v>
                </c:pt>
                <c:pt idx="11">
                  <c:v>0.23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  <c:pt idx="20">
                  <c:v>0.23</c:v>
                </c:pt>
                <c:pt idx="21">
                  <c:v>0.23</c:v>
                </c:pt>
                <c:pt idx="22">
                  <c:v>0.23</c:v>
                </c:pt>
                <c:pt idx="23">
                  <c:v>0.23</c:v>
                </c:pt>
                <c:pt idx="24">
                  <c:v>0.23</c:v>
                </c:pt>
                <c:pt idx="25">
                  <c:v>0.23</c:v>
                </c:pt>
                <c:pt idx="26">
                  <c:v>0.23</c:v>
                </c:pt>
                <c:pt idx="27">
                  <c:v>0.23</c:v>
                </c:pt>
                <c:pt idx="28">
                  <c:v>0.23</c:v>
                </c:pt>
                <c:pt idx="29">
                  <c:v>0.23</c:v>
                </c:pt>
                <c:pt idx="30">
                  <c:v>0.23</c:v>
                </c:pt>
                <c:pt idx="31">
                  <c:v>0.23</c:v>
                </c:pt>
                <c:pt idx="32">
                  <c:v>0.23</c:v>
                </c:pt>
                <c:pt idx="33">
                  <c:v>0.23</c:v>
                </c:pt>
                <c:pt idx="34">
                  <c:v>0.23</c:v>
                </c:pt>
                <c:pt idx="35">
                  <c:v>0.23</c:v>
                </c:pt>
                <c:pt idx="36">
                  <c:v>0.22</c:v>
                </c:pt>
                <c:pt idx="37">
                  <c:v>0.22</c:v>
                </c:pt>
                <c:pt idx="38">
                  <c:v>0.22</c:v>
                </c:pt>
                <c:pt idx="39">
                  <c:v>0.22</c:v>
                </c:pt>
                <c:pt idx="40">
                  <c:v>0.22</c:v>
                </c:pt>
                <c:pt idx="41">
                  <c:v>0.22</c:v>
                </c:pt>
                <c:pt idx="42">
                  <c:v>0.22</c:v>
                </c:pt>
                <c:pt idx="43">
                  <c:v>0.22</c:v>
                </c:pt>
                <c:pt idx="44">
                  <c:v>0.22</c:v>
                </c:pt>
                <c:pt idx="45">
                  <c:v>0.22</c:v>
                </c:pt>
                <c:pt idx="46">
                  <c:v>0.22</c:v>
                </c:pt>
                <c:pt idx="47">
                  <c:v>0.22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0.22</c:v>
                </c:pt>
                <c:pt idx="55">
                  <c:v>0.22</c:v>
                </c:pt>
                <c:pt idx="56">
                  <c:v>0.22</c:v>
                </c:pt>
                <c:pt idx="57">
                  <c:v>0.23</c:v>
                </c:pt>
                <c:pt idx="58">
                  <c:v>0.23</c:v>
                </c:pt>
                <c:pt idx="59">
                  <c:v>0.23</c:v>
                </c:pt>
                <c:pt idx="60">
                  <c:v>0.24</c:v>
                </c:pt>
                <c:pt idx="61">
                  <c:v>0.24</c:v>
                </c:pt>
                <c:pt idx="62">
                  <c:v>0.24</c:v>
                </c:pt>
                <c:pt idx="63">
                  <c:v>0.24</c:v>
                </c:pt>
                <c:pt idx="64">
                  <c:v>0.24</c:v>
                </c:pt>
                <c:pt idx="65">
                  <c:v>0.23</c:v>
                </c:pt>
                <c:pt idx="66">
                  <c:v>0.23</c:v>
                </c:pt>
                <c:pt idx="67">
                  <c:v>0.23</c:v>
                </c:pt>
                <c:pt idx="68">
                  <c:v>0.23</c:v>
                </c:pt>
                <c:pt idx="69">
                  <c:v>0.22</c:v>
                </c:pt>
                <c:pt idx="70">
                  <c:v>0.22</c:v>
                </c:pt>
                <c:pt idx="71">
                  <c:v>0.22</c:v>
                </c:pt>
                <c:pt idx="72">
                  <c:v>0.22</c:v>
                </c:pt>
                <c:pt idx="73">
                  <c:v>0.22</c:v>
                </c:pt>
                <c:pt idx="74">
                  <c:v>0.22</c:v>
                </c:pt>
                <c:pt idx="75">
                  <c:v>0.22</c:v>
                </c:pt>
                <c:pt idx="76">
                  <c:v>0.22</c:v>
                </c:pt>
                <c:pt idx="77">
                  <c:v>0.22</c:v>
                </c:pt>
                <c:pt idx="78">
                  <c:v>0.22</c:v>
                </c:pt>
                <c:pt idx="79">
                  <c:v>0.22</c:v>
                </c:pt>
                <c:pt idx="80">
                  <c:v>0.22</c:v>
                </c:pt>
                <c:pt idx="81">
                  <c:v>0.22</c:v>
                </c:pt>
                <c:pt idx="82">
                  <c:v>0.22</c:v>
                </c:pt>
                <c:pt idx="83">
                  <c:v>0.22</c:v>
                </c:pt>
                <c:pt idx="84">
                  <c:v>0.21</c:v>
                </c:pt>
                <c:pt idx="85">
                  <c:v>0.21</c:v>
                </c:pt>
                <c:pt idx="86">
                  <c:v>0.21</c:v>
                </c:pt>
                <c:pt idx="87">
                  <c:v>0.21</c:v>
                </c:pt>
                <c:pt idx="88">
                  <c:v>0.21</c:v>
                </c:pt>
                <c:pt idx="89">
                  <c:v>0.21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0.19</c:v>
                </c:pt>
                <c:pt idx="97">
                  <c:v>0.19</c:v>
                </c:pt>
                <c:pt idx="98">
                  <c:v>0.19</c:v>
                </c:pt>
                <c:pt idx="99">
                  <c:v>0.19</c:v>
                </c:pt>
                <c:pt idx="100">
                  <c:v>0.19</c:v>
                </c:pt>
                <c:pt idx="101">
                  <c:v>0.19</c:v>
                </c:pt>
                <c:pt idx="102">
                  <c:v>0.19</c:v>
                </c:pt>
                <c:pt idx="103">
                  <c:v>0.19</c:v>
                </c:pt>
                <c:pt idx="104">
                  <c:v>0.19</c:v>
                </c:pt>
                <c:pt idx="105">
                  <c:v>0.19</c:v>
                </c:pt>
                <c:pt idx="106">
                  <c:v>0.19</c:v>
                </c:pt>
                <c:pt idx="107">
                  <c:v>0.19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0.21</c:v>
                </c:pt>
                <c:pt idx="127">
                  <c:v>0.21</c:v>
                </c:pt>
                <c:pt idx="128">
                  <c:v>0.21</c:v>
                </c:pt>
                <c:pt idx="129">
                  <c:v>0.21</c:v>
                </c:pt>
                <c:pt idx="130">
                  <c:v>0.21</c:v>
                </c:pt>
                <c:pt idx="131">
                  <c:v>0.21</c:v>
                </c:pt>
                <c:pt idx="132">
                  <c:v>0.22</c:v>
                </c:pt>
                <c:pt idx="133">
                  <c:v>0.22</c:v>
                </c:pt>
                <c:pt idx="134">
                  <c:v>0.22</c:v>
                </c:pt>
                <c:pt idx="135">
                  <c:v>0.22</c:v>
                </c:pt>
                <c:pt idx="136">
                  <c:v>0.22</c:v>
                </c:pt>
                <c:pt idx="137">
                  <c:v>0.22</c:v>
                </c:pt>
                <c:pt idx="138">
                  <c:v>0.23</c:v>
                </c:pt>
                <c:pt idx="139">
                  <c:v>0.23</c:v>
                </c:pt>
                <c:pt idx="140">
                  <c:v>0.23</c:v>
                </c:pt>
                <c:pt idx="141">
                  <c:v>0.23</c:v>
                </c:pt>
                <c:pt idx="142">
                  <c:v>0.23</c:v>
                </c:pt>
                <c:pt idx="143">
                  <c:v>0.23</c:v>
                </c:pt>
                <c:pt idx="144">
                  <c:v>0.24</c:v>
                </c:pt>
                <c:pt idx="145">
                  <c:v>0.24</c:v>
                </c:pt>
                <c:pt idx="146">
                  <c:v>0.24</c:v>
                </c:pt>
                <c:pt idx="147">
                  <c:v>0.24</c:v>
                </c:pt>
                <c:pt idx="148">
                  <c:v>0.24</c:v>
                </c:pt>
                <c:pt idx="149">
                  <c:v>0.24</c:v>
                </c:pt>
                <c:pt idx="150">
                  <c:v>0.24</c:v>
                </c:pt>
                <c:pt idx="151">
                  <c:v>0.24</c:v>
                </c:pt>
                <c:pt idx="152">
                  <c:v>0.24</c:v>
                </c:pt>
                <c:pt idx="153">
                  <c:v>0.24</c:v>
                </c:pt>
                <c:pt idx="154">
                  <c:v>0.24</c:v>
                </c:pt>
                <c:pt idx="155">
                  <c:v>0.24</c:v>
                </c:pt>
                <c:pt idx="156">
                  <c:v>0.24</c:v>
                </c:pt>
                <c:pt idx="157">
                  <c:v>0.24</c:v>
                </c:pt>
                <c:pt idx="158">
                  <c:v>0.24</c:v>
                </c:pt>
                <c:pt idx="159">
                  <c:v>0.24</c:v>
                </c:pt>
                <c:pt idx="160">
                  <c:v>0.24</c:v>
                </c:pt>
                <c:pt idx="161">
                  <c:v>0.24</c:v>
                </c:pt>
                <c:pt idx="162">
                  <c:v>0.24</c:v>
                </c:pt>
                <c:pt idx="163">
                  <c:v>0.24</c:v>
                </c:pt>
                <c:pt idx="164">
                  <c:v>0.24</c:v>
                </c:pt>
                <c:pt idx="165">
                  <c:v>0.24</c:v>
                </c:pt>
                <c:pt idx="166">
                  <c:v>0.24</c:v>
                </c:pt>
                <c:pt idx="167">
                  <c:v>0.24</c:v>
                </c:pt>
                <c:pt idx="168">
                  <c:v>0.24</c:v>
                </c:pt>
                <c:pt idx="169">
                  <c:v>0.24</c:v>
                </c:pt>
                <c:pt idx="170">
                  <c:v>0.24</c:v>
                </c:pt>
                <c:pt idx="171">
                  <c:v>0.24</c:v>
                </c:pt>
                <c:pt idx="172">
                  <c:v>0.24</c:v>
                </c:pt>
                <c:pt idx="173">
                  <c:v>0.24</c:v>
                </c:pt>
                <c:pt idx="174">
                  <c:v>0.24</c:v>
                </c:pt>
                <c:pt idx="175">
                  <c:v>0.24</c:v>
                </c:pt>
                <c:pt idx="176">
                  <c:v>0.24</c:v>
                </c:pt>
                <c:pt idx="177">
                  <c:v>0.24</c:v>
                </c:pt>
                <c:pt idx="178">
                  <c:v>0.24</c:v>
                </c:pt>
                <c:pt idx="179">
                  <c:v>0.24</c:v>
                </c:pt>
                <c:pt idx="180">
                  <c:v>0.24</c:v>
                </c:pt>
                <c:pt idx="181">
                  <c:v>0.24</c:v>
                </c:pt>
                <c:pt idx="182">
                  <c:v>0.24</c:v>
                </c:pt>
                <c:pt idx="183">
                  <c:v>0.24</c:v>
                </c:pt>
                <c:pt idx="184">
                  <c:v>0.24</c:v>
                </c:pt>
                <c:pt idx="185">
                  <c:v>0.24</c:v>
                </c:pt>
                <c:pt idx="186">
                  <c:v>0.24</c:v>
                </c:pt>
                <c:pt idx="187">
                  <c:v>0.24</c:v>
                </c:pt>
                <c:pt idx="188">
                  <c:v>0.24</c:v>
                </c:pt>
                <c:pt idx="189">
                  <c:v>0.24</c:v>
                </c:pt>
                <c:pt idx="190">
                  <c:v>0.24</c:v>
                </c:pt>
                <c:pt idx="191">
                  <c:v>0.24</c:v>
                </c:pt>
                <c:pt idx="192">
                  <c:v>0.24</c:v>
                </c:pt>
                <c:pt idx="193">
                  <c:v>0.24</c:v>
                </c:pt>
                <c:pt idx="194">
                  <c:v>0.24</c:v>
                </c:pt>
                <c:pt idx="195">
                  <c:v>0.24</c:v>
                </c:pt>
                <c:pt idx="196">
                  <c:v>0.24</c:v>
                </c:pt>
                <c:pt idx="197">
                  <c:v>0.24</c:v>
                </c:pt>
                <c:pt idx="198">
                  <c:v>0.24</c:v>
                </c:pt>
                <c:pt idx="199">
                  <c:v>0.24</c:v>
                </c:pt>
                <c:pt idx="200">
                  <c:v>0.23</c:v>
                </c:pt>
                <c:pt idx="201">
                  <c:v>0.23</c:v>
                </c:pt>
                <c:pt idx="202">
                  <c:v>0.22</c:v>
                </c:pt>
                <c:pt idx="203">
                  <c:v>0.22</c:v>
                </c:pt>
                <c:pt idx="204">
                  <c:v>0.21</c:v>
                </c:pt>
                <c:pt idx="205">
                  <c:v>0.21</c:v>
                </c:pt>
                <c:pt idx="206">
                  <c:v>0.21</c:v>
                </c:pt>
                <c:pt idx="207">
                  <c:v>0.21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0.19</c:v>
                </c:pt>
                <c:pt idx="212">
                  <c:v>0.19</c:v>
                </c:pt>
                <c:pt idx="213">
                  <c:v>0.19</c:v>
                </c:pt>
                <c:pt idx="214">
                  <c:v>0.19</c:v>
                </c:pt>
                <c:pt idx="215">
                  <c:v>0.18</c:v>
                </c:pt>
                <c:pt idx="216">
                  <c:v>0.18</c:v>
                </c:pt>
                <c:pt idx="217">
                  <c:v>0.18</c:v>
                </c:pt>
                <c:pt idx="218">
                  <c:v>0.18</c:v>
                </c:pt>
                <c:pt idx="219">
                  <c:v>0.17</c:v>
                </c:pt>
                <c:pt idx="220">
                  <c:v>0.17</c:v>
                </c:pt>
                <c:pt idx="221">
                  <c:v>0.17</c:v>
                </c:pt>
                <c:pt idx="222">
                  <c:v>0.17</c:v>
                </c:pt>
                <c:pt idx="223">
                  <c:v>0.17</c:v>
                </c:pt>
                <c:pt idx="224">
                  <c:v>0.17</c:v>
                </c:pt>
                <c:pt idx="225">
                  <c:v>0.17</c:v>
                </c:pt>
                <c:pt idx="226">
                  <c:v>0.17</c:v>
                </c:pt>
                <c:pt idx="227">
                  <c:v>0.17</c:v>
                </c:pt>
                <c:pt idx="228">
                  <c:v>0.16</c:v>
                </c:pt>
                <c:pt idx="229">
                  <c:v>0.16</c:v>
                </c:pt>
                <c:pt idx="230">
                  <c:v>0.16</c:v>
                </c:pt>
                <c:pt idx="231">
                  <c:v>0.16</c:v>
                </c:pt>
                <c:pt idx="232">
                  <c:v>0.16</c:v>
                </c:pt>
                <c:pt idx="233">
                  <c:v>0.16</c:v>
                </c:pt>
                <c:pt idx="234">
                  <c:v>0.17</c:v>
                </c:pt>
                <c:pt idx="235">
                  <c:v>0.17</c:v>
                </c:pt>
                <c:pt idx="236">
                  <c:v>0.17</c:v>
                </c:pt>
                <c:pt idx="237">
                  <c:v>0.17</c:v>
                </c:pt>
                <c:pt idx="238">
                  <c:v>0.17</c:v>
                </c:pt>
                <c:pt idx="239">
                  <c:v>0.17</c:v>
                </c:pt>
                <c:pt idx="240">
                  <c:v>0.18</c:v>
                </c:pt>
                <c:pt idx="241">
                  <c:v>0.18</c:v>
                </c:pt>
                <c:pt idx="242">
                  <c:v>0.19</c:v>
                </c:pt>
                <c:pt idx="243">
                  <c:v>0.19</c:v>
                </c:pt>
                <c:pt idx="244">
                  <c:v>0.2</c:v>
                </c:pt>
                <c:pt idx="245">
                  <c:v>0.21</c:v>
                </c:pt>
                <c:pt idx="246">
                  <c:v>0.22</c:v>
                </c:pt>
                <c:pt idx="247">
                  <c:v>0.23</c:v>
                </c:pt>
                <c:pt idx="248">
                  <c:v>0.24</c:v>
                </c:pt>
                <c:pt idx="249">
                  <c:v>0.25</c:v>
                </c:pt>
                <c:pt idx="250">
                  <c:v>0.26</c:v>
                </c:pt>
                <c:pt idx="251">
                  <c:v>0.27</c:v>
                </c:pt>
                <c:pt idx="252">
                  <c:v>0.28000000000000003</c:v>
                </c:pt>
                <c:pt idx="253">
                  <c:v>0.28999999999999998</c:v>
                </c:pt>
                <c:pt idx="254">
                  <c:v>0.31</c:v>
                </c:pt>
                <c:pt idx="255">
                  <c:v>0.33</c:v>
                </c:pt>
                <c:pt idx="256">
                  <c:v>0.35</c:v>
                </c:pt>
                <c:pt idx="257">
                  <c:v>0.37</c:v>
                </c:pt>
                <c:pt idx="258">
                  <c:v>0.39</c:v>
                </c:pt>
                <c:pt idx="259">
                  <c:v>0.41</c:v>
                </c:pt>
                <c:pt idx="260">
                  <c:v>0.43</c:v>
                </c:pt>
                <c:pt idx="261">
                  <c:v>0.46</c:v>
                </c:pt>
                <c:pt idx="262">
                  <c:v>0.49</c:v>
                </c:pt>
                <c:pt idx="263">
                  <c:v>0.52</c:v>
                </c:pt>
                <c:pt idx="264">
                  <c:v>0.55000000000000004</c:v>
                </c:pt>
                <c:pt idx="265">
                  <c:v>0.59</c:v>
                </c:pt>
                <c:pt idx="266">
                  <c:v>0.62</c:v>
                </c:pt>
                <c:pt idx="267">
                  <c:v>0.64</c:v>
                </c:pt>
                <c:pt idx="268">
                  <c:v>0.66</c:v>
                </c:pt>
                <c:pt idx="269">
                  <c:v>0.68</c:v>
                </c:pt>
                <c:pt idx="270">
                  <c:v>0.7</c:v>
                </c:pt>
                <c:pt idx="271">
                  <c:v>0.72</c:v>
                </c:pt>
                <c:pt idx="272">
                  <c:v>0.73</c:v>
                </c:pt>
                <c:pt idx="273">
                  <c:v>0.74</c:v>
                </c:pt>
                <c:pt idx="274">
                  <c:v>0.74</c:v>
                </c:pt>
                <c:pt idx="275">
                  <c:v>0.74</c:v>
                </c:pt>
                <c:pt idx="276">
                  <c:v>0.74</c:v>
                </c:pt>
                <c:pt idx="277">
                  <c:v>0.73</c:v>
                </c:pt>
                <c:pt idx="278">
                  <c:v>0.72</c:v>
                </c:pt>
                <c:pt idx="279">
                  <c:v>0.71</c:v>
                </c:pt>
                <c:pt idx="280">
                  <c:v>0.7</c:v>
                </c:pt>
                <c:pt idx="281">
                  <c:v>0.68</c:v>
                </c:pt>
                <c:pt idx="282">
                  <c:v>0.66</c:v>
                </c:pt>
                <c:pt idx="283">
                  <c:v>0.64</c:v>
                </c:pt>
                <c:pt idx="284">
                  <c:v>0.62</c:v>
                </c:pt>
                <c:pt idx="285">
                  <c:v>0.6</c:v>
                </c:pt>
                <c:pt idx="286">
                  <c:v>0.57999999999999996</c:v>
                </c:pt>
                <c:pt idx="287">
                  <c:v>0.56000000000000005</c:v>
                </c:pt>
                <c:pt idx="288">
                  <c:v>0.54</c:v>
                </c:pt>
                <c:pt idx="289">
                  <c:v>0.52</c:v>
                </c:pt>
                <c:pt idx="290">
                  <c:v>0.5</c:v>
                </c:pt>
                <c:pt idx="291">
                  <c:v>0.48</c:v>
                </c:pt>
                <c:pt idx="292">
                  <c:v>0.47</c:v>
                </c:pt>
                <c:pt idx="293">
                  <c:v>0.45</c:v>
                </c:pt>
                <c:pt idx="294">
                  <c:v>0.44</c:v>
                </c:pt>
                <c:pt idx="295">
                  <c:v>0.43</c:v>
                </c:pt>
                <c:pt idx="296">
                  <c:v>0.42</c:v>
                </c:pt>
                <c:pt idx="297">
                  <c:v>0.41</c:v>
                </c:pt>
                <c:pt idx="298">
                  <c:v>0.4</c:v>
                </c:pt>
                <c:pt idx="299">
                  <c:v>0.39</c:v>
                </c:pt>
                <c:pt idx="300">
                  <c:v>0.39</c:v>
                </c:pt>
                <c:pt idx="301">
                  <c:v>0.38</c:v>
                </c:pt>
                <c:pt idx="302">
                  <c:v>0.38</c:v>
                </c:pt>
                <c:pt idx="303">
                  <c:v>0.37</c:v>
                </c:pt>
                <c:pt idx="304">
                  <c:v>0.37</c:v>
                </c:pt>
                <c:pt idx="305">
                  <c:v>0.36</c:v>
                </c:pt>
                <c:pt idx="306">
                  <c:v>0.36</c:v>
                </c:pt>
                <c:pt idx="307">
                  <c:v>0.35</c:v>
                </c:pt>
                <c:pt idx="308">
                  <c:v>0.35</c:v>
                </c:pt>
                <c:pt idx="309">
                  <c:v>0.35</c:v>
                </c:pt>
                <c:pt idx="310">
                  <c:v>0.34</c:v>
                </c:pt>
                <c:pt idx="311">
                  <c:v>0.34</c:v>
                </c:pt>
                <c:pt idx="312">
                  <c:v>0.33</c:v>
                </c:pt>
                <c:pt idx="313">
                  <c:v>0.33</c:v>
                </c:pt>
                <c:pt idx="314">
                  <c:v>0.32</c:v>
                </c:pt>
                <c:pt idx="315">
                  <c:v>0.32</c:v>
                </c:pt>
                <c:pt idx="316">
                  <c:v>0.31</c:v>
                </c:pt>
                <c:pt idx="317">
                  <c:v>0.3</c:v>
                </c:pt>
                <c:pt idx="318">
                  <c:v>0.3</c:v>
                </c:pt>
                <c:pt idx="319">
                  <c:v>0.28999999999999998</c:v>
                </c:pt>
                <c:pt idx="320">
                  <c:v>0.28999999999999998</c:v>
                </c:pt>
                <c:pt idx="321">
                  <c:v>0.28999999999999998</c:v>
                </c:pt>
                <c:pt idx="322">
                  <c:v>0.28000000000000003</c:v>
                </c:pt>
                <c:pt idx="323">
                  <c:v>0.28000000000000003</c:v>
                </c:pt>
                <c:pt idx="324">
                  <c:v>0.28000000000000003</c:v>
                </c:pt>
                <c:pt idx="325">
                  <c:v>0.27</c:v>
                </c:pt>
                <c:pt idx="326">
                  <c:v>0.27</c:v>
                </c:pt>
                <c:pt idx="327">
                  <c:v>0.26</c:v>
                </c:pt>
                <c:pt idx="328">
                  <c:v>0.26</c:v>
                </c:pt>
                <c:pt idx="329">
                  <c:v>0.25</c:v>
                </c:pt>
                <c:pt idx="330">
                  <c:v>0.25</c:v>
                </c:pt>
                <c:pt idx="331">
                  <c:v>0.24</c:v>
                </c:pt>
                <c:pt idx="332">
                  <c:v>0.24</c:v>
                </c:pt>
                <c:pt idx="333">
                  <c:v>0.24</c:v>
                </c:pt>
                <c:pt idx="334">
                  <c:v>0.24</c:v>
                </c:pt>
                <c:pt idx="335">
                  <c:v>0.23</c:v>
                </c:pt>
                <c:pt idx="336">
                  <c:v>0.23</c:v>
                </c:pt>
                <c:pt idx="337">
                  <c:v>0.23</c:v>
                </c:pt>
                <c:pt idx="338">
                  <c:v>0.23</c:v>
                </c:pt>
                <c:pt idx="339">
                  <c:v>0.23</c:v>
                </c:pt>
                <c:pt idx="340">
                  <c:v>0.23</c:v>
                </c:pt>
                <c:pt idx="341">
                  <c:v>0.22</c:v>
                </c:pt>
                <c:pt idx="342">
                  <c:v>0.22</c:v>
                </c:pt>
                <c:pt idx="343">
                  <c:v>0.22</c:v>
                </c:pt>
                <c:pt idx="344">
                  <c:v>0.22</c:v>
                </c:pt>
                <c:pt idx="345">
                  <c:v>0.22</c:v>
                </c:pt>
                <c:pt idx="346">
                  <c:v>0.22</c:v>
                </c:pt>
                <c:pt idx="347">
                  <c:v>0.22</c:v>
                </c:pt>
                <c:pt idx="348">
                  <c:v>0.21</c:v>
                </c:pt>
                <c:pt idx="349">
                  <c:v>0.21</c:v>
                </c:pt>
                <c:pt idx="350">
                  <c:v>0.21</c:v>
                </c:pt>
                <c:pt idx="351">
                  <c:v>0.21</c:v>
                </c:pt>
                <c:pt idx="352">
                  <c:v>0.21</c:v>
                </c:pt>
                <c:pt idx="353">
                  <c:v>0.21</c:v>
                </c:pt>
                <c:pt idx="354">
                  <c:v>0.21</c:v>
                </c:pt>
                <c:pt idx="355">
                  <c:v>0.21</c:v>
                </c:pt>
                <c:pt idx="356">
                  <c:v>0.21</c:v>
                </c:pt>
                <c:pt idx="357">
                  <c:v>0.21</c:v>
                </c:pt>
                <c:pt idx="358">
                  <c:v>0.21</c:v>
                </c:pt>
                <c:pt idx="359">
                  <c:v>0.21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0.21</c:v>
                </c:pt>
                <c:pt idx="409">
                  <c:v>0.21</c:v>
                </c:pt>
                <c:pt idx="410">
                  <c:v>0.21</c:v>
                </c:pt>
                <c:pt idx="411">
                  <c:v>0.21</c:v>
                </c:pt>
                <c:pt idx="412">
                  <c:v>0.21</c:v>
                </c:pt>
                <c:pt idx="413">
                  <c:v>0.21</c:v>
                </c:pt>
                <c:pt idx="414">
                  <c:v>0.21</c:v>
                </c:pt>
                <c:pt idx="415">
                  <c:v>0.21</c:v>
                </c:pt>
                <c:pt idx="416">
                  <c:v>0.21</c:v>
                </c:pt>
                <c:pt idx="417">
                  <c:v>0.21</c:v>
                </c:pt>
                <c:pt idx="418">
                  <c:v>0.21</c:v>
                </c:pt>
                <c:pt idx="419">
                  <c:v>0.21</c:v>
                </c:pt>
                <c:pt idx="420">
                  <c:v>0.21</c:v>
                </c:pt>
                <c:pt idx="421">
                  <c:v>0.21</c:v>
                </c:pt>
                <c:pt idx="422">
                  <c:v>0.21</c:v>
                </c:pt>
                <c:pt idx="423">
                  <c:v>0.21</c:v>
                </c:pt>
                <c:pt idx="424">
                  <c:v>0.21</c:v>
                </c:pt>
                <c:pt idx="425">
                  <c:v>0.21</c:v>
                </c:pt>
                <c:pt idx="426">
                  <c:v>0.21</c:v>
                </c:pt>
                <c:pt idx="427">
                  <c:v>0.21</c:v>
                </c:pt>
                <c:pt idx="428">
                  <c:v>0.21</c:v>
                </c:pt>
                <c:pt idx="429">
                  <c:v>0.21</c:v>
                </c:pt>
                <c:pt idx="430">
                  <c:v>0.21</c:v>
                </c:pt>
                <c:pt idx="431">
                  <c:v>0.21</c:v>
                </c:pt>
                <c:pt idx="432">
                  <c:v>0.22</c:v>
                </c:pt>
                <c:pt idx="433">
                  <c:v>0.22</c:v>
                </c:pt>
                <c:pt idx="434">
                  <c:v>0.22</c:v>
                </c:pt>
                <c:pt idx="435">
                  <c:v>0.22</c:v>
                </c:pt>
                <c:pt idx="436">
                  <c:v>0.22</c:v>
                </c:pt>
                <c:pt idx="437">
                  <c:v>0.22</c:v>
                </c:pt>
                <c:pt idx="438">
                  <c:v>0.21</c:v>
                </c:pt>
                <c:pt idx="439">
                  <c:v>0.21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0.19</c:v>
                </c:pt>
                <c:pt idx="444">
                  <c:v>0.19</c:v>
                </c:pt>
                <c:pt idx="445">
                  <c:v>0.19</c:v>
                </c:pt>
                <c:pt idx="446">
                  <c:v>0.19</c:v>
                </c:pt>
                <c:pt idx="447">
                  <c:v>0.19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0.21</c:v>
                </c:pt>
                <c:pt idx="452">
                  <c:v>0.21</c:v>
                </c:pt>
                <c:pt idx="453">
                  <c:v>0.21</c:v>
                </c:pt>
                <c:pt idx="454">
                  <c:v>0.21</c:v>
                </c:pt>
                <c:pt idx="455">
                  <c:v>0.22</c:v>
                </c:pt>
                <c:pt idx="456">
                  <c:v>0.22</c:v>
                </c:pt>
                <c:pt idx="457">
                  <c:v>0.23</c:v>
                </c:pt>
                <c:pt idx="458">
                  <c:v>0.23</c:v>
                </c:pt>
                <c:pt idx="459">
                  <c:v>0.23</c:v>
                </c:pt>
                <c:pt idx="460">
                  <c:v>0.23</c:v>
                </c:pt>
                <c:pt idx="461">
                  <c:v>0.24</c:v>
                </c:pt>
                <c:pt idx="462">
                  <c:v>0.24</c:v>
                </c:pt>
                <c:pt idx="463">
                  <c:v>0.24</c:v>
                </c:pt>
                <c:pt idx="464">
                  <c:v>0.24</c:v>
                </c:pt>
                <c:pt idx="465">
                  <c:v>0.24</c:v>
                </c:pt>
                <c:pt idx="466">
                  <c:v>0.24</c:v>
                </c:pt>
                <c:pt idx="467">
                  <c:v>0.24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0.26</c:v>
                </c:pt>
                <c:pt idx="475">
                  <c:v>0.26</c:v>
                </c:pt>
                <c:pt idx="476">
                  <c:v>0.26</c:v>
                </c:pt>
                <c:pt idx="477">
                  <c:v>0.26</c:v>
                </c:pt>
                <c:pt idx="478">
                  <c:v>0.26</c:v>
                </c:pt>
                <c:pt idx="479">
                  <c:v>0.26</c:v>
                </c:pt>
                <c:pt idx="480">
                  <c:v>0.27</c:v>
                </c:pt>
                <c:pt idx="481">
                  <c:v>0.27</c:v>
                </c:pt>
                <c:pt idx="482">
                  <c:v>0.27</c:v>
                </c:pt>
                <c:pt idx="483">
                  <c:v>0.27</c:v>
                </c:pt>
                <c:pt idx="484">
                  <c:v>0.27</c:v>
                </c:pt>
                <c:pt idx="485">
                  <c:v>0.27</c:v>
                </c:pt>
                <c:pt idx="486">
                  <c:v>0.27</c:v>
                </c:pt>
                <c:pt idx="487">
                  <c:v>0.27</c:v>
                </c:pt>
                <c:pt idx="488">
                  <c:v>0.27</c:v>
                </c:pt>
                <c:pt idx="489">
                  <c:v>0.27</c:v>
                </c:pt>
                <c:pt idx="490">
                  <c:v>0.27</c:v>
                </c:pt>
                <c:pt idx="491">
                  <c:v>0.27</c:v>
                </c:pt>
                <c:pt idx="492">
                  <c:v>0.26</c:v>
                </c:pt>
                <c:pt idx="493">
                  <c:v>0.26</c:v>
                </c:pt>
                <c:pt idx="494">
                  <c:v>0.26</c:v>
                </c:pt>
                <c:pt idx="495">
                  <c:v>0.26</c:v>
                </c:pt>
                <c:pt idx="496">
                  <c:v>0.26</c:v>
                </c:pt>
                <c:pt idx="497">
                  <c:v>0.26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0.24</c:v>
                </c:pt>
                <c:pt idx="505">
                  <c:v>0.24</c:v>
                </c:pt>
                <c:pt idx="506">
                  <c:v>0.24</c:v>
                </c:pt>
                <c:pt idx="507">
                  <c:v>0.24</c:v>
                </c:pt>
                <c:pt idx="508">
                  <c:v>0.24</c:v>
                </c:pt>
                <c:pt idx="509">
                  <c:v>0.24</c:v>
                </c:pt>
                <c:pt idx="510">
                  <c:v>0.24</c:v>
                </c:pt>
                <c:pt idx="511">
                  <c:v>0.24</c:v>
                </c:pt>
                <c:pt idx="512">
                  <c:v>0.24</c:v>
                </c:pt>
                <c:pt idx="513">
                  <c:v>0.24</c:v>
                </c:pt>
                <c:pt idx="514">
                  <c:v>0.24</c:v>
                </c:pt>
                <c:pt idx="515">
                  <c:v>0.24</c:v>
                </c:pt>
                <c:pt idx="516">
                  <c:v>0.24</c:v>
                </c:pt>
                <c:pt idx="517">
                  <c:v>0.24</c:v>
                </c:pt>
                <c:pt idx="518">
                  <c:v>0.24</c:v>
                </c:pt>
                <c:pt idx="519">
                  <c:v>0.24</c:v>
                </c:pt>
                <c:pt idx="520">
                  <c:v>0.24</c:v>
                </c:pt>
                <c:pt idx="521">
                  <c:v>0.24</c:v>
                </c:pt>
                <c:pt idx="522">
                  <c:v>0.24</c:v>
                </c:pt>
                <c:pt idx="523">
                  <c:v>0.24</c:v>
                </c:pt>
                <c:pt idx="524">
                  <c:v>0.24</c:v>
                </c:pt>
                <c:pt idx="525">
                  <c:v>0.24</c:v>
                </c:pt>
                <c:pt idx="526">
                  <c:v>0.24</c:v>
                </c:pt>
                <c:pt idx="527">
                  <c:v>0.24</c:v>
                </c:pt>
                <c:pt idx="528">
                  <c:v>0.23</c:v>
                </c:pt>
                <c:pt idx="529">
                  <c:v>0.23</c:v>
                </c:pt>
                <c:pt idx="530">
                  <c:v>0.23</c:v>
                </c:pt>
                <c:pt idx="531">
                  <c:v>0.23</c:v>
                </c:pt>
                <c:pt idx="532">
                  <c:v>0.23</c:v>
                </c:pt>
                <c:pt idx="533">
                  <c:v>0.23</c:v>
                </c:pt>
                <c:pt idx="534">
                  <c:v>0.23</c:v>
                </c:pt>
                <c:pt idx="535">
                  <c:v>0.23</c:v>
                </c:pt>
                <c:pt idx="536">
                  <c:v>0.24</c:v>
                </c:pt>
                <c:pt idx="537">
                  <c:v>0.25</c:v>
                </c:pt>
                <c:pt idx="538">
                  <c:v>0.26</c:v>
                </c:pt>
                <c:pt idx="539">
                  <c:v>0.28000000000000003</c:v>
                </c:pt>
                <c:pt idx="540">
                  <c:v>0.3</c:v>
                </c:pt>
                <c:pt idx="541">
                  <c:v>0.32</c:v>
                </c:pt>
                <c:pt idx="542">
                  <c:v>0.35</c:v>
                </c:pt>
                <c:pt idx="543">
                  <c:v>0.38</c:v>
                </c:pt>
                <c:pt idx="544">
                  <c:v>0.42</c:v>
                </c:pt>
                <c:pt idx="545">
                  <c:v>0.46</c:v>
                </c:pt>
                <c:pt idx="546">
                  <c:v>0.5</c:v>
                </c:pt>
                <c:pt idx="547">
                  <c:v>0.55000000000000004</c:v>
                </c:pt>
                <c:pt idx="548">
                  <c:v>0.59</c:v>
                </c:pt>
                <c:pt idx="549">
                  <c:v>0.62</c:v>
                </c:pt>
                <c:pt idx="550">
                  <c:v>0.65</c:v>
                </c:pt>
                <c:pt idx="551">
                  <c:v>0.68</c:v>
                </c:pt>
                <c:pt idx="552">
                  <c:v>0.7</c:v>
                </c:pt>
                <c:pt idx="553">
                  <c:v>0.71</c:v>
                </c:pt>
                <c:pt idx="554">
                  <c:v>0.72</c:v>
                </c:pt>
                <c:pt idx="555">
                  <c:v>0.72</c:v>
                </c:pt>
                <c:pt idx="556">
                  <c:v>0.72</c:v>
                </c:pt>
                <c:pt idx="557">
                  <c:v>0.72</c:v>
                </c:pt>
                <c:pt idx="558">
                  <c:v>0.71</c:v>
                </c:pt>
                <c:pt idx="559">
                  <c:v>0.7</c:v>
                </c:pt>
                <c:pt idx="560">
                  <c:v>0.69</c:v>
                </c:pt>
                <c:pt idx="561">
                  <c:v>0.68</c:v>
                </c:pt>
                <c:pt idx="562">
                  <c:v>0.66</c:v>
                </c:pt>
                <c:pt idx="563">
                  <c:v>0.64</c:v>
                </c:pt>
                <c:pt idx="564">
                  <c:v>0.61</c:v>
                </c:pt>
                <c:pt idx="565">
                  <c:v>0.57999999999999996</c:v>
                </c:pt>
                <c:pt idx="566">
                  <c:v>0.54</c:v>
                </c:pt>
                <c:pt idx="567">
                  <c:v>0.5</c:v>
                </c:pt>
                <c:pt idx="568">
                  <c:v>0.46</c:v>
                </c:pt>
                <c:pt idx="569">
                  <c:v>0.43</c:v>
                </c:pt>
                <c:pt idx="570">
                  <c:v>0.4</c:v>
                </c:pt>
                <c:pt idx="571">
                  <c:v>0.36</c:v>
                </c:pt>
                <c:pt idx="572">
                  <c:v>0.34</c:v>
                </c:pt>
                <c:pt idx="573">
                  <c:v>0.32</c:v>
                </c:pt>
                <c:pt idx="574">
                  <c:v>0.3</c:v>
                </c:pt>
                <c:pt idx="575">
                  <c:v>0.28000000000000003</c:v>
                </c:pt>
                <c:pt idx="576">
                  <c:v>0.28000000000000003</c:v>
                </c:pt>
                <c:pt idx="577">
                  <c:v>0.27</c:v>
                </c:pt>
                <c:pt idx="578">
                  <c:v>0.26</c:v>
                </c:pt>
                <c:pt idx="579">
                  <c:v>0.25</c:v>
                </c:pt>
                <c:pt idx="580">
                  <c:v>0.24</c:v>
                </c:pt>
                <c:pt idx="581">
                  <c:v>0.24</c:v>
                </c:pt>
                <c:pt idx="582">
                  <c:v>0.24</c:v>
                </c:pt>
                <c:pt idx="583">
                  <c:v>0.24</c:v>
                </c:pt>
                <c:pt idx="584">
                  <c:v>0.24</c:v>
                </c:pt>
                <c:pt idx="585">
                  <c:v>0.24</c:v>
                </c:pt>
                <c:pt idx="586">
                  <c:v>0.24</c:v>
                </c:pt>
                <c:pt idx="587">
                  <c:v>0.23</c:v>
                </c:pt>
                <c:pt idx="588">
                  <c:v>0.23</c:v>
                </c:pt>
                <c:pt idx="589">
                  <c:v>0.23</c:v>
                </c:pt>
                <c:pt idx="590">
                  <c:v>0.23</c:v>
                </c:pt>
                <c:pt idx="591">
                  <c:v>0.23</c:v>
                </c:pt>
                <c:pt idx="592">
                  <c:v>0.23</c:v>
                </c:pt>
                <c:pt idx="593">
                  <c:v>0.24</c:v>
                </c:pt>
                <c:pt idx="594">
                  <c:v>0.24</c:v>
                </c:pt>
                <c:pt idx="595">
                  <c:v>0.24</c:v>
                </c:pt>
                <c:pt idx="596">
                  <c:v>0.24</c:v>
                </c:pt>
                <c:pt idx="597">
                  <c:v>0.24</c:v>
                </c:pt>
                <c:pt idx="598">
                  <c:v>0.24</c:v>
                </c:pt>
                <c:pt idx="599">
                  <c:v>0.24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0.26</c:v>
                </c:pt>
                <c:pt idx="606">
                  <c:v>0.26</c:v>
                </c:pt>
                <c:pt idx="607">
                  <c:v>0.26</c:v>
                </c:pt>
                <c:pt idx="608">
                  <c:v>0.26</c:v>
                </c:pt>
                <c:pt idx="609">
                  <c:v>0.26</c:v>
                </c:pt>
                <c:pt idx="610">
                  <c:v>0.26</c:v>
                </c:pt>
                <c:pt idx="611">
                  <c:v>0.26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0.26</c:v>
                </c:pt>
                <c:pt idx="620">
                  <c:v>0.26</c:v>
                </c:pt>
                <c:pt idx="621">
                  <c:v>0.26</c:v>
                </c:pt>
                <c:pt idx="622">
                  <c:v>0.26</c:v>
                </c:pt>
                <c:pt idx="623">
                  <c:v>0.26</c:v>
                </c:pt>
                <c:pt idx="624">
                  <c:v>0.26</c:v>
                </c:pt>
                <c:pt idx="625">
                  <c:v>0.26</c:v>
                </c:pt>
                <c:pt idx="626">
                  <c:v>0.26</c:v>
                </c:pt>
                <c:pt idx="627">
                  <c:v>0.26</c:v>
                </c:pt>
                <c:pt idx="628">
                  <c:v>0.26</c:v>
                </c:pt>
                <c:pt idx="629">
                  <c:v>0.26</c:v>
                </c:pt>
                <c:pt idx="630">
                  <c:v>0.26</c:v>
                </c:pt>
                <c:pt idx="631">
                  <c:v>0.26</c:v>
                </c:pt>
                <c:pt idx="632">
                  <c:v>0.26</c:v>
                </c:pt>
                <c:pt idx="633">
                  <c:v>0.26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0.24</c:v>
                </c:pt>
                <c:pt idx="642">
                  <c:v>0.24</c:v>
                </c:pt>
                <c:pt idx="643">
                  <c:v>0.24</c:v>
                </c:pt>
                <c:pt idx="644">
                  <c:v>0.24</c:v>
                </c:pt>
                <c:pt idx="645">
                  <c:v>0.24</c:v>
                </c:pt>
                <c:pt idx="646">
                  <c:v>0.24</c:v>
                </c:pt>
                <c:pt idx="647">
                  <c:v>0.24</c:v>
                </c:pt>
                <c:pt idx="648">
                  <c:v>0.23</c:v>
                </c:pt>
                <c:pt idx="649">
                  <c:v>0.23</c:v>
                </c:pt>
                <c:pt idx="650">
                  <c:v>0.23</c:v>
                </c:pt>
                <c:pt idx="651">
                  <c:v>0.23</c:v>
                </c:pt>
                <c:pt idx="652">
                  <c:v>0.23</c:v>
                </c:pt>
                <c:pt idx="653">
                  <c:v>0.23</c:v>
                </c:pt>
                <c:pt idx="654">
                  <c:v>0.23</c:v>
                </c:pt>
                <c:pt idx="655">
                  <c:v>0.23</c:v>
                </c:pt>
                <c:pt idx="656">
                  <c:v>0.23</c:v>
                </c:pt>
                <c:pt idx="657">
                  <c:v>0.23</c:v>
                </c:pt>
                <c:pt idx="658">
                  <c:v>0.23</c:v>
                </c:pt>
                <c:pt idx="659">
                  <c:v>0.23</c:v>
                </c:pt>
                <c:pt idx="660">
                  <c:v>0.23</c:v>
                </c:pt>
                <c:pt idx="661">
                  <c:v>0.23</c:v>
                </c:pt>
                <c:pt idx="662">
                  <c:v>0.23</c:v>
                </c:pt>
                <c:pt idx="663">
                  <c:v>0.23</c:v>
                </c:pt>
                <c:pt idx="664">
                  <c:v>0.23</c:v>
                </c:pt>
                <c:pt idx="665">
                  <c:v>0.23</c:v>
                </c:pt>
                <c:pt idx="666">
                  <c:v>0.23</c:v>
                </c:pt>
                <c:pt idx="667">
                  <c:v>0.23</c:v>
                </c:pt>
                <c:pt idx="668">
                  <c:v>0.23</c:v>
                </c:pt>
                <c:pt idx="669">
                  <c:v>0.23</c:v>
                </c:pt>
                <c:pt idx="670">
                  <c:v>0.23</c:v>
                </c:pt>
                <c:pt idx="671">
                  <c:v>0.23</c:v>
                </c:pt>
                <c:pt idx="672">
                  <c:v>0.23</c:v>
                </c:pt>
                <c:pt idx="673">
                  <c:v>0.23</c:v>
                </c:pt>
                <c:pt idx="674">
                  <c:v>0.23</c:v>
                </c:pt>
                <c:pt idx="675">
                  <c:v>0.23</c:v>
                </c:pt>
                <c:pt idx="676">
                  <c:v>0.23</c:v>
                </c:pt>
                <c:pt idx="677">
                  <c:v>0.23</c:v>
                </c:pt>
                <c:pt idx="678">
                  <c:v>0.23</c:v>
                </c:pt>
                <c:pt idx="679">
                  <c:v>0.23</c:v>
                </c:pt>
                <c:pt idx="680">
                  <c:v>0.23</c:v>
                </c:pt>
                <c:pt idx="681">
                  <c:v>0.23</c:v>
                </c:pt>
                <c:pt idx="682">
                  <c:v>0.23</c:v>
                </c:pt>
                <c:pt idx="683">
                  <c:v>0.23</c:v>
                </c:pt>
                <c:pt idx="684">
                  <c:v>0.24</c:v>
                </c:pt>
                <c:pt idx="685">
                  <c:v>0.24</c:v>
                </c:pt>
                <c:pt idx="686">
                  <c:v>0.24</c:v>
                </c:pt>
                <c:pt idx="687">
                  <c:v>0.24</c:v>
                </c:pt>
                <c:pt idx="688">
                  <c:v>0.24</c:v>
                </c:pt>
                <c:pt idx="689">
                  <c:v>0.24</c:v>
                </c:pt>
                <c:pt idx="690">
                  <c:v>0.24</c:v>
                </c:pt>
                <c:pt idx="691">
                  <c:v>0.24</c:v>
                </c:pt>
                <c:pt idx="692">
                  <c:v>0.24</c:v>
                </c:pt>
                <c:pt idx="693">
                  <c:v>0.24</c:v>
                </c:pt>
                <c:pt idx="694">
                  <c:v>0.24</c:v>
                </c:pt>
                <c:pt idx="695">
                  <c:v>0.24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0.24</c:v>
                </c:pt>
                <c:pt idx="709">
                  <c:v>0.24</c:v>
                </c:pt>
                <c:pt idx="710">
                  <c:v>0.24</c:v>
                </c:pt>
                <c:pt idx="711">
                  <c:v>0.24</c:v>
                </c:pt>
                <c:pt idx="712">
                  <c:v>0.24</c:v>
                </c:pt>
                <c:pt idx="713">
                  <c:v>0.24</c:v>
                </c:pt>
                <c:pt idx="714">
                  <c:v>0.24</c:v>
                </c:pt>
                <c:pt idx="715">
                  <c:v>0.24</c:v>
                </c:pt>
                <c:pt idx="716">
                  <c:v>0.24</c:v>
                </c:pt>
                <c:pt idx="717">
                  <c:v>0.24</c:v>
                </c:pt>
                <c:pt idx="718">
                  <c:v>0.24</c:v>
                </c:pt>
                <c:pt idx="719">
                  <c:v>0.24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90016"/>
        <c:axId val="85591936"/>
      </c:scatterChart>
      <c:valAx>
        <c:axId val="85590016"/>
        <c:scaling>
          <c:orientation val="minMax"/>
          <c:max val="725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66FF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5591936"/>
        <c:crosses val="autoZero"/>
        <c:crossBetween val="midCat"/>
        <c:majorUnit val="24"/>
        <c:minorUnit val="1.45"/>
      </c:valAx>
      <c:valAx>
        <c:axId val="8559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5590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August</a:t>
            </a:r>
          </a:p>
        </c:rich>
      </c:tx>
      <c:layout>
        <c:manualLayout>
          <c:xMode val="edge"/>
          <c:yMode val="edge"/>
          <c:x val="0.48349133703824781"/>
          <c:y val="2.9010238907849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767571101667212E-2"/>
          <c:y val="0.1740615784829439"/>
          <c:w val="0.94671461261850276"/>
          <c:h val="0.6877138836139842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'Graph-Hou'!$BV$2:$BV$745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</c:numCache>
            </c:numRef>
          </c:xVal>
          <c:yVal>
            <c:numRef>
              <c:f>'Graph-Hou'!$BY$2:$BY$745</c:f>
              <c:numCache>
                <c:formatCode>0.00</c:formatCode>
                <c:ptCount val="744"/>
                <c:pt idx="0">
                  <c:v>0.57999999999999996</c:v>
                </c:pt>
                <c:pt idx="1">
                  <c:v>0.57999999999999996</c:v>
                </c:pt>
                <c:pt idx="2">
                  <c:v>0.57999999999999996</c:v>
                </c:pt>
                <c:pt idx="3">
                  <c:v>0.57999999999999996</c:v>
                </c:pt>
                <c:pt idx="4">
                  <c:v>0.57999999999999996</c:v>
                </c:pt>
                <c:pt idx="5">
                  <c:v>0.57999999999999996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0.57999999999999996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0.57999999999999996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0.57999999999999996</c:v>
                </c:pt>
                <c:pt idx="17">
                  <c:v>0.57999999999999996</c:v>
                </c:pt>
                <c:pt idx="18">
                  <c:v>0.57999999999999996</c:v>
                </c:pt>
                <c:pt idx="19">
                  <c:v>0.57999999999999996</c:v>
                </c:pt>
                <c:pt idx="20">
                  <c:v>0.57999999999999996</c:v>
                </c:pt>
                <c:pt idx="21">
                  <c:v>0.57999999999999996</c:v>
                </c:pt>
                <c:pt idx="22">
                  <c:v>0.57999999999999996</c:v>
                </c:pt>
                <c:pt idx="23">
                  <c:v>0.57999999999999996</c:v>
                </c:pt>
                <c:pt idx="24">
                  <c:v>0.57999999999999996</c:v>
                </c:pt>
                <c:pt idx="25">
                  <c:v>0.57999999999999996</c:v>
                </c:pt>
                <c:pt idx="26">
                  <c:v>0.57999999999999996</c:v>
                </c:pt>
                <c:pt idx="27">
                  <c:v>0.57999999999999996</c:v>
                </c:pt>
                <c:pt idx="28">
                  <c:v>0.57999999999999996</c:v>
                </c:pt>
                <c:pt idx="29">
                  <c:v>0.57999999999999996</c:v>
                </c:pt>
                <c:pt idx="30">
                  <c:v>0.56999999999999995</c:v>
                </c:pt>
                <c:pt idx="31">
                  <c:v>0.56999999999999995</c:v>
                </c:pt>
                <c:pt idx="32">
                  <c:v>0.56999999999999995</c:v>
                </c:pt>
                <c:pt idx="33">
                  <c:v>0.56000000000000005</c:v>
                </c:pt>
                <c:pt idx="34">
                  <c:v>0.56000000000000005</c:v>
                </c:pt>
                <c:pt idx="35">
                  <c:v>0.55000000000000004</c:v>
                </c:pt>
                <c:pt idx="36">
                  <c:v>0.55000000000000004</c:v>
                </c:pt>
                <c:pt idx="37">
                  <c:v>0.55000000000000004</c:v>
                </c:pt>
                <c:pt idx="38">
                  <c:v>0.55000000000000004</c:v>
                </c:pt>
                <c:pt idx="39">
                  <c:v>0.54</c:v>
                </c:pt>
                <c:pt idx="40">
                  <c:v>0.54</c:v>
                </c:pt>
                <c:pt idx="41">
                  <c:v>0.54</c:v>
                </c:pt>
                <c:pt idx="42">
                  <c:v>0.53</c:v>
                </c:pt>
                <c:pt idx="43">
                  <c:v>0.53</c:v>
                </c:pt>
                <c:pt idx="44">
                  <c:v>0.53</c:v>
                </c:pt>
                <c:pt idx="45">
                  <c:v>0.53</c:v>
                </c:pt>
                <c:pt idx="46">
                  <c:v>0.53</c:v>
                </c:pt>
                <c:pt idx="47">
                  <c:v>0.53</c:v>
                </c:pt>
                <c:pt idx="48">
                  <c:v>0.52</c:v>
                </c:pt>
                <c:pt idx="49">
                  <c:v>0.52</c:v>
                </c:pt>
                <c:pt idx="50">
                  <c:v>0.52</c:v>
                </c:pt>
                <c:pt idx="51">
                  <c:v>0.52</c:v>
                </c:pt>
                <c:pt idx="52">
                  <c:v>0.52</c:v>
                </c:pt>
                <c:pt idx="53">
                  <c:v>0.52</c:v>
                </c:pt>
                <c:pt idx="54">
                  <c:v>0.51</c:v>
                </c:pt>
                <c:pt idx="55">
                  <c:v>0.51</c:v>
                </c:pt>
                <c:pt idx="56">
                  <c:v>0.51</c:v>
                </c:pt>
                <c:pt idx="57">
                  <c:v>0.51</c:v>
                </c:pt>
                <c:pt idx="58">
                  <c:v>0.51</c:v>
                </c:pt>
                <c:pt idx="59">
                  <c:v>0.51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0.49</c:v>
                </c:pt>
                <c:pt idx="73">
                  <c:v>0.49</c:v>
                </c:pt>
                <c:pt idx="74">
                  <c:v>0.49</c:v>
                </c:pt>
                <c:pt idx="75">
                  <c:v>0.49</c:v>
                </c:pt>
                <c:pt idx="76">
                  <c:v>0.49</c:v>
                </c:pt>
                <c:pt idx="77">
                  <c:v>0.49</c:v>
                </c:pt>
                <c:pt idx="78">
                  <c:v>0.49</c:v>
                </c:pt>
                <c:pt idx="79">
                  <c:v>0.49</c:v>
                </c:pt>
                <c:pt idx="80">
                  <c:v>0.49</c:v>
                </c:pt>
                <c:pt idx="81">
                  <c:v>0.49</c:v>
                </c:pt>
                <c:pt idx="82">
                  <c:v>0.49</c:v>
                </c:pt>
                <c:pt idx="83">
                  <c:v>0.49</c:v>
                </c:pt>
                <c:pt idx="84">
                  <c:v>0.49</c:v>
                </c:pt>
                <c:pt idx="85">
                  <c:v>0.49</c:v>
                </c:pt>
                <c:pt idx="86">
                  <c:v>0.49</c:v>
                </c:pt>
                <c:pt idx="87">
                  <c:v>0.49</c:v>
                </c:pt>
                <c:pt idx="88">
                  <c:v>0.49</c:v>
                </c:pt>
                <c:pt idx="89">
                  <c:v>0.49</c:v>
                </c:pt>
                <c:pt idx="90">
                  <c:v>0.49</c:v>
                </c:pt>
                <c:pt idx="91">
                  <c:v>0.49</c:v>
                </c:pt>
                <c:pt idx="92">
                  <c:v>0.49</c:v>
                </c:pt>
                <c:pt idx="93">
                  <c:v>0.49</c:v>
                </c:pt>
                <c:pt idx="94">
                  <c:v>0.49</c:v>
                </c:pt>
                <c:pt idx="95">
                  <c:v>0.49</c:v>
                </c:pt>
                <c:pt idx="96">
                  <c:v>0.48</c:v>
                </c:pt>
                <c:pt idx="97">
                  <c:v>0.48</c:v>
                </c:pt>
                <c:pt idx="98">
                  <c:v>0.48</c:v>
                </c:pt>
                <c:pt idx="99">
                  <c:v>0.48</c:v>
                </c:pt>
                <c:pt idx="100">
                  <c:v>0.48</c:v>
                </c:pt>
                <c:pt idx="101">
                  <c:v>0.48</c:v>
                </c:pt>
                <c:pt idx="102">
                  <c:v>0.49</c:v>
                </c:pt>
                <c:pt idx="103">
                  <c:v>0.49</c:v>
                </c:pt>
                <c:pt idx="104">
                  <c:v>0.5</c:v>
                </c:pt>
                <c:pt idx="105">
                  <c:v>0.5</c:v>
                </c:pt>
                <c:pt idx="106">
                  <c:v>0.51</c:v>
                </c:pt>
                <c:pt idx="107">
                  <c:v>0.51</c:v>
                </c:pt>
                <c:pt idx="108">
                  <c:v>0.52</c:v>
                </c:pt>
                <c:pt idx="109">
                  <c:v>0.52</c:v>
                </c:pt>
                <c:pt idx="110">
                  <c:v>0.53</c:v>
                </c:pt>
                <c:pt idx="111">
                  <c:v>0.53</c:v>
                </c:pt>
                <c:pt idx="112">
                  <c:v>0.54</c:v>
                </c:pt>
                <c:pt idx="113">
                  <c:v>0.54</c:v>
                </c:pt>
                <c:pt idx="114">
                  <c:v>0.55000000000000004</c:v>
                </c:pt>
                <c:pt idx="115">
                  <c:v>0.56000000000000005</c:v>
                </c:pt>
                <c:pt idx="116">
                  <c:v>0.56999999999999995</c:v>
                </c:pt>
                <c:pt idx="117">
                  <c:v>0.57999999999999996</c:v>
                </c:pt>
                <c:pt idx="118">
                  <c:v>0.59</c:v>
                </c:pt>
                <c:pt idx="119">
                  <c:v>0.61</c:v>
                </c:pt>
                <c:pt idx="120">
                  <c:v>0.62</c:v>
                </c:pt>
                <c:pt idx="121">
                  <c:v>0.63</c:v>
                </c:pt>
                <c:pt idx="122">
                  <c:v>0.64</c:v>
                </c:pt>
                <c:pt idx="123">
                  <c:v>0.65</c:v>
                </c:pt>
                <c:pt idx="124">
                  <c:v>0.66</c:v>
                </c:pt>
                <c:pt idx="125">
                  <c:v>0.67</c:v>
                </c:pt>
                <c:pt idx="126">
                  <c:v>0.68</c:v>
                </c:pt>
                <c:pt idx="127">
                  <c:v>0.69</c:v>
                </c:pt>
                <c:pt idx="128">
                  <c:v>0.7</c:v>
                </c:pt>
                <c:pt idx="129">
                  <c:v>0.7</c:v>
                </c:pt>
                <c:pt idx="130">
                  <c:v>0.7</c:v>
                </c:pt>
                <c:pt idx="131">
                  <c:v>0.7</c:v>
                </c:pt>
                <c:pt idx="132">
                  <c:v>0.7</c:v>
                </c:pt>
                <c:pt idx="133">
                  <c:v>0.69</c:v>
                </c:pt>
                <c:pt idx="134">
                  <c:v>0.68</c:v>
                </c:pt>
                <c:pt idx="135">
                  <c:v>0.67</c:v>
                </c:pt>
                <c:pt idx="136">
                  <c:v>0.66</c:v>
                </c:pt>
                <c:pt idx="137">
                  <c:v>0.65</c:v>
                </c:pt>
                <c:pt idx="138">
                  <c:v>0.64</c:v>
                </c:pt>
                <c:pt idx="139">
                  <c:v>0.63</c:v>
                </c:pt>
                <c:pt idx="140">
                  <c:v>0.62</c:v>
                </c:pt>
                <c:pt idx="141">
                  <c:v>0.61</c:v>
                </c:pt>
                <c:pt idx="142">
                  <c:v>0.61</c:v>
                </c:pt>
                <c:pt idx="143">
                  <c:v>0.6</c:v>
                </c:pt>
                <c:pt idx="144">
                  <c:v>0.6</c:v>
                </c:pt>
                <c:pt idx="145">
                  <c:v>0.6</c:v>
                </c:pt>
                <c:pt idx="146">
                  <c:v>0.6</c:v>
                </c:pt>
                <c:pt idx="147">
                  <c:v>0.59</c:v>
                </c:pt>
                <c:pt idx="148">
                  <c:v>0.59</c:v>
                </c:pt>
                <c:pt idx="149">
                  <c:v>0.59</c:v>
                </c:pt>
                <c:pt idx="150">
                  <c:v>0.59</c:v>
                </c:pt>
                <c:pt idx="151">
                  <c:v>0.57999999999999996</c:v>
                </c:pt>
                <c:pt idx="152">
                  <c:v>0.57999999999999996</c:v>
                </c:pt>
                <c:pt idx="153">
                  <c:v>0.57999999999999996</c:v>
                </c:pt>
                <c:pt idx="154">
                  <c:v>0.57999999999999996</c:v>
                </c:pt>
                <c:pt idx="155">
                  <c:v>0.56999999999999995</c:v>
                </c:pt>
                <c:pt idx="156">
                  <c:v>0.56999999999999995</c:v>
                </c:pt>
                <c:pt idx="157">
                  <c:v>0.56999999999999995</c:v>
                </c:pt>
                <c:pt idx="158">
                  <c:v>0.56999999999999995</c:v>
                </c:pt>
                <c:pt idx="159">
                  <c:v>0.56999999999999995</c:v>
                </c:pt>
                <c:pt idx="160">
                  <c:v>0.56999999999999995</c:v>
                </c:pt>
                <c:pt idx="161">
                  <c:v>0.56999999999999995</c:v>
                </c:pt>
                <c:pt idx="162">
                  <c:v>0.56000000000000005</c:v>
                </c:pt>
                <c:pt idx="163">
                  <c:v>0.56000000000000005</c:v>
                </c:pt>
                <c:pt idx="164">
                  <c:v>0.56000000000000005</c:v>
                </c:pt>
                <c:pt idx="165">
                  <c:v>0.56000000000000005</c:v>
                </c:pt>
                <c:pt idx="166">
                  <c:v>0.56000000000000005</c:v>
                </c:pt>
                <c:pt idx="167">
                  <c:v>0.56000000000000005</c:v>
                </c:pt>
                <c:pt idx="168">
                  <c:v>0.56000000000000005</c:v>
                </c:pt>
                <c:pt idx="169">
                  <c:v>0.56000000000000005</c:v>
                </c:pt>
                <c:pt idx="170">
                  <c:v>0.56000000000000005</c:v>
                </c:pt>
                <c:pt idx="171">
                  <c:v>0.56000000000000005</c:v>
                </c:pt>
                <c:pt idx="172">
                  <c:v>0.56000000000000005</c:v>
                </c:pt>
                <c:pt idx="173">
                  <c:v>0.56000000000000005</c:v>
                </c:pt>
                <c:pt idx="174">
                  <c:v>0.56000000000000005</c:v>
                </c:pt>
                <c:pt idx="175">
                  <c:v>0.56000000000000005</c:v>
                </c:pt>
                <c:pt idx="176">
                  <c:v>0.56000000000000005</c:v>
                </c:pt>
                <c:pt idx="177">
                  <c:v>0.56000000000000005</c:v>
                </c:pt>
                <c:pt idx="178">
                  <c:v>0.56000000000000005</c:v>
                </c:pt>
                <c:pt idx="179">
                  <c:v>0.56000000000000005</c:v>
                </c:pt>
                <c:pt idx="180">
                  <c:v>0.56999999999999995</c:v>
                </c:pt>
                <c:pt idx="181">
                  <c:v>0.56999999999999995</c:v>
                </c:pt>
                <c:pt idx="182">
                  <c:v>0.56999999999999995</c:v>
                </c:pt>
                <c:pt idx="183">
                  <c:v>0.56999999999999995</c:v>
                </c:pt>
                <c:pt idx="184">
                  <c:v>0.56999999999999995</c:v>
                </c:pt>
                <c:pt idx="185">
                  <c:v>0.56999999999999995</c:v>
                </c:pt>
                <c:pt idx="186">
                  <c:v>0.57999999999999996</c:v>
                </c:pt>
                <c:pt idx="187">
                  <c:v>0.57999999999999996</c:v>
                </c:pt>
                <c:pt idx="188">
                  <c:v>0.59</c:v>
                </c:pt>
                <c:pt idx="189">
                  <c:v>0.59</c:v>
                </c:pt>
                <c:pt idx="190">
                  <c:v>0.6</c:v>
                </c:pt>
                <c:pt idx="191">
                  <c:v>0.6</c:v>
                </c:pt>
                <c:pt idx="192">
                  <c:v>0.61</c:v>
                </c:pt>
                <c:pt idx="193">
                  <c:v>0.61</c:v>
                </c:pt>
                <c:pt idx="194">
                  <c:v>0.62</c:v>
                </c:pt>
                <c:pt idx="195">
                  <c:v>0.62</c:v>
                </c:pt>
                <c:pt idx="196">
                  <c:v>0.63</c:v>
                </c:pt>
                <c:pt idx="197">
                  <c:v>0.64</c:v>
                </c:pt>
                <c:pt idx="198">
                  <c:v>0.66</c:v>
                </c:pt>
                <c:pt idx="199">
                  <c:v>0.68</c:v>
                </c:pt>
                <c:pt idx="200">
                  <c:v>0.7</c:v>
                </c:pt>
                <c:pt idx="201">
                  <c:v>0.72</c:v>
                </c:pt>
                <c:pt idx="202">
                  <c:v>0.74</c:v>
                </c:pt>
                <c:pt idx="203">
                  <c:v>0.76</c:v>
                </c:pt>
                <c:pt idx="204">
                  <c:v>0.78</c:v>
                </c:pt>
                <c:pt idx="205">
                  <c:v>0.81</c:v>
                </c:pt>
                <c:pt idx="206">
                  <c:v>0.84</c:v>
                </c:pt>
                <c:pt idx="207">
                  <c:v>0.88</c:v>
                </c:pt>
                <c:pt idx="208">
                  <c:v>0.91</c:v>
                </c:pt>
                <c:pt idx="209">
                  <c:v>0.95</c:v>
                </c:pt>
                <c:pt idx="210">
                  <c:v>1</c:v>
                </c:pt>
                <c:pt idx="211">
                  <c:v>1.06</c:v>
                </c:pt>
                <c:pt idx="212">
                  <c:v>1.1200000000000001</c:v>
                </c:pt>
                <c:pt idx="213">
                  <c:v>1.18</c:v>
                </c:pt>
                <c:pt idx="214">
                  <c:v>1.24</c:v>
                </c:pt>
                <c:pt idx="215">
                  <c:v>1.28</c:v>
                </c:pt>
                <c:pt idx="216">
                  <c:v>1.36</c:v>
                </c:pt>
                <c:pt idx="217">
                  <c:v>1.42</c:v>
                </c:pt>
                <c:pt idx="218">
                  <c:v>1.48</c:v>
                </c:pt>
                <c:pt idx="219">
                  <c:v>1.56</c:v>
                </c:pt>
                <c:pt idx="220">
                  <c:v>1.62</c:v>
                </c:pt>
                <c:pt idx="221">
                  <c:v>1.7</c:v>
                </c:pt>
                <c:pt idx="222">
                  <c:v>1.78</c:v>
                </c:pt>
                <c:pt idx="223">
                  <c:v>1.86</c:v>
                </c:pt>
                <c:pt idx="224">
                  <c:v>1.94</c:v>
                </c:pt>
                <c:pt idx="225">
                  <c:v>2.02</c:v>
                </c:pt>
                <c:pt idx="226">
                  <c:v>2.09</c:v>
                </c:pt>
                <c:pt idx="227">
                  <c:v>2.16</c:v>
                </c:pt>
                <c:pt idx="228">
                  <c:v>2.23</c:v>
                </c:pt>
                <c:pt idx="229">
                  <c:v>2.2799999999999998</c:v>
                </c:pt>
                <c:pt idx="230">
                  <c:v>2.34</c:v>
                </c:pt>
                <c:pt idx="231">
                  <c:v>2.36</c:v>
                </c:pt>
                <c:pt idx="232">
                  <c:v>2.39</c:v>
                </c:pt>
                <c:pt idx="233">
                  <c:v>2.42</c:v>
                </c:pt>
                <c:pt idx="234">
                  <c:v>2.44</c:v>
                </c:pt>
                <c:pt idx="235">
                  <c:v>2.46</c:v>
                </c:pt>
                <c:pt idx="236">
                  <c:v>2.48</c:v>
                </c:pt>
                <c:pt idx="237">
                  <c:v>2.5</c:v>
                </c:pt>
                <c:pt idx="238">
                  <c:v>2.5099999999999998</c:v>
                </c:pt>
                <c:pt idx="239">
                  <c:v>2.52</c:v>
                </c:pt>
                <c:pt idx="240">
                  <c:v>2.5299999999999998</c:v>
                </c:pt>
                <c:pt idx="241">
                  <c:v>2.5299999999999998</c:v>
                </c:pt>
                <c:pt idx="242">
                  <c:v>2.54</c:v>
                </c:pt>
                <c:pt idx="243">
                  <c:v>2.54</c:v>
                </c:pt>
                <c:pt idx="244">
                  <c:v>2.54</c:v>
                </c:pt>
                <c:pt idx="245">
                  <c:v>2.54</c:v>
                </c:pt>
                <c:pt idx="246">
                  <c:v>2.54</c:v>
                </c:pt>
                <c:pt idx="247">
                  <c:v>2.5299999999999998</c:v>
                </c:pt>
                <c:pt idx="248">
                  <c:v>2.5299999999999998</c:v>
                </c:pt>
                <c:pt idx="249">
                  <c:v>2.52</c:v>
                </c:pt>
                <c:pt idx="250">
                  <c:v>2.5099999999999998</c:v>
                </c:pt>
                <c:pt idx="251">
                  <c:v>2.5</c:v>
                </c:pt>
                <c:pt idx="252">
                  <c:v>2.4900000000000002</c:v>
                </c:pt>
                <c:pt idx="253">
                  <c:v>2.4700000000000002</c:v>
                </c:pt>
                <c:pt idx="254">
                  <c:v>2.4500000000000002</c:v>
                </c:pt>
                <c:pt idx="255">
                  <c:v>2.4300000000000002</c:v>
                </c:pt>
                <c:pt idx="256">
                  <c:v>2.41</c:v>
                </c:pt>
                <c:pt idx="257">
                  <c:v>2.38</c:v>
                </c:pt>
                <c:pt idx="258">
                  <c:v>2.35</c:v>
                </c:pt>
                <c:pt idx="259">
                  <c:v>2.33</c:v>
                </c:pt>
                <c:pt idx="260">
                  <c:v>2.2999999999999998</c:v>
                </c:pt>
                <c:pt idx="261">
                  <c:v>2.27</c:v>
                </c:pt>
                <c:pt idx="262">
                  <c:v>2.2400000000000002</c:v>
                </c:pt>
                <c:pt idx="263">
                  <c:v>2.21</c:v>
                </c:pt>
                <c:pt idx="264">
                  <c:v>2.19</c:v>
                </c:pt>
                <c:pt idx="265">
                  <c:v>2.17</c:v>
                </c:pt>
                <c:pt idx="266">
                  <c:v>2.15</c:v>
                </c:pt>
                <c:pt idx="267">
                  <c:v>2.13</c:v>
                </c:pt>
                <c:pt idx="268">
                  <c:v>2.11</c:v>
                </c:pt>
                <c:pt idx="269">
                  <c:v>2.09</c:v>
                </c:pt>
                <c:pt idx="270">
                  <c:v>2.0699999999999998</c:v>
                </c:pt>
                <c:pt idx="271">
                  <c:v>2.0499999999999998</c:v>
                </c:pt>
                <c:pt idx="272">
                  <c:v>2.0299999999999998</c:v>
                </c:pt>
                <c:pt idx="273">
                  <c:v>2.0099999999999998</c:v>
                </c:pt>
                <c:pt idx="274">
                  <c:v>2</c:v>
                </c:pt>
                <c:pt idx="275">
                  <c:v>1.99</c:v>
                </c:pt>
                <c:pt idx="276">
                  <c:v>1.97</c:v>
                </c:pt>
                <c:pt idx="277">
                  <c:v>1.95</c:v>
                </c:pt>
                <c:pt idx="278">
                  <c:v>1.93</c:v>
                </c:pt>
                <c:pt idx="279">
                  <c:v>1.91</c:v>
                </c:pt>
                <c:pt idx="280">
                  <c:v>1.9</c:v>
                </c:pt>
                <c:pt idx="281">
                  <c:v>1.88</c:v>
                </c:pt>
                <c:pt idx="282">
                  <c:v>1.86</c:v>
                </c:pt>
                <c:pt idx="283">
                  <c:v>1.84</c:v>
                </c:pt>
                <c:pt idx="284">
                  <c:v>1.82</c:v>
                </c:pt>
                <c:pt idx="285">
                  <c:v>1.81</c:v>
                </c:pt>
                <c:pt idx="286">
                  <c:v>1.79</c:v>
                </c:pt>
                <c:pt idx="287">
                  <c:v>1.77</c:v>
                </c:pt>
                <c:pt idx="288">
                  <c:v>1.75</c:v>
                </c:pt>
                <c:pt idx="289">
                  <c:v>1.73</c:v>
                </c:pt>
                <c:pt idx="290">
                  <c:v>1.71</c:v>
                </c:pt>
                <c:pt idx="291">
                  <c:v>1.68</c:v>
                </c:pt>
                <c:pt idx="292">
                  <c:v>1.65</c:v>
                </c:pt>
                <c:pt idx="293">
                  <c:v>1.63</c:v>
                </c:pt>
                <c:pt idx="294">
                  <c:v>1.6</c:v>
                </c:pt>
                <c:pt idx="295">
                  <c:v>1.57</c:v>
                </c:pt>
                <c:pt idx="296">
                  <c:v>1.54</c:v>
                </c:pt>
                <c:pt idx="297">
                  <c:v>1.51</c:v>
                </c:pt>
                <c:pt idx="298">
                  <c:v>1.48</c:v>
                </c:pt>
                <c:pt idx="299">
                  <c:v>1.45</c:v>
                </c:pt>
                <c:pt idx="300">
                  <c:v>1.43</c:v>
                </c:pt>
                <c:pt idx="301">
                  <c:v>1.41</c:v>
                </c:pt>
                <c:pt idx="302">
                  <c:v>1.38</c:v>
                </c:pt>
                <c:pt idx="303">
                  <c:v>1.36</c:v>
                </c:pt>
                <c:pt idx="304">
                  <c:v>1.33</c:v>
                </c:pt>
                <c:pt idx="305">
                  <c:v>1.31</c:v>
                </c:pt>
                <c:pt idx="306">
                  <c:v>1.29</c:v>
                </c:pt>
                <c:pt idx="307">
                  <c:v>1.27</c:v>
                </c:pt>
                <c:pt idx="308">
                  <c:v>1.25</c:v>
                </c:pt>
                <c:pt idx="309">
                  <c:v>1.23</c:v>
                </c:pt>
                <c:pt idx="310">
                  <c:v>1.21</c:v>
                </c:pt>
                <c:pt idx="311">
                  <c:v>1.2</c:v>
                </c:pt>
                <c:pt idx="312">
                  <c:v>1.18</c:v>
                </c:pt>
                <c:pt idx="313">
                  <c:v>1.1599999999999999</c:v>
                </c:pt>
                <c:pt idx="314">
                  <c:v>1.1399999999999999</c:v>
                </c:pt>
                <c:pt idx="315">
                  <c:v>1.1200000000000001</c:v>
                </c:pt>
                <c:pt idx="316">
                  <c:v>1.1100000000000001</c:v>
                </c:pt>
                <c:pt idx="317">
                  <c:v>1.1000000000000001</c:v>
                </c:pt>
                <c:pt idx="318">
                  <c:v>1.08</c:v>
                </c:pt>
                <c:pt idx="319">
                  <c:v>1.07</c:v>
                </c:pt>
                <c:pt idx="320">
                  <c:v>1.06</c:v>
                </c:pt>
                <c:pt idx="321">
                  <c:v>1.05</c:v>
                </c:pt>
                <c:pt idx="322">
                  <c:v>1.04</c:v>
                </c:pt>
                <c:pt idx="323">
                  <c:v>1.03</c:v>
                </c:pt>
                <c:pt idx="324">
                  <c:v>1.02</c:v>
                </c:pt>
                <c:pt idx="325">
                  <c:v>1.02</c:v>
                </c:pt>
                <c:pt idx="326">
                  <c:v>1.01</c:v>
                </c:pt>
                <c:pt idx="327">
                  <c:v>1.01</c:v>
                </c:pt>
                <c:pt idx="328">
                  <c:v>1</c:v>
                </c:pt>
                <c:pt idx="329">
                  <c:v>1</c:v>
                </c:pt>
                <c:pt idx="330">
                  <c:v>0.99</c:v>
                </c:pt>
                <c:pt idx="331">
                  <c:v>0.99</c:v>
                </c:pt>
                <c:pt idx="332">
                  <c:v>0.98</c:v>
                </c:pt>
                <c:pt idx="333">
                  <c:v>0.98</c:v>
                </c:pt>
                <c:pt idx="334">
                  <c:v>0.98</c:v>
                </c:pt>
                <c:pt idx="335">
                  <c:v>0.99</c:v>
                </c:pt>
                <c:pt idx="336">
                  <c:v>1</c:v>
                </c:pt>
                <c:pt idx="337">
                  <c:v>1.01</c:v>
                </c:pt>
                <c:pt idx="338">
                  <c:v>1.02</c:v>
                </c:pt>
                <c:pt idx="339">
                  <c:v>1.03</c:v>
                </c:pt>
                <c:pt idx="340">
                  <c:v>1.04</c:v>
                </c:pt>
                <c:pt idx="341">
                  <c:v>1.05</c:v>
                </c:pt>
                <c:pt idx="342">
                  <c:v>1.07</c:v>
                </c:pt>
                <c:pt idx="343">
                  <c:v>1.08</c:v>
                </c:pt>
                <c:pt idx="344">
                  <c:v>1.0900000000000001</c:v>
                </c:pt>
                <c:pt idx="345">
                  <c:v>1.1100000000000001</c:v>
                </c:pt>
                <c:pt idx="346">
                  <c:v>1.1200000000000001</c:v>
                </c:pt>
                <c:pt idx="347">
                  <c:v>1.1299999999999999</c:v>
                </c:pt>
                <c:pt idx="348">
                  <c:v>1.1399999999999999</c:v>
                </c:pt>
                <c:pt idx="349">
                  <c:v>1.1499999999999999</c:v>
                </c:pt>
                <c:pt idx="350">
                  <c:v>1.1599999999999999</c:v>
                </c:pt>
                <c:pt idx="351">
                  <c:v>1.1599999999999999</c:v>
                </c:pt>
                <c:pt idx="352">
                  <c:v>1.1599999999999999</c:v>
                </c:pt>
                <c:pt idx="353">
                  <c:v>1.1599999999999999</c:v>
                </c:pt>
                <c:pt idx="354">
                  <c:v>1.1599999999999999</c:v>
                </c:pt>
                <c:pt idx="355">
                  <c:v>1.1499999999999999</c:v>
                </c:pt>
                <c:pt idx="356">
                  <c:v>1.1299999999999999</c:v>
                </c:pt>
                <c:pt idx="357">
                  <c:v>1.1100000000000001</c:v>
                </c:pt>
                <c:pt idx="358">
                  <c:v>1.0900000000000001</c:v>
                </c:pt>
                <c:pt idx="359">
                  <c:v>1.07</c:v>
                </c:pt>
                <c:pt idx="360">
                  <c:v>1.05</c:v>
                </c:pt>
                <c:pt idx="361">
                  <c:v>1.03</c:v>
                </c:pt>
                <c:pt idx="362">
                  <c:v>1.01</c:v>
                </c:pt>
                <c:pt idx="363">
                  <c:v>0.99</c:v>
                </c:pt>
                <c:pt idx="364">
                  <c:v>0.98</c:v>
                </c:pt>
                <c:pt idx="365">
                  <c:v>0.97</c:v>
                </c:pt>
                <c:pt idx="366">
                  <c:v>0.96</c:v>
                </c:pt>
                <c:pt idx="367">
                  <c:v>0.95</c:v>
                </c:pt>
                <c:pt idx="368">
                  <c:v>0.94</c:v>
                </c:pt>
                <c:pt idx="369">
                  <c:v>0.93</c:v>
                </c:pt>
                <c:pt idx="370">
                  <c:v>0.92</c:v>
                </c:pt>
                <c:pt idx="371">
                  <c:v>0.91</c:v>
                </c:pt>
                <c:pt idx="372">
                  <c:v>0.91</c:v>
                </c:pt>
                <c:pt idx="373">
                  <c:v>0.9</c:v>
                </c:pt>
                <c:pt idx="374">
                  <c:v>0.9</c:v>
                </c:pt>
                <c:pt idx="375">
                  <c:v>0.89</c:v>
                </c:pt>
                <c:pt idx="376">
                  <c:v>0.89</c:v>
                </c:pt>
                <c:pt idx="377">
                  <c:v>0.89</c:v>
                </c:pt>
                <c:pt idx="378">
                  <c:v>0.88</c:v>
                </c:pt>
                <c:pt idx="379">
                  <c:v>0.88</c:v>
                </c:pt>
                <c:pt idx="380">
                  <c:v>0.87</c:v>
                </c:pt>
                <c:pt idx="381">
                  <c:v>0.87</c:v>
                </c:pt>
                <c:pt idx="382">
                  <c:v>0.87</c:v>
                </c:pt>
                <c:pt idx="383">
                  <c:v>0.87</c:v>
                </c:pt>
                <c:pt idx="384">
                  <c:v>0.86</c:v>
                </c:pt>
                <c:pt idx="385">
                  <c:v>0.86</c:v>
                </c:pt>
                <c:pt idx="386">
                  <c:v>0.86</c:v>
                </c:pt>
                <c:pt idx="387">
                  <c:v>0.86</c:v>
                </c:pt>
                <c:pt idx="388">
                  <c:v>0.86</c:v>
                </c:pt>
                <c:pt idx="389">
                  <c:v>0.85</c:v>
                </c:pt>
                <c:pt idx="390">
                  <c:v>0.85</c:v>
                </c:pt>
                <c:pt idx="391">
                  <c:v>0.85</c:v>
                </c:pt>
                <c:pt idx="392">
                  <c:v>0.84</c:v>
                </c:pt>
                <c:pt idx="393">
                  <c:v>0.83</c:v>
                </c:pt>
                <c:pt idx="394">
                  <c:v>0.82</c:v>
                </c:pt>
                <c:pt idx="395">
                  <c:v>0.81</c:v>
                </c:pt>
                <c:pt idx="396">
                  <c:v>0.8</c:v>
                </c:pt>
                <c:pt idx="397">
                  <c:v>0.79</c:v>
                </c:pt>
                <c:pt idx="398">
                  <c:v>0.79</c:v>
                </c:pt>
                <c:pt idx="399">
                  <c:v>0.78</c:v>
                </c:pt>
                <c:pt idx="400">
                  <c:v>0.78</c:v>
                </c:pt>
                <c:pt idx="401">
                  <c:v>0.77</c:v>
                </c:pt>
                <c:pt idx="402">
                  <c:v>0.77</c:v>
                </c:pt>
                <c:pt idx="403">
                  <c:v>0.76</c:v>
                </c:pt>
                <c:pt idx="404">
                  <c:v>0.75</c:v>
                </c:pt>
                <c:pt idx="405">
                  <c:v>0.74</c:v>
                </c:pt>
                <c:pt idx="406">
                  <c:v>0.74</c:v>
                </c:pt>
                <c:pt idx="407">
                  <c:v>0.73</c:v>
                </c:pt>
                <c:pt idx="408">
                  <c:v>0.73</c:v>
                </c:pt>
                <c:pt idx="409">
                  <c:v>0.72</c:v>
                </c:pt>
                <c:pt idx="410">
                  <c:v>0.72</c:v>
                </c:pt>
                <c:pt idx="411">
                  <c:v>0.71</c:v>
                </c:pt>
                <c:pt idx="412">
                  <c:v>0.71</c:v>
                </c:pt>
                <c:pt idx="413">
                  <c:v>0.7</c:v>
                </c:pt>
                <c:pt idx="414">
                  <c:v>0.7</c:v>
                </c:pt>
                <c:pt idx="415">
                  <c:v>0.69</c:v>
                </c:pt>
                <c:pt idx="416">
                  <c:v>0.69</c:v>
                </c:pt>
                <c:pt idx="417">
                  <c:v>0.68</c:v>
                </c:pt>
                <c:pt idx="418">
                  <c:v>0.68</c:v>
                </c:pt>
                <c:pt idx="419">
                  <c:v>0.67</c:v>
                </c:pt>
                <c:pt idx="420">
                  <c:v>0.67</c:v>
                </c:pt>
                <c:pt idx="421">
                  <c:v>0.66</c:v>
                </c:pt>
                <c:pt idx="422">
                  <c:v>0.66</c:v>
                </c:pt>
                <c:pt idx="423">
                  <c:v>0.65</c:v>
                </c:pt>
                <c:pt idx="424">
                  <c:v>0.65</c:v>
                </c:pt>
                <c:pt idx="425">
                  <c:v>0.65</c:v>
                </c:pt>
                <c:pt idx="426">
                  <c:v>0.65</c:v>
                </c:pt>
                <c:pt idx="427">
                  <c:v>0.64</c:v>
                </c:pt>
                <c:pt idx="428">
                  <c:v>0.64</c:v>
                </c:pt>
                <c:pt idx="429">
                  <c:v>0.64</c:v>
                </c:pt>
                <c:pt idx="430">
                  <c:v>0.63</c:v>
                </c:pt>
                <c:pt idx="431">
                  <c:v>0.63</c:v>
                </c:pt>
                <c:pt idx="432">
                  <c:v>0.63</c:v>
                </c:pt>
                <c:pt idx="433">
                  <c:v>0.63</c:v>
                </c:pt>
                <c:pt idx="434">
                  <c:v>0.62</c:v>
                </c:pt>
                <c:pt idx="435">
                  <c:v>0.62</c:v>
                </c:pt>
                <c:pt idx="436">
                  <c:v>0.62</c:v>
                </c:pt>
                <c:pt idx="437">
                  <c:v>0.62</c:v>
                </c:pt>
                <c:pt idx="438">
                  <c:v>0.62</c:v>
                </c:pt>
                <c:pt idx="439">
                  <c:v>0.62</c:v>
                </c:pt>
                <c:pt idx="440">
                  <c:v>0.62</c:v>
                </c:pt>
                <c:pt idx="441">
                  <c:v>0.62</c:v>
                </c:pt>
                <c:pt idx="442">
                  <c:v>0.62</c:v>
                </c:pt>
                <c:pt idx="443">
                  <c:v>0.62</c:v>
                </c:pt>
                <c:pt idx="444">
                  <c:v>0.62</c:v>
                </c:pt>
                <c:pt idx="445">
                  <c:v>0.62</c:v>
                </c:pt>
                <c:pt idx="446">
                  <c:v>0.62</c:v>
                </c:pt>
                <c:pt idx="447">
                  <c:v>0.62</c:v>
                </c:pt>
                <c:pt idx="448">
                  <c:v>0.62</c:v>
                </c:pt>
                <c:pt idx="449">
                  <c:v>0.62</c:v>
                </c:pt>
                <c:pt idx="450">
                  <c:v>0.62</c:v>
                </c:pt>
                <c:pt idx="451">
                  <c:v>0.62</c:v>
                </c:pt>
                <c:pt idx="452">
                  <c:v>0.62</c:v>
                </c:pt>
                <c:pt idx="453">
                  <c:v>0.62</c:v>
                </c:pt>
                <c:pt idx="454">
                  <c:v>0.62</c:v>
                </c:pt>
                <c:pt idx="455">
                  <c:v>0.62</c:v>
                </c:pt>
                <c:pt idx="456">
                  <c:v>0.61</c:v>
                </c:pt>
                <c:pt idx="457">
                  <c:v>0.61</c:v>
                </c:pt>
                <c:pt idx="458">
                  <c:v>0.61</c:v>
                </c:pt>
                <c:pt idx="459">
                  <c:v>0.61</c:v>
                </c:pt>
                <c:pt idx="460">
                  <c:v>0.61</c:v>
                </c:pt>
                <c:pt idx="461">
                  <c:v>0.61</c:v>
                </c:pt>
                <c:pt idx="462">
                  <c:v>0.61</c:v>
                </c:pt>
                <c:pt idx="463">
                  <c:v>0.61</c:v>
                </c:pt>
                <c:pt idx="464">
                  <c:v>0.61</c:v>
                </c:pt>
                <c:pt idx="465">
                  <c:v>0.61</c:v>
                </c:pt>
                <c:pt idx="466">
                  <c:v>0.61</c:v>
                </c:pt>
                <c:pt idx="467">
                  <c:v>0.61</c:v>
                </c:pt>
                <c:pt idx="468">
                  <c:v>0.61</c:v>
                </c:pt>
                <c:pt idx="469">
                  <c:v>0.61</c:v>
                </c:pt>
                <c:pt idx="470">
                  <c:v>0.61</c:v>
                </c:pt>
                <c:pt idx="471">
                  <c:v>0.61</c:v>
                </c:pt>
                <c:pt idx="472">
                  <c:v>0.61</c:v>
                </c:pt>
                <c:pt idx="473">
                  <c:v>0.61</c:v>
                </c:pt>
                <c:pt idx="474">
                  <c:v>0.61</c:v>
                </c:pt>
                <c:pt idx="475">
                  <c:v>0.61</c:v>
                </c:pt>
                <c:pt idx="476">
                  <c:v>0.61</c:v>
                </c:pt>
                <c:pt idx="477">
                  <c:v>0.61</c:v>
                </c:pt>
                <c:pt idx="478">
                  <c:v>0.61</c:v>
                </c:pt>
                <c:pt idx="479">
                  <c:v>0.61</c:v>
                </c:pt>
                <c:pt idx="480">
                  <c:v>0.61</c:v>
                </c:pt>
                <c:pt idx="481">
                  <c:v>0.61</c:v>
                </c:pt>
                <c:pt idx="482">
                  <c:v>0.61</c:v>
                </c:pt>
                <c:pt idx="483">
                  <c:v>0.61</c:v>
                </c:pt>
                <c:pt idx="484">
                  <c:v>0.61</c:v>
                </c:pt>
                <c:pt idx="485">
                  <c:v>0.61</c:v>
                </c:pt>
                <c:pt idx="486">
                  <c:v>0.6</c:v>
                </c:pt>
                <c:pt idx="487">
                  <c:v>0.6</c:v>
                </c:pt>
                <c:pt idx="488">
                  <c:v>0.6</c:v>
                </c:pt>
                <c:pt idx="489">
                  <c:v>0.6</c:v>
                </c:pt>
                <c:pt idx="490">
                  <c:v>0.6</c:v>
                </c:pt>
                <c:pt idx="491">
                  <c:v>0.6</c:v>
                </c:pt>
                <c:pt idx="492">
                  <c:v>0.6</c:v>
                </c:pt>
                <c:pt idx="493">
                  <c:v>0.6</c:v>
                </c:pt>
                <c:pt idx="494">
                  <c:v>0.6</c:v>
                </c:pt>
                <c:pt idx="495">
                  <c:v>0.6</c:v>
                </c:pt>
                <c:pt idx="496">
                  <c:v>0.6</c:v>
                </c:pt>
                <c:pt idx="497">
                  <c:v>0.6</c:v>
                </c:pt>
                <c:pt idx="498">
                  <c:v>0.61</c:v>
                </c:pt>
                <c:pt idx="499">
                  <c:v>0.61</c:v>
                </c:pt>
                <c:pt idx="500">
                  <c:v>0.62</c:v>
                </c:pt>
                <c:pt idx="501">
                  <c:v>0.62</c:v>
                </c:pt>
                <c:pt idx="502">
                  <c:v>0.63</c:v>
                </c:pt>
                <c:pt idx="503">
                  <c:v>0.63</c:v>
                </c:pt>
                <c:pt idx="504">
                  <c:v>0.64</c:v>
                </c:pt>
                <c:pt idx="505">
                  <c:v>0.64</c:v>
                </c:pt>
                <c:pt idx="506">
                  <c:v>0.65</c:v>
                </c:pt>
                <c:pt idx="507">
                  <c:v>0.65</c:v>
                </c:pt>
                <c:pt idx="508">
                  <c:v>0.66</c:v>
                </c:pt>
                <c:pt idx="509">
                  <c:v>0.67</c:v>
                </c:pt>
                <c:pt idx="510">
                  <c:v>0.67</c:v>
                </c:pt>
                <c:pt idx="511">
                  <c:v>0.68</c:v>
                </c:pt>
                <c:pt idx="512">
                  <c:v>0.68</c:v>
                </c:pt>
                <c:pt idx="513">
                  <c:v>0.69</c:v>
                </c:pt>
                <c:pt idx="514">
                  <c:v>0.69</c:v>
                </c:pt>
                <c:pt idx="515">
                  <c:v>0.7</c:v>
                </c:pt>
                <c:pt idx="516">
                  <c:v>0.71</c:v>
                </c:pt>
                <c:pt idx="517">
                  <c:v>0.72</c:v>
                </c:pt>
                <c:pt idx="518">
                  <c:v>0.73</c:v>
                </c:pt>
                <c:pt idx="519">
                  <c:v>0.73</c:v>
                </c:pt>
                <c:pt idx="520">
                  <c:v>0.74</c:v>
                </c:pt>
                <c:pt idx="521">
                  <c:v>0.75</c:v>
                </c:pt>
                <c:pt idx="522">
                  <c:v>0.76</c:v>
                </c:pt>
                <c:pt idx="523">
                  <c:v>0.77</c:v>
                </c:pt>
                <c:pt idx="524">
                  <c:v>0.78</c:v>
                </c:pt>
                <c:pt idx="525">
                  <c:v>0.8</c:v>
                </c:pt>
                <c:pt idx="526">
                  <c:v>0.81</c:v>
                </c:pt>
                <c:pt idx="527">
                  <c:v>0.82</c:v>
                </c:pt>
                <c:pt idx="528">
                  <c:v>0.83</c:v>
                </c:pt>
                <c:pt idx="529">
                  <c:v>0.84</c:v>
                </c:pt>
                <c:pt idx="530">
                  <c:v>0.85</c:v>
                </c:pt>
                <c:pt idx="531">
                  <c:v>0.86</c:v>
                </c:pt>
                <c:pt idx="532">
                  <c:v>0.87</c:v>
                </c:pt>
                <c:pt idx="533">
                  <c:v>0.89</c:v>
                </c:pt>
                <c:pt idx="534">
                  <c:v>0.9</c:v>
                </c:pt>
                <c:pt idx="535">
                  <c:v>0.92</c:v>
                </c:pt>
                <c:pt idx="536">
                  <c:v>0.93</c:v>
                </c:pt>
                <c:pt idx="537">
                  <c:v>0.95</c:v>
                </c:pt>
                <c:pt idx="538">
                  <c:v>0.96</c:v>
                </c:pt>
                <c:pt idx="539">
                  <c:v>0.97</c:v>
                </c:pt>
                <c:pt idx="540">
                  <c:v>0.99</c:v>
                </c:pt>
                <c:pt idx="541">
                  <c:v>1.01</c:v>
                </c:pt>
                <c:pt idx="542">
                  <c:v>1.02</c:v>
                </c:pt>
                <c:pt idx="543">
                  <c:v>1.03</c:v>
                </c:pt>
                <c:pt idx="544">
                  <c:v>1.04</c:v>
                </c:pt>
                <c:pt idx="545">
                  <c:v>1.05</c:v>
                </c:pt>
                <c:pt idx="546">
                  <c:v>1.06</c:v>
                </c:pt>
                <c:pt idx="547">
                  <c:v>1.07</c:v>
                </c:pt>
                <c:pt idx="548">
                  <c:v>1.08</c:v>
                </c:pt>
                <c:pt idx="549">
                  <c:v>1.0900000000000001</c:v>
                </c:pt>
                <c:pt idx="550">
                  <c:v>1.1000000000000001</c:v>
                </c:pt>
                <c:pt idx="551">
                  <c:v>1.1000000000000001</c:v>
                </c:pt>
                <c:pt idx="552">
                  <c:v>1.1000000000000001</c:v>
                </c:pt>
                <c:pt idx="553">
                  <c:v>1.0900000000000001</c:v>
                </c:pt>
                <c:pt idx="554">
                  <c:v>1.08</c:v>
                </c:pt>
                <c:pt idx="555">
                  <c:v>1.07</c:v>
                </c:pt>
                <c:pt idx="556">
                  <c:v>1.05</c:v>
                </c:pt>
                <c:pt idx="557">
                  <c:v>1.04</c:v>
                </c:pt>
                <c:pt idx="558">
                  <c:v>1.03</c:v>
                </c:pt>
                <c:pt idx="559">
                  <c:v>1.01</c:v>
                </c:pt>
                <c:pt idx="560">
                  <c:v>0.99</c:v>
                </c:pt>
                <c:pt idx="561">
                  <c:v>0.98</c:v>
                </c:pt>
                <c:pt idx="562">
                  <c:v>0.97</c:v>
                </c:pt>
                <c:pt idx="563">
                  <c:v>0.95</c:v>
                </c:pt>
                <c:pt idx="564">
                  <c:v>0.93</c:v>
                </c:pt>
                <c:pt idx="565">
                  <c:v>0.92</c:v>
                </c:pt>
                <c:pt idx="566">
                  <c:v>0.91</c:v>
                </c:pt>
                <c:pt idx="567">
                  <c:v>0.9</c:v>
                </c:pt>
                <c:pt idx="568">
                  <c:v>0.89</c:v>
                </c:pt>
                <c:pt idx="569">
                  <c:v>0.88</c:v>
                </c:pt>
                <c:pt idx="570">
                  <c:v>0.86</c:v>
                </c:pt>
                <c:pt idx="571">
                  <c:v>0.85</c:v>
                </c:pt>
                <c:pt idx="572">
                  <c:v>0.84</c:v>
                </c:pt>
                <c:pt idx="573">
                  <c:v>0.83</c:v>
                </c:pt>
                <c:pt idx="574">
                  <c:v>0.82</c:v>
                </c:pt>
                <c:pt idx="575">
                  <c:v>0.81</c:v>
                </c:pt>
                <c:pt idx="576">
                  <c:v>0.8</c:v>
                </c:pt>
                <c:pt idx="577">
                  <c:v>0.79</c:v>
                </c:pt>
                <c:pt idx="578">
                  <c:v>0.78</c:v>
                </c:pt>
                <c:pt idx="579">
                  <c:v>0.78</c:v>
                </c:pt>
                <c:pt idx="580">
                  <c:v>0.77</c:v>
                </c:pt>
                <c:pt idx="581">
                  <c:v>0.77</c:v>
                </c:pt>
                <c:pt idx="582">
                  <c:v>0.77</c:v>
                </c:pt>
                <c:pt idx="583">
                  <c:v>0.76</c:v>
                </c:pt>
                <c:pt idx="584">
                  <c:v>0.76</c:v>
                </c:pt>
                <c:pt idx="585">
                  <c:v>0.76</c:v>
                </c:pt>
                <c:pt idx="586">
                  <c:v>0.75</c:v>
                </c:pt>
                <c:pt idx="587">
                  <c:v>0.75</c:v>
                </c:pt>
                <c:pt idx="588">
                  <c:v>0.75</c:v>
                </c:pt>
                <c:pt idx="589">
                  <c:v>0.74</c:v>
                </c:pt>
                <c:pt idx="590">
                  <c:v>0.74</c:v>
                </c:pt>
                <c:pt idx="591">
                  <c:v>0.74</c:v>
                </c:pt>
                <c:pt idx="592">
                  <c:v>0.74</c:v>
                </c:pt>
                <c:pt idx="593">
                  <c:v>0.74</c:v>
                </c:pt>
                <c:pt idx="594">
                  <c:v>0.73</c:v>
                </c:pt>
                <c:pt idx="595">
                  <c:v>0.73</c:v>
                </c:pt>
                <c:pt idx="596">
                  <c:v>0.73</c:v>
                </c:pt>
                <c:pt idx="597">
                  <c:v>0.73</c:v>
                </c:pt>
                <c:pt idx="598">
                  <c:v>0.73</c:v>
                </c:pt>
                <c:pt idx="599">
                  <c:v>0.73</c:v>
                </c:pt>
                <c:pt idx="600">
                  <c:v>0.72</c:v>
                </c:pt>
                <c:pt idx="601">
                  <c:v>0.72</c:v>
                </c:pt>
                <c:pt idx="602">
                  <c:v>0.72</c:v>
                </c:pt>
                <c:pt idx="603">
                  <c:v>0.72</c:v>
                </c:pt>
                <c:pt idx="604">
                  <c:v>0.72</c:v>
                </c:pt>
                <c:pt idx="605">
                  <c:v>0.72</c:v>
                </c:pt>
                <c:pt idx="606">
                  <c:v>0.71</c:v>
                </c:pt>
                <c:pt idx="607">
                  <c:v>0.71</c:v>
                </c:pt>
                <c:pt idx="608">
                  <c:v>0.71</c:v>
                </c:pt>
                <c:pt idx="609">
                  <c:v>0.71</c:v>
                </c:pt>
                <c:pt idx="610">
                  <c:v>0.71</c:v>
                </c:pt>
                <c:pt idx="611">
                  <c:v>0.71</c:v>
                </c:pt>
                <c:pt idx="612">
                  <c:v>0.7</c:v>
                </c:pt>
                <c:pt idx="613">
                  <c:v>0.7</c:v>
                </c:pt>
                <c:pt idx="614">
                  <c:v>0.7</c:v>
                </c:pt>
                <c:pt idx="615">
                  <c:v>0.7</c:v>
                </c:pt>
                <c:pt idx="616">
                  <c:v>0.7</c:v>
                </c:pt>
                <c:pt idx="617">
                  <c:v>0.7</c:v>
                </c:pt>
                <c:pt idx="618">
                  <c:v>0.69</c:v>
                </c:pt>
                <c:pt idx="619">
                  <c:v>0.69</c:v>
                </c:pt>
                <c:pt idx="620">
                  <c:v>0.69</c:v>
                </c:pt>
                <c:pt idx="621">
                  <c:v>0.69</c:v>
                </c:pt>
                <c:pt idx="622">
                  <c:v>0.69</c:v>
                </c:pt>
                <c:pt idx="623">
                  <c:v>0.69</c:v>
                </c:pt>
                <c:pt idx="624">
                  <c:v>0.68</c:v>
                </c:pt>
                <c:pt idx="625">
                  <c:v>0.68</c:v>
                </c:pt>
                <c:pt idx="626">
                  <c:v>0.68</c:v>
                </c:pt>
                <c:pt idx="627">
                  <c:v>0.68</c:v>
                </c:pt>
                <c:pt idx="628">
                  <c:v>0.68</c:v>
                </c:pt>
                <c:pt idx="629">
                  <c:v>0.68</c:v>
                </c:pt>
                <c:pt idx="630">
                  <c:v>0.67</c:v>
                </c:pt>
                <c:pt idx="631">
                  <c:v>0.67</c:v>
                </c:pt>
                <c:pt idx="632">
                  <c:v>0.67</c:v>
                </c:pt>
                <c:pt idx="633">
                  <c:v>0.67</c:v>
                </c:pt>
                <c:pt idx="634">
                  <c:v>0.67</c:v>
                </c:pt>
                <c:pt idx="635">
                  <c:v>0.67</c:v>
                </c:pt>
                <c:pt idx="636">
                  <c:v>0.66</c:v>
                </c:pt>
                <c:pt idx="637">
                  <c:v>0.66</c:v>
                </c:pt>
                <c:pt idx="638">
                  <c:v>0.66</c:v>
                </c:pt>
                <c:pt idx="639">
                  <c:v>0.66</c:v>
                </c:pt>
                <c:pt idx="640">
                  <c:v>0.66</c:v>
                </c:pt>
                <c:pt idx="641">
                  <c:v>0.66</c:v>
                </c:pt>
                <c:pt idx="642">
                  <c:v>0.65</c:v>
                </c:pt>
                <c:pt idx="643">
                  <c:v>0.65</c:v>
                </c:pt>
                <c:pt idx="644">
                  <c:v>0.65</c:v>
                </c:pt>
                <c:pt idx="645">
                  <c:v>0.65</c:v>
                </c:pt>
                <c:pt idx="646">
                  <c:v>0.65</c:v>
                </c:pt>
                <c:pt idx="647">
                  <c:v>0.65</c:v>
                </c:pt>
                <c:pt idx="648">
                  <c:v>0.64</c:v>
                </c:pt>
                <c:pt idx="649">
                  <c:v>0.64</c:v>
                </c:pt>
                <c:pt idx="650">
                  <c:v>0.64</c:v>
                </c:pt>
                <c:pt idx="651">
                  <c:v>0.64</c:v>
                </c:pt>
                <c:pt idx="652">
                  <c:v>0.64</c:v>
                </c:pt>
                <c:pt idx="653">
                  <c:v>0.64</c:v>
                </c:pt>
                <c:pt idx="654">
                  <c:v>0.63</c:v>
                </c:pt>
                <c:pt idx="655">
                  <c:v>0.63</c:v>
                </c:pt>
                <c:pt idx="656">
                  <c:v>0.63</c:v>
                </c:pt>
                <c:pt idx="657">
                  <c:v>0.63</c:v>
                </c:pt>
                <c:pt idx="658">
                  <c:v>0.63</c:v>
                </c:pt>
                <c:pt idx="659">
                  <c:v>0.63</c:v>
                </c:pt>
                <c:pt idx="660">
                  <c:v>0.62</c:v>
                </c:pt>
                <c:pt idx="661">
                  <c:v>0.62</c:v>
                </c:pt>
                <c:pt idx="662">
                  <c:v>0.62</c:v>
                </c:pt>
                <c:pt idx="663">
                  <c:v>0.62</c:v>
                </c:pt>
                <c:pt idx="664">
                  <c:v>0.62</c:v>
                </c:pt>
                <c:pt idx="665">
                  <c:v>0.62</c:v>
                </c:pt>
                <c:pt idx="666">
                  <c:v>0.61</c:v>
                </c:pt>
                <c:pt idx="667">
                  <c:v>0.61</c:v>
                </c:pt>
                <c:pt idx="668">
                  <c:v>0.61</c:v>
                </c:pt>
                <c:pt idx="669">
                  <c:v>0.61</c:v>
                </c:pt>
                <c:pt idx="670">
                  <c:v>0.61</c:v>
                </c:pt>
                <c:pt idx="671">
                  <c:v>0.61</c:v>
                </c:pt>
                <c:pt idx="672">
                  <c:v>0.6</c:v>
                </c:pt>
                <c:pt idx="673">
                  <c:v>0.6</c:v>
                </c:pt>
                <c:pt idx="674">
                  <c:v>0.6</c:v>
                </c:pt>
                <c:pt idx="675">
                  <c:v>0.59</c:v>
                </c:pt>
                <c:pt idx="676">
                  <c:v>0.59</c:v>
                </c:pt>
                <c:pt idx="677">
                  <c:v>0.57999999999999996</c:v>
                </c:pt>
                <c:pt idx="678">
                  <c:v>0.57999999999999996</c:v>
                </c:pt>
                <c:pt idx="679">
                  <c:v>0.57999999999999996</c:v>
                </c:pt>
                <c:pt idx="680">
                  <c:v>0.57999999999999996</c:v>
                </c:pt>
                <c:pt idx="681">
                  <c:v>0.57999999999999996</c:v>
                </c:pt>
                <c:pt idx="682">
                  <c:v>0.57999999999999996</c:v>
                </c:pt>
                <c:pt idx="683">
                  <c:v>0.57999999999999996</c:v>
                </c:pt>
                <c:pt idx="684">
                  <c:v>0.56999999999999995</c:v>
                </c:pt>
                <c:pt idx="685">
                  <c:v>0.56999999999999995</c:v>
                </c:pt>
                <c:pt idx="686">
                  <c:v>0.56999999999999995</c:v>
                </c:pt>
                <c:pt idx="687">
                  <c:v>0.56999999999999995</c:v>
                </c:pt>
                <c:pt idx="688">
                  <c:v>0.56999999999999995</c:v>
                </c:pt>
                <c:pt idx="689">
                  <c:v>0.56999999999999995</c:v>
                </c:pt>
                <c:pt idx="690">
                  <c:v>0.56000000000000005</c:v>
                </c:pt>
                <c:pt idx="691">
                  <c:v>0.56000000000000005</c:v>
                </c:pt>
                <c:pt idx="692">
                  <c:v>0.56000000000000005</c:v>
                </c:pt>
                <c:pt idx="693">
                  <c:v>0.56000000000000005</c:v>
                </c:pt>
                <c:pt idx="694">
                  <c:v>0.56000000000000005</c:v>
                </c:pt>
                <c:pt idx="695">
                  <c:v>0.56000000000000005</c:v>
                </c:pt>
                <c:pt idx="696">
                  <c:v>0.55000000000000004</c:v>
                </c:pt>
                <c:pt idx="697">
                  <c:v>0.55000000000000004</c:v>
                </c:pt>
                <c:pt idx="698">
                  <c:v>0.55000000000000004</c:v>
                </c:pt>
                <c:pt idx="699">
                  <c:v>0.55000000000000004</c:v>
                </c:pt>
                <c:pt idx="700">
                  <c:v>0.55000000000000004</c:v>
                </c:pt>
                <c:pt idx="701">
                  <c:v>0.54</c:v>
                </c:pt>
                <c:pt idx="702">
                  <c:v>0.54</c:v>
                </c:pt>
                <c:pt idx="703">
                  <c:v>0.54</c:v>
                </c:pt>
                <c:pt idx="704">
                  <c:v>0.54</c:v>
                </c:pt>
                <c:pt idx="705">
                  <c:v>0.54</c:v>
                </c:pt>
                <c:pt idx="706">
                  <c:v>0.55000000000000004</c:v>
                </c:pt>
                <c:pt idx="707">
                  <c:v>0.55000000000000004</c:v>
                </c:pt>
                <c:pt idx="708">
                  <c:v>0.56000000000000005</c:v>
                </c:pt>
                <c:pt idx="709">
                  <c:v>0.56000000000000005</c:v>
                </c:pt>
                <c:pt idx="710">
                  <c:v>0.56000000000000005</c:v>
                </c:pt>
                <c:pt idx="711">
                  <c:v>0.56000000000000005</c:v>
                </c:pt>
                <c:pt idx="712">
                  <c:v>0.56000000000000005</c:v>
                </c:pt>
                <c:pt idx="713">
                  <c:v>0.56000000000000005</c:v>
                </c:pt>
                <c:pt idx="714">
                  <c:v>0.55000000000000004</c:v>
                </c:pt>
                <c:pt idx="715">
                  <c:v>0.55000000000000004</c:v>
                </c:pt>
                <c:pt idx="716">
                  <c:v>0.55000000000000004</c:v>
                </c:pt>
                <c:pt idx="717">
                  <c:v>0.55000000000000004</c:v>
                </c:pt>
                <c:pt idx="718">
                  <c:v>0.55000000000000004</c:v>
                </c:pt>
                <c:pt idx="719">
                  <c:v>0.55000000000000004</c:v>
                </c:pt>
                <c:pt idx="720">
                  <c:v>0.54</c:v>
                </c:pt>
                <c:pt idx="721">
                  <c:v>0.54</c:v>
                </c:pt>
                <c:pt idx="722">
                  <c:v>0.54</c:v>
                </c:pt>
                <c:pt idx="723">
                  <c:v>0.54</c:v>
                </c:pt>
                <c:pt idx="724">
                  <c:v>0.54</c:v>
                </c:pt>
                <c:pt idx="725">
                  <c:v>0.54</c:v>
                </c:pt>
                <c:pt idx="726">
                  <c:v>0.54</c:v>
                </c:pt>
                <c:pt idx="727">
                  <c:v>0.54</c:v>
                </c:pt>
                <c:pt idx="728">
                  <c:v>0.54</c:v>
                </c:pt>
                <c:pt idx="729">
                  <c:v>0.54</c:v>
                </c:pt>
                <c:pt idx="730">
                  <c:v>0.54</c:v>
                </c:pt>
                <c:pt idx="731">
                  <c:v>0.55000000000000004</c:v>
                </c:pt>
                <c:pt idx="732">
                  <c:v>0.56000000000000005</c:v>
                </c:pt>
                <c:pt idx="733">
                  <c:v>0.56999999999999995</c:v>
                </c:pt>
                <c:pt idx="734">
                  <c:v>0.57999999999999996</c:v>
                </c:pt>
                <c:pt idx="735">
                  <c:v>0.6</c:v>
                </c:pt>
                <c:pt idx="736">
                  <c:v>0.62</c:v>
                </c:pt>
                <c:pt idx="737">
                  <c:v>0.64</c:v>
                </c:pt>
                <c:pt idx="738">
                  <c:v>0.67</c:v>
                </c:pt>
                <c:pt idx="739">
                  <c:v>0.7</c:v>
                </c:pt>
                <c:pt idx="740">
                  <c:v>0.73</c:v>
                </c:pt>
                <c:pt idx="741">
                  <c:v>0.76</c:v>
                </c:pt>
                <c:pt idx="742">
                  <c:v>0.8</c:v>
                </c:pt>
                <c:pt idx="743">
                  <c:v>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54432"/>
        <c:axId val="86756352"/>
      </c:scatterChart>
      <c:valAx>
        <c:axId val="86754432"/>
        <c:scaling>
          <c:orientation val="minMax"/>
          <c:max val="750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6756352"/>
        <c:crosses val="autoZero"/>
        <c:crossBetween val="midCat"/>
        <c:majorUnit val="24"/>
        <c:minorUnit val="1.5"/>
      </c:valAx>
      <c:valAx>
        <c:axId val="8675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6754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September</a:t>
            </a:r>
          </a:p>
        </c:rich>
      </c:tx>
      <c:layout>
        <c:manualLayout>
          <c:xMode val="edge"/>
          <c:yMode val="edge"/>
          <c:x val="0.47873036649214662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505235602094241E-2"/>
          <c:y val="0.14974182444061962"/>
          <c:w val="0.94895287958115182"/>
          <c:h val="0.70395869191049909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9933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'Graph-Hou'!$BZ$2:$BZ$721</c:f>
              <c:numCache>
                <c:formatCode>General</c:formatCode>
                <c:ptCount val="7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</c:numCache>
            </c:numRef>
          </c:xVal>
          <c:yVal>
            <c:numRef>
              <c:f>'Graph-Hou'!$CC$2:$CC$721</c:f>
              <c:numCache>
                <c:formatCode>0.00</c:formatCode>
                <c:ptCount val="720"/>
                <c:pt idx="0">
                  <c:v>0.89</c:v>
                </c:pt>
                <c:pt idx="1">
                  <c:v>0.93</c:v>
                </c:pt>
                <c:pt idx="2">
                  <c:v>0.98</c:v>
                </c:pt>
                <c:pt idx="3">
                  <c:v>1.02</c:v>
                </c:pt>
                <c:pt idx="4">
                  <c:v>1.07</c:v>
                </c:pt>
                <c:pt idx="5">
                  <c:v>1.1200000000000001</c:v>
                </c:pt>
                <c:pt idx="6">
                  <c:v>1.17</c:v>
                </c:pt>
                <c:pt idx="7">
                  <c:v>1.22</c:v>
                </c:pt>
                <c:pt idx="8">
                  <c:v>1.27</c:v>
                </c:pt>
                <c:pt idx="9">
                  <c:v>1.32</c:v>
                </c:pt>
                <c:pt idx="10">
                  <c:v>1.35</c:v>
                </c:pt>
                <c:pt idx="11">
                  <c:v>1.37</c:v>
                </c:pt>
                <c:pt idx="12">
                  <c:v>1.4</c:v>
                </c:pt>
                <c:pt idx="13">
                  <c:v>1.42</c:v>
                </c:pt>
                <c:pt idx="14">
                  <c:v>1.43</c:v>
                </c:pt>
                <c:pt idx="15">
                  <c:v>1.44</c:v>
                </c:pt>
                <c:pt idx="16">
                  <c:v>1.45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1.45</c:v>
                </c:pt>
                <c:pt idx="22">
                  <c:v>1.44</c:v>
                </c:pt>
                <c:pt idx="23">
                  <c:v>1.43</c:v>
                </c:pt>
                <c:pt idx="24">
                  <c:v>1.42</c:v>
                </c:pt>
                <c:pt idx="25">
                  <c:v>1.4</c:v>
                </c:pt>
                <c:pt idx="26">
                  <c:v>1.38</c:v>
                </c:pt>
                <c:pt idx="27">
                  <c:v>1.36</c:v>
                </c:pt>
                <c:pt idx="28">
                  <c:v>1.34</c:v>
                </c:pt>
                <c:pt idx="29">
                  <c:v>1.32</c:v>
                </c:pt>
                <c:pt idx="30">
                  <c:v>1.29</c:v>
                </c:pt>
                <c:pt idx="31">
                  <c:v>1.26</c:v>
                </c:pt>
                <c:pt idx="32">
                  <c:v>1.23</c:v>
                </c:pt>
                <c:pt idx="33">
                  <c:v>1.2</c:v>
                </c:pt>
                <c:pt idx="34">
                  <c:v>1.18</c:v>
                </c:pt>
                <c:pt idx="35">
                  <c:v>1.1499999999999999</c:v>
                </c:pt>
                <c:pt idx="36">
                  <c:v>1.1299999999999999</c:v>
                </c:pt>
                <c:pt idx="37">
                  <c:v>1.1000000000000001</c:v>
                </c:pt>
                <c:pt idx="38">
                  <c:v>1.08</c:v>
                </c:pt>
                <c:pt idx="39">
                  <c:v>1.06</c:v>
                </c:pt>
                <c:pt idx="40">
                  <c:v>1.04</c:v>
                </c:pt>
                <c:pt idx="41">
                  <c:v>1.03</c:v>
                </c:pt>
                <c:pt idx="42">
                  <c:v>1.01</c:v>
                </c:pt>
                <c:pt idx="43">
                  <c:v>0.99</c:v>
                </c:pt>
                <c:pt idx="44">
                  <c:v>0.98</c:v>
                </c:pt>
                <c:pt idx="45">
                  <c:v>0.97</c:v>
                </c:pt>
                <c:pt idx="46">
                  <c:v>0.95</c:v>
                </c:pt>
                <c:pt idx="47">
                  <c:v>0.94</c:v>
                </c:pt>
                <c:pt idx="48">
                  <c:v>0.93</c:v>
                </c:pt>
                <c:pt idx="49">
                  <c:v>0.92</c:v>
                </c:pt>
                <c:pt idx="50">
                  <c:v>0.91</c:v>
                </c:pt>
                <c:pt idx="51">
                  <c:v>0.9</c:v>
                </c:pt>
                <c:pt idx="52">
                  <c:v>0.89</c:v>
                </c:pt>
                <c:pt idx="53">
                  <c:v>0.88</c:v>
                </c:pt>
                <c:pt idx="54">
                  <c:v>0.87</c:v>
                </c:pt>
                <c:pt idx="55">
                  <c:v>0.86</c:v>
                </c:pt>
                <c:pt idx="56">
                  <c:v>0.85</c:v>
                </c:pt>
                <c:pt idx="57">
                  <c:v>0.84</c:v>
                </c:pt>
                <c:pt idx="58">
                  <c:v>0.83</c:v>
                </c:pt>
                <c:pt idx="59">
                  <c:v>0.81</c:v>
                </c:pt>
                <c:pt idx="60">
                  <c:v>0.79</c:v>
                </c:pt>
                <c:pt idx="61">
                  <c:v>0.78</c:v>
                </c:pt>
                <c:pt idx="62">
                  <c:v>0.77</c:v>
                </c:pt>
                <c:pt idx="63">
                  <c:v>0.76</c:v>
                </c:pt>
                <c:pt idx="64">
                  <c:v>0.75</c:v>
                </c:pt>
                <c:pt idx="65">
                  <c:v>0.74</c:v>
                </c:pt>
                <c:pt idx="66">
                  <c:v>0.74</c:v>
                </c:pt>
                <c:pt idx="67">
                  <c:v>0.73</c:v>
                </c:pt>
                <c:pt idx="68">
                  <c:v>0.73</c:v>
                </c:pt>
                <c:pt idx="69">
                  <c:v>0.72</c:v>
                </c:pt>
                <c:pt idx="70">
                  <c:v>0.72</c:v>
                </c:pt>
                <c:pt idx="71">
                  <c:v>0.71</c:v>
                </c:pt>
                <c:pt idx="72">
                  <c:v>0.71</c:v>
                </c:pt>
                <c:pt idx="73">
                  <c:v>0.7</c:v>
                </c:pt>
                <c:pt idx="74">
                  <c:v>0.7</c:v>
                </c:pt>
                <c:pt idx="75">
                  <c:v>0.69</c:v>
                </c:pt>
                <c:pt idx="76">
                  <c:v>0.69</c:v>
                </c:pt>
                <c:pt idx="77">
                  <c:v>0.69</c:v>
                </c:pt>
                <c:pt idx="78">
                  <c:v>0.68</c:v>
                </c:pt>
                <c:pt idx="79">
                  <c:v>0.68</c:v>
                </c:pt>
                <c:pt idx="80">
                  <c:v>0.68</c:v>
                </c:pt>
                <c:pt idx="81">
                  <c:v>0.68</c:v>
                </c:pt>
                <c:pt idx="82">
                  <c:v>0.68</c:v>
                </c:pt>
                <c:pt idx="83">
                  <c:v>0.67</c:v>
                </c:pt>
                <c:pt idx="84">
                  <c:v>0.67</c:v>
                </c:pt>
                <c:pt idx="85">
                  <c:v>0.67</c:v>
                </c:pt>
                <c:pt idx="86">
                  <c:v>0.66</c:v>
                </c:pt>
                <c:pt idx="87">
                  <c:v>0.66</c:v>
                </c:pt>
                <c:pt idx="88">
                  <c:v>0.66</c:v>
                </c:pt>
                <c:pt idx="89">
                  <c:v>0.65</c:v>
                </c:pt>
                <c:pt idx="90">
                  <c:v>0.65</c:v>
                </c:pt>
                <c:pt idx="91">
                  <c:v>0.64</c:v>
                </c:pt>
                <c:pt idx="92">
                  <c:v>0.64</c:v>
                </c:pt>
                <c:pt idx="93">
                  <c:v>0.64</c:v>
                </c:pt>
                <c:pt idx="94">
                  <c:v>0.64</c:v>
                </c:pt>
                <c:pt idx="95">
                  <c:v>0.63</c:v>
                </c:pt>
                <c:pt idx="96">
                  <c:v>0.63</c:v>
                </c:pt>
                <c:pt idx="97">
                  <c:v>0.63</c:v>
                </c:pt>
                <c:pt idx="98">
                  <c:v>0.63</c:v>
                </c:pt>
                <c:pt idx="99">
                  <c:v>0.62</c:v>
                </c:pt>
                <c:pt idx="100">
                  <c:v>0.62</c:v>
                </c:pt>
                <c:pt idx="101">
                  <c:v>0.62</c:v>
                </c:pt>
                <c:pt idx="102">
                  <c:v>0.62</c:v>
                </c:pt>
                <c:pt idx="103">
                  <c:v>0.62</c:v>
                </c:pt>
                <c:pt idx="104">
                  <c:v>0.62</c:v>
                </c:pt>
                <c:pt idx="105">
                  <c:v>0.61</c:v>
                </c:pt>
                <c:pt idx="106">
                  <c:v>0.61</c:v>
                </c:pt>
                <c:pt idx="107">
                  <c:v>0.61</c:v>
                </c:pt>
                <c:pt idx="108">
                  <c:v>0.61</c:v>
                </c:pt>
                <c:pt idx="109">
                  <c:v>0.6</c:v>
                </c:pt>
                <c:pt idx="110">
                  <c:v>0.6</c:v>
                </c:pt>
                <c:pt idx="111">
                  <c:v>0.6</c:v>
                </c:pt>
                <c:pt idx="112">
                  <c:v>0.6</c:v>
                </c:pt>
                <c:pt idx="113">
                  <c:v>0.6</c:v>
                </c:pt>
                <c:pt idx="114">
                  <c:v>0.6</c:v>
                </c:pt>
                <c:pt idx="115">
                  <c:v>0.6</c:v>
                </c:pt>
                <c:pt idx="116">
                  <c:v>0.61</c:v>
                </c:pt>
                <c:pt idx="117">
                  <c:v>0.61</c:v>
                </c:pt>
                <c:pt idx="118">
                  <c:v>0.61</c:v>
                </c:pt>
                <c:pt idx="119">
                  <c:v>0.61</c:v>
                </c:pt>
                <c:pt idx="120">
                  <c:v>0.61</c:v>
                </c:pt>
                <c:pt idx="121">
                  <c:v>0.61</c:v>
                </c:pt>
                <c:pt idx="122">
                  <c:v>0.61</c:v>
                </c:pt>
                <c:pt idx="123">
                  <c:v>0.62</c:v>
                </c:pt>
                <c:pt idx="124">
                  <c:v>0.62</c:v>
                </c:pt>
                <c:pt idx="125">
                  <c:v>0.62</c:v>
                </c:pt>
                <c:pt idx="126">
                  <c:v>0.62</c:v>
                </c:pt>
                <c:pt idx="127">
                  <c:v>0.63</c:v>
                </c:pt>
                <c:pt idx="128">
                  <c:v>0.63</c:v>
                </c:pt>
                <c:pt idx="129">
                  <c:v>0.64</c:v>
                </c:pt>
                <c:pt idx="130">
                  <c:v>0.65</c:v>
                </c:pt>
                <c:pt idx="131">
                  <c:v>0.66</c:v>
                </c:pt>
                <c:pt idx="132">
                  <c:v>0.67</c:v>
                </c:pt>
                <c:pt idx="133">
                  <c:v>0.68</c:v>
                </c:pt>
                <c:pt idx="134">
                  <c:v>0.69</c:v>
                </c:pt>
                <c:pt idx="135">
                  <c:v>0.71</c:v>
                </c:pt>
                <c:pt idx="136">
                  <c:v>0.72</c:v>
                </c:pt>
                <c:pt idx="137">
                  <c:v>0.74</c:v>
                </c:pt>
                <c:pt idx="138">
                  <c:v>0.75</c:v>
                </c:pt>
                <c:pt idx="139">
                  <c:v>0.77</c:v>
                </c:pt>
                <c:pt idx="140">
                  <c:v>0.79</c:v>
                </c:pt>
                <c:pt idx="141">
                  <c:v>0.8</c:v>
                </c:pt>
                <c:pt idx="142">
                  <c:v>0.82</c:v>
                </c:pt>
                <c:pt idx="143">
                  <c:v>0.85</c:v>
                </c:pt>
                <c:pt idx="144">
                  <c:v>0.88</c:v>
                </c:pt>
                <c:pt idx="145">
                  <c:v>0.91</c:v>
                </c:pt>
                <c:pt idx="146">
                  <c:v>0.94</c:v>
                </c:pt>
                <c:pt idx="147">
                  <c:v>0.97</c:v>
                </c:pt>
                <c:pt idx="148">
                  <c:v>0.99</c:v>
                </c:pt>
                <c:pt idx="149">
                  <c:v>1.02</c:v>
                </c:pt>
                <c:pt idx="150">
                  <c:v>1.06</c:v>
                </c:pt>
                <c:pt idx="151">
                  <c:v>1.0900000000000001</c:v>
                </c:pt>
                <c:pt idx="152">
                  <c:v>1.1200000000000001</c:v>
                </c:pt>
                <c:pt idx="153">
                  <c:v>1.1399999999999999</c:v>
                </c:pt>
                <c:pt idx="154">
                  <c:v>1.1599999999999999</c:v>
                </c:pt>
                <c:pt idx="155">
                  <c:v>1.19</c:v>
                </c:pt>
                <c:pt idx="156">
                  <c:v>1.21</c:v>
                </c:pt>
                <c:pt idx="157">
                  <c:v>1.23</c:v>
                </c:pt>
                <c:pt idx="158">
                  <c:v>1.25</c:v>
                </c:pt>
                <c:pt idx="159">
                  <c:v>1.28</c:v>
                </c:pt>
                <c:pt idx="160">
                  <c:v>1.3</c:v>
                </c:pt>
                <c:pt idx="161">
                  <c:v>1.32</c:v>
                </c:pt>
                <c:pt idx="162">
                  <c:v>1.34</c:v>
                </c:pt>
                <c:pt idx="163">
                  <c:v>1.36</c:v>
                </c:pt>
                <c:pt idx="164">
                  <c:v>1.38</c:v>
                </c:pt>
                <c:pt idx="165">
                  <c:v>1.4</c:v>
                </c:pt>
                <c:pt idx="166">
                  <c:v>1.43</c:v>
                </c:pt>
                <c:pt idx="167">
                  <c:v>1.45</c:v>
                </c:pt>
                <c:pt idx="168">
                  <c:v>1.47</c:v>
                </c:pt>
                <c:pt idx="169">
                  <c:v>1.49</c:v>
                </c:pt>
                <c:pt idx="170">
                  <c:v>1.52</c:v>
                </c:pt>
                <c:pt idx="171">
                  <c:v>1.54</c:v>
                </c:pt>
                <c:pt idx="172">
                  <c:v>1.56</c:v>
                </c:pt>
                <c:pt idx="173">
                  <c:v>1.58</c:v>
                </c:pt>
                <c:pt idx="174">
                  <c:v>1.58</c:v>
                </c:pt>
                <c:pt idx="175">
                  <c:v>1.58</c:v>
                </c:pt>
                <c:pt idx="176">
                  <c:v>1.59</c:v>
                </c:pt>
                <c:pt idx="177">
                  <c:v>1.59</c:v>
                </c:pt>
                <c:pt idx="178">
                  <c:v>1.59</c:v>
                </c:pt>
                <c:pt idx="179">
                  <c:v>1.59</c:v>
                </c:pt>
                <c:pt idx="180">
                  <c:v>1.61</c:v>
                </c:pt>
                <c:pt idx="181">
                  <c:v>1.65</c:v>
                </c:pt>
                <c:pt idx="182">
                  <c:v>1.78</c:v>
                </c:pt>
                <c:pt idx="183">
                  <c:v>1.8</c:v>
                </c:pt>
                <c:pt idx="184">
                  <c:v>1.83</c:v>
                </c:pt>
                <c:pt idx="185">
                  <c:v>1.85</c:v>
                </c:pt>
                <c:pt idx="186">
                  <c:v>1.88</c:v>
                </c:pt>
                <c:pt idx="187">
                  <c:v>1.91</c:v>
                </c:pt>
                <c:pt idx="188">
                  <c:v>1.94</c:v>
                </c:pt>
                <c:pt idx="189">
                  <c:v>1.97</c:v>
                </c:pt>
                <c:pt idx="190">
                  <c:v>2</c:v>
                </c:pt>
                <c:pt idx="191">
                  <c:v>2.0299999999999998</c:v>
                </c:pt>
                <c:pt idx="192">
                  <c:v>2.0699999999999998</c:v>
                </c:pt>
                <c:pt idx="193">
                  <c:v>2.1</c:v>
                </c:pt>
                <c:pt idx="194">
                  <c:v>2.13</c:v>
                </c:pt>
                <c:pt idx="195">
                  <c:v>2.16</c:v>
                </c:pt>
                <c:pt idx="196">
                  <c:v>2.19</c:v>
                </c:pt>
                <c:pt idx="197">
                  <c:v>2.2200000000000002</c:v>
                </c:pt>
                <c:pt idx="198">
                  <c:v>2.2599999999999998</c:v>
                </c:pt>
                <c:pt idx="199">
                  <c:v>2.29</c:v>
                </c:pt>
                <c:pt idx="200">
                  <c:v>2.33</c:v>
                </c:pt>
                <c:pt idx="201">
                  <c:v>2.36</c:v>
                </c:pt>
                <c:pt idx="202">
                  <c:v>2.39</c:v>
                </c:pt>
                <c:pt idx="203">
                  <c:v>2.41</c:v>
                </c:pt>
                <c:pt idx="204">
                  <c:v>2.44</c:v>
                </c:pt>
                <c:pt idx="205">
                  <c:v>2.46</c:v>
                </c:pt>
                <c:pt idx="206">
                  <c:v>2.56</c:v>
                </c:pt>
                <c:pt idx="207">
                  <c:v>2.58</c:v>
                </c:pt>
                <c:pt idx="208">
                  <c:v>2.6</c:v>
                </c:pt>
                <c:pt idx="209">
                  <c:v>2.62</c:v>
                </c:pt>
                <c:pt idx="210">
                  <c:v>2.62</c:v>
                </c:pt>
                <c:pt idx="211">
                  <c:v>2.62</c:v>
                </c:pt>
                <c:pt idx="212">
                  <c:v>2.58</c:v>
                </c:pt>
                <c:pt idx="213">
                  <c:v>2.56</c:v>
                </c:pt>
                <c:pt idx="214">
                  <c:v>2.5299999999999998</c:v>
                </c:pt>
                <c:pt idx="215">
                  <c:v>2.5099999999999998</c:v>
                </c:pt>
                <c:pt idx="216">
                  <c:v>2.5</c:v>
                </c:pt>
                <c:pt idx="217">
                  <c:v>2.48</c:v>
                </c:pt>
                <c:pt idx="218">
                  <c:v>2.46</c:v>
                </c:pt>
                <c:pt idx="219">
                  <c:v>2.44</c:v>
                </c:pt>
                <c:pt idx="220">
                  <c:v>2.42</c:v>
                </c:pt>
                <c:pt idx="221">
                  <c:v>2.4</c:v>
                </c:pt>
                <c:pt idx="222">
                  <c:v>2.37</c:v>
                </c:pt>
                <c:pt idx="223">
                  <c:v>2.33</c:v>
                </c:pt>
                <c:pt idx="224">
                  <c:v>2.2999999999999998</c:v>
                </c:pt>
                <c:pt idx="225">
                  <c:v>2.2599999999999998</c:v>
                </c:pt>
                <c:pt idx="226">
                  <c:v>2.21</c:v>
                </c:pt>
                <c:pt idx="227">
                  <c:v>2.16</c:v>
                </c:pt>
                <c:pt idx="228">
                  <c:v>2.11</c:v>
                </c:pt>
                <c:pt idx="229">
                  <c:v>2.0699999999999998</c:v>
                </c:pt>
                <c:pt idx="230">
                  <c:v>2.02</c:v>
                </c:pt>
                <c:pt idx="231">
                  <c:v>1.98</c:v>
                </c:pt>
                <c:pt idx="232">
                  <c:v>1.93</c:v>
                </c:pt>
                <c:pt idx="233">
                  <c:v>1.89</c:v>
                </c:pt>
                <c:pt idx="234">
                  <c:v>1.84</c:v>
                </c:pt>
                <c:pt idx="235">
                  <c:v>1.8</c:v>
                </c:pt>
                <c:pt idx="236">
                  <c:v>1.77</c:v>
                </c:pt>
                <c:pt idx="237">
                  <c:v>1.73</c:v>
                </c:pt>
                <c:pt idx="238">
                  <c:v>1.7</c:v>
                </c:pt>
                <c:pt idx="239">
                  <c:v>1.67</c:v>
                </c:pt>
                <c:pt idx="240">
                  <c:v>1.64</c:v>
                </c:pt>
                <c:pt idx="241">
                  <c:v>1.61</c:v>
                </c:pt>
                <c:pt idx="242">
                  <c:v>1.59</c:v>
                </c:pt>
                <c:pt idx="243">
                  <c:v>1.56</c:v>
                </c:pt>
                <c:pt idx="244">
                  <c:v>1.54</c:v>
                </c:pt>
                <c:pt idx="245">
                  <c:v>1.52</c:v>
                </c:pt>
                <c:pt idx="246">
                  <c:v>1.5</c:v>
                </c:pt>
                <c:pt idx="247">
                  <c:v>1.47</c:v>
                </c:pt>
                <c:pt idx="248">
                  <c:v>1.45</c:v>
                </c:pt>
                <c:pt idx="249">
                  <c:v>1.44</c:v>
                </c:pt>
                <c:pt idx="250">
                  <c:v>1.42</c:v>
                </c:pt>
                <c:pt idx="251">
                  <c:v>1.4</c:v>
                </c:pt>
                <c:pt idx="252">
                  <c:v>1.39</c:v>
                </c:pt>
                <c:pt idx="253">
                  <c:v>1.37</c:v>
                </c:pt>
                <c:pt idx="254">
                  <c:v>1.35</c:v>
                </c:pt>
                <c:pt idx="255">
                  <c:v>1.34</c:v>
                </c:pt>
                <c:pt idx="256">
                  <c:v>1.33</c:v>
                </c:pt>
                <c:pt idx="257">
                  <c:v>1.31</c:v>
                </c:pt>
                <c:pt idx="258">
                  <c:v>1.3</c:v>
                </c:pt>
                <c:pt idx="259">
                  <c:v>1.29</c:v>
                </c:pt>
                <c:pt idx="260">
                  <c:v>1.28</c:v>
                </c:pt>
                <c:pt idx="261">
                  <c:v>1.27</c:v>
                </c:pt>
                <c:pt idx="262">
                  <c:v>1.26</c:v>
                </c:pt>
                <c:pt idx="263">
                  <c:v>1.25</c:v>
                </c:pt>
                <c:pt idx="264">
                  <c:v>1.24</c:v>
                </c:pt>
                <c:pt idx="265">
                  <c:v>1.23</c:v>
                </c:pt>
                <c:pt idx="266">
                  <c:v>1.22</c:v>
                </c:pt>
                <c:pt idx="267">
                  <c:v>1.21</c:v>
                </c:pt>
                <c:pt idx="268">
                  <c:v>1.21</c:v>
                </c:pt>
                <c:pt idx="269">
                  <c:v>1.2</c:v>
                </c:pt>
                <c:pt idx="270">
                  <c:v>1.2</c:v>
                </c:pt>
                <c:pt idx="271">
                  <c:v>1.19</c:v>
                </c:pt>
                <c:pt idx="272">
                  <c:v>1.19</c:v>
                </c:pt>
                <c:pt idx="273">
                  <c:v>1.19</c:v>
                </c:pt>
                <c:pt idx="274">
                  <c:v>1.19</c:v>
                </c:pt>
                <c:pt idx="275">
                  <c:v>1.18</c:v>
                </c:pt>
                <c:pt idx="276">
                  <c:v>1.18</c:v>
                </c:pt>
                <c:pt idx="277">
                  <c:v>1.18</c:v>
                </c:pt>
                <c:pt idx="278">
                  <c:v>1.18</c:v>
                </c:pt>
                <c:pt idx="279">
                  <c:v>1.18</c:v>
                </c:pt>
                <c:pt idx="280">
                  <c:v>1.18</c:v>
                </c:pt>
                <c:pt idx="281">
                  <c:v>1.18</c:v>
                </c:pt>
                <c:pt idx="282">
                  <c:v>1.19</c:v>
                </c:pt>
                <c:pt idx="283">
                  <c:v>1.19</c:v>
                </c:pt>
                <c:pt idx="284">
                  <c:v>1.19</c:v>
                </c:pt>
                <c:pt idx="285">
                  <c:v>1.2</c:v>
                </c:pt>
                <c:pt idx="286">
                  <c:v>1.2</c:v>
                </c:pt>
                <c:pt idx="287">
                  <c:v>1.21</c:v>
                </c:pt>
                <c:pt idx="288">
                  <c:v>1.22</c:v>
                </c:pt>
                <c:pt idx="289">
                  <c:v>1.23</c:v>
                </c:pt>
                <c:pt idx="290">
                  <c:v>1.24</c:v>
                </c:pt>
                <c:pt idx="291">
                  <c:v>1.26</c:v>
                </c:pt>
                <c:pt idx="292">
                  <c:v>1.27</c:v>
                </c:pt>
                <c:pt idx="293">
                  <c:v>1.28</c:v>
                </c:pt>
                <c:pt idx="294">
                  <c:v>1.29</c:v>
                </c:pt>
                <c:pt idx="295">
                  <c:v>1.31</c:v>
                </c:pt>
                <c:pt idx="296">
                  <c:v>1.33</c:v>
                </c:pt>
                <c:pt idx="297">
                  <c:v>1.35</c:v>
                </c:pt>
                <c:pt idx="298">
                  <c:v>1.37</c:v>
                </c:pt>
                <c:pt idx="299">
                  <c:v>1.39</c:v>
                </c:pt>
                <c:pt idx="300">
                  <c:v>1.41</c:v>
                </c:pt>
                <c:pt idx="301">
                  <c:v>1.44</c:v>
                </c:pt>
                <c:pt idx="302">
                  <c:v>1.46</c:v>
                </c:pt>
                <c:pt idx="303">
                  <c:v>1.49</c:v>
                </c:pt>
                <c:pt idx="304">
                  <c:v>1.51</c:v>
                </c:pt>
                <c:pt idx="305">
                  <c:v>1.52</c:v>
                </c:pt>
                <c:pt idx="306">
                  <c:v>1.54</c:v>
                </c:pt>
                <c:pt idx="307">
                  <c:v>1.55</c:v>
                </c:pt>
                <c:pt idx="308">
                  <c:v>1.56</c:v>
                </c:pt>
                <c:pt idx="309">
                  <c:v>1.57</c:v>
                </c:pt>
                <c:pt idx="310">
                  <c:v>1.57</c:v>
                </c:pt>
                <c:pt idx="311">
                  <c:v>1.56</c:v>
                </c:pt>
                <c:pt idx="312">
                  <c:v>1.55</c:v>
                </c:pt>
                <c:pt idx="313">
                  <c:v>1.53</c:v>
                </c:pt>
                <c:pt idx="314">
                  <c:v>1.52</c:v>
                </c:pt>
                <c:pt idx="315">
                  <c:v>1.51</c:v>
                </c:pt>
                <c:pt idx="316">
                  <c:v>1.5</c:v>
                </c:pt>
                <c:pt idx="317">
                  <c:v>1.49</c:v>
                </c:pt>
                <c:pt idx="318">
                  <c:v>1.48</c:v>
                </c:pt>
                <c:pt idx="319">
                  <c:v>1.46</c:v>
                </c:pt>
                <c:pt idx="320">
                  <c:v>1.45</c:v>
                </c:pt>
                <c:pt idx="321">
                  <c:v>1.44</c:v>
                </c:pt>
                <c:pt idx="322">
                  <c:v>1.43</c:v>
                </c:pt>
                <c:pt idx="323">
                  <c:v>1.42</c:v>
                </c:pt>
                <c:pt idx="324">
                  <c:v>1.41</c:v>
                </c:pt>
                <c:pt idx="325">
                  <c:v>1.41</c:v>
                </c:pt>
                <c:pt idx="326">
                  <c:v>1.41</c:v>
                </c:pt>
                <c:pt idx="327">
                  <c:v>1.41</c:v>
                </c:pt>
                <c:pt idx="328">
                  <c:v>1.42</c:v>
                </c:pt>
                <c:pt idx="329">
                  <c:v>1.43</c:v>
                </c:pt>
                <c:pt idx="330">
                  <c:v>1.44</c:v>
                </c:pt>
                <c:pt idx="331">
                  <c:v>1.46</c:v>
                </c:pt>
                <c:pt idx="332">
                  <c:v>1.48</c:v>
                </c:pt>
                <c:pt idx="333">
                  <c:v>1.51</c:v>
                </c:pt>
                <c:pt idx="334">
                  <c:v>1.55</c:v>
                </c:pt>
                <c:pt idx="335">
                  <c:v>1.59</c:v>
                </c:pt>
                <c:pt idx="336">
                  <c:v>1.63</c:v>
                </c:pt>
                <c:pt idx="337">
                  <c:v>1.67</c:v>
                </c:pt>
                <c:pt idx="338">
                  <c:v>1.72</c:v>
                </c:pt>
                <c:pt idx="339">
                  <c:v>1.77</c:v>
                </c:pt>
                <c:pt idx="340">
                  <c:v>1.8</c:v>
                </c:pt>
                <c:pt idx="341">
                  <c:v>1.83</c:v>
                </c:pt>
                <c:pt idx="342">
                  <c:v>1.87</c:v>
                </c:pt>
                <c:pt idx="343">
                  <c:v>1.89</c:v>
                </c:pt>
                <c:pt idx="344">
                  <c:v>1.91</c:v>
                </c:pt>
                <c:pt idx="345">
                  <c:v>1.93</c:v>
                </c:pt>
                <c:pt idx="346">
                  <c:v>1.95</c:v>
                </c:pt>
                <c:pt idx="347">
                  <c:v>1.96</c:v>
                </c:pt>
                <c:pt idx="348">
                  <c:v>1.96</c:v>
                </c:pt>
                <c:pt idx="349">
                  <c:v>1.96</c:v>
                </c:pt>
                <c:pt idx="350">
                  <c:v>1.96</c:v>
                </c:pt>
                <c:pt idx="351">
                  <c:v>1.95</c:v>
                </c:pt>
                <c:pt idx="352">
                  <c:v>1.94</c:v>
                </c:pt>
                <c:pt idx="353">
                  <c:v>1.92</c:v>
                </c:pt>
                <c:pt idx="354">
                  <c:v>1.9</c:v>
                </c:pt>
                <c:pt idx="355">
                  <c:v>1.88</c:v>
                </c:pt>
                <c:pt idx="356">
                  <c:v>1.85</c:v>
                </c:pt>
                <c:pt idx="357">
                  <c:v>1.83</c:v>
                </c:pt>
                <c:pt idx="358">
                  <c:v>1.79</c:v>
                </c:pt>
                <c:pt idx="359">
                  <c:v>1.77</c:v>
                </c:pt>
                <c:pt idx="360">
                  <c:v>1.75</c:v>
                </c:pt>
                <c:pt idx="361">
                  <c:v>1.72</c:v>
                </c:pt>
                <c:pt idx="362">
                  <c:v>1.69</c:v>
                </c:pt>
                <c:pt idx="363">
                  <c:v>1.67</c:v>
                </c:pt>
                <c:pt idx="364">
                  <c:v>1.65</c:v>
                </c:pt>
                <c:pt idx="365">
                  <c:v>1.63</c:v>
                </c:pt>
                <c:pt idx="366">
                  <c:v>1.6</c:v>
                </c:pt>
                <c:pt idx="367">
                  <c:v>1.59</c:v>
                </c:pt>
                <c:pt idx="368">
                  <c:v>1.59</c:v>
                </c:pt>
                <c:pt idx="369">
                  <c:v>1.58</c:v>
                </c:pt>
                <c:pt idx="370">
                  <c:v>1.58</c:v>
                </c:pt>
                <c:pt idx="371">
                  <c:v>1.58</c:v>
                </c:pt>
                <c:pt idx="372">
                  <c:v>1.57</c:v>
                </c:pt>
                <c:pt idx="373">
                  <c:v>1.57</c:v>
                </c:pt>
                <c:pt idx="374">
                  <c:v>1.57</c:v>
                </c:pt>
                <c:pt idx="375">
                  <c:v>1.6</c:v>
                </c:pt>
                <c:pt idx="376">
                  <c:v>1.62</c:v>
                </c:pt>
                <c:pt idx="377">
                  <c:v>1.65</c:v>
                </c:pt>
                <c:pt idx="378">
                  <c:v>1.7</c:v>
                </c:pt>
                <c:pt idx="379">
                  <c:v>1.76</c:v>
                </c:pt>
                <c:pt idx="380">
                  <c:v>1.82</c:v>
                </c:pt>
                <c:pt idx="381">
                  <c:v>1.87</c:v>
                </c:pt>
                <c:pt idx="382">
                  <c:v>1.93</c:v>
                </c:pt>
                <c:pt idx="383">
                  <c:v>1.97</c:v>
                </c:pt>
                <c:pt idx="384">
                  <c:v>2</c:v>
                </c:pt>
                <c:pt idx="385">
                  <c:v>2.02</c:v>
                </c:pt>
                <c:pt idx="386">
                  <c:v>2.04</c:v>
                </c:pt>
                <c:pt idx="387">
                  <c:v>2.0499999999999998</c:v>
                </c:pt>
                <c:pt idx="388">
                  <c:v>2.0499999999999998</c:v>
                </c:pt>
                <c:pt idx="389">
                  <c:v>2.0499999999999998</c:v>
                </c:pt>
                <c:pt idx="390">
                  <c:v>2.0499999999999998</c:v>
                </c:pt>
                <c:pt idx="391">
                  <c:v>2.04</c:v>
                </c:pt>
                <c:pt idx="392">
                  <c:v>2.02</c:v>
                </c:pt>
                <c:pt idx="393">
                  <c:v>1.99</c:v>
                </c:pt>
                <c:pt idx="394">
                  <c:v>1.97</c:v>
                </c:pt>
                <c:pt idx="395">
                  <c:v>1.94</c:v>
                </c:pt>
                <c:pt idx="396">
                  <c:v>1.91</c:v>
                </c:pt>
                <c:pt idx="397">
                  <c:v>1.87</c:v>
                </c:pt>
                <c:pt idx="398">
                  <c:v>1.84</c:v>
                </c:pt>
                <c:pt idx="399">
                  <c:v>1.82</c:v>
                </c:pt>
                <c:pt idx="400">
                  <c:v>1.8</c:v>
                </c:pt>
                <c:pt idx="401">
                  <c:v>1.79</c:v>
                </c:pt>
                <c:pt idx="402">
                  <c:v>1.78</c:v>
                </c:pt>
                <c:pt idx="403">
                  <c:v>1.78</c:v>
                </c:pt>
                <c:pt idx="404">
                  <c:v>1.78</c:v>
                </c:pt>
                <c:pt idx="405">
                  <c:v>1.78</c:v>
                </c:pt>
                <c:pt idx="406">
                  <c:v>1.78</c:v>
                </c:pt>
                <c:pt idx="407">
                  <c:v>1.79</c:v>
                </c:pt>
                <c:pt idx="408">
                  <c:v>1.8</c:v>
                </c:pt>
                <c:pt idx="409">
                  <c:v>1.81</c:v>
                </c:pt>
                <c:pt idx="410">
                  <c:v>1.83</c:v>
                </c:pt>
                <c:pt idx="411">
                  <c:v>1.85</c:v>
                </c:pt>
                <c:pt idx="412">
                  <c:v>1.89</c:v>
                </c:pt>
                <c:pt idx="413">
                  <c:v>1.92</c:v>
                </c:pt>
                <c:pt idx="414">
                  <c:v>1.95</c:v>
                </c:pt>
                <c:pt idx="415">
                  <c:v>1.97</c:v>
                </c:pt>
                <c:pt idx="416">
                  <c:v>1.98</c:v>
                </c:pt>
                <c:pt idx="417">
                  <c:v>1.99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1.98</c:v>
                </c:pt>
                <c:pt idx="422">
                  <c:v>1.96</c:v>
                </c:pt>
                <c:pt idx="423">
                  <c:v>1.93</c:v>
                </c:pt>
                <c:pt idx="424">
                  <c:v>1.89</c:v>
                </c:pt>
                <c:pt idx="425">
                  <c:v>1.84</c:v>
                </c:pt>
                <c:pt idx="426">
                  <c:v>1.8</c:v>
                </c:pt>
                <c:pt idx="427">
                  <c:v>1.75</c:v>
                </c:pt>
                <c:pt idx="428">
                  <c:v>1.7</c:v>
                </c:pt>
                <c:pt idx="429">
                  <c:v>1.66</c:v>
                </c:pt>
                <c:pt idx="430">
                  <c:v>1.61</c:v>
                </c:pt>
                <c:pt idx="431">
                  <c:v>1.57</c:v>
                </c:pt>
                <c:pt idx="432">
                  <c:v>1.54</c:v>
                </c:pt>
                <c:pt idx="433">
                  <c:v>1.51</c:v>
                </c:pt>
                <c:pt idx="434">
                  <c:v>1.49</c:v>
                </c:pt>
                <c:pt idx="435">
                  <c:v>1.47</c:v>
                </c:pt>
                <c:pt idx="436">
                  <c:v>1.45</c:v>
                </c:pt>
                <c:pt idx="437">
                  <c:v>1.43</c:v>
                </c:pt>
                <c:pt idx="438">
                  <c:v>1.41</c:v>
                </c:pt>
                <c:pt idx="439">
                  <c:v>1.4</c:v>
                </c:pt>
                <c:pt idx="440">
                  <c:v>1.39</c:v>
                </c:pt>
                <c:pt idx="441">
                  <c:v>1.38</c:v>
                </c:pt>
                <c:pt idx="442">
                  <c:v>1.37</c:v>
                </c:pt>
                <c:pt idx="443">
                  <c:v>1.36</c:v>
                </c:pt>
                <c:pt idx="444">
                  <c:v>1.36</c:v>
                </c:pt>
                <c:pt idx="445">
                  <c:v>1.35</c:v>
                </c:pt>
                <c:pt idx="446">
                  <c:v>1.35</c:v>
                </c:pt>
                <c:pt idx="447">
                  <c:v>1.34</c:v>
                </c:pt>
                <c:pt idx="448">
                  <c:v>1.33</c:v>
                </c:pt>
                <c:pt idx="449">
                  <c:v>1.32</c:v>
                </c:pt>
                <c:pt idx="450">
                  <c:v>1.31</c:v>
                </c:pt>
                <c:pt idx="451">
                  <c:v>1.3</c:v>
                </c:pt>
                <c:pt idx="452">
                  <c:v>1.29</c:v>
                </c:pt>
                <c:pt idx="453">
                  <c:v>1.29</c:v>
                </c:pt>
                <c:pt idx="454">
                  <c:v>1.28</c:v>
                </c:pt>
                <c:pt idx="455">
                  <c:v>1.28</c:v>
                </c:pt>
                <c:pt idx="456">
                  <c:v>1.28</c:v>
                </c:pt>
                <c:pt idx="457">
                  <c:v>1.27</c:v>
                </c:pt>
                <c:pt idx="458">
                  <c:v>1.26</c:v>
                </c:pt>
                <c:pt idx="459">
                  <c:v>1.26</c:v>
                </c:pt>
                <c:pt idx="460">
                  <c:v>1.25</c:v>
                </c:pt>
                <c:pt idx="461">
                  <c:v>1.25</c:v>
                </c:pt>
                <c:pt idx="462">
                  <c:v>1.25</c:v>
                </c:pt>
                <c:pt idx="463">
                  <c:v>1.24</c:v>
                </c:pt>
                <c:pt idx="464">
                  <c:v>1.24</c:v>
                </c:pt>
                <c:pt idx="465">
                  <c:v>1.24</c:v>
                </c:pt>
                <c:pt idx="466">
                  <c:v>1.23</c:v>
                </c:pt>
                <c:pt idx="467">
                  <c:v>1.23</c:v>
                </c:pt>
                <c:pt idx="468">
                  <c:v>1.23</c:v>
                </c:pt>
                <c:pt idx="469">
                  <c:v>1.23</c:v>
                </c:pt>
                <c:pt idx="470">
                  <c:v>1.23</c:v>
                </c:pt>
                <c:pt idx="471">
                  <c:v>1.22</c:v>
                </c:pt>
                <c:pt idx="472">
                  <c:v>1.22</c:v>
                </c:pt>
                <c:pt idx="473">
                  <c:v>1.22</c:v>
                </c:pt>
                <c:pt idx="474">
                  <c:v>1.21</c:v>
                </c:pt>
                <c:pt idx="475">
                  <c:v>1.21</c:v>
                </c:pt>
                <c:pt idx="476">
                  <c:v>1.21</c:v>
                </c:pt>
                <c:pt idx="477">
                  <c:v>1.2</c:v>
                </c:pt>
                <c:pt idx="478">
                  <c:v>1.2</c:v>
                </c:pt>
                <c:pt idx="479">
                  <c:v>1.19</c:v>
                </c:pt>
                <c:pt idx="480">
                  <c:v>1.19</c:v>
                </c:pt>
                <c:pt idx="481">
                  <c:v>1.19</c:v>
                </c:pt>
                <c:pt idx="482">
                  <c:v>1.18</c:v>
                </c:pt>
                <c:pt idx="483">
                  <c:v>1.18</c:v>
                </c:pt>
                <c:pt idx="484">
                  <c:v>1.18</c:v>
                </c:pt>
                <c:pt idx="485">
                  <c:v>1.17</c:v>
                </c:pt>
                <c:pt idx="486">
                  <c:v>1.17</c:v>
                </c:pt>
                <c:pt idx="487">
                  <c:v>1.1599999999999999</c:v>
                </c:pt>
                <c:pt idx="488">
                  <c:v>1.1599999999999999</c:v>
                </c:pt>
                <c:pt idx="489">
                  <c:v>1.1499999999999999</c:v>
                </c:pt>
                <c:pt idx="490">
                  <c:v>1.1499999999999999</c:v>
                </c:pt>
                <c:pt idx="491">
                  <c:v>1.1399999999999999</c:v>
                </c:pt>
                <c:pt idx="492">
                  <c:v>1.1399999999999999</c:v>
                </c:pt>
                <c:pt idx="493">
                  <c:v>1.1299999999999999</c:v>
                </c:pt>
                <c:pt idx="494">
                  <c:v>1.1200000000000001</c:v>
                </c:pt>
                <c:pt idx="495">
                  <c:v>1.1100000000000001</c:v>
                </c:pt>
                <c:pt idx="496">
                  <c:v>1.1000000000000001</c:v>
                </c:pt>
                <c:pt idx="497">
                  <c:v>1.0900000000000001</c:v>
                </c:pt>
                <c:pt idx="498">
                  <c:v>1.08</c:v>
                </c:pt>
                <c:pt idx="499">
                  <c:v>1.07</c:v>
                </c:pt>
                <c:pt idx="500">
                  <c:v>1.06</c:v>
                </c:pt>
                <c:pt idx="501">
                  <c:v>1.05</c:v>
                </c:pt>
                <c:pt idx="502">
                  <c:v>1.04</c:v>
                </c:pt>
                <c:pt idx="503">
                  <c:v>1.03</c:v>
                </c:pt>
                <c:pt idx="504">
                  <c:v>1.01</c:v>
                </c:pt>
                <c:pt idx="505">
                  <c:v>1</c:v>
                </c:pt>
                <c:pt idx="506">
                  <c:v>1</c:v>
                </c:pt>
                <c:pt idx="507">
                  <c:v>0.99</c:v>
                </c:pt>
                <c:pt idx="508">
                  <c:v>0.99</c:v>
                </c:pt>
                <c:pt idx="509">
                  <c:v>0.98</c:v>
                </c:pt>
                <c:pt idx="510">
                  <c:v>0.98</c:v>
                </c:pt>
                <c:pt idx="511">
                  <c:v>0.97</c:v>
                </c:pt>
                <c:pt idx="512">
                  <c:v>0.97</c:v>
                </c:pt>
                <c:pt idx="513">
                  <c:v>0.96</c:v>
                </c:pt>
                <c:pt idx="514">
                  <c:v>0.96</c:v>
                </c:pt>
                <c:pt idx="515">
                  <c:v>0.95</c:v>
                </c:pt>
                <c:pt idx="516">
                  <c:v>0.95</c:v>
                </c:pt>
                <c:pt idx="517">
                  <c:v>0.94</c:v>
                </c:pt>
                <c:pt idx="518">
                  <c:v>0.94</c:v>
                </c:pt>
                <c:pt idx="519">
                  <c:v>0.93</c:v>
                </c:pt>
                <c:pt idx="520">
                  <c:v>0.93</c:v>
                </c:pt>
                <c:pt idx="521">
                  <c:v>0.92</c:v>
                </c:pt>
                <c:pt idx="522">
                  <c:v>0.92</c:v>
                </c:pt>
                <c:pt idx="523">
                  <c:v>0.91</c:v>
                </c:pt>
                <c:pt idx="524">
                  <c:v>0.91</c:v>
                </c:pt>
                <c:pt idx="525">
                  <c:v>0.9</c:v>
                </c:pt>
                <c:pt idx="526">
                  <c:v>0.9</c:v>
                </c:pt>
                <c:pt idx="527">
                  <c:v>0.89</c:v>
                </c:pt>
                <c:pt idx="528">
                  <c:v>0.89</c:v>
                </c:pt>
                <c:pt idx="529">
                  <c:v>0.88</c:v>
                </c:pt>
                <c:pt idx="530">
                  <c:v>0.88</c:v>
                </c:pt>
                <c:pt idx="531">
                  <c:v>0.88</c:v>
                </c:pt>
                <c:pt idx="532">
                  <c:v>0.88</c:v>
                </c:pt>
                <c:pt idx="533">
                  <c:v>0.88</c:v>
                </c:pt>
                <c:pt idx="534">
                  <c:v>0.87</c:v>
                </c:pt>
                <c:pt idx="535">
                  <c:v>0.87</c:v>
                </c:pt>
                <c:pt idx="536">
                  <c:v>0.87</c:v>
                </c:pt>
                <c:pt idx="537">
                  <c:v>0.86</c:v>
                </c:pt>
                <c:pt idx="538">
                  <c:v>0.86</c:v>
                </c:pt>
                <c:pt idx="539">
                  <c:v>0.86</c:v>
                </c:pt>
                <c:pt idx="540">
                  <c:v>0.85</c:v>
                </c:pt>
                <c:pt idx="541">
                  <c:v>0.85</c:v>
                </c:pt>
                <c:pt idx="542">
                  <c:v>0.85</c:v>
                </c:pt>
                <c:pt idx="543">
                  <c:v>0.85</c:v>
                </c:pt>
                <c:pt idx="544">
                  <c:v>0.85</c:v>
                </c:pt>
                <c:pt idx="545">
                  <c:v>0.85</c:v>
                </c:pt>
                <c:pt idx="546">
                  <c:v>0.84</c:v>
                </c:pt>
                <c:pt idx="547">
                  <c:v>0.84</c:v>
                </c:pt>
                <c:pt idx="548">
                  <c:v>0.84</c:v>
                </c:pt>
                <c:pt idx="549">
                  <c:v>0.84</c:v>
                </c:pt>
                <c:pt idx="550">
                  <c:v>0.84</c:v>
                </c:pt>
                <c:pt idx="551">
                  <c:v>0.84</c:v>
                </c:pt>
                <c:pt idx="552">
                  <c:v>0.83</c:v>
                </c:pt>
                <c:pt idx="553">
                  <c:v>0.83</c:v>
                </c:pt>
                <c:pt idx="554">
                  <c:v>0.83</c:v>
                </c:pt>
                <c:pt idx="555">
                  <c:v>0.83</c:v>
                </c:pt>
                <c:pt idx="556">
                  <c:v>0.83</c:v>
                </c:pt>
                <c:pt idx="557">
                  <c:v>0.82</c:v>
                </c:pt>
                <c:pt idx="558">
                  <c:v>0.82</c:v>
                </c:pt>
                <c:pt idx="559">
                  <c:v>0.82</c:v>
                </c:pt>
                <c:pt idx="560">
                  <c:v>0.82</c:v>
                </c:pt>
                <c:pt idx="561">
                  <c:v>0.82</c:v>
                </c:pt>
                <c:pt idx="562">
                  <c:v>0.82</c:v>
                </c:pt>
                <c:pt idx="563">
                  <c:v>0.82</c:v>
                </c:pt>
                <c:pt idx="564">
                  <c:v>0.81</c:v>
                </c:pt>
                <c:pt idx="565">
                  <c:v>0.81</c:v>
                </c:pt>
                <c:pt idx="566">
                  <c:v>0.81</c:v>
                </c:pt>
                <c:pt idx="567">
                  <c:v>0.81</c:v>
                </c:pt>
                <c:pt idx="568">
                  <c:v>0.81</c:v>
                </c:pt>
                <c:pt idx="569">
                  <c:v>0.81</c:v>
                </c:pt>
                <c:pt idx="570">
                  <c:v>0.81</c:v>
                </c:pt>
                <c:pt idx="571">
                  <c:v>0.81</c:v>
                </c:pt>
                <c:pt idx="572">
                  <c:v>0.81</c:v>
                </c:pt>
                <c:pt idx="573">
                  <c:v>0.81</c:v>
                </c:pt>
                <c:pt idx="574">
                  <c:v>0.81</c:v>
                </c:pt>
                <c:pt idx="575">
                  <c:v>0.81</c:v>
                </c:pt>
                <c:pt idx="576">
                  <c:v>0.82</c:v>
                </c:pt>
                <c:pt idx="577">
                  <c:v>0.82</c:v>
                </c:pt>
                <c:pt idx="578">
                  <c:v>0.82</c:v>
                </c:pt>
                <c:pt idx="579">
                  <c:v>0.82</c:v>
                </c:pt>
                <c:pt idx="580">
                  <c:v>0.82</c:v>
                </c:pt>
                <c:pt idx="581">
                  <c:v>0.82</c:v>
                </c:pt>
                <c:pt idx="582">
                  <c:v>0.82</c:v>
                </c:pt>
                <c:pt idx="583">
                  <c:v>0.82</c:v>
                </c:pt>
                <c:pt idx="584">
                  <c:v>0.82</c:v>
                </c:pt>
                <c:pt idx="585">
                  <c:v>0.82</c:v>
                </c:pt>
                <c:pt idx="586">
                  <c:v>0.82</c:v>
                </c:pt>
                <c:pt idx="587">
                  <c:v>0.82</c:v>
                </c:pt>
                <c:pt idx="588">
                  <c:v>0.81</c:v>
                </c:pt>
                <c:pt idx="589">
                  <c:v>0.81</c:v>
                </c:pt>
                <c:pt idx="590">
                  <c:v>0.81</c:v>
                </c:pt>
                <c:pt idx="591">
                  <c:v>0.81</c:v>
                </c:pt>
                <c:pt idx="592">
                  <c:v>0.81</c:v>
                </c:pt>
                <c:pt idx="593">
                  <c:v>0.81</c:v>
                </c:pt>
                <c:pt idx="594">
                  <c:v>0.82</c:v>
                </c:pt>
                <c:pt idx="595">
                  <c:v>0.82</c:v>
                </c:pt>
                <c:pt idx="596">
                  <c:v>0.82</c:v>
                </c:pt>
                <c:pt idx="597">
                  <c:v>0.83</c:v>
                </c:pt>
                <c:pt idx="598">
                  <c:v>0.83</c:v>
                </c:pt>
                <c:pt idx="599">
                  <c:v>0.84</c:v>
                </c:pt>
                <c:pt idx="600">
                  <c:v>0.84</c:v>
                </c:pt>
                <c:pt idx="601">
                  <c:v>0.85</c:v>
                </c:pt>
                <c:pt idx="602">
                  <c:v>0.85</c:v>
                </c:pt>
                <c:pt idx="603">
                  <c:v>0.86</c:v>
                </c:pt>
                <c:pt idx="604">
                  <c:v>0.87</c:v>
                </c:pt>
                <c:pt idx="605">
                  <c:v>0.88</c:v>
                </c:pt>
                <c:pt idx="606">
                  <c:v>0.9</c:v>
                </c:pt>
                <c:pt idx="607">
                  <c:v>0.92</c:v>
                </c:pt>
                <c:pt idx="608">
                  <c:v>0.94</c:v>
                </c:pt>
                <c:pt idx="609">
                  <c:v>0.96</c:v>
                </c:pt>
                <c:pt idx="610">
                  <c:v>0.99</c:v>
                </c:pt>
                <c:pt idx="611">
                  <c:v>1.01</c:v>
                </c:pt>
                <c:pt idx="612">
                  <c:v>1.03</c:v>
                </c:pt>
                <c:pt idx="613">
                  <c:v>1.07</c:v>
                </c:pt>
                <c:pt idx="614">
                  <c:v>1.1000000000000001</c:v>
                </c:pt>
                <c:pt idx="615">
                  <c:v>1.1399999999999999</c:v>
                </c:pt>
                <c:pt idx="616">
                  <c:v>1.18</c:v>
                </c:pt>
                <c:pt idx="617">
                  <c:v>1.23</c:v>
                </c:pt>
                <c:pt idx="618">
                  <c:v>1.27</c:v>
                </c:pt>
                <c:pt idx="619">
                  <c:v>1.32</c:v>
                </c:pt>
                <c:pt idx="620">
                  <c:v>1.39</c:v>
                </c:pt>
                <c:pt idx="621">
                  <c:v>1.45</c:v>
                </c:pt>
                <c:pt idx="622">
                  <c:v>1.5</c:v>
                </c:pt>
                <c:pt idx="623">
                  <c:v>1.55</c:v>
                </c:pt>
                <c:pt idx="624">
                  <c:v>1.62</c:v>
                </c:pt>
                <c:pt idx="625">
                  <c:v>1.68</c:v>
                </c:pt>
                <c:pt idx="626">
                  <c:v>1.75</c:v>
                </c:pt>
                <c:pt idx="627">
                  <c:v>1.8</c:v>
                </c:pt>
                <c:pt idx="628">
                  <c:v>1.85</c:v>
                </c:pt>
                <c:pt idx="629">
                  <c:v>1.88</c:v>
                </c:pt>
                <c:pt idx="630">
                  <c:v>1.92</c:v>
                </c:pt>
                <c:pt idx="631">
                  <c:v>1.96</c:v>
                </c:pt>
                <c:pt idx="632">
                  <c:v>1.98</c:v>
                </c:pt>
                <c:pt idx="633">
                  <c:v>2</c:v>
                </c:pt>
                <c:pt idx="634">
                  <c:v>2.02</c:v>
                </c:pt>
                <c:pt idx="635">
                  <c:v>2.0299999999999998</c:v>
                </c:pt>
                <c:pt idx="636">
                  <c:v>2.04</c:v>
                </c:pt>
                <c:pt idx="637">
                  <c:v>2.04</c:v>
                </c:pt>
                <c:pt idx="638">
                  <c:v>2.04</c:v>
                </c:pt>
                <c:pt idx="639">
                  <c:v>2.0299999999999998</c:v>
                </c:pt>
                <c:pt idx="640">
                  <c:v>2.0099999999999998</c:v>
                </c:pt>
                <c:pt idx="641">
                  <c:v>1.99</c:v>
                </c:pt>
                <c:pt idx="642">
                  <c:v>1.97</c:v>
                </c:pt>
                <c:pt idx="643">
                  <c:v>1.93</c:v>
                </c:pt>
                <c:pt idx="644">
                  <c:v>1.87</c:v>
                </c:pt>
                <c:pt idx="645">
                  <c:v>1.81</c:v>
                </c:pt>
                <c:pt idx="646">
                  <c:v>1.73</c:v>
                </c:pt>
                <c:pt idx="647">
                  <c:v>1.69</c:v>
                </c:pt>
                <c:pt idx="648">
                  <c:v>1.64</c:v>
                </c:pt>
                <c:pt idx="649">
                  <c:v>1.59</c:v>
                </c:pt>
                <c:pt idx="650">
                  <c:v>1.55</c:v>
                </c:pt>
                <c:pt idx="651">
                  <c:v>1.51</c:v>
                </c:pt>
                <c:pt idx="652">
                  <c:v>1.49</c:v>
                </c:pt>
                <c:pt idx="653">
                  <c:v>1.47</c:v>
                </c:pt>
                <c:pt idx="654">
                  <c:v>1.46</c:v>
                </c:pt>
                <c:pt idx="655">
                  <c:v>1.44</c:v>
                </c:pt>
                <c:pt idx="656">
                  <c:v>1.43</c:v>
                </c:pt>
                <c:pt idx="657">
                  <c:v>1.42</c:v>
                </c:pt>
                <c:pt idx="658">
                  <c:v>1.41</c:v>
                </c:pt>
                <c:pt idx="659">
                  <c:v>1.41</c:v>
                </c:pt>
                <c:pt idx="660">
                  <c:v>1.41</c:v>
                </c:pt>
                <c:pt idx="661">
                  <c:v>1.42</c:v>
                </c:pt>
                <c:pt idx="662">
                  <c:v>1.43</c:v>
                </c:pt>
                <c:pt idx="663">
                  <c:v>1.44</c:v>
                </c:pt>
                <c:pt idx="664">
                  <c:v>1.46</c:v>
                </c:pt>
                <c:pt idx="665">
                  <c:v>1.48</c:v>
                </c:pt>
                <c:pt idx="666">
                  <c:v>1.5</c:v>
                </c:pt>
                <c:pt idx="667">
                  <c:v>1.54</c:v>
                </c:pt>
                <c:pt idx="668">
                  <c:v>1.57</c:v>
                </c:pt>
                <c:pt idx="669">
                  <c:v>1.6</c:v>
                </c:pt>
                <c:pt idx="670">
                  <c:v>1.64</c:v>
                </c:pt>
                <c:pt idx="671">
                  <c:v>1.68</c:v>
                </c:pt>
                <c:pt idx="672">
                  <c:v>1.72</c:v>
                </c:pt>
                <c:pt idx="673">
                  <c:v>1.77</c:v>
                </c:pt>
                <c:pt idx="674">
                  <c:v>1.81</c:v>
                </c:pt>
                <c:pt idx="675">
                  <c:v>1.83</c:v>
                </c:pt>
                <c:pt idx="676">
                  <c:v>1.85</c:v>
                </c:pt>
                <c:pt idx="677">
                  <c:v>1.88</c:v>
                </c:pt>
                <c:pt idx="678">
                  <c:v>1.9</c:v>
                </c:pt>
                <c:pt idx="679">
                  <c:v>1.92</c:v>
                </c:pt>
                <c:pt idx="680">
                  <c:v>1.93</c:v>
                </c:pt>
                <c:pt idx="681">
                  <c:v>1.93</c:v>
                </c:pt>
                <c:pt idx="682">
                  <c:v>1.93</c:v>
                </c:pt>
                <c:pt idx="683">
                  <c:v>1.92</c:v>
                </c:pt>
                <c:pt idx="684">
                  <c:v>1.91</c:v>
                </c:pt>
                <c:pt idx="685">
                  <c:v>1.89</c:v>
                </c:pt>
                <c:pt idx="686">
                  <c:v>1.86</c:v>
                </c:pt>
                <c:pt idx="687">
                  <c:v>1.82</c:v>
                </c:pt>
                <c:pt idx="688">
                  <c:v>1.77</c:v>
                </c:pt>
                <c:pt idx="689">
                  <c:v>1.71</c:v>
                </c:pt>
                <c:pt idx="690">
                  <c:v>1.65</c:v>
                </c:pt>
                <c:pt idx="691">
                  <c:v>1.59</c:v>
                </c:pt>
                <c:pt idx="692">
                  <c:v>1.53</c:v>
                </c:pt>
                <c:pt idx="693">
                  <c:v>1.49</c:v>
                </c:pt>
                <c:pt idx="694">
                  <c:v>1.45</c:v>
                </c:pt>
                <c:pt idx="695">
                  <c:v>1.41</c:v>
                </c:pt>
                <c:pt idx="696">
                  <c:v>1.38</c:v>
                </c:pt>
                <c:pt idx="697">
                  <c:v>1.35</c:v>
                </c:pt>
                <c:pt idx="698">
                  <c:v>1.33</c:v>
                </c:pt>
                <c:pt idx="699">
                  <c:v>1.31</c:v>
                </c:pt>
                <c:pt idx="700">
                  <c:v>1.29</c:v>
                </c:pt>
                <c:pt idx="701">
                  <c:v>1.27</c:v>
                </c:pt>
                <c:pt idx="702">
                  <c:v>1.25</c:v>
                </c:pt>
                <c:pt idx="703">
                  <c:v>1.24</c:v>
                </c:pt>
                <c:pt idx="704">
                  <c:v>1.23</c:v>
                </c:pt>
                <c:pt idx="705">
                  <c:v>1.21</c:v>
                </c:pt>
                <c:pt idx="706">
                  <c:v>1.19</c:v>
                </c:pt>
                <c:pt idx="707">
                  <c:v>1.18</c:v>
                </c:pt>
                <c:pt idx="708">
                  <c:v>1.17</c:v>
                </c:pt>
                <c:pt idx="709">
                  <c:v>1.1599999999999999</c:v>
                </c:pt>
                <c:pt idx="710">
                  <c:v>1.1499999999999999</c:v>
                </c:pt>
                <c:pt idx="711">
                  <c:v>1.1299999999999999</c:v>
                </c:pt>
                <c:pt idx="712">
                  <c:v>1.1200000000000001</c:v>
                </c:pt>
                <c:pt idx="713">
                  <c:v>1.1100000000000001</c:v>
                </c:pt>
                <c:pt idx="714">
                  <c:v>1.1000000000000001</c:v>
                </c:pt>
                <c:pt idx="715">
                  <c:v>1.0900000000000001</c:v>
                </c:pt>
                <c:pt idx="716">
                  <c:v>1.08</c:v>
                </c:pt>
                <c:pt idx="717">
                  <c:v>1.07</c:v>
                </c:pt>
                <c:pt idx="718">
                  <c:v>1.06</c:v>
                </c:pt>
                <c:pt idx="719">
                  <c:v>1.05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54368"/>
        <c:axId val="86956288"/>
      </c:scatterChart>
      <c:valAx>
        <c:axId val="86954368"/>
        <c:scaling>
          <c:orientation val="minMax"/>
          <c:max val="725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CC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6956288"/>
        <c:crosses val="autoZero"/>
        <c:crossBetween val="midCat"/>
        <c:majorUnit val="24"/>
        <c:minorUnit val="1.5"/>
      </c:valAx>
      <c:valAx>
        <c:axId val="869562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69543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October</a:t>
            </a:r>
          </a:p>
        </c:rich>
      </c:tx>
      <c:layout>
        <c:manualLayout>
          <c:xMode val="edge"/>
          <c:yMode val="edge"/>
          <c:x val="0.4821371419034764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070479924128338E-2"/>
          <c:y val="0.12020916149107951"/>
          <c:w val="0.94362534300528489"/>
          <c:h val="0.7421609100753604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xVal>
            <c:numRef>
              <c:f>'Graph-Hou'!$CD$2:$CD$745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</c:numCache>
            </c:numRef>
          </c:xVal>
          <c:yVal>
            <c:numRef>
              <c:f>'Graph-Hou'!$CG$2:$CG$745</c:f>
              <c:numCache>
                <c:formatCode>0.00</c:formatCode>
                <c:ptCount val="744"/>
                <c:pt idx="0">
                  <c:v>1.04</c:v>
                </c:pt>
                <c:pt idx="1">
                  <c:v>1.04</c:v>
                </c:pt>
                <c:pt idx="2">
                  <c:v>1.03</c:v>
                </c:pt>
                <c:pt idx="3">
                  <c:v>1.03</c:v>
                </c:pt>
                <c:pt idx="4">
                  <c:v>1.02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1.01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0.98</c:v>
                </c:pt>
                <c:pt idx="25">
                  <c:v>0.98</c:v>
                </c:pt>
                <c:pt idx="26">
                  <c:v>0.98</c:v>
                </c:pt>
                <c:pt idx="27">
                  <c:v>0.98</c:v>
                </c:pt>
                <c:pt idx="28">
                  <c:v>0.98</c:v>
                </c:pt>
                <c:pt idx="29">
                  <c:v>0.97</c:v>
                </c:pt>
                <c:pt idx="30">
                  <c:v>0.97</c:v>
                </c:pt>
                <c:pt idx="31">
                  <c:v>0.97</c:v>
                </c:pt>
                <c:pt idx="32">
                  <c:v>0.97</c:v>
                </c:pt>
                <c:pt idx="33">
                  <c:v>0.97</c:v>
                </c:pt>
                <c:pt idx="34">
                  <c:v>0.97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0.98</c:v>
                </c:pt>
                <c:pt idx="43">
                  <c:v>0.98</c:v>
                </c:pt>
                <c:pt idx="44">
                  <c:v>0.98</c:v>
                </c:pt>
                <c:pt idx="45">
                  <c:v>0.98</c:v>
                </c:pt>
                <c:pt idx="46">
                  <c:v>0.98</c:v>
                </c:pt>
                <c:pt idx="47">
                  <c:v>0.98</c:v>
                </c:pt>
                <c:pt idx="48">
                  <c:v>0.99</c:v>
                </c:pt>
                <c:pt idx="49">
                  <c:v>0.99</c:v>
                </c:pt>
                <c:pt idx="50">
                  <c:v>0.99</c:v>
                </c:pt>
                <c:pt idx="51">
                  <c:v>0.99</c:v>
                </c:pt>
                <c:pt idx="52">
                  <c:v>0.99</c:v>
                </c:pt>
                <c:pt idx="53">
                  <c:v>0.99</c:v>
                </c:pt>
                <c:pt idx="54">
                  <c:v>0.99</c:v>
                </c:pt>
                <c:pt idx="55">
                  <c:v>0.99</c:v>
                </c:pt>
                <c:pt idx="56">
                  <c:v>0.99</c:v>
                </c:pt>
                <c:pt idx="57">
                  <c:v>0.99</c:v>
                </c:pt>
                <c:pt idx="58">
                  <c:v>0.99</c:v>
                </c:pt>
                <c:pt idx="59">
                  <c:v>0.99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0.99</c:v>
                </c:pt>
                <c:pt idx="68">
                  <c:v>0.99</c:v>
                </c:pt>
                <c:pt idx="69">
                  <c:v>0.99</c:v>
                </c:pt>
                <c:pt idx="70">
                  <c:v>0.99</c:v>
                </c:pt>
                <c:pt idx="71">
                  <c:v>0.99</c:v>
                </c:pt>
                <c:pt idx="72">
                  <c:v>0.98</c:v>
                </c:pt>
                <c:pt idx="73">
                  <c:v>0.98</c:v>
                </c:pt>
                <c:pt idx="74">
                  <c:v>0.98</c:v>
                </c:pt>
                <c:pt idx="75">
                  <c:v>0.98</c:v>
                </c:pt>
                <c:pt idx="76">
                  <c:v>0.98</c:v>
                </c:pt>
                <c:pt idx="77">
                  <c:v>0.98</c:v>
                </c:pt>
                <c:pt idx="78">
                  <c:v>0.98</c:v>
                </c:pt>
                <c:pt idx="79">
                  <c:v>0.98</c:v>
                </c:pt>
                <c:pt idx="80">
                  <c:v>0.98</c:v>
                </c:pt>
                <c:pt idx="81">
                  <c:v>0.97</c:v>
                </c:pt>
                <c:pt idx="82">
                  <c:v>0.97</c:v>
                </c:pt>
                <c:pt idx="83">
                  <c:v>0.96</c:v>
                </c:pt>
                <c:pt idx="84">
                  <c:v>0.96</c:v>
                </c:pt>
                <c:pt idx="85">
                  <c:v>0.95</c:v>
                </c:pt>
                <c:pt idx="86">
                  <c:v>0.95</c:v>
                </c:pt>
                <c:pt idx="87">
                  <c:v>0.94</c:v>
                </c:pt>
                <c:pt idx="88">
                  <c:v>0.93</c:v>
                </c:pt>
                <c:pt idx="89">
                  <c:v>0.92</c:v>
                </c:pt>
                <c:pt idx="90">
                  <c:v>0.91</c:v>
                </c:pt>
                <c:pt idx="91">
                  <c:v>0.91</c:v>
                </c:pt>
                <c:pt idx="92">
                  <c:v>0.9</c:v>
                </c:pt>
                <c:pt idx="93">
                  <c:v>0.9</c:v>
                </c:pt>
                <c:pt idx="94">
                  <c:v>0.89</c:v>
                </c:pt>
                <c:pt idx="95">
                  <c:v>0.89</c:v>
                </c:pt>
                <c:pt idx="96">
                  <c:v>0.89</c:v>
                </c:pt>
                <c:pt idx="97">
                  <c:v>0.88</c:v>
                </c:pt>
                <c:pt idx="98">
                  <c:v>0.88</c:v>
                </c:pt>
                <c:pt idx="99">
                  <c:v>0.88</c:v>
                </c:pt>
                <c:pt idx="100">
                  <c:v>0.88</c:v>
                </c:pt>
                <c:pt idx="101">
                  <c:v>0.87</c:v>
                </c:pt>
                <c:pt idx="102">
                  <c:v>0.87</c:v>
                </c:pt>
                <c:pt idx="103">
                  <c:v>0.87</c:v>
                </c:pt>
                <c:pt idx="104">
                  <c:v>0.87</c:v>
                </c:pt>
                <c:pt idx="105">
                  <c:v>0.87</c:v>
                </c:pt>
                <c:pt idx="106">
                  <c:v>0.87</c:v>
                </c:pt>
                <c:pt idx="107">
                  <c:v>0.88</c:v>
                </c:pt>
                <c:pt idx="108">
                  <c:v>0.88</c:v>
                </c:pt>
                <c:pt idx="109">
                  <c:v>0.88</c:v>
                </c:pt>
                <c:pt idx="110">
                  <c:v>0.89</c:v>
                </c:pt>
                <c:pt idx="111">
                  <c:v>0.89</c:v>
                </c:pt>
                <c:pt idx="112">
                  <c:v>0.9</c:v>
                </c:pt>
                <c:pt idx="113">
                  <c:v>0.9</c:v>
                </c:pt>
                <c:pt idx="114">
                  <c:v>0.91</c:v>
                </c:pt>
                <c:pt idx="115">
                  <c:v>0.92</c:v>
                </c:pt>
                <c:pt idx="116">
                  <c:v>0.92</c:v>
                </c:pt>
                <c:pt idx="117">
                  <c:v>0.93</c:v>
                </c:pt>
                <c:pt idx="118">
                  <c:v>0.93</c:v>
                </c:pt>
                <c:pt idx="119">
                  <c:v>0.94</c:v>
                </c:pt>
                <c:pt idx="120">
                  <c:v>0.95</c:v>
                </c:pt>
                <c:pt idx="121">
                  <c:v>0.95</c:v>
                </c:pt>
                <c:pt idx="122">
                  <c:v>0.96</c:v>
                </c:pt>
                <c:pt idx="123">
                  <c:v>0.97</c:v>
                </c:pt>
                <c:pt idx="124">
                  <c:v>0.98</c:v>
                </c:pt>
                <c:pt idx="125">
                  <c:v>0.99</c:v>
                </c:pt>
                <c:pt idx="126">
                  <c:v>1</c:v>
                </c:pt>
                <c:pt idx="127">
                  <c:v>1.01</c:v>
                </c:pt>
                <c:pt idx="128">
                  <c:v>1.02</c:v>
                </c:pt>
                <c:pt idx="129">
                  <c:v>1.03</c:v>
                </c:pt>
                <c:pt idx="130">
                  <c:v>1.03</c:v>
                </c:pt>
                <c:pt idx="131">
                  <c:v>1.04</c:v>
                </c:pt>
                <c:pt idx="132">
                  <c:v>1.04</c:v>
                </c:pt>
                <c:pt idx="133">
                  <c:v>1.04</c:v>
                </c:pt>
                <c:pt idx="134">
                  <c:v>1.04</c:v>
                </c:pt>
                <c:pt idx="135">
                  <c:v>1.04</c:v>
                </c:pt>
                <c:pt idx="136">
                  <c:v>1.04</c:v>
                </c:pt>
                <c:pt idx="137">
                  <c:v>1.04</c:v>
                </c:pt>
                <c:pt idx="138">
                  <c:v>1.03</c:v>
                </c:pt>
                <c:pt idx="139">
                  <c:v>1.03</c:v>
                </c:pt>
                <c:pt idx="140">
                  <c:v>1.02</c:v>
                </c:pt>
                <c:pt idx="141">
                  <c:v>1.01</c:v>
                </c:pt>
                <c:pt idx="142">
                  <c:v>1</c:v>
                </c:pt>
                <c:pt idx="143">
                  <c:v>0.99</c:v>
                </c:pt>
                <c:pt idx="144">
                  <c:v>0.97</c:v>
                </c:pt>
                <c:pt idx="145">
                  <c:v>0.96</c:v>
                </c:pt>
                <c:pt idx="146">
                  <c:v>0.95</c:v>
                </c:pt>
                <c:pt idx="147">
                  <c:v>0.94</c:v>
                </c:pt>
                <c:pt idx="148">
                  <c:v>0.93</c:v>
                </c:pt>
                <c:pt idx="149">
                  <c:v>0.92</c:v>
                </c:pt>
                <c:pt idx="150">
                  <c:v>0.92</c:v>
                </c:pt>
                <c:pt idx="151">
                  <c:v>0.91</c:v>
                </c:pt>
                <c:pt idx="152">
                  <c:v>0.91</c:v>
                </c:pt>
                <c:pt idx="153">
                  <c:v>0.9</c:v>
                </c:pt>
                <c:pt idx="154">
                  <c:v>0.9</c:v>
                </c:pt>
                <c:pt idx="155">
                  <c:v>0.89</c:v>
                </c:pt>
                <c:pt idx="156">
                  <c:v>0.88</c:v>
                </c:pt>
                <c:pt idx="157">
                  <c:v>0.88</c:v>
                </c:pt>
                <c:pt idx="158">
                  <c:v>0.87</c:v>
                </c:pt>
                <c:pt idx="159">
                  <c:v>0.87</c:v>
                </c:pt>
                <c:pt idx="160">
                  <c:v>0.86</c:v>
                </c:pt>
                <c:pt idx="161">
                  <c:v>0.86</c:v>
                </c:pt>
                <c:pt idx="162">
                  <c:v>0.86</c:v>
                </c:pt>
                <c:pt idx="163">
                  <c:v>0.85</c:v>
                </c:pt>
                <c:pt idx="164">
                  <c:v>0.85</c:v>
                </c:pt>
                <c:pt idx="165">
                  <c:v>0.85</c:v>
                </c:pt>
                <c:pt idx="166">
                  <c:v>0.84</c:v>
                </c:pt>
                <c:pt idx="167">
                  <c:v>0.84</c:v>
                </c:pt>
                <c:pt idx="168">
                  <c:v>0.84</c:v>
                </c:pt>
                <c:pt idx="169">
                  <c:v>0.83</c:v>
                </c:pt>
                <c:pt idx="170">
                  <c:v>0.83</c:v>
                </c:pt>
                <c:pt idx="171">
                  <c:v>0.83</c:v>
                </c:pt>
                <c:pt idx="172">
                  <c:v>0.83</c:v>
                </c:pt>
                <c:pt idx="173">
                  <c:v>0.83</c:v>
                </c:pt>
                <c:pt idx="174">
                  <c:v>0.83</c:v>
                </c:pt>
                <c:pt idx="175">
                  <c:v>0.83</c:v>
                </c:pt>
                <c:pt idx="176">
                  <c:v>0.83</c:v>
                </c:pt>
                <c:pt idx="177">
                  <c:v>0.83</c:v>
                </c:pt>
                <c:pt idx="178">
                  <c:v>0.83</c:v>
                </c:pt>
                <c:pt idx="179">
                  <c:v>0.82</c:v>
                </c:pt>
                <c:pt idx="180">
                  <c:v>0.82</c:v>
                </c:pt>
                <c:pt idx="181">
                  <c:v>0.82</c:v>
                </c:pt>
                <c:pt idx="182">
                  <c:v>0.81</c:v>
                </c:pt>
                <c:pt idx="183">
                  <c:v>0.81</c:v>
                </c:pt>
                <c:pt idx="184">
                  <c:v>0.81</c:v>
                </c:pt>
                <c:pt idx="185">
                  <c:v>0.81</c:v>
                </c:pt>
                <c:pt idx="186">
                  <c:v>0.81</c:v>
                </c:pt>
                <c:pt idx="187">
                  <c:v>0.8</c:v>
                </c:pt>
                <c:pt idx="188">
                  <c:v>0.8</c:v>
                </c:pt>
                <c:pt idx="189">
                  <c:v>0.8</c:v>
                </c:pt>
                <c:pt idx="190">
                  <c:v>0.8</c:v>
                </c:pt>
                <c:pt idx="191">
                  <c:v>0.79</c:v>
                </c:pt>
                <c:pt idx="192">
                  <c:v>0.79</c:v>
                </c:pt>
                <c:pt idx="193">
                  <c:v>0.78</c:v>
                </c:pt>
                <c:pt idx="194">
                  <c:v>0.78</c:v>
                </c:pt>
                <c:pt idx="195">
                  <c:v>0.77</c:v>
                </c:pt>
                <c:pt idx="196">
                  <c:v>0.77</c:v>
                </c:pt>
                <c:pt idx="197">
                  <c:v>0.76</c:v>
                </c:pt>
                <c:pt idx="198">
                  <c:v>0.76</c:v>
                </c:pt>
                <c:pt idx="199">
                  <c:v>0.76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0.74</c:v>
                </c:pt>
                <c:pt idx="204">
                  <c:v>0.74</c:v>
                </c:pt>
                <c:pt idx="205">
                  <c:v>0.74</c:v>
                </c:pt>
                <c:pt idx="206">
                  <c:v>0.73</c:v>
                </c:pt>
                <c:pt idx="207">
                  <c:v>0.73</c:v>
                </c:pt>
                <c:pt idx="208">
                  <c:v>0.73</c:v>
                </c:pt>
                <c:pt idx="209">
                  <c:v>0.73</c:v>
                </c:pt>
                <c:pt idx="210">
                  <c:v>0.72</c:v>
                </c:pt>
                <c:pt idx="211">
                  <c:v>0.72</c:v>
                </c:pt>
                <c:pt idx="212">
                  <c:v>0.72</c:v>
                </c:pt>
                <c:pt idx="213">
                  <c:v>0.72</c:v>
                </c:pt>
                <c:pt idx="214">
                  <c:v>0.72</c:v>
                </c:pt>
                <c:pt idx="215">
                  <c:v>0.72</c:v>
                </c:pt>
                <c:pt idx="216">
                  <c:v>0.71</c:v>
                </c:pt>
                <c:pt idx="217">
                  <c:v>0.71</c:v>
                </c:pt>
                <c:pt idx="218">
                  <c:v>0.71</c:v>
                </c:pt>
                <c:pt idx="219">
                  <c:v>0.71</c:v>
                </c:pt>
                <c:pt idx="220">
                  <c:v>0.71</c:v>
                </c:pt>
                <c:pt idx="221">
                  <c:v>0.7</c:v>
                </c:pt>
                <c:pt idx="222">
                  <c:v>0.7</c:v>
                </c:pt>
                <c:pt idx="223">
                  <c:v>0.7</c:v>
                </c:pt>
                <c:pt idx="224">
                  <c:v>0.7</c:v>
                </c:pt>
                <c:pt idx="225">
                  <c:v>0.7</c:v>
                </c:pt>
                <c:pt idx="226">
                  <c:v>0.69</c:v>
                </c:pt>
                <c:pt idx="227">
                  <c:v>0.69</c:v>
                </c:pt>
                <c:pt idx="228">
                  <c:v>0.69</c:v>
                </c:pt>
                <c:pt idx="229">
                  <c:v>0.68</c:v>
                </c:pt>
                <c:pt idx="230">
                  <c:v>0.68</c:v>
                </c:pt>
                <c:pt idx="231">
                  <c:v>0.68</c:v>
                </c:pt>
                <c:pt idx="232">
                  <c:v>0.68</c:v>
                </c:pt>
                <c:pt idx="233">
                  <c:v>0.67</c:v>
                </c:pt>
                <c:pt idx="234">
                  <c:v>0.67</c:v>
                </c:pt>
                <c:pt idx="235">
                  <c:v>0.67</c:v>
                </c:pt>
                <c:pt idx="236">
                  <c:v>0.67</c:v>
                </c:pt>
                <c:pt idx="237">
                  <c:v>0.67</c:v>
                </c:pt>
                <c:pt idx="238">
                  <c:v>0.67</c:v>
                </c:pt>
                <c:pt idx="239">
                  <c:v>0.67</c:v>
                </c:pt>
                <c:pt idx="240">
                  <c:v>0.66</c:v>
                </c:pt>
                <c:pt idx="241">
                  <c:v>0.66</c:v>
                </c:pt>
                <c:pt idx="242">
                  <c:v>0.66</c:v>
                </c:pt>
                <c:pt idx="243">
                  <c:v>0.66</c:v>
                </c:pt>
                <c:pt idx="244">
                  <c:v>0.66</c:v>
                </c:pt>
                <c:pt idx="245">
                  <c:v>0.65</c:v>
                </c:pt>
                <c:pt idx="246">
                  <c:v>0.65</c:v>
                </c:pt>
                <c:pt idx="247">
                  <c:v>0.65</c:v>
                </c:pt>
                <c:pt idx="248">
                  <c:v>0.65</c:v>
                </c:pt>
                <c:pt idx="249">
                  <c:v>0.65</c:v>
                </c:pt>
                <c:pt idx="250">
                  <c:v>0.65</c:v>
                </c:pt>
                <c:pt idx="251">
                  <c:v>0.65</c:v>
                </c:pt>
                <c:pt idx="252">
                  <c:v>0.65</c:v>
                </c:pt>
                <c:pt idx="253">
                  <c:v>0.65</c:v>
                </c:pt>
                <c:pt idx="254">
                  <c:v>0.65</c:v>
                </c:pt>
                <c:pt idx="255">
                  <c:v>0.65</c:v>
                </c:pt>
                <c:pt idx="256">
                  <c:v>0.65</c:v>
                </c:pt>
                <c:pt idx="257">
                  <c:v>0.65</c:v>
                </c:pt>
                <c:pt idx="258">
                  <c:v>0.65</c:v>
                </c:pt>
                <c:pt idx="259">
                  <c:v>0.65</c:v>
                </c:pt>
                <c:pt idx="260">
                  <c:v>0.65</c:v>
                </c:pt>
                <c:pt idx="261">
                  <c:v>0.65</c:v>
                </c:pt>
                <c:pt idx="262">
                  <c:v>0.65</c:v>
                </c:pt>
                <c:pt idx="263">
                  <c:v>0.65</c:v>
                </c:pt>
                <c:pt idx="264">
                  <c:v>0.64</c:v>
                </c:pt>
                <c:pt idx="265">
                  <c:v>0.64</c:v>
                </c:pt>
                <c:pt idx="266">
                  <c:v>0.64</c:v>
                </c:pt>
                <c:pt idx="267">
                  <c:v>0.64</c:v>
                </c:pt>
                <c:pt idx="268">
                  <c:v>0.64</c:v>
                </c:pt>
                <c:pt idx="269">
                  <c:v>0.64</c:v>
                </c:pt>
                <c:pt idx="270">
                  <c:v>0.64</c:v>
                </c:pt>
                <c:pt idx="271">
                  <c:v>0.64</c:v>
                </c:pt>
                <c:pt idx="272">
                  <c:v>0.64</c:v>
                </c:pt>
                <c:pt idx="273">
                  <c:v>0.64</c:v>
                </c:pt>
                <c:pt idx="274">
                  <c:v>0.64</c:v>
                </c:pt>
                <c:pt idx="275">
                  <c:v>0.64</c:v>
                </c:pt>
                <c:pt idx="276">
                  <c:v>0.64</c:v>
                </c:pt>
                <c:pt idx="277">
                  <c:v>0.64</c:v>
                </c:pt>
                <c:pt idx="278">
                  <c:v>0.64</c:v>
                </c:pt>
                <c:pt idx="279">
                  <c:v>0.64</c:v>
                </c:pt>
                <c:pt idx="280">
                  <c:v>0.64</c:v>
                </c:pt>
                <c:pt idx="281">
                  <c:v>0.64</c:v>
                </c:pt>
                <c:pt idx="282">
                  <c:v>0.64</c:v>
                </c:pt>
                <c:pt idx="283">
                  <c:v>0.64</c:v>
                </c:pt>
                <c:pt idx="284">
                  <c:v>0.64</c:v>
                </c:pt>
                <c:pt idx="285">
                  <c:v>0.64</c:v>
                </c:pt>
                <c:pt idx="286">
                  <c:v>0.64</c:v>
                </c:pt>
                <c:pt idx="287">
                  <c:v>0.64</c:v>
                </c:pt>
                <c:pt idx="288">
                  <c:v>0.64</c:v>
                </c:pt>
                <c:pt idx="289">
                  <c:v>0.64</c:v>
                </c:pt>
                <c:pt idx="290">
                  <c:v>0.64</c:v>
                </c:pt>
                <c:pt idx="291">
                  <c:v>0.64</c:v>
                </c:pt>
                <c:pt idx="292">
                  <c:v>0.64</c:v>
                </c:pt>
                <c:pt idx="293">
                  <c:v>0.64</c:v>
                </c:pt>
                <c:pt idx="294">
                  <c:v>0.64</c:v>
                </c:pt>
                <c:pt idx="295">
                  <c:v>0.64</c:v>
                </c:pt>
                <c:pt idx="296">
                  <c:v>0.64</c:v>
                </c:pt>
                <c:pt idx="297">
                  <c:v>0.64</c:v>
                </c:pt>
                <c:pt idx="298">
                  <c:v>0.64</c:v>
                </c:pt>
                <c:pt idx="299">
                  <c:v>0.64</c:v>
                </c:pt>
                <c:pt idx="300">
                  <c:v>0.63</c:v>
                </c:pt>
                <c:pt idx="301">
                  <c:v>0.63</c:v>
                </c:pt>
                <c:pt idx="302">
                  <c:v>0.63</c:v>
                </c:pt>
                <c:pt idx="303">
                  <c:v>0.63</c:v>
                </c:pt>
                <c:pt idx="304">
                  <c:v>0.63</c:v>
                </c:pt>
                <c:pt idx="305">
                  <c:v>0.63</c:v>
                </c:pt>
                <c:pt idx="306">
                  <c:v>0.63</c:v>
                </c:pt>
                <c:pt idx="307">
                  <c:v>0.63</c:v>
                </c:pt>
                <c:pt idx="308">
                  <c:v>0.63</c:v>
                </c:pt>
                <c:pt idx="309">
                  <c:v>0.63</c:v>
                </c:pt>
                <c:pt idx="310">
                  <c:v>0.63</c:v>
                </c:pt>
                <c:pt idx="311">
                  <c:v>0.63</c:v>
                </c:pt>
                <c:pt idx="312">
                  <c:v>0.62</c:v>
                </c:pt>
                <c:pt idx="313">
                  <c:v>0.62</c:v>
                </c:pt>
                <c:pt idx="314">
                  <c:v>0.62</c:v>
                </c:pt>
                <c:pt idx="315">
                  <c:v>0.62</c:v>
                </c:pt>
                <c:pt idx="316">
                  <c:v>0.62</c:v>
                </c:pt>
                <c:pt idx="317">
                  <c:v>0.62</c:v>
                </c:pt>
                <c:pt idx="318">
                  <c:v>0.62</c:v>
                </c:pt>
                <c:pt idx="319">
                  <c:v>0.62</c:v>
                </c:pt>
                <c:pt idx="320">
                  <c:v>0.62</c:v>
                </c:pt>
                <c:pt idx="321">
                  <c:v>0.62</c:v>
                </c:pt>
                <c:pt idx="322">
                  <c:v>0.62</c:v>
                </c:pt>
                <c:pt idx="323">
                  <c:v>0.62</c:v>
                </c:pt>
                <c:pt idx="324">
                  <c:v>0.61</c:v>
                </c:pt>
                <c:pt idx="325">
                  <c:v>0.61</c:v>
                </c:pt>
                <c:pt idx="326">
                  <c:v>0.61</c:v>
                </c:pt>
                <c:pt idx="327">
                  <c:v>0.61</c:v>
                </c:pt>
                <c:pt idx="328">
                  <c:v>0.61</c:v>
                </c:pt>
                <c:pt idx="329">
                  <c:v>0.61</c:v>
                </c:pt>
                <c:pt idx="330">
                  <c:v>0.61</c:v>
                </c:pt>
                <c:pt idx="331">
                  <c:v>0.61</c:v>
                </c:pt>
                <c:pt idx="332">
                  <c:v>0.61</c:v>
                </c:pt>
                <c:pt idx="333">
                  <c:v>0.61</c:v>
                </c:pt>
                <c:pt idx="334">
                  <c:v>0.61</c:v>
                </c:pt>
                <c:pt idx="335">
                  <c:v>0.61</c:v>
                </c:pt>
                <c:pt idx="336">
                  <c:v>0.6</c:v>
                </c:pt>
                <c:pt idx="337">
                  <c:v>0.6</c:v>
                </c:pt>
                <c:pt idx="338">
                  <c:v>0.6</c:v>
                </c:pt>
                <c:pt idx="339">
                  <c:v>0.6</c:v>
                </c:pt>
                <c:pt idx="340">
                  <c:v>0.6</c:v>
                </c:pt>
                <c:pt idx="341">
                  <c:v>0.6</c:v>
                </c:pt>
                <c:pt idx="342">
                  <c:v>0.6</c:v>
                </c:pt>
                <c:pt idx="343">
                  <c:v>0.6</c:v>
                </c:pt>
                <c:pt idx="344">
                  <c:v>0.6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0.59</c:v>
                </c:pt>
                <c:pt idx="349">
                  <c:v>0.59</c:v>
                </c:pt>
                <c:pt idx="350">
                  <c:v>0.59</c:v>
                </c:pt>
                <c:pt idx="351">
                  <c:v>0.59</c:v>
                </c:pt>
                <c:pt idx="352">
                  <c:v>0.59</c:v>
                </c:pt>
                <c:pt idx="353">
                  <c:v>0.59</c:v>
                </c:pt>
                <c:pt idx="354">
                  <c:v>0.59</c:v>
                </c:pt>
                <c:pt idx="355">
                  <c:v>0.59</c:v>
                </c:pt>
                <c:pt idx="356">
                  <c:v>0.59</c:v>
                </c:pt>
                <c:pt idx="357">
                  <c:v>0.59</c:v>
                </c:pt>
                <c:pt idx="358">
                  <c:v>0.59</c:v>
                </c:pt>
                <c:pt idx="359">
                  <c:v>0.59</c:v>
                </c:pt>
                <c:pt idx="360">
                  <c:v>0.57999999999999996</c:v>
                </c:pt>
                <c:pt idx="361">
                  <c:v>0.57999999999999996</c:v>
                </c:pt>
                <c:pt idx="362">
                  <c:v>0.57999999999999996</c:v>
                </c:pt>
                <c:pt idx="363">
                  <c:v>0.57999999999999996</c:v>
                </c:pt>
                <c:pt idx="364">
                  <c:v>0.57999999999999996</c:v>
                </c:pt>
                <c:pt idx="365">
                  <c:v>0.57999999999999996</c:v>
                </c:pt>
                <c:pt idx="366">
                  <c:v>0.57999999999999996</c:v>
                </c:pt>
                <c:pt idx="367">
                  <c:v>0.57999999999999996</c:v>
                </c:pt>
                <c:pt idx="368">
                  <c:v>0.57999999999999996</c:v>
                </c:pt>
                <c:pt idx="369">
                  <c:v>0.57999999999999996</c:v>
                </c:pt>
                <c:pt idx="370">
                  <c:v>0.57999999999999996</c:v>
                </c:pt>
                <c:pt idx="371">
                  <c:v>0.57999999999999996</c:v>
                </c:pt>
                <c:pt idx="372">
                  <c:v>0.57999999999999996</c:v>
                </c:pt>
                <c:pt idx="373">
                  <c:v>0.57999999999999996</c:v>
                </c:pt>
                <c:pt idx="374">
                  <c:v>0.57999999999999996</c:v>
                </c:pt>
                <c:pt idx="375">
                  <c:v>0.57999999999999996</c:v>
                </c:pt>
                <c:pt idx="376">
                  <c:v>0.57999999999999996</c:v>
                </c:pt>
                <c:pt idx="377">
                  <c:v>0.57999999999999996</c:v>
                </c:pt>
                <c:pt idx="378">
                  <c:v>0.57999999999999996</c:v>
                </c:pt>
                <c:pt idx="379">
                  <c:v>0.57999999999999996</c:v>
                </c:pt>
                <c:pt idx="380">
                  <c:v>0.57999999999999996</c:v>
                </c:pt>
                <c:pt idx="381">
                  <c:v>0.57999999999999996</c:v>
                </c:pt>
                <c:pt idx="382">
                  <c:v>0.57999999999999996</c:v>
                </c:pt>
                <c:pt idx="383">
                  <c:v>0.57999999999999996</c:v>
                </c:pt>
                <c:pt idx="384">
                  <c:v>0.57999999999999996</c:v>
                </c:pt>
                <c:pt idx="385">
                  <c:v>0.57999999999999996</c:v>
                </c:pt>
                <c:pt idx="386">
                  <c:v>0.57999999999999996</c:v>
                </c:pt>
                <c:pt idx="387">
                  <c:v>0.57999999999999996</c:v>
                </c:pt>
                <c:pt idx="388">
                  <c:v>0.57999999999999996</c:v>
                </c:pt>
                <c:pt idx="389">
                  <c:v>0.57999999999999996</c:v>
                </c:pt>
                <c:pt idx="390">
                  <c:v>0.57999999999999996</c:v>
                </c:pt>
                <c:pt idx="391">
                  <c:v>0.57999999999999996</c:v>
                </c:pt>
                <c:pt idx="392">
                  <c:v>0.57999999999999996</c:v>
                </c:pt>
                <c:pt idx="393">
                  <c:v>0.57999999999999996</c:v>
                </c:pt>
                <c:pt idx="394">
                  <c:v>0.57999999999999996</c:v>
                </c:pt>
                <c:pt idx="395">
                  <c:v>0.57999999999999996</c:v>
                </c:pt>
                <c:pt idx="396">
                  <c:v>0.57999999999999996</c:v>
                </c:pt>
                <c:pt idx="397">
                  <c:v>0.57999999999999996</c:v>
                </c:pt>
                <c:pt idx="398">
                  <c:v>0.57999999999999996</c:v>
                </c:pt>
                <c:pt idx="399">
                  <c:v>0.57999999999999996</c:v>
                </c:pt>
                <c:pt idx="400">
                  <c:v>0.57999999999999996</c:v>
                </c:pt>
                <c:pt idx="401">
                  <c:v>0.57999999999999996</c:v>
                </c:pt>
                <c:pt idx="402">
                  <c:v>0.59</c:v>
                </c:pt>
                <c:pt idx="403">
                  <c:v>0.59</c:v>
                </c:pt>
                <c:pt idx="404">
                  <c:v>0.6</c:v>
                </c:pt>
                <c:pt idx="405">
                  <c:v>0.6</c:v>
                </c:pt>
                <c:pt idx="406">
                  <c:v>0.61</c:v>
                </c:pt>
                <c:pt idx="407">
                  <c:v>0.62</c:v>
                </c:pt>
                <c:pt idx="408">
                  <c:v>0.63</c:v>
                </c:pt>
                <c:pt idx="409">
                  <c:v>0.64</c:v>
                </c:pt>
                <c:pt idx="410">
                  <c:v>0.65</c:v>
                </c:pt>
                <c:pt idx="411">
                  <c:v>0.66</c:v>
                </c:pt>
                <c:pt idx="412">
                  <c:v>0.67</c:v>
                </c:pt>
                <c:pt idx="413">
                  <c:v>0.68</c:v>
                </c:pt>
                <c:pt idx="414">
                  <c:v>0.71</c:v>
                </c:pt>
                <c:pt idx="415">
                  <c:v>0.74</c:v>
                </c:pt>
                <c:pt idx="416">
                  <c:v>0.79</c:v>
                </c:pt>
                <c:pt idx="417">
                  <c:v>0.83</c:v>
                </c:pt>
                <c:pt idx="418">
                  <c:v>0.92</c:v>
                </c:pt>
                <c:pt idx="419">
                  <c:v>1.1000000000000001</c:v>
                </c:pt>
                <c:pt idx="420">
                  <c:v>1.28</c:v>
                </c:pt>
                <c:pt idx="421">
                  <c:v>1.5</c:v>
                </c:pt>
                <c:pt idx="422">
                  <c:v>1.67</c:v>
                </c:pt>
                <c:pt idx="423">
                  <c:v>1.78</c:v>
                </c:pt>
                <c:pt idx="424">
                  <c:v>1.88</c:v>
                </c:pt>
                <c:pt idx="425">
                  <c:v>1.98</c:v>
                </c:pt>
                <c:pt idx="426">
                  <c:v>2.1</c:v>
                </c:pt>
                <c:pt idx="427">
                  <c:v>2.17</c:v>
                </c:pt>
                <c:pt idx="428">
                  <c:v>2.25</c:v>
                </c:pt>
                <c:pt idx="429">
                  <c:v>2.31</c:v>
                </c:pt>
                <c:pt idx="430">
                  <c:v>2.36</c:v>
                </c:pt>
                <c:pt idx="431">
                  <c:v>2.41</c:v>
                </c:pt>
                <c:pt idx="432">
                  <c:v>2.4500000000000002</c:v>
                </c:pt>
                <c:pt idx="433">
                  <c:v>2.4900000000000002</c:v>
                </c:pt>
                <c:pt idx="434">
                  <c:v>2.52</c:v>
                </c:pt>
                <c:pt idx="435">
                  <c:v>2.54</c:v>
                </c:pt>
                <c:pt idx="436">
                  <c:v>2.56</c:v>
                </c:pt>
                <c:pt idx="437">
                  <c:v>2.58</c:v>
                </c:pt>
                <c:pt idx="438">
                  <c:v>2.6</c:v>
                </c:pt>
                <c:pt idx="439">
                  <c:v>2.61</c:v>
                </c:pt>
                <c:pt idx="440">
                  <c:v>2.62</c:v>
                </c:pt>
                <c:pt idx="441">
                  <c:v>2.63</c:v>
                </c:pt>
                <c:pt idx="442">
                  <c:v>2.63</c:v>
                </c:pt>
                <c:pt idx="443">
                  <c:v>2.63</c:v>
                </c:pt>
                <c:pt idx="444">
                  <c:v>2.63</c:v>
                </c:pt>
                <c:pt idx="445">
                  <c:v>2.63</c:v>
                </c:pt>
                <c:pt idx="446">
                  <c:v>2.62</c:v>
                </c:pt>
                <c:pt idx="447">
                  <c:v>2.61</c:v>
                </c:pt>
                <c:pt idx="448">
                  <c:v>2.59</c:v>
                </c:pt>
                <c:pt idx="449">
                  <c:v>2.57</c:v>
                </c:pt>
                <c:pt idx="450">
                  <c:v>2.5499999999999998</c:v>
                </c:pt>
                <c:pt idx="451">
                  <c:v>2.52</c:v>
                </c:pt>
                <c:pt idx="452">
                  <c:v>2.4900000000000002</c:v>
                </c:pt>
                <c:pt idx="453">
                  <c:v>2.4500000000000002</c:v>
                </c:pt>
                <c:pt idx="454">
                  <c:v>2.41</c:v>
                </c:pt>
                <c:pt idx="455">
                  <c:v>2.37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2.23</c:v>
                </c:pt>
                <c:pt idx="459">
                  <c:v>2.19</c:v>
                </c:pt>
                <c:pt idx="460">
                  <c:v>2.16</c:v>
                </c:pt>
                <c:pt idx="461">
                  <c:v>2.12</c:v>
                </c:pt>
                <c:pt idx="462">
                  <c:v>2.1</c:v>
                </c:pt>
                <c:pt idx="463">
                  <c:v>2.0699999999999998</c:v>
                </c:pt>
                <c:pt idx="464">
                  <c:v>2.04</c:v>
                </c:pt>
                <c:pt idx="465">
                  <c:v>2.0099999999999998</c:v>
                </c:pt>
                <c:pt idx="466">
                  <c:v>1.99</c:v>
                </c:pt>
                <c:pt idx="467">
                  <c:v>1.97</c:v>
                </c:pt>
                <c:pt idx="468">
                  <c:v>1.95</c:v>
                </c:pt>
                <c:pt idx="469">
                  <c:v>1.93</c:v>
                </c:pt>
                <c:pt idx="470">
                  <c:v>1.91</c:v>
                </c:pt>
                <c:pt idx="471">
                  <c:v>1.89</c:v>
                </c:pt>
                <c:pt idx="472">
                  <c:v>1.87</c:v>
                </c:pt>
                <c:pt idx="473">
                  <c:v>1.85</c:v>
                </c:pt>
                <c:pt idx="474">
                  <c:v>1.84</c:v>
                </c:pt>
                <c:pt idx="475">
                  <c:v>1.83</c:v>
                </c:pt>
                <c:pt idx="476">
                  <c:v>1.81</c:v>
                </c:pt>
                <c:pt idx="477">
                  <c:v>1.8</c:v>
                </c:pt>
                <c:pt idx="478">
                  <c:v>1.79</c:v>
                </c:pt>
                <c:pt idx="479">
                  <c:v>1.78</c:v>
                </c:pt>
                <c:pt idx="480">
                  <c:v>1.77</c:v>
                </c:pt>
                <c:pt idx="481">
                  <c:v>1.76</c:v>
                </c:pt>
                <c:pt idx="482">
                  <c:v>1.75</c:v>
                </c:pt>
                <c:pt idx="483">
                  <c:v>1.74</c:v>
                </c:pt>
                <c:pt idx="484">
                  <c:v>1.73</c:v>
                </c:pt>
                <c:pt idx="485">
                  <c:v>1.72</c:v>
                </c:pt>
                <c:pt idx="486">
                  <c:v>1.71</c:v>
                </c:pt>
                <c:pt idx="487">
                  <c:v>1.71</c:v>
                </c:pt>
                <c:pt idx="488">
                  <c:v>1.7</c:v>
                </c:pt>
                <c:pt idx="489">
                  <c:v>1.7</c:v>
                </c:pt>
                <c:pt idx="490">
                  <c:v>1.7</c:v>
                </c:pt>
                <c:pt idx="491">
                  <c:v>1.7</c:v>
                </c:pt>
                <c:pt idx="492">
                  <c:v>1.7</c:v>
                </c:pt>
                <c:pt idx="493">
                  <c:v>1.7</c:v>
                </c:pt>
                <c:pt idx="494">
                  <c:v>1.7</c:v>
                </c:pt>
                <c:pt idx="495">
                  <c:v>1.7</c:v>
                </c:pt>
                <c:pt idx="496">
                  <c:v>1.7</c:v>
                </c:pt>
                <c:pt idx="497">
                  <c:v>1.71</c:v>
                </c:pt>
                <c:pt idx="498">
                  <c:v>1.71</c:v>
                </c:pt>
                <c:pt idx="499">
                  <c:v>1.72</c:v>
                </c:pt>
                <c:pt idx="500">
                  <c:v>1.73</c:v>
                </c:pt>
                <c:pt idx="501">
                  <c:v>1.75</c:v>
                </c:pt>
                <c:pt idx="502">
                  <c:v>1.77</c:v>
                </c:pt>
                <c:pt idx="503">
                  <c:v>1.78</c:v>
                </c:pt>
                <c:pt idx="504">
                  <c:v>1.8</c:v>
                </c:pt>
                <c:pt idx="505">
                  <c:v>1.82</c:v>
                </c:pt>
                <c:pt idx="506">
                  <c:v>1.85</c:v>
                </c:pt>
                <c:pt idx="507">
                  <c:v>1.88</c:v>
                </c:pt>
                <c:pt idx="508">
                  <c:v>1.9</c:v>
                </c:pt>
                <c:pt idx="509">
                  <c:v>1.92</c:v>
                </c:pt>
                <c:pt idx="510">
                  <c:v>1.93</c:v>
                </c:pt>
                <c:pt idx="511">
                  <c:v>1.97</c:v>
                </c:pt>
                <c:pt idx="512">
                  <c:v>2</c:v>
                </c:pt>
                <c:pt idx="513">
                  <c:v>2.0299999999999998</c:v>
                </c:pt>
                <c:pt idx="514">
                  <c:v>2.04</c:v>
                </c:pt>
                <c:pt idx="515">
                  <c:v>2.06</c:v>
                </c:pt>
                <c:pt idx="516">
                  <c:v>2.08</c:v>
                </c:pt>
                <c:pt idx="517">
                  <c:v>2.1</c:v>
                </c:pt>
                <c:pt idx="518">
                  <c:v>2.11</c:v>
                </c:pt>
                <c:pt idx="519">
                  <c:v>2.12</c:v>
                </c:pt>
                <c:pt idx="520">
                  <c:v>2.13</c:v>
                </c:pt>
                <c:pt idx="521">
                  <c:v>2.13</c:v>
                </c:pt>
                <c:pt idx="522">
                  <c:v>2.13</c:v>
                </c:pt>
                <c:pt idx="523">
                  <c:v>2.13</c:v>
                </c:pt>
                <c:pt idx="524">
                  <c:v>2.13</c:v>
                </c:pt>
                <c:pt idx="525">
                  <c:v>2.13</c:v>
                </c:pt>
                <c:pt idx="526">
                  <c:v>2.12</c:v>
                </c:pt>
                <c:pt idx="527">
                  <c:v>2.11</c:v>
                </c:pt>
                <c:pt idx="528">
                  <c:v>2.09</c:v>
                </c:pt>
                <c:pt idx="529">
                  <c:v>2.0699999999999998</c:v>
                </c:pt>
                <c:pt idx="530">
                  <c:v>2.0499999999999998</c:v>
                </c:pt>
                <c:pt idx="531">
                  <c:v>2.0299999999999998</c:v>
                </c:pt>
                <c:pt idx="532">
                  <c:v>2</c:v>
                </c:pt>
                <c:pt idx="533">
                  <c:v>1.97</c:v>
                </c:pt>
                <c:pt idx="534">
                  <c:v>1.94</c:v>
                </c:pt>
                <c:pt idx="535">
                  <c:v>1.91</c:v>
                </c:pt>
                <c:pt idx="536">
                  <c:v>1.88</c:v>
                </c:pt>
                <c:pt idx="537">
                  <c:v>1.85</c:v>
                </c:pt>
                <c:pt idx="538">
                  <c:v>1.81</c:v>
                </c:pt>
                <c:pt idx="539">
                  <c:v>1.77</c:v>
                </c:pt>
                <c:pt idx="540">
                  <c:v>1.73</c:v>
                </c:pt>
                <c:pt idx="541">
                  <c:v>1.69</c:v>
                </c:pt>
                <c:pt idx="542">
                  <c:v>1.65</c:v>
                </c:pt>
                <c:pt idx="543">
                  <c:v>1.62</c:v>
                </c:pt>
                <c:pt idx="544">
                  <c:v>1.59</c:v>
                </c:pt>
                <c:pt idx="545">
                  <c:v>1.57</c:v>
                </c:pt>
                <c:pt idx="546">
                  <c:v>1.55</c:v>
                </c:pt>
                <c:pt idx="547">
                  <c:v>1.53</c:v>
                </c:pt>
                <c:pt idx="548">
                  <c:v>1.52</c:v>
                </c:pt>
                <c:pt idx="549">
                  <c:v>1.51</c:v>
                </c:pt>
                <c:pt idx="550">
                  <c:v>1.5</c:v>
                </c:pt>
                <c:pt idx="551">
                  <c:v>1.5</c:v>
                </c:pt>
                <c:pt idx="552">
                  <c:v>1.5</c:v>
                </c:pt>
                <c:pt idx="553">
                  <c:v>1.5</c:v>
                </c:pt>
                <c:pt idx="554">
                  <c:v>1.51</c:v>
                </c:pt>
                <c:pt idx="555">
                  <c:v>1.52</c:v>
                </c:pt>
                <c:pt idx="556">
                  <c:v>1.53</c:v>
                </c:pt>
                <c:pt idx="557">
                  <c:v>1.54</c:v>
                </c:pt>
                <c:pt idx="558">
                  <c:v>1.56</c:v>
                </c:pt>
                <c:pt idx="559">
                  <c:v>1.58</c:v>
                </c:pt>
                <c:pt idx="560">
                  <c:v>1.59</c:v>
                </c:pt>
                <c:pt idx="561">
                  <c:v>1.6</c:v>
                </c:pt>
                <c:pt idx="562">
                  <c:v>1.61</c:v>
                </c:pt>
                <c:pt idx="563">
                  <c:v>1.62</c:v>
                </c:pt>
                <c:pt idx="564">
                  <c:v>1.64</c:v>
                </c:pt>
                <c:pt idx="565">
                  <c:v>1.65</c:v>
                </c:pt>
                <c:pt idx="566">
                  <c:v>1.67</c:v>
                </c:pt>
                <c:pt idx="567">
                  <c:v>1.67</c:v>
                </c:pt>
                <c:pt idx="568">
                  <c:v>1.68</c:v>
                </c:pt>
                <c:pt idx="569">
                  <c:v>1.68</c:v>
                </c:pt>
                <c:pt idx="570">
                  <c:v>1.68</c:v>
                </c:pt>
                <c:pt idx="571">
                  <c:v>1.68</c:v>
                </c:pt>
                <c:pt idx="572">
                  <c:v>1.67</c:v>
                </c:pt>
                <c:pt idx="573">
                  <c:v>1.66</c:v>
                </c:pt>
                <c:pt idx="574">
                  <c:v>1.65</c:v>
                </c:pt>
                <c:pt idx="575">
                  <c:v>1.64</c:v>
                </c:pt>
                <c:pt idx="576">
                  <c:v>1.61</c:v>
                </c:pt>
                <c:pt idx="577">
                  <c:v>1.59</c:v>
                </c:pt>
                <c:pt idx="578">
                  <c:v>1.57</c:v>
                </c:pt>
                <c:pt idx="579">
                  <c:v>1.55</c:v>
                </c:pt>
                <c:pt idx="580">
                  <c:v>1.53</c:v>
                </c:pt>
                <c:pt idx="581">
                  <c:v>1.51</c:v>
                </c:pt>
                <c:pt idx="582">
                  <c:v>1.5</c:v>
                </c:pt>
                <c:pt idx="583">
                  <c:v>1.49</c:v>
                </c:pt>
                <c:pt idx="584">
                  <c:v>1.48</c:v>
                </c:pt>
                <c:pt idx="585">
                  <c:v>1.46</c:v>
                </c:pt>
                <c:pt idx="586">
                  <c:v>1.45</c:v>
                </c:pt>
                <c:pt idx="587">
                  <c:v>1.44</c:v>
                </c:pt>
                <c:pt idx="588">
                  <c:v>1.43</c:v>
                </c:pt>
                <c:pt idx="589">
                  <c:v>1.42</c:v>
                </c:pt>
                <c:pt idx="590">
                  <c:v>1.41</c:v>
                </c:pt>
                <c:pt idx="591">
                  <c:v>1.4</c:v>
                </c:pt>
                <c:pt idx="592">
                  <c:v>1.39</c:v>
                </c:pt>
                <c:pt idx="593">
                  <c:v>1.38</c:v>
                </c:pt>
                <c:pt idx="594">
                  <c:v>1.37</c:v>
                </c:pt>
                <c:pt idx="595">
                  <c:v>1.37</c:v>
                </c:pt>
                <c:pt idx="596">
                  <c:v>1.36</c:v>
                </c:pt>
                <c:pt idx="597">
                  <c:v>1.36</c:v>
                </c:pt>
                <c:pt idx="598">
                  <c:v>1.35</c:v>
                </c:pt>
                <c:pt idx="599">
                  <c:v>1.35</c:v>
                </c:pt>
                <c:pt idx="600">
                  <c:v>1.34</c:v>
                </c:pt>
                <c:pt idx="601">
                  <c:v>1.34</c:v>
                </c:pt>
                <c:pt idx="602">
                  <c:v>1.33</c:v>
                </c:pt>
                <c:pt idx="603">
                  <c:v>1.33</c:v>
                </c:pt>
                <c:pt idx="604">
                  <c:v>1.32</c:v>
                </c:pt>
                <c:pt idx="605">
                  <c:v>1.31</c:v>
                </c:pt>
                <c:pt idx="606">
                  <c:v>1.31</c:v>
                </c:pt>
                <c:pt idx="607">
                  <c:v>1.3</c:v>
                </c:pt>
                <c:pt idx="608">
                  <c:v>1.3</c:v>
                </c:pt>
                <c:pt idx="609">
                  <c:v>1.29</c:v>
                </c:pt>
                <c:pt idx="610">
                  <c:v>1.29</c:v>
                </c:pt>
                <c:pt idx="611">
                  <c:v>1.28</c:v>
                </c:pt>
                <c:pt idx="612">
                  <c:v>1.27</c:v>
                </c:pt>
                <c:pt idx="613">
                  <c:v>1.27</c:v>
                </c:pt>
                <c:pt idx="614">
                  <c:v>1.26</c:v>
                </c:pt>
                <c:pt idx="615">
                  <c:v>1.26</c:v>
                </c:pt>
                <c:pt idx="616">
                  <c:v>1.25</c:v>
                </c:pt>
                <c:pt idx="617">
                  <c:v>1.25</c:v>
                </c:pt>
                <c:pt idx="618">
                  <c:v>1.24</c:v>
                </c:pt>
                <c:pt idx="619">
                  <c:v>1.23</c:v>
                </c:pt>
                <c:pt idx="620">
                  <c:v>1.23</c:v>
                </c:pt>
                <c:pt idx="621">
                  <c:v>1.22</c:v>
                </c:pt>
                <c:pt idx="622">
                  <c:v>1.21</c:v>
                </c:pt>
                <c:pt idx="623">
                  <c:v>1.21</c:v>
                </c:pt>
                <c:pt idx="624">
                  <c:v>1.21</c:v>
                </c:pt>
                <c:pt idx="625">
                  <c:v>1.21</c:v>
                </c:pt>
                <c:pt idx="626">
                  <c:v>1.2</c:v>
                </c:pt>
                <c:pt idx="627">
                  <c:v>1.2</c:v>
                </c:pt>
                <c:pt idx="628">
                  <c:v>1.2</c:v>
                </c:pt>
                <c:pt idx="629">
                  <c:v>1.2</c:v>
                </c:pt>
                <c:pt idx="630">
                  <c:v>1.2</c:v>
                </c:pt>
                <c:pt idx="631">
                  <c:v>1.2</c:v>
                </c:pt>
                <c:pt idx="632">
                  <c:v>1.19</c:v>
                </c:pt>
                <c:pt idx="633">
                  <c:v>1.19</c:v>
                </c:pt>
                <c:pt idx="634">
                  <c:v>1.19</c:v>
                </c:pt>
                <c:pt idx="635">
                  <c:v>1.18</c:v>
                </c:pt>
                <c:pt idx="636">
                  <c:v>1.18</c:v>
                </c:pt>
                <c:pt idx="637">
                  <c:v>1.18</c:v>
                </c:pt>
                <c:pt idx="638">
                  <c:v>1.17</c:v>
                </c:pt>
                <c:pt idx="639">
                  <c:v>1.17</c:v>
                </c:pt>
                <c:pt idx="640">
                  <c:v>1.17</c:v>
                </c:pt>
                <c:pt idx="641">
                  <c:v>1.17</c:v>
                </c:pt>
                <c:pt idx="642">
                  <c:v>1.1599999999999999</c:v>
                </c:pt>
                <c:pt idx="643">
                  <c:v>1.1599999999999999</c:v>
                </c:pt>
                <c:pt idx="644">
                  <c:v>1.1599999999999999</c:v>
                </c:pt>
                <c:pt idx="645">
                  <c:v>1.1599999999999999</c:v>
                </c:pt>
                <c:pt idx="646">
                  <c:v>1.1499999999999999</c:v>
                </c:pt>
                <c:pt idx="647">
                  <c:v>1.1499999999999999</c:v>
                </c:pt>
                <c:pt idx="648">
                  <c:v>1.1499999999999999</c:v>
                </c:pt>
                <c:pt idx="649">
                  <c:v>1.1499999999999999</c:v>
                </c:pt>
                <c:pt idx="650">
                  <c:v>1.1399999999999999</c:v>
                </c:pt>
                <c:pt idx="651">
                  <c:v>1.1399999999999999</c:v>
                </c:pt>
                <c:pt idx="652">
                  <c:v>1.1399999999999999</c:v>
                </c:pt>
                <c:pt idx="653">
                  <c:v>1.1399999999999999</c:v>
                </c:pt>
                <c:pt idx="654">
                  <c:v>1.1399999999999999</c:v>
                </c:pt>
                <c:pt idx="655">
                  <c:v>1.1399999999999999</c:v>
                </c:pt>
                <c:pt idx="656">
                  <c:v>1.1399999999999999</c:v>
                </c:pt>
                <c:pt idx="657">
                  <c:v>1.1399999999999999</c:v>
                </c:pt>
                <c:pt idx="658">
                  <c:v>1.1399999999999999</c:v>
                </c:pt>
                <c:pt idx="659">
                  <c:v>1.1399999999999999</c:v>
                </c:pt>
                <c:pt idx="660">
                  <c:v>1.1399999999999999</c:v>
                </c:pt>
                <c:pt idx="661">
                  <c:v>1.1399999999999999</c:v>
                </c:pt>
                <c:pt idx="662">
                  <c:v>1.1499999999999999</c:v>
                </c:pt>
                <c:pt idx="663">
                  <c:v>1.1499999999999999</c:v>
                </c:pt>
                <c:pt idx="664">
                  <c:v>1.1599999999999999</c:v>
                </c:pt>
                <c:pt idx="665">
                  <c:v>1.17</c:v>
                </c:pt>
                <c:pt idx="666">
                  <c:v>1.18</c:v>
                </c:pt>
                <c:pt idx="667">
                  <c:v>1.19</c:v>
                </c:pt>
                <c:pt idx="668">
                  <c:v>1.2</c:v>
                </c:pt>
                <c:pt idx="669">
                  <c:v>1.22</c:v>
                </c:pt>
                <c:pt idx="670">
                  <c:v>1.23</c:v>
                </c:pt>
                <c:pt idx="671">
                  <c:v>1.25</c:v>
                </c:pt>
                <c:pt idx="672">
                  <c:v>1.27</c:v>
                </c:pt>
                <c:pt idx="673">
                  <c:v>1.29</c:v>
                </c:pt>
                <c:pt idx="674">
                  <c:v>1.31</c:v>
                </c:pt>
                <c:pt idx="675">
                  <c:v>1.33</c:v>
                </c:pt>
                <c:pt idx="676">
                  <c:v>1.36</c:v>
                </c:pt>
                <c:pt idx="677">
                  <c:v>1.38</c:v>
                </c:pt>
                <c:pt idx="678">
                  <c:v>1.4</c:v>
                </c:pt>
                <c:pt idx="679">
                  <c:v>1.42</c:v>
                </c:pt>
                <c:pt idx="680">
                  <c:v>1.44</c:v>
                </c:pt>
                <c:pt idx="681">
                  <c:v>1.45</c:v>
                </c:pt>
                <c:pt idx="682">
                  <c:v>1.46</c:v>
                </c:pt>
                <c:pt idx="683">
                  <c:v>1.47</c:v>
                </c:pt>
                <c:pt idx="684">
                  <c:v>1.48</c:v>
                </c:pt>
                <c:pt idx="685">
                  <c:v>1.48</c:v>
                </c:pt>
                <c:pt idx="686">
                  <c:v>1.48</c:v>
                </c:pt>
                <c:pt idx="687">
                  <c:v>1.48</c:v>
                </c:pt>
                <c:pt idx="688">
                  <c:v>1.47</c:v>
                </c:pt>
                <c:pt idx="689">
                  <c:v>1.46</c:v>
                </c:pt>
                <c:pt idx="690">
                  <c:v>1.45</c:v>
                </c:pt>
                <c:pt idx="691">
                  <c:v>1.43</c:v>
                </c:pt>
                <c:pt idx="692">
                  <c:v>1.41</c:v>
                </c:pt>
                <c:pt idx="693">
                  <c:v>1.39</c:v>
                </c:pt>
                <c:pt idx="694">
                  <c:v>1.36</c:v>
                </c:pt>
                <c:pt idx="695">
                  <c:v>1.33</c:v>
                </c:pt>
                <c:pt idx="696">
                  <c:v>1.3</c:v>
                </c:pt>
                <c:pt idx="697">
                  <c:v>1.28</c:v>
                </c:pt>
                <c:pt idx="698">
                  <c:v>1.25</c:v>
                </c:pt>
                <c:pt idx="699">
                  <c:v>1.22</c:v>
                </c:pt>
                <c:pt idx="700">
                  <c:v>1.2</c:v>
                </c:pt>
                <c:pt idx="701">
                  <c:v>1.17</c:v>
                </c:pt>
                <c:pt idx="702">
                  <c:v>1.1599999999999999</c:v>
                </c:pt>
                <c:pt idx="703">
                  <c:v>1.1499999999999999</c:v>
                </c:pt>
                <c:pt idx="704">
                  <c:v>1.1399999999999999</c:v>
                </c:pt>
                <c:pt idx="705">
                  <c:v>1.1299999999999999</c:v>
                </c:pt>
                <c:pt idx="706">
                  <c:v>1.1299999999999999</c:v>
                </c:pt>
                <c:pt idx="707">
                  <c:v>1.1200000000000001</c:v>
                </c:pt>
                <c:pt idx="708">
                  <c:v>1.1200000000000001</c:v>
                </c:pt>
                <c:pt idx="709">
                  <c:v>1.1200000000000001</c:v>
                </c:pt>
                <c:pt idx="710">
                  <c:v>1.1100000000000001</c:v>
                </c:pt>
                <c:pt idx="711">
                  <c:v>1.1100000000000001</c:v>
                </c:pt>
                <c:pt idx="712">
                  <c:v>1.1100000000000001</c:v>
                </c:pt>
                <c:pt idx="713">
                  <c:v>1.1100000000000001</c:v>
                </c:pt>
                <c:pt idx="714">
                  <c:v>1.1000000000000001</c:v>
                </c:pt>
                <c:pt idx="715">
                  <c:v>1.1000000000000001</c:v>
                </c:pt>
                <c:pt idx="716">
                  <c:v>1.1000000000000001</c:v>
                </c:pt>
                <c:pt idx="717">
                  <c:v>1.1000000000000001</c:v>
                </c:pt>
                <c:pt idx="718">
                  <c:v>1.1000000000000001</c:v>
                </c:pt>
                <c:pt idx="719">
                  <c:v>1.1000000000000001</c:v>
                </c:pt>
                <c:pt idx="720">
                  <c:v>1.1000000000000001</c:v>
                </c:pt>
                <c:pt idx="721">
                  <c:v>1.1000000000000001</c:v>
                </c:pt>
                <c:pt idx="722">
                  <c:v>1.1000000000000001</c:v>
                </c:pt>
                <c:pt idx="723">
                  <c:v>1.1000000000000001</c:v>
                </c:pt>
                <c:pt idx="724">
                  <c:v>1.1000000000000001</c:v>
                </c:pt>
                <c:pt idx="725">
                  <c:v>1.1000000000000001</c:v>
                </c:pt>
                <c:pt idx="726">
                  <c:v>1.0900000000000001</c:v>
                </c:pt>
                <c:pt idx="727">
                  <c:v>1.0900000000000001</c:v>
                </c:pt>
                <c:pt idx="728">
                  <c:v>1.0900000000000001</c:v>
                </c:pt>
                <c:pt idx="729">
                  <c:v>1.0900000000000001</c:v>
                </c:pt>
                <c:pt idx="730">
                  <c:v>1.0900000000000001</c:v>
                </c:pt>
                <c:pt idx="731">
                  <c:v>1.08</c:v>
                </c:pt>
                <c:pt idx="732">
                  <c:v>1.08</c:v>
                </c:pt>
                <c:pt idx="733">
                  <c:v>1.08</c:v>
                </c:pt>
                <c:pt idx="734">
                  <c:v>1.08</c:v>
                </c:pt>
                <c:pt idx="735">
                  <c:v>1.08</c:v>
                </c:pt>
                <c:pt idx="736">
                  <c:v>1.08</c:v>
                </c:pt>
                <c:pt idx="737">
                  <c:v>1.07</c:v>
                </c:pt>
                <c:pt idx="738">
                  <c:v>1.07</c:v>
                </c:pt>
                <c:pt idx="739">
                  <c:v>1.07</c:v>
                </c:pt>
                <c:pt idx="740">
                  <c:v>1.06</c:v>
                </c:pt>
                <c:pt idx="741">
                  <c:v>1.06</c:v>
                </c:pt>
                <c:pt idx="742">
                  <c:v>1.06</c:v>
                </c:pt>
                <c:pt idx="743">
                  <c:v>1.05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69664"/>
        <c:axId val="87180032"/>
      </c:scatterChart>
      <c:valAx>
        <c:axId val="87169664"/>
        <c:scaling>
          <c:orientation val="minMax"/>
          <c:max val="745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66FF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7180032"/>
        <c:crosses val="autoZero"/>
        <c:crossBetween val="midCat"/>
        <c:majorUnit val="24"/>
        <c:minorUnit val="1.5"/>
      </c:valAx>
      <c:valAx>
        <c:axId val="8718003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7169664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November</a:t>
            </a:r>
          </a:p>
        </c:rich>
      </c:tx>
      <c:layout>
        <c:manualLayout>
          <c:xMode val="edge"/>
          <c:yMode val="edge"/>
          <c:x val="0.47975179621162639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964728935336384E-2"/>
          <c:y val="0.15331023494514487"/>
          <c:w val="0.94350097975179625"/>
          <c:h val="0.68292741021019077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8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'Graph-Hou'!$CH$2:$CH$721</c:f>
              <c:numCache>
                <c:formatCode>General</c:formatCode>
                <c:ptCount val="7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</c:numCache>
            </c:numRef>
          </c:xVal>
          <c:yVal>
            <c:numRef>
              <c:f>'Graph-Hou'!$CK$2:$CK$721</c:f>
              <c:numCache>
                <c:formatCode>0.00</c:formatCode>
                <c:ptCount val="72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1.04</c:v>
                </c:pt>
                <c:pt idx="4">
                  <c:v>1.04</c:v>
                </c:pt>
                <c:pt idx="5">
                  <c:v>1.04</c:v>
                </c:pt>
                <c:pt idx="6">
                  <c:v>1.03</c:v>
                </c:pt>
                <c:pt idx="7">
                  <c:v>1.03</c:v>
                </c:pt>
                <c:pt idx="8">
                  <c:v>1.03</c:v>
                </c:pt>
                <c:pt idx="9">
                  <c:v>1.02</c:v>
                </c:pt>
                <c:pt idx="10">
                  <c:v>1.02</c:v>
                </c:pt>
                <c:pt idx="11">
                  <c:v>1.02</c:v>
                </c:pt>
                <c:pt idx="12">
                  <c:v>1.01</c:v>
                </c:pt>
                <c:pt idx="13">
                  <c:v>1.01</c:v>
                </c:pt>
                <c:pt idx="14">
                  <c:v>1.01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0.98</c:v>
                </c:pt>
                <c:pt idx="25">
                  <c:v>0.98</c:v>
                </c:pt>
                <c:pt idx="26">
                  <c:v>0.98</c:v>
                </c:pt>
                <c:pt idx="27">
                  <c:v>0.98</c:v>
                </c:pt>
                <c:pt idx="28">
                  <c:v>0.97</c:v>
                </c:pt>
                <c:pt idx="29">
                  <c:v>0.97</c:v>
                </c:pt>
                <c:pt idx="30">
                  <c:v>0.97</c:v>
                </c:pt>
                <c:pt idx="31">
                  <c:v>0.97</c:v>
                </c:pt>
                <c:pt idx="32">
                  <c:v>0.96</c:v>
                </c:pt>
                <c:pt idx="33">
                  <c:v>0.96</c:v>
                </c:pt>
                <c:pt idx="34">
                  <c:v>0.96</c:v>
                </c:pt>
                <c:pt idx="35">
                  <c:v>0.96</c:v>
                </c:pt>
                <c:pt idx="36">
                  <c:v>0.95</c:v>
                </c:pt>
                <c:pt idx="37">
                  <c:v>0.95</c:v>
                </c:pt>
                <c:pt idx="38">
                  <c:v>0.94</c:v>
                </c:pt>
                <c:pt idx="39">
                  <c:v>0.94</c:v>
                </c:pt>
                <c:pt idx="40">
                  <c:v>0.94</c:v>
                </c:pt>
                <c:pt idx="41">
                  <c:v>0.93</c:v>
                </c:pt>
                <c:pt idx="42">
                  <c:v>0.93</c:v>
                </c:pt>
                <c:pt idx="43">
                  <c:v>0.93</c:v>
                </c:pt>
                <c:pt idx="44">
                  <c:v>0.92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0.91</c:v>
                </c:pt>
                <c:pt idx="49">
                  <c:v>0.91</c:v>
                </c:pt>
                <c:pt idx="50">
                  <c:v>0.91</c:v>
                </c:pt>
                <c:pt idx="51">
                  <c:v>0.91</c:v>
                </c:pt>
                <c:pt idx="52">
                  <c:v>0.91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0.89</c:v>
                </c:pt>
                <c:pt idx="61">
                  <c:v>0.89</c:v>
                </c:pt>
                <c:pt idx="62">
                  <c:v>0.89</c:v>
                </c:pt>
                <c:pt idx="63">
                  <c:v>0.89</c:v>
                </c:pt>
                <c:pt idx="64">
                  <c:v>0.89</c:v>
                </c:pt>
                <c:pt idx="65">
                  <c:v>0.89</c:v>
                </c:pt>
                <c:pt idx="66">
                  <c:v>0.88</c:v>
                </c:pt>
                <c:pt idx="67">
                  <c:v>0.88</c:v>
                </c:pt>
                <c:pt idx="68">
                  <c:v>0.88</c:v>
                </c:pt>
                <c:pt idx="69">
                  <c:v>0.88</c:v>
                </c:pt>
                <c:pt idx="70">
                  <c:v>0.88</c:v>
                </c:pt>
                <c:pt idx="71">
                  <c:v>0.88</c:v>
                </c:pt>
                <c:pt idx="72">
                  <c:v>0.87</c:v>
                </c:pt>
                <c:pt idx="73">
                  <c:v>0.87</c:v>
                </c:pt>
                <c:pt idx="74">
                  <c:v>0.87</c:v>
                </c:pt>
                <c:pt idx="75">
                  <c:v>0.87</c:v>
                </c:pt>
                <c:pt idx="76">
                  <c:v>0.87</c:v>
                </c:pt>
                <c:pt idx="77">
                  <c:v>0.86</c:v>
                </c:pt>
                <c:pt idx="78">
                  <c:v>0.86</c:v>
                </c:pt>
                <c:pt idx="79">
                  <c:v>0.86</c:v>
                </c:pt>
                <c:pt idx="80">
                  <c:v>0.86</c:v>
                </c:pt>
                <c:pt idx="81">
                  <c:v>0.86</c:v>
                </c:pt>
                <c:pt idx="82">
                  <c:v>0.86</c:v>
                </c:pt>
                <c:pt idx="83">
                  <c:v>0.85</c:v>
                </c:pt>
                <c:pt idx="84">
                  <c:v>0.85</c:v>
                </c:pt>
                <c:pt idx="85">
                  <c:v>0.85</c:v>
                </c:pt>
                <c:pt idx="86">
                  <c:v>0.85</c:v>
                </c:pt>
                <c:pt idx="87">
                  <c:v>0.85</c:v>
                </c:pt>
                <c:pt idx="88">
                  <c:v>0.84</c:v>
                </c:pt>
                <c:pt idx="89">
                  <c:v>0.84</c:v>
                </c:pt>
                <c:pt idx="90">
                  <c:v>0.84</c:v>
                </c:pt>
                <c:pt idx="91">
                  <c:v>0.84</c:v>
                </c:pt>
                <c:pt idx="92">
                  <c:v>0.83</c:v>
                </c:pt>
                <c:pt idx="93">
                  <c:v>0.83</c:v>
                </c:pt>
                <c:pt idx="94">
                  <c:v>0.83</c:v>
                </c:pt>
                <c:pt idx="95">
                  <c:v>0.83</c:v>
                </c:pt>
                <c:pt idx="96">
                  <c:v>0.82</c:v>
                </c:pt>
                <c:pt idx="97">
                  <c:v>0.82</c:v>
                </c:pt>
                <c:pt idx="98">
                  <c:v>0.82</c:v>
                </c:pt>
                <c:pt idx="99">
                  <c:v>0.82</c:v>
                </c:pt>
                <c:pt idx="100">
                  <c:v>0.82</c:v>
                </c:pt>
                <c:pt idx="101">
                  <c:v>0.81</c:v>
                </c:pt>
                <c:pt idx="102">
                  <c:v>0.81</c:v>
                </c:pt>
                <c:pt idx="103">
                  <c:v>0.81</c:v>
                </c:pt>
                <c:pt idx="104">
                  <c:v>0.81</c:v>
                </c:pt>
                <c:pt idx="105">
                  <c:v>0.81</c:v>
                </c:pt>
                <c:pt idx="106">
                  <c:v>0.81</c:v>
                </c:pt>
                <c:pt idx="107">
                  <c:v>0.81</c:v>
                </c:pt>
                <c:pt idx="108">
                  <c:v>0.8</c:v>
                </c:pt>
                <c:pt idx="109">
                  <c:v>0.8</c:v>
                </c:pt>
                <c:pt idx="110">
                  <c:v>0.8</c:v>
                </c:pt>
                <c:pt idx="111">
                  <c:v>0.8</c:v>
                </c:pt>
                <c:pt idx="112">
                  <c:v>0.8</c:v>
                </c:pt>
                <c:pt idx="113">
                  <c:v>0.8</c:v>
                </c:pt>
                <c:pt idx="114">
                  <c:v>0.79</c:v>
                </c:pt>
                <c:pt idx="115">
                  <c:v>0.79</c:v>
                </c:pt>
                <c:pt idx="116">
                  <c:v>0.79</c:v>
                </c:pt>
                <c:pt idx="117">
                  <c:v>0.79</c:v>
                </c:pt>
                <c:pt idx="118">
                  <c:v>0.79</c:v>
                </c:pt>
                <c:pt idx="119">
                  <c:v>0.79</c:v>
                </c:pt>
                <c:pt idx="120">
                  <c:v>0.78</c:v>
                </c:pt>
                <c:pt idx="121">
                  <c:v>0.78</c:v>
                </c:pt>
                <c:pt idx="122">
                  <c:v>0.78</c:v>
                </c:pt>
                <c:pt idx="123">
                  <c:v>0.78</c:v>
                </c:pt>
                <c:pt idx="124">
                  <c:v>0.78</c:v>
                </c:pt>
                <c:pt idx="125">
                  <c:v>0.78</c:v>
                </c:pt>
                <c:pt idx="126">
                  <c:v>0.77</c:v>
                </c:pt>
                <c:pt idx="127">
                  <c:v>0.77</c:v>
                </c:pt>
                <c:pt idx="128">
                  <c:v>0.77</c:v>
                </c:pt>
                <c:pt idx="129">
                  <c:v>0.77</c:v>
                </c:pt>
                <c:pt idx="130">
                  <c:v>0.77</c:v>
                </c:pt>
                <c:pt idx="131">
                  <c:v>0.77</c:v>
                </c:pt>
                <c:pt idx="132">
                  <c:v>0.76</c:v>
                </c:pt>
                <c:pt idx="133">
                  <c:v>0.76</c:v>
                </c:pt>
                <c:pt idx="134">
                  <c:v>0.76</c:v>
                </c:pt>
                <c:pt idx="135">
                  <c:v>0.76</c:v>
                </c:pt>
                <c:pt idx="136">
                  <c:v>0.76</c:v>
                </c:pt>
                <c:pt idx="137">
                  <c:v>0.76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0.74</c:v>
                </c:pt>
                <c:pt idx="145">
                  <c:v>0.74</c:v>
                </c:pt>
                <c:pt idx="146">
                  <c:v>0.74</c:v>
                </c:pt>
                <c:pt idx="147">
                  <c:v>0.74</c:v>
                </c:pt>
                <c:pt idx="148">
                  <c:v>0.74</c:v>
                </c:pt>
                <c:pt idx="149">
                  <c:v>0.74</c:v>
                </c:pt>
                <c:pt idx="150">
                  <c:v>0.74</c:v>
                </c:pt>
                <c:pt idx="151">
                  <c:v>0.74</c:v>
                </c:pt>
                <c:pt idx="152">
                  <c:v>0.74</c:v>
                </c:pt>
                <c:pt idx="153">
                  <c:v>0.74</c:v>
                </c:pt>
                <c:pt idx="154">
                  <c:v>0.74</c:v>
                </c:pt>
                <c:pt idx="155">
                  <c:v>0.74</c:v>
                </c:pt>
                <c:pt idx="156">
                  <c:v>0.73</c:v>
                </c:pt>
                <c:pt idx="157">
                  <c:v>0.73</c:v>
                </c:pt>
                <c:pt idx="158">
                  <c:v>0.73</c:v>
                </c:pt>
                <c:pt idx="159">
                  <c:v>0.73</c:v>
                </c:pt>
                <c:pt idx="160">
                  <c:v>0.73</c:v>
                </c:pt>
                <c:pt idx="161">
                  <c:v>0.73</c:v>
                </c:pt>
                <c:pt idx="162">
                  <c:v>0.73</c:v>
                </c:pt>
                <c:pt idx="163">
                  <c:v>0.73</c:v>
                </c:pt>
                <c:pt idx="164">
                  <c:v>0.73</c:v>
                </c:pt>
                <c:pt idx="165">
                  <c:v>0.73</c:v>
                </c:pt>
                <c:pt idx="166">
                  <c:v>0.73</c:v>
                </c:pt>
                <c:pt idx="167">
                  <c:v>0.73</c:v>
                </c:pt>
                <c:pt idx="168">
                  <c:v>0.72</c:v>
                </c:pt>
                <c:pt idx="169">
                  <c:v>0.72</c:v>
                </c:pt>
                <c:pt idx="170">
                  <c:v>0.72</c:v>
                </c:pt>
                <c:pt idx="171">
                  <c:v>0.72</c:v>
                </c:pt>
                <c:pt idx="172">
                  <c:v>0.72</c:v>
                </c:pt>
                <c:pt idx="173">
                  <c:v>0.72</c:v>
                </c:pt>
                <c:pt idx="174">
                  <c:v>0.72</c:v>
                </c:pt>
                <c:pt idx="175">
                  <c:v>0.72</c:v>
                </c:pt>
                <c:pt idx="176">
                  <c:v>0.72</c:v>
                </c:pt>
                <c:pt idx="177">
                  <c:v>0.72</c:v>
                </c:pt>
                <c:pt idx="178">
                  <c:v>0.72</c:v>
                </c:pt>
                <c:pt idx="179">
                  <c:v>0.72</c:v>
                </c:pt>
                <c:pt idx="180">
                  <c:v>0.71</c:v>
                </c:pt>
                <c:pt idx="181">
                  <c:v>0.71</c:v>
                </c:pt>
                <c:pt idx="182">
                  <c:v>0.71</c:v>
                </c:pt>
                <c:pt idx="183">
                  <c:v>0.71</c:v>
                </c:pt>
                <c:pt idx="184">
                  <c:v>0.71</c:v>
                </c:pt>
                <c:pt idx="185">
                  <c:v>0.71</c:v>
                </c:pt>
                <c:pt idx="186">
                  <c:v>0.71</c:v>
                </c:pt>
                <c:pt idx="187">
                  <c:v>0.71</c:v>
                </c:pt>
                <c:pt idx="188">
                  <c:v>0.71</c:v>
                </c:pt>
                <c:pt idx="189">
                  <c:v>0.71</c:v>
                </c:pt>
                <c:pt idx="190">
                  <c:v>0.71</c:v>
                </c:pt>
                <c:pt idx="191">
                  <c:v>0.71</c:v>
                </c:pt>
                <c:pt idx="192">
                  <c:v>0.7</c:v>
                </c:pt>
                <c:pt idx="193">
                  <c:v>0.7</c:v>
                </c:pt>
                <c:pt idx="194">
                  <c:v>0.7</c:v>
                </c:pt>
                <c:pt idx="195">
                  <c:v>0.7</c:v>
                </c:pt>
                <c:pt idx="196">
                  <c:v>0.7</c:v>
                </c:pt>
                <c:pt idx="197">
                  <c:v>0.7</c:v>
                </c:pt>
                <c:pt idx="198">
                  <c:v>0.7</c:v>
                </c:pt>
                <c:pt idx="199">
                  <c:v>0.7</c:v>
                </c:pt>
                <c:pt idx="200">
                  <c:v>0.7</c:v>
                </c:pt>
                <c:pt idx="201">
                  <c:v>0.7</c:v>
                </c:pt>
                <c:pt idx="202">
                  <c:v>0.7</c:v>
                </c:pt>
                <c:pt idx="203">
                  <c:v>0.7</c:v>
                </c:pt>
                <c:pt idx="204">
                  <c:v>0.69</c:v>
                </c:pt>
                <c:pt idx="205">
                  <c:v>0.69</c:v>
                </c:pt>
                <c:pt idx="206">
                  <c:v>0.69</c:v>
                </c:pt>
                <c:pt idx="207">
                  <c:v>0.69</c:v>
                </c:pt>
                <c:pt idx="208">
                  <c:v>0.69</c:v>
                </c:pt>
                <c:pt idx="209">
                  <c:v>0.69</c:v>
                </c:pt>
                <c:pt idx="210">
                  <c:v>0.69</c:v>
                </c:pt>
                <c:pt idx="211">
                  <c:v>0.69</c:v>
                </c:pt>
                <c:pt idx="212">
                  <c:v>0.69</c:v>
                </c:pt>
                <c:pt idx="213">
                  <c:v>0.69</c:v>
                </c:pt>
                <c:pt idx="214">
                  <c:v>0.69</c:v>
                </c:pt>
                <c:pt idx="215">
                  <c:v>0.69</c:v>
                </c:pt>
                <c:pt idx="216">
                  <c:v>0.68</c:v>
                </c:pt>
                <c:pt idx="217">
                  <c:v>0.68</c:v>
                </c:pt>
                <c:pt idx="218">
                  <c:v>0.68</c:v>
                </c:pt>
                <c:pt idx="219">
                  <c:v>0.68</c:v>
                </c:pt>
                <c:pt idx="220">
                  <c:v>0.68</c:v>
                </c:pt>
                <c:pt idx="221">
                  <c:v>0.68</c:v>
                </c:pt>
                <c:pt idx="222">
                  <c:v>0.68</c:v>
                </c:pt>
                <c:pt idx="223">
                  <c:v>0.68</c:v>
                </c:pt>
                <c:pt idx="224">
                  <c:v>0.68</c:v>
                </c:pt>
                <c:pt idx="225">
                  <c:v>0.68</c:v>
                </c:pt>
                <c:pt idx="226">
                  <c:v>0.68</c:v>
                </c:pt>
                <c:pt idx="227">
                  <c:v>0.68</c:v>
                </c:pt>
                <c:pt idx="228">
                  <c:v>0.67</c:v>
                </c:pt>
                <c:pt idx="229">
                  <c:v>0.67</c:v>
                </c:pt>
                <c:pt idx="230">
                  <c:v>0.67</c:v>
                </c:pt>
                <c:pt idx="231">
                  <c:v>0.67</c:v>
                </c:pt>
                <c:pt idx="232">
                  <c:v>0.67</c:v>
                </c:pt>
                <c:pt idx="233">
                  <c:v>0.67</c:v>
                </c:pt>
                <c:pt idx="234">
                  <c:v>0.67</c:v>
                </c:pt>
                <c:pt idx="235">
                  <c:v>0.67</c:v>
                </c:pt>
                <c:pt idx="236">
                  <c:v>0.67</c:v>
                </c:pt>
                <c:pt idx="237">
                  <c:v>0.67</c:v>
                </c:pt>
                <c:pt idx="238">
                  <c:v>0.67</c:v>
                </c:pt>
                <c:pt idx="239">
                  <c:v>0.67</c:v>
                </c:pt>
                <c:pt idx="240">
                  <c:v>0.66</c:v>
                </c:pt>
                <c:pt idx="241">
                  <c:v>0.66</c:v>
                </c:pt>
                <c:pt idx="242">
                  <c:v>0.66</c:v>
                </c:pt>
                <c:pt idx="243">
                  <c:v>0.66</c:v>
                </c:pt>
                <c:pt idx="244">
                  <c:v>0.66</c:v>
                </c:pt>
                <c:pt idx="245">
                  <c:v>0.66</c:v>
                </c:pt>
                <c:pt idx="246">
                  <c:v>0.66</c:v>
                </c:pt>
                <c:pt idx="247">
                  <c:v>0.66</c:v>
                </c:pt>
                <c:pt idx="248">
                  <c:v>0.66</c:v>
                </c:pt>
                <c:pt idx="249">
                  <c:v>0.66</c:v>
                </c:pt>
                <c:pt idx="250">
                  <c:v>0.66</c:v>
                </c:pt>
                <c:pt idx="251">
                  <c:v>0.66</c:v>
                </c:pt>
                <c:pt idx="252">
                  <c:v>0.66</c:v>
                </c:pt>
                <c:pt idx="253">
                  <c:v>0.66</c:v>
                </c:pt>
                <c:pt idx="254">
                  <c:v>0.66</c:v>
                </c:pt>
                <c:pt idx="255">
                  <c:v>0.66</c:v>
                </c:pt>
                <c:pt idx="256">
                  <c:v>0.66</c:v>
                </c:pt>
                <c:pt idx="257">
                  <c:v>0.66</c:v>
                </c:pt>
                <c:pt idx="258">
                  <c:v>0.66</c:v>
                </c:pt>
                <c:pt idx="259">
                  <c:v>0.66</c:v>
                </c:pt>
                <c:pt idx="260">
                  <c:v>0.66</c:v>
                </c:pt>
                <c:pt idx="261">
                  <c:v>0.66</c:v>
                </c:pt>
                <c:pt idx="262">
                  <c:v>0.66</c:v>
                </c:pt>
                <c:pt idx="263">
                  <c:v>0.66</c:v>
                </c:pt>
                <c:pt idx="264">
                  <c:v>0.66</c:v>
                </c:pt>
                <c:pt idx="265">
                  <c:v>0.66</c:v>
                </c:pt>
                <c:pt idx="266">
                  <c:v>0.66</c:v>
                </c:pt>
                <c:pt idx="267">
                  <c:v>0.66</c:v>
                </c:pt>
                <c:pt idx="268">
                  <c:v>0.66</c:v>
                </c:pt>
                <c:pt idx="269">
                  <c:v>0.66</c:v>
                </c:pt>
                <c:pt idx="270">
                  <c:v>0.66</c:v>
                </c:pt>
                <c:pt idx="271">
                  <c:v>0.66</c:v>
                </c:pt>
                <c:pt idx="272">
                  <c:v>0.66</c:v>
                </c:pt>
                <c:pt idx="273">
                  <c:v>0.66</c:v>
                </c:pt>
                <c:pt idx="274">
                  <c:v>0.66</c:v>
                </c:pt>
                <c:pt idx="275">
                  <c:v>0.66</c:v>
                </c:pt>
                <c:pt idx="276">
                  <c:v>0.66</c:v>
                </c:pt>
                <c:pt idx="277">
                  <c:v>0.66</c:v>
                </c:pt>
                <c:pt idx="278">
                  <c:v>0.66</c:v>
                </c:pt>
                <c:pt idx="279">
                  <c:v>0.66</c:v>
                </c:pt>
                <c:pt idx="280">
                  <c:v>0.66</c:v>
                </c:pt>
                <c:pt idx="281">
                  <c:v>0.66</c:v>
                </c:pt>
                <c:pt idx="282">
                  <c:v>0.66</c:v>
                </c:pt>
                <c:pt idx="283">
                  <c:v>0.66</c:v>
                </c:pt>
                <c:pt idx="284">
                  <c:v>0.66</c:v>
                </c:pt>
                <c:pt idx="285">
                  <c:v>0.66</c:v>
                </c:pt>
                <c:pt idx="286">
                  <c:v>0.66</c:v>
                </c:pt>
                <c:pt idx="287">
                  <c:v>0.66</c:v>
                </c:pt>
                <c:pt idx="288">
                  <c:v>0.65</c:v>
                </c:pt>
                <c:pt idx="289">
                  <c:v>0.65</c:v>
                </c:pt>
                <c:pt idx="290">
                  <c:v>0.65</c:v>
                </c:pt>
                <c:pt idx="291">
                  <c:v>0.65</c:v>
                </c:pt>
                <c:pt idx="292">
                  <c:v>0.65</c:v>
                </c:pt>
                <c:pt idx="293">
                  <c:v>0.65</c:v>
                </c:pt>
                <c:pt idx="294">
                  <c:v>0.65</c:v>
                </c:pt>
                <c:pt idx="295">
                  <c:v>0.65</c:v>
                </c:pt>
                <c:pt idx="296">
                  <c:v>0.65</c:v>
                </c:pt>
                <c:pt idx="297">
                  <c:v>0.65</c:v>
                </c:pt>
                <c:pt idx="298">
                  <c:v>0.65</c:v>
                </c:pt>
                <c:pt idx="299">
                  <c:v>0.65</c:v>
                </c:pt>
                <c:pt idx="300">
                  <c:v>0.64</c:v>
                </c:pt>
                <c:pt idx="301">
                  <c:v>0.64</c:v>
                </c:pt>
                <c:pt idx="302">
                  <c:v>0.64</c:v>
                </c:pt>
                <c:pt idx="303">
                  <c:v>0.64</c:v>
                </c:pt>
                <c:pt idx="304">
                  <c:v>0.64</c:v>
                </c:pt>
                <c:pt idx="305">
                  <c:v>0.64</c:v>
                </c:pt>
                <c:pt idx="306">
                  <c:v>0.63</c:v>
                </c:pt>
                <c:pt idx="307">
                  <c:v>0.63</c:v>
                </c:pt>
                <c:pt idx="308">
                  <c:v>0.63</c:v>
                </c:pt>
                <c:pt idx="309">
                  <c:v>0.63</c:v>
                </c:pt>
                <c:pt idx="310">
                  <c:v>0.63</c:v>
                </c:pt>
                <c:pt idx="311">
                  <c:v>0.63</c:v>
                </c:pt>
                <c:pt idx="312">
                  <c:v>0.62</c:v>
                </c:pt>
                <c:pt idx="313">
                  <c:v>0.62</c:v>
                </c:pt>
                <c:pt idx="314">
                  <c:v>0.62</c:v>
                </c:pt>
                <c:pt idx="315">
                  <c:v>0.62</c:v>
                </c:pt>
                <c:pt idx="316">
                  <c:v>0.62</c:v>
                </c:pt>
                <c:pt idx="317">
                  <c:v>0.62</c:v>
                </c:pt>
                <c:pt idx="318">
                  <c:v>0.62</c:v>
                </c:pt>
                <c:pt idx="319">
                  <c:v>0.62</c:v>
                </c:pt>
                <c:pt idx="320">
                  <c:v>0.62</c:v>
                </c:pt>
                <c:pt idx="321">
                  <c:v>0.63</c:v>
                </c:pt>
                <c:pt idx="322">
                  <c:v>0.63</c:v>
                </c:pt>
                <c:pt idx="323">
                  <c:v>0.64</c:v>
                </c:pt>
                <c:pt idx="324">
                  <c:v>0.65</c:v>
                </c:pt>
                <c:pt idx="325">
                  <c:v>0.65</c:v>
                </c:pt>
                <c:pt idx="326">
                  <c:v>0.66</c:v>
                </c:pt>
                <c:pt idx="327">
                  <c:v>0.67</c:v>
                </c:pt>
                <c:pt idx="328">
                  <c:v>0.67</c:v>
                </c:pt>
                <c:pt idx="329">
                  <c:v>0.68</c:v>
                </c:pt>
                <c:pt idx="330">
                  <c:v>0.69</c:v>
                </c:pt>
                <c:pt idx="331">
                  <c:v>0.7</c:v>
                </c:pt>
                <c:pt idx="332">
                  <c:v>0.71</c:v>
                </c:pt>
                <c:pt idx="333">
                  <c:v>0.72</c:v>
                </c:pt>
                <c:pt idx="334">
                  <c:v>0.72</c:v>
                </c:pt>
                <c:pt idx="335">
                  <c:v>0.73</c:v>
                </c:pt>
                <c:pt idx="336">
                  <c:v>0.74</c:v>
                </c:pt>
                <c:pt idx="337">
                  <c:v>0.76</c:v>
                </c:pt>
                <c:pt idx="338">
                  <c:v>0.78</c:v>
                </c:pt>
                <c:pt idx="339">
                  <c:v>0.8</c:v>
                </c:pt>
                <c:pt idx="340">
                  <c:v>0.81</c:v>
                </c:pt>
                <c:pt idx="341">
                  <c:v>0.83</c:v>
                </c:pt>
                <c:pt idx="342">
                  <c:v>0.85</c:v>
                </c:pt>
                <c:pt idx="343">
                  <c:v>0.87</c:v>
                </c:pt>
                <c:pt idx="344">
                  <c:v>0.88</c:v>
                </c:pt>
                <c:pt idx="345">
                  <c:v>0.89</c:v>
                </c:pt>
                <c:pt idx="346">
                  <c:v>0.9</c:v>
                </c:pt>
                <c:pt idx="347">
                  <c:v>0.9</c:v>
                </c:pt>
                <c:pt idx="348">
                  <c:v>0.9</c:v>
                </c:pt>
                <c:pt idx="349">
                  <c:v>0.89</c:v>
                </c:pt>
                <c:pt idx="350">
                  <c:v>0.89</c:v>
                </c:pt>
                <c:pt idx="351">
                  <c:v>0.88</c:v>
                </c:pt>
                <c:pt idx="352">
                  <c:v>0.87</c:v>
                </c:pt>
                <c:pt idx="353">
                  <c:v>0.85</c:v>
                </c:pt>
                <c:pt idx="354">
                  <c:v>0.83</c:v>
                </c:pt>
                <c:pt idx="355">
                  <c:v>0.81</c:v>
                </c:pt>
                <c:pt idx="356">
                  <c:v>0.78</c:v>
                </c:pt>
                <c:pt idx="357">
                  <c:v>0.76</c:v>
                </c:pt>
                <c:pt idx="358">
                  <c:v>0.74</c:v>
                </c:pt>
                <c:pt idx="359">
                  <c:v>0.73</c:v>
                </c:pt>
                <c:pt idx="360">
                  <c:v>0.72</c:v>
                </c:pt>
                <c:pt idx="361">
                  <c:v>0.71</c:v>
                </c:pt>
                <c:pt idx="362">
                  <c:v>0.7</c:v>
                </c:pt>
                <c:pt idx="363">
                  <c:v>0.69</c:v>
                </c:pt>
                <c:pt idx="364">
                  <c:v>0.69</c:v>
                </c:pt>
                <c:pt idx="365">
                  <c:v>0.68</c:v>
                </c:pt>
                <c:pt idx="366">
                  <c:v>0.68</c:v>
                </c:pt>
                <c:pt idx="367">
                  <c:v>0.68</c:v>
                </c:pt>
                <c:pt idx="368">
                  <c:v>0.68</c:v>
                </c:pt>
                <c:pt idx="369">
                  <c:v>0.68</c:v>
                </c:pt>
                <c:pt idx="370">
                  <c:v>0.68</c:v>
                </c:pt>
                <c:pt idx="371">
                  <c:v>0.68</c:v>
                </c:pt>
                <c:pt idx="372">
                  <c:v>0.67</c:v>
                </c:pt>
                <c:pt idx="373">
                  <c:v>0.67</c:v>
                </c:pt>
                <c:pt idx="374">
                  <c:v>0.67</c:v>
                </c:pt>
                <c:pt idx="375">
                  <c:v>0.67</c:v>
                </c:pt>
                <c:pt idx="376">
                  <c:v>0.67</c:v>
                </c:pt>
                <c:pt idx="377">
                  <c:v>0.67</c:v>
                </c:pt>
                <c:pt idx="378">
                  <c:v>0.67</c:v>
                </c:pt>
                <c:pt idx="379">
                  <c:v>0.67</c:v>
                </c:pt>
                <c:pt idx="380">
                  <c:v>0.67</c:v>
                </c:pt>
                <c:pt idx="381">
                  <c:v>0.67</c:v>
                </c:pt>
                <c:pt idx="382">
                  <c:v>0.67</c:v>
                </c:pt>
                <c:pt idx="383">
                  <c:v>0.67</c:v>
                </c:pt>
                <c:pt idx="384">
                  <c:v>0.66</c:v>
                </c:pt>
                <c:pt idx="385">
                  <c:v>0.66</c:v>
                </c:pt>
                <c:pt idx="386">
                  <c:v>0.66</c:v>
                </c:pt>
                <c:pt idx="387">
                  <c:v>0.66</c:v>
                </c:pt>
                <c:pt idx="388">
                  <c:v>0.66</c:v>
                </c:pt>
                <c:pt idx="389">
                  <c:v>0.66</c:v>
                </c:pt>
                <c:pt idx="390">
                  <c:v>0.66</c:v>
                </c:pt>
                <c:pt idx="391">
                  <c:v>0.66</c:v>
                </c:pt>
                <c:pt idx="392">
                  <c:v>0.66</c:v>
                </c:pt>
                <c:pt idx="393">
                  <c:v>0.66</c:v>
                </c:pt>
                <c:pt idx="394">
                  <c:v>0.66</c:v>
                </c:pt>
                <c:pt idx="395">
                  <c:v>0.66</c:v>
                </c:pt>
                <c:pt idx="396">
                  <c:v>0.66</c:v>
                </c:pt>
                <c:pt idx="397">
                  <c:v>0.66</c:v>
                </c:pt>
                <c:pt idx="398">
                  <c:v>0.66</c:v>
                </c:pt>
                <c:pt idx="399">
                  <c:v>0.66</c:v>
                </c:pt>
                <c:pt idx="400">
                  <c:v>0.66</c:v>
                </c:pt>
                <c:pt idx="401">
                  <c:v>0.66</c:v>
                </c:pt>
                <c:pt idx="402">
                  <c:v>0.66</c:v>
                </c:pt>
                <c:pt idx="403">
                  <c:v>0.66</c:v>
                </c:pt>
                <c:pt idx="404">
                  <c:v>0.66</c:v>
                </c:pt>
                <c:pt idx="405">
                  <c:v>0.66</c:v>
                </c:pt>
                <c:pt idx="406">
                  <c:v>0.66</c:v>
                </c:pt>
                <c:pt idx="407">
                  <c:v>0.66</c:v>
                </c:pt>
                <c:pt idx="408">
                  <c:v>0.65</c:v>
                </c:pt>
                <c:pt idx="409">
                  <c:v>0.65</c:v>
                </c:pt>
                <c:pt idx="410">
                  <c:v>0.65</c:v>
                </c:pt>
                <c:pt idx="411">
                  <c:v>0.65</c:v>
                </c:pt>
                <c:pt idx="412">
                  <c:v>0.65</c:v>
                </c:pt>
                <c:pt idx="413">
                  <c:v>0.65</c:v>
                </c:pt>
                <c:pt idx="414">
                  <c:v>0.66</c:v>
                </c:pt>
                <c:pt idx="415">
                  <c:v>0.66</c:v>
                </c:pt>
                <c:pt idx="416">
                  <c:v>0.66</c:v>
                </c:pt>
                <c:pt idx="417">
                  <c:v>0.66</c:v>
                </c:pt>
                <c:pt idx="418">
                  <c:v>0.66</c:v>
                </c:pt>
                <c:pt idx="419">
                  <c:v>0.66</c:v>
                </c:pt>
                <c:pt idx="420">
                  <c:v>0.67</c:v>
                </c:pt>
                <c:pt idx="421">
                  <c:v>0.67</c:v>
                </c:pt>
                <c:pt idx="422">
                  <c:v>0.67</c:v>
                </c:pt>
                <c:pt idx="423">
                  <c:v>0.67</c:v>
                </c:pt>
                <c:pt idx="424">
                  <c:v>0.67</c:v>
                </c:pt>
                <c:pt idx="425">
                  <c:v>0.67</c:v>
                </c:pt>
                <c:pt idx="426">
                  <c:v>0.68</c:v>
                </c:pt>
                <c:pt idx="427">
                  <c:v>0.68</c:v>
                </c:pt>
                <c:pt idx="428">
                  <c:v>0.68</c:v>
                </c:pt>
                <c:pt idx="429">
                  <c:v>0.68</c:v>
                </c:pt>
                <c:pt idx="430">
                  <c:v>0.68</c:v>
                </c:pt>
                <c:pt idx="431">
                  <c:v>0.68</c:v>
                </c:pt>
                <c:pt idx="432">
                  <c:v>0.69</c:v>
                </c:pt>
                <c:pt idx="433">
                  <c:v>0.69</c:v>
                </c:pt>
                <c:pt idx="434">
                  <c:v>0.69</c:v>
                </c:pt>
                <c:pt idx="435">
                  <c:v>0.69</c:v>
                </c:pt>
                <c:pt idx="436">
                  <c:v>0.69</c:v>
                </c:pt>
                <c:pt idx="437">
                  <c:v>0.7</c:v>
                </c:pt>
                <c:pt idx="438">
                  <c:v>0.71</c:v>
                </c:pt>
                <c:pt idx="439">
                  <c:v>0.71</c:v>
                </c:pt>
                <c:pt idx="440">
                  <c:v>0.72</c:v>
                </c:pt>
                <c:pt idx="441">
                  <c:v>0.72</c:v>
                </c:pt>
                <c:pt idx="442">
                  <c:v>0.73</c:v>
                </c:pt>
                <c:pt idx="443">
                  <c:v>0.73</c:v>
                </c:pt>
                <c:pt idx="444">
                  <c:v>0.74</c:v>
                </c:pt>
                <c:pt idx="445">
                  <c:v>0.74</c:v>
                </c:pt>
                <c:pt idx="446">
                  <c:v>0.75</c:v>
                </c:pt>
                <c:pt idx="447">
                  <c:v>0.75</c:v>
                </c:pt>
                <c:pt idx="448">
                  <c:v>0.76</c:v>
                </c:pt>
                <c:pt idx="449">
                  <c:v>0.76</c:v>
                </c:pt>
                <c:pt idx="450">
                  <c:v>0.77</c:v>
                </c:pt>
                <c:pt idx="451">
                  <c:v>0.77</c:v>
                </c:pt>
                <c:pt idx="452">
                  <c:v>0.78</c:v>
                </c:pt>
                <c:pt idx="453">
                  <c:v>0.79</c:v>
                </c:pt>
                <c:pt idx="454">
                  <c:v>0.8</c:v>
                </c:pt>
                <c:pt idx="455">
                  <c:v>0.81</c:v>
                </c:pt>
                <c:pt idx="456">
                  <c:v>0.82</c:v>
                </c:pt>
                <c:pt idx="457">
                  <c:v>0.83</c:v>
                </c:pt>
                <c:pt idx="458">
                  <c:v>0.84</c:v>
                </c:pt>
                <c:pt idx="459">
                  <c:v>0.85</c:v>
                </c:pt>
                <c:pt idx="460">
                  <c:v>0.85</c:v>
                </c:pt>
                <c:pt idx="461">
                  <c:v>0.86</c:v>
                </c:pt>
                <c:pt idx="462">
                  <c:v>0.87</c:v>
                </c:pt>
                <c:pt idx="463">
                  <c:v>0.88</c:v>
                </c:pt>
                <c:pt idx="464">
                  <c:v>0.88</c:v>
                </c:pt>
                <c:pt idx="465">
                  <c:v>0.89</c:v>
                </c:pt>
                <c:pt idx="466">
                  <c:v>0.89</c:v>
                </c:pt>
                <c:pt idx="467">
                  <c:v>0.89</c:v>
                </c:pt>
                <c:pt idx="468">
                  <c:v>0.89</c:v>
                </c:pt>
                <c:pt idx="469">
                  <c:v>0.88</c:v>
                </c:pt>
                <c:pt idx="470">
                  <c:v>0.88</c:v>
                </c:pt>
                <c:pt idx="471">
                  <c:v>0.87</c:v>
                </c:pt>
                <c:pt idx="472">
                  <c:v>0.87</c:v>
                </c:pt>
                <c:pt idx="473">
                  <c:v>0.86</c:v>
                </c:pt>
                <c:pt idx="474">
                  <c:v>0.86</c:v>
                </c:pt>
                <c:pt idx="475">
                  <c:v>0.85</c:v>
                </c:pt>
                <c:pt idx="476">
                  <c:v>0.85</c:v>
                </c:pt>
                <c:pt idx="477">
                  <c:v>0.84</c:v>
                </c:pt>
                <c:pt idx="478">
                  <c:v>0.83</c:v>
                </c:pt>
                <c:pt idx="479">
                  <c:v>0.82</c:v>
                </c:pt>
                <c:pt idx="480">
                  <c:v>0.81</c:v>
                </c:pt>
                <c:pt idx="481">
                  <c:v>0.8</c:v>
                </c:pt>
                <c:pt idx="482">
                  <c:v>0.79</c:v>
                </c:pt>
                <c:pt idx="483">
                  <c:v>0.78</c:v>
                </c:pt>
                <c:pt idx="484">
                  <c:v>0.77</c:v>
                </c:pt>
                <c:pt idx="485">
                  <c:v>0.77</c:v>
                </c:pt>
                <c:pt idx="486">
                  <c:v>0.76</c:v>
                </c:pt>
                <c:pt idx="487">
                  <c:v>0.76</c:v>
                </c:pt>
                <c:pt idx="488">
                  <c:v>0.75</c:v>
                </c:pt>
                <c:pt idx="489">
                  <c:v>0.75</c:v>
                </c:pt>
                <c:pt idx="490">
                  <c:v>0.74</c:v>
                </c:pt>
                <c:pt idx="491">
                  <c:v>0.74</c:v>
                </c:pt>
                <c:pt idx="492">
                  <c:v>0.73</c:v>
                </c:pt>
                <c:pt idx="493">
                  <c:v>0.73</c:v>
                </c:pt>
                <c:pt idx="494">
                  <c:v>0.73</c:v>
                </c:pt>
                <c:pt idx="495">
                  <c:v>0.73</c:v>
                </c:pt>
                <c:pt idx="496">
                  <c:v>0.73</c:v>
                </c:pt>
                <c:pt idx="497">
                  <c:v>0.73</c:v>
                </c:pt>
                <c:pt idx="498">
                  <c:v>0.72</c:v>
                </c:pt>
                <c:pt idx="499">
                  <c:v>0.72</c:v>
                </c:pt>
                <c:pt idx="500">
                  <c:v>0.72</c:v>
                </c:pt>
                <c:pt idx="501">
                  <c:v>0.72</c:v>
                </c:pt>
                <c:pt idx="502">
                  <c:v>0.72</c:v>
                </c:pt>
                <c:pt idx="503">
                  <c:v>0.72</c:v>
                </c:pt>
                <c:pt idx="504">
                  <c:v>0.71</c:v>
                </c:pt>
                <c:pt idx="505">
                  <c:v>0.71</c:v>
                </c:pt>
                <c:pt idx="506">
                  <c:v>0.71</c:v>
                </c:pt>
                <c:pt idx="507">
                  <c:v>0.71</c:v>
                </c:pt>
                <c:pt idx="508">
                  <c:v>0.71</c:v>
                </c:pt>
                <c:pt idx="509">
                  <c:v>0.7</c:v>
                </c:pt>
                <c:pt idx="510">
                  <c:v>0.7</c:v>
                </c:pt>
                <c:pt idx="511">
                  <c:v>0.7</c:v>
                </c:pt>
                <c:pt idx="512">
                  <c:v>0.7</c:v>
                </c:pt>
                <c:pt idx="513">
                  <c:v>0.69</c:v>
                </c:pt>
                <c:pt idx="514">
                  <c:v>0.69</c:v>
                </c:pt>
                <c:pt idx="515">
                  <c:v>0.69</c:v>
                </c:pt>
                <c:pt idx="516">
                  <c:v>0.68</c:v>
                </c:pt>
                <c:pt idx="517">
                  <c:v>0.68</c:v>
                </c:pt>
                <c:pt idx="518">
                  <c:v>0.68</c:v>
                </c:pt>
                <c:pt idx="519">
                  <c:v>0.67</c:v>
                </c:pt>
                <c:pt idx="520">
                  <c:v>0.67</c:v>
                </c:pt>
                <c:pt idx="521">
                  <c:v>0.67</c:v>
                </c:pt>
                <c:pt idx="522">
                  <c:v>0.66</c:v>
                </c:pt>
                <c:pt idx="523">
                  <c:v>0.66</c:v>
                </c:pt>
                <c:pt idx="524">
                  <c:v>0.66</c:v>
                </c:pt>
                <c:pt idx="525">
                  <c:v>0.65</c:v>
                </c:pt>
                <c:pt idx="526">
                  <c:v>0.65</c:v>
                </c:pt>
                <c:pt idx="527">
                  <c:v>0.65</c:v>
                </c:pt>
                <c:pt idx="528">
                  <c:v>0.64</c:v>
                </c:pt>
                <c:pt idx="529">
                  <c:v>0.64</c:v>
                </c:pt>
                <c:pt idx="530">
                  <c:v>0.64</c:v>
                </c:pt>
                <c:pt idx="531">
                  <c:v>0.64</c:v>
                </c:pt>
                <c:pt idx="532">
                  <c:v>0.64</c:v>
                </c:pt>
                <c:pt idx="533">
                  <c:v>0.63</c:v>
                </c:pt>
                <c:pt idx="534">
                  <c:v>0.63</c:v>
                </c:pt>
                <c:pt idx="535">
                  <c:v>0.63</c:v>
                </c:pt>
                <c:pt idx="536">
                  <c:v>0.63</c:v>
                </c:pt>
                <c:pt idx="537">
                  <c:v>0.63</c:v>
                </c:pt>
                <c:pt idx="538">
                  <c:v>0.63</c:v>
                </c:pt>
                <c:pt idx="539">
                  <c:v>0.63</c:v>
                </c:pt>
                <c:pt idx="540">
                  <c:v>0.63</c:v>
                </c:pt>
                <c:pt idx="541">
                  <c:v>0.63</c:v>
                </c:pt>
                <c:pt idx="542">
                  <c:v>0.63</c:v>
                </c:pt>
                <c:pt idx="543">
                  <c:v>0.63</c:v>
                </c:pt>
                <c:pt idx="544">
                  <c:v>0.63</c:v>
                </c:pt>
                <c:pt idx="545">
                  <c:v>0.63</c:v>
                </c:pt>
                <c:pt idx="546">
                  <c:v>0.63</c:v>
                </c:pt>
                <c:pt idx="547">
                  <c:v>0.63</c:v>
                </c:pt>
                <c:pt idx="548">
                  <c:v>0.63</c:v>
                </c:pt>
                <c:pt idx="549">
                  <c:v>0.63</c:v>
                </c:pt>
                <c:pt idx="550">
                  <c:v>0.63</c:v>
                </c:pt>
                <c:pt idx="551">
                  <c:v>0.63</c:v>
                </c:pt>
                <c:pt idx="552">
                  <c:v>0.62</c:v>
                </c:pt>
                <c:pt idx="553">
                  <c:v>0.62</c:v>
                </c:pt>
                <c:pt idx="554">
                  <c:v>0.62</c:v>
                </c:pt>
                <c:pt idx="555">
                  <c:v>0.62</c:v>
                </c:pt>
                <c:pt idx="556">
                  <c:v>0.62</c:v>
                </c:pt>
                <c:pt idx="557">
                  <c:v>0.62</c:v>
                </c:pt>
                <c:pt idx="558">
                  <c:v>0.62</c:v>
                </c:pt>
                <c:pt idx="559">
                  <c:v>0.62</c:v>
                </c:pt>
                <c:pt idx="560">
                  <c:v>0.62</c:v>
                </c:pt>
                <c:pt idx="561">
                  <c:v>0.62</c:v>
                </c:pt>
                <c:pt idx="562">
                  <c:v>0.62</c:v>
                </c:pt>
                <c:pt idx="563">
                  <c:v>0.62</c:v>
                </c:pt>
                <c:pt idx="564">
                  <c:v>0.61</c:v>
                </c:pt>
                <c:pt idx="565">
                  <c:v>0.61</c:v>
                </c:pt>
                <c:pt idx="566">
                  <c:v>0.61</c:v>
                </c:pt>
                <c:pt idx="567">
                  <c:v>0.61</c:v>
                </c:pt>
                <c:pt idx="568">
                  <c:v>0.61</c:v>
                </c:pt>
                <c:pt idx="569">
                  <c:v>0.61</c:v>
                </c:pt>
                <c:pt idx="570">
                  <c:v>0.61</c:v>
                </c:pt>
                <c:pt idx="571">
                  <c:v>0.61</c:v>
                </c:pt>
                <c:pt idx="572">
                  <c:v>0.61</c:v>
                </c:pt>
                <c:pt idx="573">
                  <c:v>0.61</c:v>
                </c:pt>
                <c:pt idx="574">
                  <c:v>0.61</c:v>
                </c:pt>
                <c:pt idx="575">
                  <c:v>0.61</c:v>
                </c:pt>
                <c:pt idx="576">
                  <c:v>0.6</c:v>
                </c:pt>
                <c:pt idx="577">
                  <c:v>0.6</c:v>
                </c:pt>
                <c:pt idx="578">
                  <c:v>0.6</c:v>
                </c:pt>
                <c:pt idx="579">
                  <c:v>0.6</c:v>
                </c:pt>
                <c:pt idx="580">
                  <c:v>0.6</c:v>
                </c:pt>
                <c:pt idx="581">
                  <c:v>0.6</c:v>
                </c:pt>
                <c:pt idx="582">
                  <c:v>0.6</c:v>
                </c:pt>
                <c:pt idx="583">
                  <c:v>0.6</c:v>
                </c:pt>
                <c:pt idx="584">
                  <c:v>0.6</c:v>
                </c:pt>
                <c:pt idx="585">
                  <c:v>0.6</c:v>
                </c:pt>
                <c:pt idx="586">
                  <c:v>0.6</c:v>
                </c:pt>
                <c:pt idx="587">
                  <c:v>0.6</c:v>
                </c:pt>
                <c:pt idx="588">
                  <c:v>0.59</c:v>
                </c:pt>
                <c:pt idx="589">
                  <c:v>0.59</c:v>
                </c:pt>
                <c:pt idx="590">
                  <c:v>0.59</c:v>
                </c:pt>
                <c:pt idx="591">
                  <c:v>0.59</c:v>
                </c:pt>
                <c:pt idx="592">
                  <c:v>0.59</c:v>
                </c:pt>
                <c:pt idx="593">
                  <c:v>0.59</c:v>
                </c:pt>
                <c:pt idx="594">
                  <c:v>0.59</c:v>
                </c:pt>
                <c:pt idx="595">
                  <c:v>0.59</c:v>
                </c:pt>
                <c:pt idx="596">
                  <c:v>0.59</c:v>
                </c:pt>
                <c:pt idx="597">
                  <c:v>0.59</c:v>
                </c:pt>
                <c:pt idx="598">
                  <c:v>0.59</c:v>
                </c:pt>
                <c:pt idx="599">
                  <c:v>0.59</c:v>
                </c:pt>
                <c:pt idx="600">
                  <c:v>0.57999999999999996</c:v>
                </c:pt>
                <c:pt idx="601">
                  <c:v>0.57999999999999996</c:v>
                </c:pt>
                <c:pt idx="602">
                  <c:v>0.57999999999999996</c:v>
                </c:pt>
                <c:pt idx="603">
                  <c:v>0.57999999999999996</c:v>
                </c:pt>
                <c:pt idx="604">
                  <c:v>0.57999999999999996</c:v>
                </c:pt>
                <c:pt idx="605">
                  <c:v>0.57999999999999996</c:v>
                </c:pt>
                <c:pt idx="606">
                  <c:v>0.57999999999999996</c:v>
                </c:pt>
                <c:pt idx="607">
                  <c:v>0.57999999999999996</c:v>
                </c:pt>
                <c:pt idx="608">
                  <c:v>0.57999999999999996</c:v>
                </c:pt>
                <c:pt idx="609">
                  <c:v>0.57999999999999996</c:v>
                </c:pt>
                <c:pt idx="610">
                  <c:v>0.57999999999999996</c:v>
                </c:pt>
                <c:pt idx="611">
                  <c:v>0.57999999999999996</c:v>
                </c:pt>
                <c:pt idx="612">
                  <c:v>0.57999999999999996</c:v>
                </c:pt>
                <c:pt idx="613">
                  <c:v>0.57999999999999996</c:v>
                </c:pt>
                <c:pt idx="614">
                  <c:v>0.57999999999999996</c:v>
                </c:pt>
                <c:pt idx="615">
                  <c:v>0.57999999999999996</c:v>
                </c:pt>
                <c:pt idx="616">
                  <c:v>0.57999999999999996</c:v>
                </c:pt>
                <c:pt idx="617">
                  <c:v>0.57999999999999996</c:v>
                </c:pt>
                <c:pt idx="618">
                  <c:v>0.57999999999999996</c:v>
                </c:pt>
                <c:pt idx="619">
                  <c:v>0.57999999999999996</c:v>
                </c:pt>
                <c:pt idx="620">
                  <c:v>0.57999999999999996</c:v>
                </c:pt>
                <c:pt idx="621">
                  <c:v>0.57999999999999996</c:v>
                </c:pt>
                <c:pt idx="622">
                  <c:v>0.57999999999999996</c:v>
                </c:pt>
                <c:pt idx="623">
                  <c:v>0.57999999999999996</c:v>
                </c:pt>
                <c:pt idx="624">
                  <c:v>0.57999999999999996</c:v>
                </c:pt>
                <c:pt idx="625">
                  <c:v>0.57999999999999996</c:v>
                </c:pt>
                <c:pt idx="626">
                  <c:v>0.57999999999999996</c:v>
                </c:pt>
                <c:pt idx="627">
                  <c:v>0.57999999999999996</c:v>
                </c:pt>
                <c:pt idx="628">
                  <c:v>0.57999999999999996</c:v>
                </c:pt>
                <c:pt idx="629">
                  <c:v>0.57999999999999996</c:v>
                </c:pt>
                <c:pt idx="630">
                  <c:v>0.57999999999999996</c:v>
                </c:pt>
                <c:pt idx="631">
                  <c:v>0.57999999999999996</c:v>
                </c:pt>
                <c:pt idx="632">
                  <c:v>0.57999999999999996</c:v>
                </c:pt>
                <c:pt idx="633">
                  <c:v>0.57999999999999996</c:v>
                </c:pt>
                <c:pt idx="634">
                  <c:v>0.57999999999999996</c:v>
                </c:pt>
                <c:pt idx="635">
                  <c:v>0.57999999999999996</c:v>
                </c:pt>
                <c:pt idx="636">
                  <c:v>0.57999999999999996</c:v>
                </c:pt>
                <c:pt idx="637">
                  <c:v>0.57999999999999996</c:v>
                </c:pt>
                <c:pt idx="638">
                  <c:v>0.57999999999999996</c:v>
                </c:pt>
                <c:pt idx="639">
                  <c:v>0.57999999999999996</c:v>
                </c:pt>
                <c:pt idx="640">
                  <c:v>0.57999999999999996</c:v>
                </c:pt>
                <c:pt idx="641">
                  <c:v>0.57999999999999996</c:v>
                </c:pt>
                <c:pt idx="642">
                  <c:v>0.57999999999999996</c:v>
                </c:pt>
                <c:pt idx="643">
                  <c:v>0.57999999999999996</c:v>
                </c:pt>
                <c:pt idx="644">
                  <c:v>0.57999999999999996</c:v>
                </c:pt>
                <c:pt idx="645">
                  <c:v>0.57999999999999996</c:v>
                </c:pt>
                <c:pt idx="646">
                  <c:v>0.57999999999999996</c:v>
                </c:pt>
                <c:pt idx="647">
                  <c:v>0.57999999999999996</c:v>
                </c:pt>
                <c:pt idx="648">
                  <c:v>0.57999999999999996</c:v>
                </c:pt>
                <c:pt idx="649">
                  <c:v>0.57999999999999996</c:v>
                </c:pt>
                <c:pt idx="650">
                  <c:v>0.57999999999999996</c:v>
                </c:pt>
                <c:pt idx="651">
                  <c:v>0.57999999999999996</c:v>
                </c:pt>
                <c:pt idx="652">
                  <c:v>0.57999999999999996</c:v>
                </c:pt>
                <c:pt idx="653">
                  <c:v>0.57999999999999996</c:v>
                </c:pt>
                <c:pt idx="654">
                  <c:v>0.57999999999999996</c:v>
                </c:pt>
                <c:pt idx="655">
                  <c:v>0.57999999999999996</c:v>
                </c:pt>
                <c:pt idx="656">
                  <c:v>0.57999999999999996</c:v>
                </c:pt>
                <c:pt idx="657">
                  <c:v>0.57999999999999996</c:v>
                </c:pt>
                <c:pt idx="658">
                  <c:v>0.57999999999999996</c:v>
                </c:pt>
                <c:pt idx="659">
                  <c:v>0.57999999999999996</c:v>
                </c:pt>
                <c:pt idx="660">
                  <c:v>0.57999999999999996</c:v>
                </c:pt>
                <c:pt idx="661">
                  <c:v>0.57999999999999996</c:v>
                </c:pt>
                <c:pt idx="662">
                  <c:v>0.57999999999999996</c:v>
                </c:pt>
                <c:pt idx="663">
                  <c:v>0.57999999999999996</c:v>
                </c:pt>
                <c:pt idx="664">
                  <c:v>0.57999999999999996</c:v>
                </c:pt>
                <c:pt idx="665">
                  <c:v>0.57999999999999996</c:v>
                </c:pt>
                <c:pt idx="666">
                  <c:v>0.57999999999999996</c:v>
                </c:pt>
                <c:pt idx="667">
                  <c:v>0.57999999999999996</c:v>
                </c:pt>
                <c:pt idx="668">
                  <c:v>0.57999999999999996</c:v>
                </c:pt>
                <c:pt idx="669">
                  <c:v>0.57999999999999996</c:v>
                </c:pt>
                <c:pt idx="670">
                  <c:v>0.57999999999999996</c:v>
                </c:pt>
                <c:pt idx="671">
                  <c:v>0.57999999999999996</c:v>
                </c:pt>
                <c:pt idx="672">
                  <c:v>0.56999999999999995</c:v>
                </c:pt>
                <c:pt idx="673">
                  <c:v>0.56999999999999995</c:v>
                </c:pt>
                <c:pt idx="674">
                  <c:v>0.56999999999999995</c:v>
                </c:pt>
                <c:pt idx="675">
                  <c:v>0.56999999999999995</c:v>
                </c:pt>
                <c:pt idx="676">
                  <c:v>0.56999999999999995</c:v>
                </c:pt>
                <c:pt idx="677">
                  <c:v>0.56999999999999995</c:v>
                </c:pt>
                <c:pt idx="678">
                  <c:v>0.56999999999999995</c:v>
                </c:pt>
                <c:pt idx="679">
                  <c:v>0.56999999999999995</c:v>
                </c:pt>
                <c:pt idx="680">
                  <c:v>0.56999999999999995</c:v>
                </c:pt>
                <c:pt idx="681">
                  <c:v>0.56999999999999995</c:v>
                </c:pt>
                <c:pt idx="682">
                  <c:v>0.56999999999999995</c:v>
                </c:pt>
                <c:pt idx="683">
                  <c:v>0.56999999999999995</c:v>
                </c:pt>
                <c:pt idx="684">
                  <c:v>0.56999999999999995</c:v>
                </c:pt>
                <c:pt idx="685">
                  <c:v>0.56999999999999995</c:v>
                </c:pt>
                <c:pt idx="686">
                  <c:v>0.56999999999999995</c:v>
                </c:pt>
                <c:pt idx="687">
                  <c:v>0.56999999999999995</c:v>
                </c:pt>
                <c:pt idx="688">
                  <c:v>0.56999999999999995</c:v>
                </c:pt>
                <c:pt idx="689">
                  <c:v>0.56999999999999995</c:v>
                </c:pt>
                <c:pt idx="690">
                  <c:v>0.56999999999999995</c:v>
                </c:pt>
                <c:pt idx="691">
                  <c:v>0.56999999999999995</c:v>
                </c:pt>
                <c:pt idx="692">
                  <c:v>0.56999999999999995</c:v>
                </c:pt>
                <c:pt idx="693">
                  <c:v>0.56999999999999995</c:v>
                </c:pt>
                <c:pt idx="694">
                  <c:v>0.56999999999999995</c:v>
                </c:pt>
                <c:pt idx="695">
                  <c:v>0.56999999999999995</c:v>
                </c:pt>
                <c:pt idx="696">
                  <c:v>0.57999999999999996</c:v>
                </c:pt>
                <c:pt idx="697">
                  <c:v>0.57999999999999996</c:v>
                </c:pt>
                <c:pt idx="698">
                  <c:v>0.57999999999999996</c:v>
                </c:pt>
                <c:pt idx="699">
                  <c:v>0.57999999999999996</c:v>
                </c:pt>
                <c:pt idx="700">
                  <c:v>0.57999999999999996</c:v>
                </c:pt>
                <c:pt idx="701">
                  <c:v>0.57999999999999996</c:v>
                </c:pt>
                <c:pt idx="702">
                  <c:v>0.57999999999999996</c:v>
                </c:pt>
                <c:pt idx="703">
                  <c:v>0.57999999999999996</c:v>
                </c:pt>
                <c:pt idx="704">
                  <c:v>0.57999999999999996</c:v>
                </c:pt>
                <c:pt idx="705">
                  <c:v>0.57999999999999996</c:v>
                </c:pt>
                <c:pt idx="706">
                  <c:v>0.57999999999999996</c:v>
                </c:pt>
                <c:pt idx="707">
                  <c:v>0.57999999999999996</c:v>
                </c:pt>
                <c:pt idx="708">
                  <c:v>0.56999999999999995</c:v>
                </c:pt>
                <c:pt idx="709">
                  <c:v>0.56999999999999995</c:v>
                </c:pt>
                <c:pt idx="710">
                  <c:v>0.56999999999999995</c:v>
                </c:pt>
                <c:pt idx="711">
                  <c:v>0.56999999999999995</c:v>
                </c:pt>
                <c:pt idx="712">
                  <c:v>0.56999999999999995</c:v>
                </c:pt>
                <c:pt idx="713">
                  <c:v>0.56999999999999995</c:v>
                </c:pt>
                <c:pt idx="714">
                  <c:v>0.56999999999999995</c:v>
                </c:pt>
                <c:pt idx="715">
                  <c:v>0.56999999999999995</c:v>
                </c:pt>
                <c:pt idx="716">
                  <c:v>0.56999999999999995</c:v>
                </c:pt>
                <c:pt idx="717">
                  <c:v>0.56999999999999995</c:v>
                </c:pt>
                <c:pt idx="718">
                  <c:v>0.56999999999999995</c:v>
                </c:pt>
                <c:pt idx="719">
                  <c:v>0.56999999999999995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95872"/>
        <c:axId val="87306240"/>
      </c:scatterChart>
      <c:valAx>
        <c:axId val="87295872"/>
        <c:scaling>
          <c:orientation val="minMax"/>
          <c:max val="725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66FF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7306240"/>
        <c:crosses val="autoZero"/>
        <c:crossBetween val="midCat"/>
        <c:majorUnit val="24"/>
        <c:minorUnit val="1.45"/>
      </c:valAx>
      <c:valAx>
        <c:axId val="87306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72958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December</a:t>
            </a:r>
          </a:p>
        </c:rich>
      </c:tx>
      <c:layout>
        <c:manualLayout>
          <c:xMode val="edge"/>
          <c:yMode val="edge"/>
          <c:x val="0.47958190459776329"/>
          <c:y val="2.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3848419354699776E-2"/>
          <c:y val="0.14956521739130435"/>
          <c:w val="0.95687699027281703"/>
          <c:h val="0.723478260869565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'Graph-Hou'!$CL$2:$CL$745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</c:numCache>
            </c:numRef>
          </c:xVal>
          <c:yVal>
            <c:numRef>
              <c:f>'Graph-Hou'!$CO$2:$CO$745</c:f>
              <c:numCache>
                <c:formatCode>0.00</c:formatCode>
                <c:ptCount val="744"/>
                <c:pt idx="0">
                  <c:v>0.56000000000000005</c:v>
                </c:pt>
                <c:pt idx="1">
                  <c:v>0.56000000000000005</c:v>
                </c:pt>
                <c:pt idx="2">
                  <c:v>0.56000000000000005</c:v>
                </c:pt>
                <c:pt idx="3">
                  <c:v>0.56000000000000005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0.56000000000000005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0.56000000000000005</c:v>
                </c:pt>
                <c:pt idx="17">
                  <c:v>0.56000000000000005</c:v>
                </c:pt>
                <c:pt idx="18">
                  <c:v>0.56000000000000005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0.54</c:v>
                </c:pt>
                <c:pt idx="25">
                  <c:v>0.54</c:v>
                </c:pt>
                <c:pt idx="26">
                  <c:v>0.54</c:v>
                </c:pt>
                <c:pt idx="27">
                  <c:v>0.54</c:v>
                </c:pt>
                <c:pt idx="28">
                  <c:v>0.54</c:v>
                </c:pt>
                <c:pt idx="29">
                  <c:v>0.54</c:v>
                </c:pt>
                <c:pt idx="30">
                  <c:v>0.54</c:v>
                </c:pt>
                <c:pt idx="31">
                  <c:v>0.54</c:v>
                </c:pt>
                <c:pt idx="32">
                  <c:v>0.54</c:v>
                </c:pt>
                <c:pt idx="33">
                  <c:v>0.54</c:v>
                </c:pt>
                <c:pt idx="34">
                  <c:v>0.54</c:v>
                </c:pt>
                <c:pt idx="35">
                  <c:v>0.54</c:v>
                </c:pt>
                <c:pt idx="36">
                  <c:v>0.54</c:v>
                </c:pt>
                <c:pt idx="37">
                  <c:v>0.54</c:v>
                </c:pt>
                <c:pt idx="38">
                  <c:v>0.54</c:v>
                </c:pt>
                <c:pt idx="39">
                  <c:v>0.54</c:v>
                </c:pt>
                <c:pt idx="40">
                  <c:v>0.54</c:v>
                </c:pt>
                <c:pt idx="41">
                  <c:v>0.54</c:v>
                </c:pt>
                <c:pt idx="42">
                  <c:v>0.54</c:v>
                </c:pt>
                <c:pt idx="43">
                  <c:v>0.54</c:v>
                </c:pt>
                <c:pt idx="44">
                  <c:v>0.54</c:v>
                </c:pt>
                <c:pt idx="45">
                  <c:v>0.54</c:v>
                </c:pt>
                <c:pt idx="46">
                  <c:v>0.54</c:v>
                </c:pt>
                <c:pt idx="47">
                  <c:v>0.54</c:v>
                </c:pt>
                <c:pt idx="48">
                  <c:v>0.54</c:v>
                </c:pt>
                <c:pt idx="49">
                  <c:v>0.54</c:v>
                </c:pt>
                <c:pt idx="50">
                  <c:v>0.54</c:v>
                </c:pt>
                <c:pt idx="51">
                  <c:v>0.54</c:v>
                </c:pt>
                <c:pt idx="52">
                  <c:v>0.54</c:v>
                </c:pt>
                <c:pt idx="53">
                  <c:v>0.54</c:v>
                </c:pt>
                <c:pt idx="54">
                  <c:v>0.54</c:v>
                </c:pt>
                <c:pt idx="55">
                  <c:v>0.54</c:v>
                </c:pt>
                <c:pt idx="56">
                  <c:v>0.54</c:v>
                </c:pt>
                <c:pt idx="57">
                  <c:v>0.54</c:v>
                </c:pt>
                <c:pt idx="58">
                  <c:v>0.54</c:v>
                </c:pt>
                <c:pt idx="59">
                  <c:v>0.54</c:v>
                </c:pt>
                <c:pt idx="60">
                  <c:v>0.54</c:v>
                </c:pt>
                <c:pt idx="61">
                  <c:v>0.54</c:v>
                </c:pt>
                <c:pt idx="62">
                  <c:v>0.54</c:v>
                </c:pt>
                <c:pt idx="63">
                  <c:v>0.54</c:v>
                </c:pt>
                <c:pt idx="64">
                  <c:v>0.54</c:v>
                </c:pt>
                <c:pt idx="65">
                  <c:v>0.54</c:v>
                </c:pt>
                <c:pt idx="66">
                  <c:v>0.54</c:v>
                </c:pt>
                <c:pt idx="67">
                  <c:v>0.54</c:v>
                </c:pt>
                <c:pt idx="68">
                  <c:v>0.54</c:v>
                </c:pt>
                <c:pt idx="69">
                  <c:v>0.54</c:v>
                </c:pt>
                <c:pt idx="70">
                  <c:v>0.54</c:v>
                </c:pt>
                <c:pt idx="71">
                  <c:v>0.54</c:v>
                </c:pt>
                <c:pt idx="72">
                  <c:v>0.53</c:v>
                </c:pt>
                <c:pt idx="73">
                  <c:v>0.53</c:v>
                </c:pt>
                <c:pt idx="74">
                  <c:v>0.53</c:v>
                </c:pt>
                <c:pt idx="75">
                  <c:v>0.53</c:v>
                </c:pt>
                <c:pt idx="76">
                  <c:v>0.53</c:v>
                </c:pt>
                <c:pt idx="77">
                  <c:v>0.53</c:v>
                </c:pt>
                <c:pt idx="78">
                  <c:v>0.53</c:v>
                </c:pt>
                <c:pt idx="79">
                  <c:v>0.53</c:v>
                </c:pt>
                <c:pt idx="80">
                  <c:v>0.53</c:v>
                </c:pt>
                <c:pt idx="81">
                  <c:v>0.53</c:v>
                </c:pt>
                <c:pt idx="82">
                  <c:v>0.53</c:v>
                </c:pt>
                <c:pt idx="83">
                  <c:v>0.54</c:v>
                </c:pt>
                <c:pt idx="84">
                  <c:v>0.54</c:v>
                </c:pt>
                <c:pt idx="85">
                  <c:v>0.54</c:v>
                </c:pt>
                <c:pt idx="86">
                  <c:v>0.54</c:v>
                </c:pt>
                <c:pt idx="87">
                  <c:v>0.54</c:v>
                </c:pt>
                <c:pt idx="88">
                  <c:v>0.54</c:v>
                </c:pt>
                <c:pt idx="89">
                  <c:v>0.54</c:v>
                </c:pt>
                <c:pt idx="90">
                  <c:v>0.53</c:v>
                </c:pt>
                <c:pt idx="91">
                  <c:v>0.53</c:v>
                </c:pt>
                <c:pt idx="92">
                  <c:v>0.53</c:v>
                </c:pt>
                <c:pt idx="93">
                  <c:v>0.53</c:v>
                </c:pt>
                <c:pt idx="94">
                  <c:v>0.53</c:v>
                </c:pt>
                <c:pt idx="95">
                  <c:v>0.53</c:v>
                </c:pt>
                <c:pt idx="96">
                  <c:v>0.52</c:v>
                </c:pt>
                <c:pt idx="97">
                  <c:v>0.52</c:v>
                </c:pt>
                <c:pt idx="98">
                  <c:v>0.52</c:v>
                </c:pt>
                <c:pt idx="99">
                  <c:v>0.52</c:v>
                </c:pt>
                <c:pt idx="100">
                  <c:v>0.52</c:v>
                </c:pt>
                <c:pt idx="101">
                  <c:v>0.52</c:v>
                </c:pt>
                <c:pt idx="102">
                  <c:v>0.52</c:v>
                </c:pt>
                <c:pt idx="103">
                  <c:v>0.52</c:v>
                </c:pt>
                <c:pt idx="104">
                  <c:v>0.52</c:v>
                </c:pt>
                <c:pt idx="105">
                  <c:v>0.52</c:v>
                </c:pt>
                <c:pt idx="106">
                  <c:v>0.52</c:v>
                </c:pt>
                <c:pt idx="107">
                  <c:v>0.52</c:v>
                </c:pt>
                <c:pt idx="108">
                  <c:v>0.52</c:v>
                </c:pt>
                <c:pt idx="109">
                  <c:v>0.52</c:v>
                </c:pt>
                <c:pt idx="110">
                  <c:v>0.52</c:v>
                </c:pt>
                <c:pt idx="111">
                  <c:v>0.52</c:v>
                </c:pt>
                <c:pt idx="112">
                  <c:v>0.52</c:v>
                </c:pt>
                <c:pt idx="113">
                  <c:v>0.52</c:v>
                </c:pt>
                <c:pt idx="114">
                  <c:v>0.52</c:v>
                </c:pt>
                <c:pt idx="115">
                  <c:v>0.52</c:v>
                </c:pt>
                <c:pt idx="116">
                  <c:v>0.52</c:v>
                </c:pt>
                <c:pt idx="117">
                  <c:v>0.52</c:v>
                </c:pt>
                <c:pt idx="118">
                  <c:v>0.52</c:v>
                </c:pt>
                <c:pt idx="119">
                  <c:v>0.52</c:v>
                </c:pt>
                <c:pt idx="120">
                  <c:v>0.51</c:v>
                </c:pt>
                <c:pt idx="121">
                  <c:v>0.51</c:v>
                </c:pt>
                <c:pt idx="122">
                  <c:v>0.51</c:v>
                </c:pt>
                <c:pt idx="123">
                  <c:v>0.51</c:v>
                </c:pt>
                <c:pt idx="124">
                  <c:v>0.51</c:v>
                </c:pt>
                <c:pt idx="125">
                  <c:v>0.51</c:v>
                </c:pt>
                <c:pt idx="126">
                  <c:v>0.51</c:v>
                </c:pt>
                <c:pt idx="127">
                  <c:v>0.51</c:v>
                </c:pt>
                <c:pt idx="128">
                  <c:v>0.51</c:v>
                </c:pt>
                <c:pt idx="129">
                  <c:v>0.51</c:v>
                </c:pt>
                <c:pt idx="130">
                  <c:v>0.51</c:v>
                </c:pt>
                <c:pt idx="131">
                  <c:v>0.51</c:v>
                </c:pt>
                <c:pt idx="132">
                  <c:v>0.51</c:v>
                </c:pt>
                <c:pt idx="133">
                  <c:v>0.51</c:v>
                </c:pt>
                <c:pt idx="134">
                  <c:v>0.51</c:v>
                </c:pt>
                <c:pt idx="135">
                  <c:v>0.51</c:v>
                </c:pt>
                <c:pt idx="136">
                  <c:v>0.51</c:v>
                </c:pt>
                <c:pt idx="137">
                  <c:v>0.51</c:v>
                </c:pt>
                <c:pt idx="138">
                  <c:v>0.51</c:v>
                </c:pt>
                <c:pt idx="139">
                  <c:v>0.51</c:v>
                </c:pt>
                <c:pt idx="140">
                  <c:v>0.51</c:v>
                </c:pt>
                <c:pt idx="141">
                  <c:v>0.51</c:v>
                </c:pt>
                <c:pt idx="142">
                  <c:v>0.51</c:v>
                </c:pt>
                <c:pt idx="143">
                  <c:v>0.51</c:v>
                </c:pt>
                <c:pt idx="144">
                  <c:v>0.5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0.5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0.5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0.49</c:v>
                </c:pt>
                <c:pt idx="193">
                  <c:v>0.49</c:v>
                </c:pt>
                <c:pt idx="194">
                  <c:v>0.49</c:v>
                </c:pt>
                <c:pt idx="195">
                  <c:v>0.49</c:v>
                </c:pt>
                <c:pt idx="196">
                  <c:v>0.49</c:v>
                </c:pt>
                <c:pt idx="197">
                  <c:v>0.49</c:v>
                </c:pt>
                <c:pt idx="198">
                  <c:v>0.49</c:v>
                </c:pt>
                <c:pt idx="199">
                  <c:v>0.49</c:v>
                </c:pt>
                <c:pt idx="200">
                  <c:v>0.49</c:v>
                </c:pt>
                <c:pt idx="201">
                  <c:v>0.49</c:v>
                </c:pt>
                <c:pt idx="202">
                  <c:v>0.49</c:v>
                </c:pt>
                <c:pt idx="203">
                  <c:v>0.49</c:v>
                </c:pt>
                <c:pt idx="204">
                  <c:v>0.49</c:v>
                </c:pt>
                <c:pt idx="205">
                  <c:v>0.49</c:v>
                </c:pt>
                <c:pt idx="206">
                  <c:v>0.49</c:v>
                </c:pt>
                <c:pt idx="207">
                  <c:v>0.49</c:v>
                </c:pt>
                <c:pt idx="208">
                  <c:v>0.49</c:v>
                </c:pt>
                <c:pt idx="209">
                  <c:v>0.49</c:v>
                </c:pt>
                <c:pt idx="210">
                  <c:v>0.49</c:v>
                </c:pt>
                <c:pt idx="211">
                  <c:v>0.49</c:v>
                </c:pt>
                <c:pt idx="212">
                  <c:v>0.49</c:v>
                </c:pt>
                <c:pt idx="213">
                  <c:v>0.49</c:v>
                </c:pt>
                <c:pt idx="214">
                  <c:v>0.49</c:v>
                </c:pt>
                <c:pt idx="215">
                  <c:v>0.49</c:v>
                </c:pt>
                <c:pt idx="216">
                  <c:v>0.48</c:v>
                </c:pt>
                <c:pt idx="217">
                  <c:v>0.48</c:v>
                </c:pt>
                <c:pt idx="218">
                  <c:v>0.48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0.48</c:v>
                </c:pt>
                <c:pt idx="225">
                  <c:v>0.48</c:v>
                </c:pt>
                <c:pt idx="226">
                  <c:v>0.48</c:v>
                </c:pt>
                <c:pt idx="227">
                  <c:v>0.48</c:v>
                </c:pt>
                <c:pt idx="228">
                  <c:v>0.48</c:v>
                </c:pt>
                <c:pt idx="229">
                  <c:v>0.48</c:v>
                </c:pt>
                <c:pt idx="230">
                  <c:v>0.48</c:v>
                </c:pt>
                <c:pt idx="231">
                  <c:v>0.48</c:v>
                </c:pt>
                <c:pt idx="232">
                  <c:v>0.48</c:v>
                </c:pt>
                <c:pt idx="233">
                  <c:v>0.48</c:v>
                </c:pt>
                <c:pt idx="234">
                  <c:v>0.48</c:v>
                </c:pt>
                <c:pt idx="235">
                  <c:v>0.48</c:v>
                </c:pt>
                <c:pt idx="236">
                  <c:v>0.48</c:v>
                </c:pt>
                <c:pt idx="237">
                  <c:v>0.48</c:v>
                </c:pt>
                <c:pt idx="238">
                  <c:v>0.48</c:v>
                </c:pt>
                <c:pt idx="239">
                  <c:v>0.48</c:v>
                </c:pt>
                <c:pt idx="240">
                  <c:v>0.48</c:v>
                </c:pt>
                <c:pt idx="241">
                  <c:v>0.48</c:v>
                </c:pt>
                <c:pt idx="242">
                  <c:v>0.48</c:v>
                </c:pt>
                <c:pt idx="243">
                  <c:v>0.48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  <c:pt idx="247">
                  <c:v>0.48</c:v>
                </c:pt>
                <c:pt idx="248">
                  <c:v>0.48</c:v>
                </c:pt>
                <c:pt idx="249">
                  <c:v>0.48</c:v>
                </c:pt>
                <c:pt idx="250">
                  <c:v>0.48</c:v>
                </c:pt>
                <c:pt idx="251">
                  <c:v>0.48</c:v>
                </c:pt>
                <c:pt idx="252">
                  <c:v>0.48</c:v>
                </c:pt>
                <c:pt idx="253">
                  <c:v>0.48</c:v>
                </c:pt>
                <c:pt idx="254">
                  <c:v>0.48</c:v>
                </c:pt>
                <c:pt idx="255">
                  <c:v>0.48</c:v>
                </c:pt>
                <c:pt idx="256">
                  <c:v>0.48</c:v>
                </c:pt>
                <c:pt idx="257">
                  <c:v>0.48</c:v>
                </c:pt>
                <c:pt idx="258">
                  <c:v>0.48</c:v>
                </c:pt>
                <c:pt idx="259">
                  <c:v>0.48</c:v>
                </c:pt>
                <c:pt idx="260">
                  <c:v>0.48</c:v>
                </c:pt>
                <c:pt idx="261">
                  <c:v>0.48</c:v>
                </c:pt>
                <c:pt idx="262">
                  <c:v>0.48</c:v>
                </c:pt>
                <c:pt idx="263">
                  <c:v>0.48</c:v>
                </c:pt>
                <c:pt idx="264">
                  <c:v>0.49</c:v>
                </c:pt>
                <c:pt idx="265">
                  <c:v>0.49</c:v>
                </c:pt>
                <c:pt idx="266">
                  <c:v>0.49</c:v>
                </c:pt>
                <c:pt idx="267">
                  <c:v>0.49</c:v>
                </c:pt>
                <c:pt idx="268">
                  <c:v>0.49</c:v>
                </c:pt>
                <c:pt idx="269">
                  <c:v>0.49</c:v>
                </c:pt>
                <c:pt idx="270">
                  <c:v>0.49</c:v>
                </c:pt>
                <c:pt idx="271">
                  <c:v>0.49</c:v>
                </c:pt>
                <c:pt idx="272">
                  <c:v>0.49</c:v>
                </c:pt>
                <c:pt idx="273">
                  <c:v>0.49</c:v>
                </c:pt>
                <c:pt idx="274">
                  <c:v>0.49</c:v>
                </c:pt>
                <c:pt idx="275">
                  <c:v>0.49</c:v>
                </c:pt>
                <c:pt idx="276">
                  <c:v>0.49</c:v>
                </c:pt>
                <c:pt idx="277">
                  <c:v>0.49</c:v>
                </c:pt>
                <c:pt idx="278">
                  <c:v>0.49</c:v>
                </c:pt>
                <c:pt idx="279">
                  <c:v>0.49</c:v>
                </c:pt>
                <c:pt idx="280">
                  <c:v>0.49</c:v>
                </c:pt>
                <c:pt idx="281">
                  <c:v>0.49</c:v>
                </c:pt>
                <c:pt idx="282">
                  <c:v>0.49</c:v>
                </c:pt>
                <c:pt idx="283">
                  <c:v>0.49</c:v>
                </c:pt>
                <c:pt idx="284">
                  <c:v>0.49</c:v>
                </c:pt>
                <c:pt idx="285">
                  <c:v>0.49</c:v>
                </c:pt>
                <c:pt idx="286">
                  <c:v>0.49</c:v>
                </c:pt>
                <c:pt idx="287">
                  <c:v>0.49</c:v>
                </c:pt>
                <c:pt idx="288">
                  <c:v>0.49</c:v>
                </c:pt>
                <c:pt idx="289">
                  <c:v>0.49</c:v>
                </c:pt>
                <c:pt idx="290">
                  <c:v>0.49</c:v>
                </c:pt>
                <c:pt idx="291">
                  <c:v>0.49</c:v>
                </c:pt>
                <c:pt idx="292">
                  <c:v>0.49</c:v>
                </c:pt>
                <c:pt idx="293">
                  <c:v>0.49</c:v>
                </c:pt>
                <c:pt idx="294">
                  <c:v>0.49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0.51</c:v>
                </c:pt>
                <c:pt idx="299">
                  <c:v>0.51</c:v>
                </c:pt>
                <c:pt idx="300">
                  <c:v>0.51</c:v>
                </c:pt>
                <c:pt idx="301">
                  <c:v>0.52</c:v>
                </c:pt>
                <c:pt idx="302">
                  <c:v>0.52</c:v>
                </c:pt>
                <c:pt idx="303">
                  <c:v>0.53</c:v>
                </c:pt>
                <c:pt idx="304">
                  <c:v>0.53</c:v>
                </c:pt>
                <c:pt idx="305">
                  <c:v>0.54</c:v>
                </c:pt>
                <c:pt idx="306">
                  <c:v>0.55000000000000004</c:v>
                </c:pt>
                <c:pt idx="307">
                  <c:v>0.56000000000000005</c:v>
                </c:pt>
                <c:pt idx="308">
                  <c:v>0.56999999999999995</c:v>
                </c:pt>
                <c:pt idx="309">
                  <c:v>0.57999999999999996</c:v>
                </c:pt>
                <c:pt idx="310">
                  <c:v>0.59</c:v>
                </c:pt>
                <c:pt idx="311">
                  <c:v>0.6</c:v>
                </c:pt>
                <c:pt idx="312">
                  <c:v>0.62</c:v>
                </c:pt>
                <c:pt idx="313">
                  <c:v>0.63</c:v>
                </c:pt>
                <c:pt idx="314">
                  <c:v>0.64</c:v>
                </c:pt>
                <c:pt idx="315">
                  <c:v>0.65</c:v>
                </c:pt>
                <c:pt idx="316">
                  <c:v>0.66</c:v>
                </c:pt>
                <c:pt idx="317">
                  <c:v>0.67</c:v>
                </c:pt>
                <c:pt idx="318">
                  <c:v>0.69</c:v>
                </c:pt>
                <c:pt idx="319">
                  <c:v>0.7</c:v>
                </c:pt>
                <c:pt idx="320">
                  <c:v>0.71</c:v>
                </c:pt>
                <c:pt idx="321">
                  <c:v>0.72</c:v>
                </c:pt>
                <c:pt idx="322">
                  <c:v>0.73</c:v>
                </c:pt>
                <c:pt idx="323">
                  <c:v>0.74</c:v>
                </c:pt>
                <c:pt idx="324">
                  <c:v>0.75</c:v>
                </c:pt>
                <c:pt idx="325">
                  <c:v>0.76</c:v>
                </c:pt>
                <c:pt idx="326">
                  <c:v>0.77</c:v>
                </c:pt>
                <c:pt idx="327">
                  <c:v>0.78</c:v>
                </c:pt>
                <c:pt idx="328">
                  <c:v>0.79</c:v>
                </c:pt>
                <c:pt idx="329">
                  <c:v>0.8</c:v>
                </c:pt>
                <c:pt idx="330">
                  <c:v>0.81</c:v>
                </c:pt>
                <c:pt idx="331">
                  <c:v>0.81</c:v>
                </c:pt>
                <c:pt idx="332">
                  <c:v>0.82</c:v>
                </c:pt>
                <c:pt idx="333">
                  <c:v>0.82</c:v>
                </c:pt>
                <c:pt idx="334">
                  <c:v>0.83</c:v>
                </c:pt>
                <c:pt idx="335">
                  <c:v>0.83</c:v>
                </c:pt>
                <c:pt idx="336">
                  <c:v>0.84</c:v>
                </c:pt>
                <c:pt idx="337">
                  <c:v>0.84</c:v>
                </c:pt>
                <c:pt idx="338">
                  <c:v>0.85</c:v>
                </c:pt>
                <c:pt idx="339">
                  <c:v>0.85</c:v>
                </c:pt>
                <c:pt idx="340">
                  <c:v>0.86</c:v>
                </c:pt>
                <c:pt idx="341">
                  <c:v>0.87</c:v>
                </c:pt>
                <c:pt idx="342">
                  <c:v>0.88</c:v>
                </c:pt>
                <c:pt idx="343">
                  <c:v>0.89</c:v>
                </c:pt>
                <c:pt idx="344">
                  <c:v>0.9</c:v>
                </c:pt>
                <c:pt idx="345">
                  <c:v>0.91</c:v>
                </c:pt>
                <c:pt idx="346">
                  <c:v>0.92</c:v>
                </c:pt>
                <c:pt idx="347">
                  <c:v>0.93</c:v>
                </c:pt>
                <c:pt idx="348">
                  <c:v>0.94</c:v>
                </c:pt>
                <c:pt idx="349">
                  <c:v>0.95</c:v>
                </c:pt>
                <c:pt idx="350">
                  <c:v>0.96</c:v>
                </c:pt>
                <c:pt idx="351">
                  <c:v>0.98</c:v>
                </c:pt>
                <c:pt idx="352">
                  <c:v>1</c:v>
                </c:pt>
                <c:pt idx="353">
                  <c:v>1.01</c:v>
                </c:pt>
                <c:pt idx="354">
                  <c:v>1.02</c:v>
                </c:pt>
                <c:pt idx="355">
                  <c:v>1.03</c:v>
                </c:pt>
                <c:pt idx="356">
                  <c:v>1.04</c:v>
                </c:pt>
                <c:pt idx="357">
                  <c:v>1.05</c:v>
                </c:pt>
                <c:pt idx="358">
                  <c:v>1.05</c:v>
                </c:pt>
                <c:pt idx="359">
                  <c:v>1.05</c:v>
                </c:pt>
                <c:pt idx="360">
                  <c:v>1.05</c:v>
                </c:pt>
                <c:pt idx="361">
                  <c:v>1.04</c:v>
                </c:pt>
                <c:pt idx="362">
                  <c:v>1.03</c:v>
                </c:pt>
                <c:pt idx="363">
                  <c:v>1.02</c:v>
                </c:pt>
                <c:pt idx="364">
                  <c:v>1.01</c:v>
                </c:pt>
                <c:pt idx="365">
                  <c:v>1</c:v>
                </c:pt>
                <c:pt idx="366">
                  <c:v>0.98</c:v>
                </c:pt>
                <c:pt idx="367">
                  <c:v>0.97</c:v>
                </c:pt>
                <c:pt idx="368">
                  <c:v>0.96</c:v>
                </c:pt>
                <c:pt idx="369">
                  <c:v>0.94</c:v>
                </c:pt>
                <c:pt idx="370">
                  <c:v>0.93</c:v>
                </c:pt>
                <c:pt idx="371">
                  <c:v>0.91</c:v>
                </c:pt>
                <c:pt idx="372">
                  <c:v>0.9</c:v>
                </c:pt>
                <c:pt idx="373">
                  <c:v>0.89</c:v>
                </c:pt>
                <c:pt idx="374">
                  <c:v>0.87</c:v>
                </c:pt>
                <c:pt idx="375">
                  <c:v>0.85</c:v>
                </c:pt>
                <c:pt idx="376">
                  <c:v>0.84</c:v>
                </c:pt>
                <c:pt idx="377">
                  <c:v>0.83</c:v>
                </c:pt>
                <c:pt idx="378">
                  <c:v>0.82</c:v>
                </c:pt>
                <c:pt idx="379">
                  <c:v>0.81</c:v>
                </c:pt>
                <c:pt idx="380">
                  <c:v>0.8</c:v>
                </c:pt>
                <c:pt idx="381">
                  <c:v>0.79</c:v>
                </c:pt>
                <c:pt idx="382">
                  <c:v>0.78</c:v>
                </c:pt>
                <c:pt idx="383">
                  <c:v>0.77</c:v>
                </c:pt>
                <c:pt idx="384">
                  <c:v>0.76</c:v>
                </c:pt>
                <c:pt idx="385">
                  <c:v>0.75</c:v>
                </c:pt>
                <c:pt idx="386">
                  <c:v>0.74</c:v>
                </c:pt>
                <c:pt idx="387">
                  <c:v>0.72</c:v>
                </c:pt>
                <c:pt idx="388">
                  <c:v>0.71</c:v>
                </c:pt>
                <c:pt idx="389">
                  <c:v>0.7</c:v>
                </c:pt>
                <c:pt idx="390">
                  <c:v>0.69</c:v>
                </c:pt>
                <c:pt idx="391">
                  <c:v>0.68</c:v>
                </c:pt>
                <c:pt idx="392">
                  <c:v>0.67</c:v>
                </c:pt>
                <c:pt idx="393">
                  <c:v>0.67</c:v>
                </c:pt>
                <c:pt idx="394">
                  <c:v>0.66</c:v>
                </c:pt>
                <c:pt idx="395">
                  <c:v>0.66</c:v>
                </c:pt>
                <c:pt idx="396">
                  <c:v>0.65</c:v>
                </c:pt>
                <c:pt idx="397">
                  <c:v>0.65</c:v>
                </c:pt>
                <c:pt idx="398">
                  <c:v>0.64</c:v>
                </c:pt>
                <c:pt idx="399">
                  <c:v>0.64</c:v>
                </c:pt>
                <c:pt idx="400">
                  <c:v>0.64</c:v>
                </c:pt>
                <c:pt idx="401">
                  <c:v>0.64</c:v>
                </c:pt>
                <c:pt idx="402">
                  <c:v>0.63</c:v>
                </c:pt>
                <c:pt idx="403">
                  <c:v>0.63</c:v>
                </c:pt>
                <c:pt idx="404">
                  <c:v>0.63</c:v>
                </c:pt>
                <c:pt idx="405">
                  <c:v>0.63</c:v>
                </c:pt>
                <c:pt idx="406">
                  <c:v>0.62</c:v>
                </c:pt>
                <c:pt idx="407">
                  <c:v>0.62</c:v>
                </c:pt>
                <c:pt idx="408">
                  <c:v>0.62</c:v>
                </c:pt>
                <c:pt idx="409">
                  <c:v>0.61</c:v>
                </c:pt>
                <c:pt idx="410">
                  <c:v>0.61</c:v>
                </c:pt>
                <c:pt idx="411">
                  <c:v>0.61</c:v>
                </c:pt>
                <c:pt idx="412">
                  <c:v>0.62</c:v>
                </c:pt>
                <c:pt idx="413">
                  <c:v>0.6</c:v>
                </c:pt>
                <c:pt idx="414">
                  <c:v>0.6</c:v>
                </c:pt>
                <c:pt idx="415">
                  <c:v>0.6</c:v>
                </c:pt>
                <c:pt idx="416">
                  <c:v>0.6</c:v>
                </c:pt>
                <c:pt idx="417">
                  <c:v>0.6</c:v>
                </c:pt>
                <c:pt idx="418">
                  <c:v>0.6</c:v>
                </c:pt>
                <c:pt idx="419">
                  <c:v>0.6</c:v>
                </c:pt>
                <c:pt idx="420">
                  <c:v>0.59</c:v>
                </c:pt>
                <c:pt idx="421">
                  <c:v>0.59</c:v>
                </c:pt>
                <c:pt idx="422">
                  <c:v>0.59</c:v>
                </c:pt>
                <c:pt idx="423">
                  <c:v>0.59</c:v>
                </c:pt>
                <c:pt idx="424">
                  <c:v>0.59</c:v>
                </c:pt>
                <c:pt idx="425">
                  <c:v>0.59</c:v>
                </c:pt>
                <c:pt idx="426">
                  <c:v>0.57999999999999996</c:v>
                </c:pt>
                <c:pt idx="427">
                  <c:v>0.57999999999999996</c:v>
                </c:pt>
                <c:pt idx="428">
                  <c:v>0.57999999999999996</c:v>
                </c:pt>
                <c:pt idx="429">
                  <c:v>0.57999999999999996</c:v>
                </c:pt>
                <c:pt idx="430">
                  <c:v>0.57999999999999996</c:v>
                </c:pt>
                <c:pt idx="431">
                  <c:v>0.57999999999999996</c:v>
                </c:pt>
                <c:pt idx="432">
                  <c:v>0.56999999999999995</c:v>
                </c:pt>
                <c:pt idx="433">
                  <c:v>0.56999999999999995</c:v>
                </c:pt>
                <c:pt idx="434">
                  <c:v>0.56999999999999995</c:v>
                </c:pt>
                <c:pt idx="435">
                  <c:v>0.56999999999999995</c:v>
                </c:pt>
                <c:pt idx="436">
                  <c:v>0.56999999999999995</c:v>
                </c:pt>
                <c:pt idx="437">
                  <c:v>0.56999999999999995</c:v>
                </c:pt>
                <c:pt idx="438">
                  <c:v>0.56999999999999995</c:v>
                </c:pt>
                <c:pt idx="439">
                  <c:v>0.56999999999999995</c:v>
                </c:pt>
                <c:pt idx="440">
                  <c:v>0.56999999999999995</c:v>
                </c:pt>
                <c:pt idx="441">
                  <c:v>0.56999999999999995</c:v>
                </c:pt>
                <c:pt idx="442">
                  <c:v>0.56999999999999995</c:v>
                </c:pt>
                <c:pt idx="443">
                  <c:v>0.56999999999999995</c:v>
                </c:pt>
                <c:pt idx="444">
                  <c:v>0.56999999999999995</c:v>
                </c:pt>
                <c:pt idx="445">
                  <c:v>0.56999999999999995</c:v>
                </c:pt>
                <c:pt idx="446">
                  <c:v>0.56999999999999995</c:v>
                </c:pt>
                <c:pt idx="447">
                  <c:v>0.56999999999999995</c:v>
                </c:pt>
                <c:pt idx="448">
                  <c:v>0.56999999999999995</c:v>
                </c:pt>
                <c:pt idx="449">
                  <c:v>0.56999999999999995</c:v>
                </c:pt>
                <c:pt idx="450">
                  <c:v>0.56000000000000005</c:v>
                </c:pt>
                <c:pt idx="451">
                  <c:v>0.56000000000000005</c:v>
                </c:pt>
                <c:pt idx="452">
                  <c:v>0.56000000000000005</c:v>
                </c:pt>
                <c:pt idx="453">
                  <c:v>0.56000000000000005</c:v>
                </c:pt>
                <c:pt idx="454">
                  <c:v>0.56000000000000005</c:v>
                </c:pt>
                <c:pt idx="455">
                  <c:v>0.56000000000000005</c:v>
                </c:pt>
                <c:pt idx="456">
                  <c:v>0.55000000000000004</c:v>
                </c:pt>
                <c:pt idx="457">
                  <c:v>0.55000000000000004</c:v>
                </c:pt>
                <c:pt idx="458">
                  <c:v>0.55000000000000004</c:v>
                </c:pt>
                <c:pt idx="459">
                  <c:v>0.55000000000000004</c:v>
                </c:pt>
                <c:pt idx="460">
                  <c:v>0.55000000000000004</c:v>
                </c:pt>
                <c:pt idx="461">
                  <c:v>0.54</c:v>
                </c:pt>
                <c:pt idx="462">
                  <c:v>0.54</c:v>
                </c:pt>
                <c:pt idx="463">
                  <c:v>0.54</c:v>
                </c:pt>
                <c:pt idx="464">
                  <c:v>0.54</c:v>
                </c:pt>
                <c:pt idx="465">
                  <c:v>0.54</c:v>
                </c:pt>
                <c:pt idx="466">
                  <c:v>0.54</c:v>
                </c:pt>
                <c:pt idx="467">
                  <c:v>0.54</c:v>
                </c:pt>
                <c:pt idx="468">
                  <c:v>0.53</c:v>
                </c:pt>
                <c:pt idx="469">
                  <c:v>0.53</c:v>
                </c:pt>
                <c:pt idx="470">
                  <c:v>0.53</c:v>
                </c:pt>
                <c:pt idx="471">
                  <c:v>0.53</c:v>
                </c:pt>
                <c:pt idx="472">
                  <c:v>0.53</c:v>
                </c:pt>
                <c:pt idx="473">
                  <c:v>0.53</c:v>
                </c:pt>
                <c:pt idx="474">
                  <c:v>0.52</c:v>
                </c:pt>
                <c:pt idx="475">
                  <c:v>0.52</c:v>
                </c:pt>
                <c:pt idx="476">
                  <c:v>0.52</c:v>
                </c:pt>
                <c:pt idx="477">
                  <c:v>0.52</c:v>
                </c:pt>
                <c:pt idx="478">
                  <c:v>0.52</c:v>
                </c:pt>
                <c:pt idx="479">
                  <c:v>0.52</c:v>
                </c:pt>
                <c:pt idx="480">
                  <c:v>0.51</c:v>
                </c:pt>
                <c:pt idx="481">
                  <c:v>0.51</c:v>
                </c:pt>
                <c:pt idx="482">
                  <c:v>0.51</c:v>
                </c:pt>
                <c:pt idx="483">
                  <c:v>0.51</c:v>
                </c:pt>
                <c:pt idx="484">
                  <c:v>0.51</c:v>
                </c:pt>
                <c:pt idx="485">
                  <c:v>0.51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0.49</c:v>
                </c:pt>
                <c:pt idx="493">
                  <c:v>0.49</c:v>
                </c:pt>
                <c:pt idx="494">
                  <c:v>0.49</c:v>
                </c:pt>
                <c:pt idx="495">
                  <c:v>0.49</c:v>
                </c:pt>
                <c:pt idx="496">
                  <c:v>0.49</c:v>
                </c:pt>
                <c:pt idx="497">
                  <c:v>0.49</c:v>
                </c:pt>
                <c:pt idx="498">
                  <c:v>0.49</c:v>
                </c:pt>
                <c:pt idx="499">
                  <c:v>0.49</c:v>
                </c:pt>
                <c:pt idx="500">
                  <c:v>0.49</c:v>
                </c:pt>
                <c:pt idx="501">
                  <c:v>0.49</c:v>
                </c:pt>
                <c:pt idx="502">
                  <c:v>0.49</c:v>
                </c:pt>
                <c:pt idx="503">
                  <c:v>0.49</c:v>
                </c:pt>
                <c:pt idx="504">
                  <c:v>0.48</c:v>
                </c:pt>
                <c:pt idx="505">
                  <c:v>0.48</c:v>
                </c:pt>
                <c:pt idx="506">
                  <c:v>0.48</c:v>
                </c:pt>
                <c:pt idx="507">
                  <c:v>0.48</c:v>
                </c:pt>
                <c:pt idx="508">
                  <c:v>0.48</c:v>
                </c:pt>
                <c:pt idx="509">
                  <c:v>0.48</c:v>
                </c:pt>
                <c:pt idx="510">
                  <c:v>0.48</c:v>
                </c:pt>
                <c:pt idx="511">
                  <c:v>0.48</c:v>
                </c:pt>
                <c:pt idx="512">
                  <c:v>0.48</c:v>
                </c:pt>
                <c:pt idx="513">
                  <c:v>0.48</c:v>
                </c:pt>
                <c:pt idx="514">
                  <c:v>0.48</c:v>
                </c:pt>
                <c:pt idx="515">
                  <c:v>0.48</c:v>
                </c:pt>
                <c:pt idx="516">
                  <c:v>0.48</c:v>
                </c:pt>
                <c:pt idx="517">
                  <c:v>0.48</c:v>
                </c:pt>
                <c:pt idx="518">
                  <c:v>0.48</c:v>
                </c:pt>
                <c:pt idx="519">
                  <c:v>0.48</c:v>
                </c:pt>
                <c:pt idx="520">
                  <c:v>0.48</c:v>
                </c:pt>
                <c:pt idx="521">
                  <c:v>0.48</c:v>
                </c:pt>
                <c:pt idx="522">
                  <c:v>0.48</c:v>
                </c:pt>
                <c:pt idx="523">
                  <c:v>0.48</c:v>
                </c:pt>
                <c:pt idx="524">
                  <c:v>0.48</c:v>
                </c:pt>
                <c:pt idx="525">
                  <c:v>0.48</c:v>
                </c:pt>
                <c:pt idx="526">
                  <c:v>0.48</c:v>
                </c:pt>
                <c:pt idx="527">
                  <c:v>0.48</c:v>
                </c:pt>
                <c:pt idx="528">
                  <c:v>0.47</c:v>
                </c:pt>
                <c:pt idx="529">
                  <c:v>0.47</c:v>
                </c:pt>
                <c:pt idx="530">
                  <c:v>0.47</c:v>
                </c:pt>
                <c:pt idx="531">
                  <c:v>0.47</c:v>
                </c:pt>
                <c:pt idx="532">
                  <c:v>0.47</c:v>
                </c:pt>
                <c:pt idx="533">
                  <c:v>0.47</c:v>
                </c:pt>
                <c:pt idx="534">
                  <c:v>0.47</c:v>
                </c:pt>
                <c:pt idx="535">
                  <c:v>0.47</c:v>
                </c:pt>
                <c:pt idx="536">
                  <c:v>0.47</c:v>
                </c:pt>
                <c:pt idx="537">
                  <c:v>0.47</c:v>
                </c:pt>
                <c:pt idx="538">
                  <c:v>0.47</c:v>
                </c:pt>
                <c:pt idx="539">
                  <c:v>0.47</c:v>
                </c:pt>
                <c:pt idx="540">
                  <c:v>0.46</c:v>
                </c:pt>
                <c:pt idx="541">
                  <c:v>0.46</c:v>
                </c:pt>
                <c:pt idx="542">
                  <c:v>0.46</c:v>
                </c:pt>
                <c:pt idx="543">
                  <c:v>0.46</c:v>
                </c:pt>
                <c:pt idx="544">
                  <c:v>0.46</c:v>
                </c:pt>
                <c:pt idx="545">
                  <c:v>0.46</c:v>
                </c:pt>
                <c:pt idx="546">
                  <c:v>0.46</c:v>
                </c:pt>
                <c:pt idx="547">
                  <c:v>0.46</c:v>
                </c:pt>
                <c:pt idx="548">
                  <c:v>0.46</c:v>
                </c:pt>
                <c:pt idx="549">
                  <c:v>0.46</c:v>
                </c:pt>
                <c:pt idx="550">
                  <c:v>0.46</c:v>
                </c:pt>
                <c:pt idx="551">
                  <c:v>0.46</c:v>
                </c:pt>
                <c:pt idx="552">
                  <c:v>0.45</c:v>
                </c:pt>
                <c:pt idx="553">
                  <c:v>0.45</c:v>
                </c:pt>
                <c:pt idx="554">
                  <c:v>0.45</c:v>
                </c:pt>
                <c:pt idx="555">
                  <c:v>0.45</c:v>
                </c:pt>
                <c:pt idx="556">
                  <c:v>0.45</c:v>
                </c:pt>
                <c:pt idx="557">
                  <c:v>0.45</c:v>
                </c:pt>
                <c:pt idx="558">
                  <c:v>0.45</c:v>
                </c:pt>
                <c:pt idx="559">
                  <c:v>0.45</c:v>
                </c:pt>
                <c:pt idx="560">
                  <c:v>0.45</c:v>
                </c:pt>
                <c:pt idx="561">
                  <c:v>0.45</c:v>
                </c:pt>
                <c:pt idx="562">
                  <c:v>0.45</c:v>
                </c:pt>
                <c:pt idx="563">
                  <c:v>0.45</c:v>
                </c:pt>
                <c:pt idx="564">
                  <c:v>0.45</c:v>
                </c:pt>
                <c:pt idx="565">
                  <c:v>0.45</c:v>
                </c:pt>
                <c:pt idx="566">
                  <c:v>0.45</c:v>
                </c:pt>
                <c:pt idx="567">
                  <c:v>0.45</c:v>
                </c:pt>
                <c:pt idx="568">
                  <c:v>0.45</c:v>
                </c:pt>
                <c:pt idx="569">
                  <c:v>0.45</c:v>
                </c:pt>
                <c:pt idx="570">
                  <c:v>0.45</c:v>
                </c:pt>
                <c:pt idx="571">
                  <c:v>0.45</c:v>
                </c:pt>
                <c:pt idx="572">
                  <c:v>0.45</c:v>
                </c:pt>
                <c:pt idx="573">
                  <c:v>0.45</c:v>
                </c:pt>
                <c:pt idx="574">
                  <c:v>0.45</c:v>
                </c:pt>
                <c:pt idx="575">
                  <c:v>0.45</c:v>
                </c:pt>
                <c:pt idx="576">
                  <c:v>0.45</c:v>
                </c:pt>
                <c:pt idx="577">
                  <c:v>0.45</c:v>
                </c:pt>
                <c:pt idx="578">
                  <c:v>0.45</c:v>
                </c:pt>
                <c:pt idx="579">
                  <c:v>0.45</c:v>
                </c:pt>
                <c:pt idx="580">
                  <c:v>0.45</c:v>
                </c:pt>
                <c:pt idx="581">
                  <c:v>0.45</c:v>
                </c:pt>
                <c:pt idx="582">
                  <c:v>0.47</c:v>
                </c:pt>
                <c:pt idx="583">
                  <c:v>0.49</c:v>
                </c:pt>
                <c:pt idx="584">
                  <c:v>0.51</c:v>
                </c:pt>
                <c:pt idx="585">
                  <c:v>0.53</c:v>
                </c:pt>
                <c:pt idx="586">
                  <c:v>0.55000000000000004</c:v>
                </c:pt>
                <c:pt idx="587">
                  <c:v>0.56999999999999995</c:v>
                </c:pt>
                <c:pt idx="588">
                  <c:v>0.59</c:v>
                </c:pt>
                <c:pt idx="589">
                  <c:v>0.61</c:v>
                </c:pt>
                <c:pt idx="590">
                  <c:v>0.62</c:v>
                </c:pt>
                <c:pt idx="591">
                  <c:v>0.63</c:v>
                </c:pt>
                <c:pt idx="592">
                  <c:v>0.63</c:v>
                </c:pt>
                <c:pt idx="593">
                  <c:v>0.63</c:v>
                </c:pt>
                <c:pt idx="594">
                  <c:v>0.62</c:v>
                </c:pt>
                <c:pt idx="595">
                  <c:v>0.61</c:v>
                </c:pt>
                <c:pt idx="596">
                  <c:v>0.6</c:v>
                </c:pt>
                <c:pt idx="597">
                  <c:v>0.59</c:v>
                </c:pt>
                <c:pt idx="598">
                  <c:v>0.56000000000000005</c:v>
                </c:pt>
                <c:pt idx="599">
                  <c:v>0.53</c:v>
                </c:pt>
                <c:pt idx="600">
                  <c:v>0.51</c:v>
                </c:pt>
                <c:pt idx="601">
                  <c:v>0.49</c:v>
                </c:pt>
                <c:pt idx="602">
                  <c:v>0.47</c:v>
                </c:pt>
                <c:pt idx="603">
                  <c:v>0.46</c:v>
                </c:pt>
                <c:pt idx="604">
                  <c:v>0.45</c:v>
                </c:pt>
                <c:pt idx="605">
                  <c:v>0.44</c:v>
                </c:pt>
                <c:pt idx="606">
                  <c:v>0.44</c:v>
                </c:pt>
                <c:pt idx="607">
                  <c:v>0.44</c:v>
                </c:pt>
                <c:pt idx="608">
                  <c:v>0.44</c:v>
                </c:pt>
                <c:pt idx="609">
                  <c:v>0.44</c:v>
                </c:pt>
                <c:pt idx="610">
                  <c:v>0.44</c:v>
                </c:pt>
                <c:pt idx="611">
                  <c:v>0.44</c:v>
                </c:pt>
                <c:pt idx="612">
                  <c:v>0.44</c:v>
                </c:pt>
                <c:pt idx="613">
                  <c:v>0.44</c:v>
                </c:pt>
                <c:pt idx="614">
                  <c:v>0.44</c:v>
                </c:pt>
                <c:pt idx="615">
                  <c:v>0.44</c:v>
                </c:pt>
                <c:pt idx="616">
                  <c:v>0.44</c:v>
                </c:pt>
                <c:pt idx="617">
                  <c:v>0.44</c:v>
                </c:pt>
                <c:pt idx="618">
                  <c:v>0.44</c:v>
                </c:pt>
                <c:pt idx="619">
                  <c:v>0.44</c:v>
                </c:pt>
                <c:pt idx="620">
                  <c:v>0.44</c:v>
                </c:pt>
                <c:pt idx="621">
                  <c:v>0.44</c:v>
                </c:pt>
                <c:pt idx="622">
                  <c:v>0.44</c:v>
                </c:pt>
                <c:pt idx="623">
                  <c:v>0.44</c:v>
                </c:pt>
                <c:pt idx="624">
                  <c:v>0.43</c:v>
                </c:pt>
                <c:pt idx="625">
                  <c:v>0.43</c:v>
                </c:pt>
                <c:pt idx="626">
                  <c:v>0.43</c:v>
                </c:pt>
                <c:pt idx="627">
                  <c:v>0.43</c:v>
                </c:pt>
                <c:pt idx="628">
                  <c:v>0.43</c:v>
                </c:pt>
                <c:pt idx="629">
                  <c:v>0.43</c:v>
                </c:pt>
                <c:pt idx="630">
                  <c:v>0.43</c:v>
                </c:pt>
                <c:pt idx="631">
                  <c:v>0.43</c:v>
                </c:pt>
                <c:pt idx="632">
                  <c:v>0.43</c:v>
                </c:pt>
                <c:pt idx="633">
                  <c:v>0.43</c:v>
                </c:pt>
                <c:pt idx="634">
                  <c:v>0.43</c:v>
                </c:pt>
                <c:pt idx="635">
                  <c:v>0.43</c:v>
                </c:pt>
                <c:pt idx="636">
                  <c:v>0.43</c:v>
                </c:pt>
                <c:pt idx="637">
                  <c:v>0.43</c:v>
                </c:pt>
                <c:pt idx="638">
                  <c:v>0.43</c:v>
                </c:pt>
                <c:pt idx="639">
                  <c:v>0.43</c:v>
                </c:pt>
                <c:pt idx="640">
                  <c:v>0.43</c:v>
                </c:pt>
                <c:pt idx="641">
                  <c:v>0.43</c:v>
                </c:pt>
                <c:pt idx="642">
                  <c:v>0.43</c:v>
                </c:pt>
                <c:pt idx="643">
                  <c:v>0.43</c:v>
                </c:pt>
                <c:pt idx="644">
                  <c:v>0.43</c:v>
                </c:pt>
                <c:pt idx="645">
                  <c:v>0.43</c:v>
                </c:pt>
                <c:pt idx="646">
                  <c:v>0.43</c:v>
                </c:pt>
                <c:pt idx="647">
                  <c:v>0.43</c:v>
                </c:pt>
                <c:pt idx="648">
                  <c:v>0.42</c:v>
                </c:pt>
                <c:pt idx="649">
                  <c:v>0.42</c:v>
                </c:pt>
                <c:pt idx="650">
                  <c:v>0.42</c:v>
                </c:pt>
                <c:pt idx="651">
                  <c:v>0.42</c:v>
                </c:pt>
                <c:pt idx="652">
                  <c:v>0.42</c:v>
                </c:pt>
                <c:pt idx="653">
                  <c:v>0.42</c:v>
                </c:pt>
                <c:pt idx="654">
                  <c:v>0.42</c:v>
                </c:pt>
                <c:pt idx="655">
                  <c:v>0.42</c:v>
                </c:pt>
                <c:pt idx="656">
                  <c:v>0.42</c:v>
                </c:pt>
                <c:pt idx="657">
                  <c:v>0.42</c:v>
                </c:pt>
                <c:pt idx="658">
                  <c:v>0.42</c:v>
                </c:pt>
                <c:pt idx="659">
                  <c:v>0.42</c:v>
                </c:pt>
                <c:pt idx="660">
                  <c:v>0.43</c:v>
                </c:pt>
                <c:pt idx="661">
                  <c:v>0.43</c:v>
                </c:pt>
                <c:pt idx="662">
                  <c:v>0.43</c:v>
                </c:pt>
                <c:pt idx="663">
                  <c:v>0.43</c:v>
                </c:pt>
                <c:pt idx="664">
                  <c:v>0.43</c:v>
                </c:pt>
                <c:pt idx="665">
                  <c:v>0.43</c:v>
                </c:pt>
                <c:pt idx="666">
                  <c:v>0.43</c:v>
                </c:pt>
                <c:pt idx="667">
                  <c:v>0.43</c:v>
                </c:pt>
                <c:pt idx="668">
                  <c:v>0.43</c:v>
                </c:pt>
                <c:pt idx="669">
                  <c:v>0.43</c:v>
                </c:pt>
                <c:pt idx="670">
                  <c:v>0.43</c:v>
                </c:pt>
                <c:pt idx="671">
                  <c:v>0.43</c:v>
                </c:pt>
                <c:pt idx="672">
                  <c:v>0.44</c:v>
                </c:pt>
                <c:pt idx="673">
                  <c:v>0.44</c:v>
                </c:pt>
                <c:pt idx="674">
                  <c:v>0.44</c:v>
                </c:pt>
                <c:pt idx="675">
                  <c:v>0.44</c:v>
                </c:pt>
                <c:pt idx="676">
                  <c:v>0.44</c:v>
                </c:pt>
                <c:pt idx="677">
                  <c:v>0.44</c:v>
                </c:pt>
                <c:pt idx="678">
                  <c:v>0.44</c:v>
                </c:pt>
                <c:pt idx="679">
                  <c:v>0.44</c:v>
                </c:pt>
                <c:pt idx="680">
                  <c:v>0.44</c:v>
                </c:pt>
                <c:pt idx="681">
                  <c:v>0.44</c:v>
                </c:pt>
                <c:pt idx="682">
                  <c:v>0.44</c:v>
                </c:pt>
                <c:pt idx="683">
                  <c:v>0.44</c:v>
                </c:pt>
                <c:pt idx="684">
                  <c:v>0.44</c:v>
                </c:pt>
                <c:pt idx="685">
                  <c:v>0.44</c:v>
                </c:pt>
                <c:pt idx="686">
                  <c:v>0.44</c:v>
                </c:pt>
                <c:pt idx="687">
                  <c:v>0.44</c:v>
                </c:pt>
                <c:pt idx="688">
                  <c:v>0.44</c:v>
                </c:pt>
                <c:pt idx="689">
                  <c:v>0.44</c:v>
                </c:pt>
                <c:pt idx="690">
                  <c:v>0.44</c:v>
                </c:pt>
                <c:pt idx="691">
                  <c:v>0.44</c:v>
                </c:pt>
                <c:pt idx="692">
                  <c:v>0.44</c:v>
                </c:pt>
                <c:pt idx="693">
                  <c:v>0.44</c:v>
                </c:pt>
                <c:pt idx="694">
                  <c:v>0.44</c:v>
                </c:pt>
                <c:pt idx="695">
                  <c:v>0.44</c:v>
                </c:pt>
                <c:pt idx="696">
                  <c:v>0.44</c:v>
                </c:pt>
                <c:pt idx="697">
                  <c:v>0.44</c:v>
                </c:pt>
                <c:pt idx="698">
                  <c:v>0.44</c:v>
                </c:pt>
                <c:pt idx="699">
                  <c:v>0.44</c:v>
                </c:pt>
                <c:pt idx="700">
                  <c:v>0.44</c:v>
                </c:pt>
                <c:pt idx="701">
                  <c:v>0.44</c:v>
                </c:pt>
                <c:pt idx="702">
                  <c:v>0.44</c:v>
                </c:pt>
                <c:pt idx="703">
                  <c:v>0.44</c:v>
                </c:pt>
                <c:pt idx="704">
                  <c:v>0.44</c:v>
                </c:pt>
                <c:pt idx="705">
                  <c:v>0.44</c:v>
                </c:pt>
                <c:pt idx="706">
                  <c:v>0.44</c:v>
                </c:pt>
                <c:pt idx="707">
                  <c:v>0.44</c:v>
                </c:pt>
                <c:pt idx="708">
                  <c:v>0.44</c:v>
                </c:pt>
                <c:pt idx="709">
                  <c:v>0.44</c:v>
                </c:pt>
                <c:pt idx="710">
                  <c:v>0.44</c:v>
                </c:pt>
                <c:pt idx="711">
                  <c:v>0.44</c:v>
                </c:pt>
                <c:pt idx="712">
                  <c:v>0.44</c:v>
                </c:pt>
                <c:pt idx="713">
                  <c:v>0.44</c:v>
                </c:pt>
                <c:pt idx="714">
                  <c:v>0.44</c:v>
                </c:pt>
                <c:pt idx="715">
                  <c:v>0.44</c:v>
                </c:pt>
                <c:pt idx="716">
                  <c:v>0.44</c:v>
                </c:pt>
                <c:pt idx="717">
                  <c:v>0.44</c:v>
                </c:pt>
                <c:pt idx="718">
                  <c:v>0.44</c:v>
                </c:pt>
                <c:pt idx="719">
                  <c:v>0.44</c:v>
                </c:pt>
                <c:pt idx="720">
                  <c:v>0.44</c:v>
                </c:pt>
                <c:pt idx="721">
                  <c:v>0.44</c:v>
                </c:pt>
                <c:pt idx="722">
                  <c:v>0.44</c:v>
                </c:pt>
                <c:pt idx="723">
                  <c:v>0.44</c:v>
                </c:pt>
                <c:pt idx="724">
                  <c:v>0.44</c:v>
                </c:pt>
                <c:pt idx="725">
                  <c:v>0.44</c:v>
                </c:pt>
                <c:pt idx="726">
                  <c:v>0.44</c:v>
                </c:pt>
                <c:pt idx="727">
                  <c:v>0.44</c:v>
                </c:pt>
                <c:pt idx="728">
                  <c:v>0.44</c:v>
                </c:pt>
                <c:pt idx="729">
                  <c:v>0.44</c:v>
                </c:pt>
                <c:pt idx="730">
                  <c:v>0.44</c:v>
                </c:pt>
                <c:pt idx="731">
                  <c:v>0.44</c:v>
                </c:pt>
                <c:pt idx="732">
                  <c:v>0.44</c:v>
                </c:pt>
                <c:pt idx="733">
                  <c:v>0.44</c:v>
                </c:pt>
                <c:pt idx="734">
                  <c:v>0.44</c:v>
                </c:pt>
                <c:pt idx="735">
                  <c:v>0.44</c:v>
                </c:pt>
                <c:pt idx="736">
                  <c:v>0.44</c:v>
                </c:pt>
                <c:pt idx="737">
                  <c:v>0.44</c:v>
                </c:pt>
                <c:pt idx="738">
                  <c:v>0.44</c:v>
                </c:pt>
                <c:pt idx="739">
                  <c:v>0.44</c:v>
                </c:pt>
                <c:pt idx="740">
                  <c:v>0.44</c:v>
                </c:pt>
                <c:pt idx="741">
                  <c:v>0.44</c:v>
                </c:pt>
                <c:pt idx="742">
                  <c:v>0.44</c:v>
                </c:pt>
                <c:pt idx="743">
                  <c:v>0.44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0272"/>
        <c:axId val="88472192"/>
      </c:scatterChart>
      <c:valAx>
        <c:axId val="88470272"/>
        <c:scaling>
          <c:orientation val="minMax"/>
          <c:max val="745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8080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8472192"/>
        <c:crosses val="autoZero"/>
        <c:crossBetween val="midCat"/>
        <c:majorUnit val="24"/>
        <c:minorUnit val="1.49"/>
      </c:valAx>
      <c:valAx>
        <c:axId val="8847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84702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January</a:t>
            </a:r>
          </a:p>
        </c:rich>
      </c:tx>
      <c:layout>
        <c:manualLayout>
          <c:xMode val="edge"/>
          <c:yMode val="edge"/>
          <c:x val="0.48236446766819074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065969954278251E-2"/>
          <c:y val="0.16062203256900462"/>
          <c:w val="0.95133899412148926"/>
          <c:h val="0.72538982450518219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33CCCC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8080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'Graph-Hou'!$CP$2:$CP$745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</c:numCache>
            </c:numRef>
          </c:xVal>
          <c:yVal>
            <c:numRef>
              <c:f>'Graph-Hou'!$CS$2:$CS$745</c:f>
              <c:numCache>
                <c:formatCode>0.00</c:formatCode>
                <c:ptCount val="744"/>
                <c:pt idx="0">
                  <c:v>0.44</c:v>
                </c:pt>
                <c:pt idx="1">
                  <c:v>0.44</c:v>
                </c:pt>
                <c:pt idx="2">
                  <c:v>0.44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  <c:pt idx="13">
                  <c:v>0.44</c:v>
                </c:pt>
                <c:pt idx="14">
                  <c:v>0.44</c:v>
                </c:pt>
                <c:pt idx="15">
                  <c:v>0.44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</c:v>
                </c:pt>
                <c:pt idx="23">
                  <c:v>0.44</c:v>
                </c:pt>
                <c:pt idx="24">
                  <c:v>0.43</c:v>
                </c:pt>
                <c:pt idx="25">
                  <c:v>0.43</c:v>
                </c:pt>
                <c:pt idx="26">
                  <c:v>0.43</c:v>
                </c:pt>
                <c:pt idx="27">
                  <c:v>0.43</c:v>
                </c:pt>
                <c:pt idx="28">
                  <c:v>0.43</c:v>
                </c:pt>
                <c:pt idx="29">
                  <c:v>0.43</c:v>
                </c:pt>
                <c:pt idx="30">
                  <c:v>0.43</c:v>
                </c:pt>
                <c:pt idx="31">
                  <c:v>0.43</c:v>
                </c:pt>
                <c:pt idx="32">
                  <c:v>0.43</c:v>
                </c:pt>
                <c:pt idx="33">
                  <c:v>0.43</c:v>
                </c:pt>
                <c:pt idx="34">
                  <c:v>0.43</c:v>
                </c:pt>
                <c:pt idx="35">
                  <c:v>0.43</c:v>
                </c:pt>
                <c:pt idx="36">
                  <c:v>0.43</c:v>
                </c:pt>
                <c:pt idx="37">
                  <c:v>0.43</c:v>
                </c:pt>
                <c:pt idx="38">
                  <c:v>0.43</c:v>
                </c:pt>
                <c:pt idx="39">
                  <c:v>0.43</c:v>
                </c:pt>
                <c:pt idx="40">
                  <c:v>0.43</c:v>
                </c:pt>
                <c:pt idx="41">
                  <c:v>0.43</c:v>
                </c:pt>
                <c:pt idx="42">
                  <c:v>0.43</c:v>
                </c:pt>
                <c:pt idx="43">
                  <c:v>0.43</c:v>
                </c:pt>
                <c:pt idx="44">
                  <c:v>0.43</c:v>
                </c:pt>
                <c:pt idx="45">
                  <c:v>0.43</c:v>
                </c:pt>
                <c:pt idx="46">
                  <c:v>0.43</c:v>
                </c:pt>
                <c:pt idx="47">
                  <c:v>0.43</c:v>
                </c:pt>
                <c:pt idx="48">
                  <c:v>0.43</c:v>
                </c:pt>
                <c:pt idx="49">
                  <c:v>0.43</c:v>
                </c:pt>
                <c:pt idx="50">
                  <c:v>0.43</c:v>
                </c:pt>
                <c:pt idx="51">
                  <c:v>0.43</c:v>
                </c:pt>
                <c:pt idx="52">
                  <c:v>0.43</c:v>
                </c:pt>
                <c:pt idx="53">
                  <c:v>0.43</c:v>
                </c:pt>
                <c:pt idx="54">
                  <c:v>0.43</c:v>
                </c:pt>
                <c:pt idx="55">
                  <c:v>0.43</c:v>
                </c:pt>
                <c:pt idx="56">
                  <c:v>0.43</c:v>
                </c:pt>
                <c:pt idx="57">
                  <c:v>0.43</c:v>
                </c:pt>
                <c:pt idx="58">
                  <c:v>0.43</c:v>
                </c:pt>
                <c:pt idx="59">
                  <c:v>0.43</c:v>
                </c:pt>
                <c:pt idx="60">
                  <c:v>0.43</c:v>
                </c:pt>
                <c:pt idx="61">
                  <c:v>0.43</c:v>
                </c:pt>
                <c:pt idx="62">
                  <c:v>0.43</c:v>
                </c:pt>
                <c:pt idx="63">
                  <c:v>0.43</c:v>
                </c:pt>
                <c:pt idx="64">
                  <c:v>0.43</c:v>
                </c:pt>
                <c:pt idx="65">
                  <c:v>0.43</c:v>
                </c:pt>
                <c:pt idx="66">
                  <c:v>0.43</c:v>
                </c:pt>
                <c:pt idx="67">
                  <c:v>0.43</c:v>
                </c:pt>
                <c:pt idx="68">
                  <c:v>0.43</c:v>
                </c:pt>
                <c:pt idx="69">
                  <c:v>0.43</c:v>
                </c:pt>
                <c:pt idx="70">
                  <c:v>0.43</c:v>
                </c:pt>
                <c:pt idx="71">
                  <c:v>0.43</c:v>
                </c:pt>
                <c:pt idx="72">
                  <c:v>0.43</c:v>
                </c:pt>
                <c:pt idx="73">
                  <c:v>0.43</c:v>
                </c:pt>
                <c:pt idx="74">
                  <c:v>0.43</c:v>
                </c:pt>
                <c:pt idx="75">
                  <c:v>0.43</c:v>
                </c:pt>
                <c:pt idx="76">
                  <c:v>0.43</c:v>
                </c:pt>
                <c:pt idx="77">
                  <c:v>0.43</c:v>
                </c:pt>
                <c:pt idx="78">
                  <c:v>0.43</c:v>
                </c:pt>
                <c:pt idx="79">
                  <c:v>0.43</c:v>
                </c:pt>
                <c:pt idx="80">
                  <c:v>0.43</c:v>
                </c:pt>
                <c:pt idx="81">
                  <c:v>0.43</c:v>
                </c:pt>
                <c:pt idx="82">
                  <c:v>0.43</c:v>
                </c:pt>
                <c:pt idx="83">
                  <c:v>0.43</c:v>
                </c:pt>
                <c:pt idx="84">
                  <c:v>0.43</c:v>
                </c:pt>
                <c:pt idx="85">
                  <c:v>0.43</c:v>
                </c:pt>
                <c:pt idx="86">
                  <c:v>0.43</c:v>
                </c:pt>
                <c:pt idx="87">
                  <c:v>0.43</c:v>
                </c:pt>
                <c:pt idx="88">
                  <c:v>0.43</c:v>
                </c:pt>
                <c:pt idx="89">
                  <c:v>0.43</c:v>
                </c:pt>
                <c:pt idx="90">
                  <c:v>0.43</c:v>
                </c:pt>
                <c:pt idx="91">
                  <c:v>0.43</c:v>
                </c:pt>
                <c:pt idx="92">
                  <c:v>0.43</c:v>
                </c:pt>
                <c:pt idx="93">
                  <c:v>0.43</c:v>
                </c:pt>
                <c:pt idx="94">
                  <c:v>0.43</c:v>
                </c:pt>
                <c:pt idx="95">
                  <c:v>0.43</c:v>
                </c:pt>
                <c:pt idx="96">
                  <c:v>0.43</c:v>
                </c:pt>
                <c:pt idx="97">
                  <c:v>0.43</c:v>
                </c:pt>
                <c:pt idx="98">
                  <c:v>0.43</c:v>
                </c:pt>
                <c:pt idx="99">
                  <c:v>0.43</c:v>
                </c:pt>
                <c:pt idx="100">
                  <c:v>0.43</c:v>
                </c:pt>
                <c:pt idx="101">
                  <c:v>0.43</c:v>
                </c:pt>
                <c:pt idx="102">
                  <c:v>0.43</c:v>
                </c:pt>
                <c:pt idx="103">
                  <c:v>0.43</c:v>
                </c:pt>
                <c:pt idx="104">
                  <c:v>0.43</c:v>
                </c:pt>
                <c:pt idx="105">
                  <c:v>0.43</c:v>
                </c:pt>
                <c:pt idx="106">
                  <c:v>0.43</c:v>
                </c:pt>
                <c:pt idx="107">
                  <c:v>0.43</c:v>
                </c:pt>
                <c:pt idx="108">
                  <c:v>0.43</c:v>
                </c:pt>
                <c:pt idx="109">
                  <c:v>0.43</c:v>
                </c:pt>
                <c:pt idx="110">
                  <c:v>0.43</c:v>
                </c:pt>
                <c:pt idx="111">
                  <c:v>0.43</c:v>
                </c:pt>
                <c:pt idx="112">
                  <c:v>0.43</c:v>
                </c:pt>
                <c:pt idx="113">
                  <c:v>0.43</c:v>
                </c:pt>
                <c:pt idx="114">
                  <c:v>0.43</c:v>
                </c:pt>
                <c:pt idx="115">
                  <c:v>0.43</c:v>
                </c:pt>
                <c:pt idx="116">
                  <c:v>0.43</c:v>
                </c:pt>
                <c:pt idx="117">
                  <c:v>0.43</c:v>
                </c:pt>
                <c:pt idx="118">
                  <c:v>0.43</c:v>
                </c:pt>
                <c:pt idx="119">
                  <c:v>0.43</c:v>
                </c:pt>
                <c:pt idx="120">
                  <c:v>0.42</c:v>
                </c:pt>
                <c:pt idx="121">
                  <c:v>0.42</c:v>
                </c:pt>
                <c:pt idx="122">
                  <c:v>0.42</c:v>
                </c:pt>
                <c:pt idx="123">
                  <c:v>0.42</c:v>
                </c:pt>
                <c:pt idx="124">
                  <c:v>0.42</c:v>
                </c:pt>
                <c:pt idx="125">
                  <c:v>0.42</c:v>
                </c:pt>
                <c:pt idx="126">
                  <c:v>0.41</c:v>
                </c:pt>
                <c:pt idx="127">
                  <c:v>0.41</c:v>
                </c:pt>
                <c:pt idx="128">
                  <c:v>0.41</c:v>
                </c:pt>
                <c:pt idx="129">
                  <c:v>0.41</c:v>
                </c:pt>
                <c:pt idx="130">
                  <c:v>0.41</c:v>
                </c:pt>
                <c:pt idx="131">
                  <c:v>0.41</c:v>
                </c:pt>
                <c:pt idx="132">
                  <c:v>0.41</c:v>
                </c:pt>
                <c:pt idx="133">
                  <c:v>0.41</c:v>
                </c:pt>
                <c:pt idx="134">
                  <c:v>0.41</c:v>
                </c:pt>
                <c:pt idx="135">
                  <c:v>0.41</c:v>
                </c:pt>
                <c:pt idx="136">
                  <c:v>0.41</c:v>
                </c:pt>
                <c:pt idx="137">
                  <c:v>0.41</c:v>
                </c:pt>
                <c:pt idx="138">
                  <c:v>0.41</c:v>
                </c:pt>
                <c:pt idx="139">
                  <c:v>0.41</c:v>
                </c:pt>
                <c:pt idx="140">
                  <c:v>0.41</c:v>
                </c:pt>
                <c:pt idx="141">
                  <c:v>0.41</c:v>
                </c:pt>
                <c:pt idx="142">
                  <c:v>0.41</c:v>
                </c:pt>
                <c:pt idx="143">
                  <c:v>0.41</c:v>
                </c:pt>
                <c:pt idx="144">
                  <c:v>0.42</c:v>
                </c:pt>
                <c:pt idx="145">
                  <c:v>0.42</c:v>
                </c:pt>
                <c:pt idx="146">
                  <c:v>0.42</c:v>
                </c:pt>
                <c:pt idx="147">
                  <c:v>0.42</c:v>
                </c:pt>
                <c:pt idx="148">
                  <c:v>0.42</c:v>
                </c:pt>
                <c:pt idx="149">
                  <c:v>0.42</c:v>
                </c:pt>
                <c:pt idx="150">
                  <c:v>0.42</c:v>
                </c:pt>
                <c:pt idx="151">
                  <c:v>0.42</c:v>
                </c:pt>
                <c:pt idx="152">
                  <c:v>0.42</c:v>
                </c:pt>
                <c:pt idx="153">
                  <c:v>0.42</c:v>
                </c:pt>
                <c:pt idx="154">
                  <c:v>0.42</c:v>
                </c:pt>
                <c:pt idx="155">
                  <c:v>0.42</c:v>
                </c:pt>
                <c:pt idx="156">
                  <c:v>0.42</c:v>
                </c:pt>
                <c:pt idx="157">
                  <c:v>0.42</c:v>
                </c:pt>
                <c:pt idx="158">
                  <c:v>0.42</c:v>
                </c:pt>
                <c:pt idx="159">
                  <c:v>0.42</c:v>
                </c:pt>
                <c:pt idx="160">
                  <c:v>0.42</c:v>
                </c:pt>
                <c:pt idx="161">
                  <c:v>0.42</c:v>
                </c:pt>
                <c:pt idx="162">
                  <c:v>0.42</c:v>
                </c:pt>
                <c:pt idx="163">
                  <c:v>0.42</c:v>
                </c:pt>
                <c:pt idx="164">
                  <c:v>0.42</c:v>
                </c:pt>
                <c:pt idx="165">
                  <c:v>0.42</c:v>
                </c:pt>
                <c:pt idx="166">
                  <c:v>0.42</c:v>
                </c:pt>
                <c:pt idx="167">
                  <c:v>0.42</c:v>
                </c:pt>
                <c:pt idx="168">
                  <c:v>0.42</c:v>
                </c:pt>
                <c:pt idx="169">
                  <c:v>0.42</c:v>
                </c:pt>
                <c:pt idx="170">
                  <c:v>0.42</c:v>
                </c:pt>
                <c:pt idx="171">
                  <c:v>0.42</c:v>
                </c:pt>
                <c:pt idx="172">
                  <c:v>0.42</c:v>
                </c:pt>
                <c:pt idx="173">
                  <c:v>0.42</c:v>
                </c:pt>
                <c:pt idx="174">
                  <c:v>0.42</c:v>
                </c:pt>
                <c:pt idx="175">
                  <c:v>0.42</c:v>
                </c:pt>
                <c:pt idx="176">
                  <c:v>0.42</c:v>
                </c:pt>
                <c:pt idx="177">
                  <c:v>0.42</c:v>
                </c:pt>
                <c:pt idx="178">
                  <c:v>0.42</c:v>
                </c:pt>
                <c:pt idx="179">
                  <c:v>0.42</c:v>
                </c:pt>
                <c:pt idx="180">
                  <c:v>0.42</c:v>
                </c:pt>
                <c:pt idx="181">
                  <c:v>0.42</c:v>
                </c:pt>
                <c:pt idx="182">
                  <c:v>0.42</c:v>
                </c:pt>
                <c:pt idx="183">
                  <c:v>0.42</c:v>
                </c:pt>
                <c:pt idx="184">
                  <c:v>0.42</c:v>
                </c:pt>
                <c:pt idx="185">
                  <c:v>0.42</c:v>
                </c:pt>
                <c:pt idx="186">
                  <c:v>0.42</c:v>
                </c:pt>
                <c:pt idx="187">
                  <c:v>0.42</c:v>
                </c:pt>
                <c:pt idx="188">
                  <c:v>0.42</c:v>
                </c:pt>
                <c:pt idx="189">
                  <c:v>0.42</c:v>
                </c:pt>
                <c:pt idx="190">
                  <c:v>0.42</c:v>
                </c:pt>
                <c:pt idx="191">
                  <c:v>0.42</c:v>
                </c:pt>
                <c:pt idx="192">
                  <c:v>0.41</c:v>
                </c:pt>
                <c:pt idx="193">
                  <c:v>0.41</c:v>
                </c:pt>
                <c:pt idx="194">
                  <c:v>0.41</c:v>
                </c:pt>
                <c:pt idx="195">
                  <c:v>0.41</c:v>
                </c:pt>
                <c:pt idx="196">
                  <c:v>0.41</c:v>
                </c:pt>
                <c:pt idx="197">
                  <c:v>0.41</c:v>
                </c:pt>
                <c:pt idx="198">
                  <c:v>0.41</c:v>
                </c:pt>
                <c:pt idx="199">
                  <c:v>0.41</c:v>
                </c:pt>
                <c:pt idx="200">
                  <c:v>0.41</c:v>
                </c:pt>
                <c:pt idx="201">
                  <c:v>0.41</c:v>
                </c:pt>
                <c:pt idx="202">
                  <c:v>0.41</c:v>
                </c:pt>
                <c:pt idx="203">
                  <c:v>0.41</c:v>
                </c:pt>
                <c:pt idx="204">
                  <c:v>0.41</c:v>
                </c:pt>
                <c:pt idx="205">
                  <c:v>0.41</c:v>
                </c:pt>
                <c:pt idx="206">
                  <c:v>0.41</c:v>
                </c:pt>
                <c:pt idx="207">
                  <c:v>0.41</c:v>
                </c:pt>
                <c:pt idx="208">
                  <c:v>0.41</c:v>
                </c:pt>
                <c:pt idx="209">
                  <c:v>0.41</c:v>
                </c:pt>
                <c:pt idx="210">
                  <c:v>0.41</c:v>
                </c:pt>
                <c:pt idx="211">
                  <c:v>0.41</c:v>
                </c:pt>
                <c:pt idx="212">
                  <c:v>0.41</c:v>
                </c:pt>
                <c:pt idx="213">
                  <c:v>0.41</c:v>
                </c:pt>
                <c:pt idx="214">
                  <c:v>0.41</c:v>
                </c:pt>
                <c:pt idx="215">
                  <c:v>0.41</c:v>
                </c:pt>
                <c:pt idx="216">
                  <c:v>0.41</c:v>
                </c:pt>
                <c:pt idx="217">
                  <c:v>0.41</c:v>
                </c:pt>
                <c:pt idx="218">
                  <c:v>0.41</c:v>
                </c:pt>
                <c:pt idx="219">
                  <c:v>0.41</c:v>
                </c:pt>
                <c:pt idx="220">
                  <c:v>0.41</c:v>
                </c:pt>
                <c:pt idx="221">
                  <c:v>0.41</c:v>
                </c:pt>
                <c:pt idx="222">
                  <c:v>0.41</c:v>
                </c:pt>
                <c:pt idx="223">
                  <c:v>0.41</c:v>
                </c:pt>
                <c:pt idx="224">
                  <c:v>0.41</c:v>
                </c:pt>
                <c:pt idx="225">
                  <c:v>0.41</c:v>
                </c:pt>
                <c:pt idx="226">
                  <c:v>0.41</c:v>
                </c:pt>
                <c:pt idx="227">
                  <c:v>0.41</c:v>
                </c:pt>
                <c:pt idx="228">
                  <c:v>0.41</c:v>
                </c:pt>
                <c:pt idx="229">
                  <c:v>0.41</c:v>
                </c:pt>
                <c:pt idx="230">
                  <c:v>0.41</c:v>
                </c:pt>
                <c:pt idx="231">
                  <c:v>0.41</c:v>
                </c:pt>
                <c:pt idx="232">
                  <c:v>0.41</c:v>
                </c:pt>
                <c:pt idx="233">
                  <c:v>0.41</c:v>
                </c:pt>
                <c:pt idx="234">
                  <c:v>0.41</c:v>
                </c:pt>
                <c:pt idx="235">
                  <c:v>0.41</c:v>
                </c:pt>
                <c:pt idx="236">
                  <c:v>0.41</c:v>
                </c:pt>
                <c:pt idx="237">
                  <c:v>0.41</c:v>
                </c:pt>
                <c:pt idx="238">
                  <c:v>0.41</c:v>
                </c:pt>
                <c:pt idx="239">
                  <c:v>0.41</c:v>
                </c:pt>
                <c:pt idx="240">
                  <c:v>0.4</c:v>
                </c:pt>
                <c:pt idx="241">
                  <c:v>0.4</c:v>
                </c:pt>
                <c:pt idx="242">
                  <c:v>0.4</c:v>
                </c:pt>
                <c:pt idx="243">
                  <c:v>0.4</c:v>
                </c:pt>
                <c:pt idx="244">
                  <c:v>0.4</c:v>
                </c:pt>
                <c:pt idx="245">
                  <c:v>0.4</c:v>
                </c:pt>
                <c:pt idx="246">
                  <c:v>0.4</c:v>
                </c:pt>
                <c:pt idx="247">
                  <c:v>0.4</c:v>
                </c:pt>
                <c:pt idx="248">
                  <c:v>0.4</c:v>
                </c:pt>
                <c:pt idx="249">
                  <c:v>0.4</c:v>
                </c:pt>
                <c:pt idx="250">
                  <c:v>0.4</c:v>
                </c:pt>
                <c:pt idx="251">
                  <c:v>0.4</c:v>
                </c:pt>
                <c:pt idx="252">
                  <c:v>0.4</c:v>
                </c:pt>
                <c:pt idx="253">
                  <c:v>0.4</c:v>
                </c:pt>
                <c:pt idx="254">
                  <c:v>0.4</c:v>
                </c:pt>
                <c:pt idx="255">
                  <c:v>0.4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0.4</c:v>
                </c:pt>
                <c:pt idx="293">
                  <c:v>0.4</c:v>
                </c:pt>
                <c:pt idx="294">
                  <c:v>0.4</c:v>
                </c:pt>
                <c:pt idx="295">
                  <c:v>0.4</c:v>
                </c:pt>
                <c:pt idx="296">
                  <c:v>0.4</c:v>
                </c:pt>
                <c:pt idx="297">
                  <c:v>0.4</c:v>
                </c:pt>
                <c:pt idx="298">
                  <c:v>0.4</c:v>
                </c:pt>
                <c:pt idx="299">
                  <c:v>0.39</c:v>
                </c:pt>
                <c:pt idx="300">
                  <c:v>0.39</c:v>
                </c:pt>
                <c:pt idx="301">
                  <c:v>0.39</c:v>
                </c:pt>
                <c:pt idx="302">
                  <c:v>0.39</c:v>
                </c:pt>
                <c:pt idx="303">
                  <c:v>0.39</c:v>
                </c:pt>
                <c:pt idx="304">
                  <c:v>0.39</c:v>
                </c:pt>
                <c:pt idx="305">
                  <c:v>0.39</c:v>
                </c:pt>
                <c:pt idx="306">
                  <c:v>0.39</c:v>
                </c:pt>
                <c:pt idx="307">
                  <c:v>0.39</c:v>
                </c:pt>
                <c:pt idx="308">
                  <c:v>0.39</c:v>
                </c:pt>
                <c:pt idx="309">
                  <c:v>0.39</c:v>
                </c:pt>
                <c:pt idx="310">
                  <c:v>0.39</c:v>
                </c:pt>
                <c:pt idx="311">
                  <c:v>0.39</c:v>
                </c:pt>
                <c:pt idx="312">
                  <c:v>0.4</c:v>
                </c:pt>
                <c:pt idx="313">
                  <c:v>0.4</c:v>
                </c:pt>
                <c:pt idx="314">
                  <c:v>0.4</c:v>
                </c:pt>
                <c:pt idx="315">
                  <c:v>0.4</c:v>
                </c:pt>
                <c:pt idx="316">
                  <c:v>0.4</c:v>
                </c:pt>
                <c:pt idx="317">
                  <c:v>0.4</c:v>
                </c:pt>
                <c:pt idx="318">
                  <c:v>0.4</c:v>
                </c:pt>
                <c:pt idx="319">
                  <c:v>0.4</c:v>
                </c:pt>
                <c:pt idx="320">
                  <c:v>0.4</c:v>
                </c:pt>
                <c:pt idx="321">
                  <c:v>0.4</c:v>
                </c:pt>
                <c:pt idx="322">
                  <c:v>0.4</c:v>
                </c:pt>
                <c:pt idx="323">
                  <c:v>0.4</c:v>
                </c:pt>
                <c:pt idx="324">
                  <c:v>0.4</c:v>
                </c:pt>
                <c:pt idx="325">
                  <c:v>0.4</c:v>
                </c:pt>
                <c:pt idx="326">
                  <c:v>0.4</c:v>
                </c:pt>
                <c:pt idx="327">
                  <c:v>0.4</c:v>
                </c:pt>
                <c:pt idx="328">
                  <c:v>0.4</c:v>
                </c:pt>
                <c:pt idx="329">
                  <c:v>0.4</c:v>
                </c:pt>
                <c:pt idx="330">
                  <c:v>0.4</c:v>
                </c:pt>
                <c:pt idx="331">
                  <c:v>0.4</c:v>
                </c:pt>
                <c:pt idx="332">
                  <c:v>0.4</c:v>
                </c:pt>
                <c:pt idx="333">
                  <c:v>0.4</c:v>
                </c:pt>
                <c:pt idx="334">
                  <c:v>0.4</c:v>
                </c:pt>
                <c:pt idx="335">
                  <c:v>0.4</c:v>
                </c:pt>
                <c:pt idx="336">
                  <c:v>0.4</c:v>
                </c:pt>
                <c:pt idx="337">
                  <c:v>0.4</c:v>
                </c:pt>
                <c:pt idx="338">
                  <c:v>0.4</c:v>
                </c:pt>
                <c:pt idx="339">
                  <c:v>0.4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0.4</c:v>
                </c:pt>
                <c:pt idx="365">
                  <c:v>0.4</c:v>
                </c:pt>
                <c:pt idx="366">
                  <c:v>0.4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0.4</c:v>
                </c:pt>
                <c:pt idx="373">
                  <c:v>0.4</c:v>
                </c:pt>
                <c:pt idx="374">
                  <c:v>0.4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0.4</c:v>
                </c:pt>
                <c:pt idx="379">
                  <c:v>0.4</c:v>
                </c:pt>
                <c:pt idx="380">
                  <c:v>0.4</c:v>
                </c:pt>
                <c:pt idx="381">
                  <c:v>0.4</c:v>
                </c:pt>
                <c:pt idx="382">
                  <c:v>0.4</c:v>
                </c:pt>
                <c:pt idx="383">
                  <c:v>0.4</c:v>
                </c:pt>
                <c:pt idx="384">
                  <c:v>0.39</c:v>
                </c:pt>
                <c:pt idx="385">
                  <c:v>0.39</c:v>
                </c:pt>
                <c:pt idx="386">
                  <c:v>0.39</c:v>
                </c:pt>
                <c:pt idx="387">
                  <c:v>0.39</c:v>
                </c:pt>
                <c:pt idx="388">
                  <c:v>0.39</c:v>
                </c:pt>
                <c:pt idx="389">
                  <c:v>0.39</c:v>
                </c:pt>
                <c:pt idx="390">
                  <c:v>0.4</c:v>
                </c:pt>
                <c:pt idx="391">
                  <c:v>0.4</c:v>
                </c:pt>
                <c:pt idx="392">
                  <c:v>0.41</c:v>
                </c:pt>
                <c:pt idx="393">
                  <c:v>0.41</c:v>
                </c:pt>
                <c:pt idx="394">
                  <c:v>0.42</c:v>
                </c:pt>
                <c:pt idx="395">
                  <c:v>0.43</c:v>
                </c:pt>
                <c:pt idx="396">
                  <c:v>0.45</c:v>
                </c:pt>
                <c:pt idx="397">
                  <c:v>0.46</c:v>
                </c:pt>
                <c:pt idx="398">
                  <c:v>0.47</c:v>
                </c:pt>
                <c:pt idx="399">
                  <c:v>0.49</c:v>
                </c:pt>
                <c:pt idx="400">
                  <c:v>0.51</c:v>
                </c:pt>
                <c:pt idx="401">
                  <c:v>0.53</c:v>
                </c:pt>
                <c:pt idx="402">
                  <c:v>0.55000000000000004</c:v>
                </c:pt>
                <c:pt idx="403">
                  <c:v>0.56999999999999995</c:v>
                </c:pt>
                <c:pt idx="404">
                  <c:v>0.59</c:v>
                </c:pt>
                <c:pt idx="405">
                  <c:v>0.61</c:v>
                </c:pt>
                <c:pt idx="406">
                  <c:v>0.63</c:v>
                </c:pt>
                <c:pt idx="407">
                  <c:v>0.64</c:v>
                </c:pt>
                <c:pt idx="408">
                  <c:v>0.66</c:v>
                </c:pt>
                <c:pt idx="409">
                  <c:v>0.68</c:v>
                </c:pt>
                <c:pt idx="410">
                  <c:v>0.7</c:v>
                </c:pt>
                <c:pt idx="411">
                  <c:v>0.71</c:v>
                </c:pt>
                <c:pt idx="412">
                  <c:v>0.71</c:v>
                </c:pt>
                <c:pt idx="413">
                  <c:v>0.72</c:v>
                </c:pt>
                <c:pt idx="414">
                  <c:v>0.72</c:v>
                </c:pt>
                <c:pt idx="415">
                  <c:v>0.72</c:v>
                </c:pt>
                <c:pt idx="416">
                  <c:v>0.72</c:v>
                </c:pt>
                <c:pt idx="417">
                  <c:v>0.72</c:v>
                </c:pt>
                <c:pt idx="418">
                  <c:v>0.72</c:v>
                </c:pt>
                <c:pt idx="419">
                  <c:v>0.72</c:v>
                </c:pt>
                <c:pt idx="420">
                  <c:v>0.72</c:v>
                </c:pt>
                <c:pt idx="421">
                  <c:v>0.72</c:v>
                </c:pt>
                <c:pt idx="422">
                  <c:v>0.72</c:v>
                </c:pt>
                <c:pt idx="423">
                  <c:v>0.72</c:v>
                </c:pt>
                <c:pt idx="424">
                  <c:v>0.72</c:v>
                </c:pt>
                <c:pt idx="425">
                  <c:v>0.72</c:v>
                </c:pt>
                <c:pt idx="426">
                  <c:v>0.72</c:v>
                </c:pt>
                <c:pt idx="427">
                  <c:v>0.72</c:v>
                </c:pt>
                <c:pt idx="428">
                  <c:v>0.72</c:v>
                </c:pt>
                <c:pt idx="429">
                  <c:v>0.72</c:v>
                </c:pt>
                <c:pt idx="430">
                  <c:v>0.72</c:v>
                </c:pt>
                <c:pt idx="431">
                  <c:v>0.72</c:v>
                </c:pt>
                <c:pt idx="432">
                  <c:v>0.72</c:v>
                </c:pt>
                <c:pt idx="433">
                  <c:v>0.72</c:v>
                </c:pt>
                <c:pt idx="434">
                  <c:v>0.72</c:v>
                </c:pt>
                <c:pt idx="435">
                  <c:v>0.72</c:v>
                </c:pt>
                <c:pt idx="436">
                  <c:v>0.72</c:v>
                </c:pt>
                <c:pt idx="437">
                  <c:v>0.72</c:v>
                </c:pt>
                <c:pt idx="438">
                  <c:v>0.72</c:v>
                </c:pt>
                <c:pt idx="439">
                  <c:v>0.72</c:v>
                </c:pt>
                <c:pt idx="440">
                  <c:v>0.72</c:v>
                </c:pt>
                <c:pt idx="441">
                  <c:v>0.72</c:v>
                </c:pt>
                <c:pt idx="442">
                  <c:v>0.72</c:v>
                </c:pt>
                <c:pt idx="443">
                  <c:v>0.72</c:v>
                </c:pt>
                <c:pt idx="444">
                  <c:v>0.73</c:v>
                </c:pt>
                <c:pt idx="445">
                  <c:v>0.73</c:v>
                </c:pt>
                <c:pt idx="446">
                  <c:v>0.73</c:v>
                </c:pt>
                <c:pt idx="447">
                  <c:v>0.73</c:v>
                </c:pt>
                <c:pt idx="448">
                  <c:v>0.73</c:v>
                </c:pt>
                <c:pt idx="449">
                  <c:v>0.73</c:v>
                </c:pt>
                <c:pt idx="450">
                  <c:v>0.74</c:v>
                </c:pt>
                <c:pt idx="451">
                  <c:v>0.74</c:v>
                </c:pt>
                <c:pt idx="452">
                  <c:v>0.74</c:v>
                </c:pt>
                <c:pt idx="453">
                  <c:v>0.74</c:v>
                </c:pt>
                <c:pt idx="454">
                  <c:v>0.74</c:v>
                </c:pt>
                <c:pt idx="455">
                  <c:v>0.74</c:v>
                </c:pt>
                <c:pt idx="456">
                  <c:v>0.74</c:v>
                </c:pt>
                <c:pt idx="457">
                  <c:v>0.74</c:v>
                </c:pt>
                <c:pt idx="458">
                  <c:v>0.74</c:v>
                </c:pt>
                <c:pt idx="459">
                  <c:v>0.74</c:v>
                </c:pt>
                <c:pt idx="460">
                  <c:v>0.74</c:v>
                </c:pt>
                <c:pt idx="461">
                  <c:v>0.74</c:v>
                </c:pt>
                <c:pt idx="462">
                  <c:v>0.74</c:v>
                </c:pt>
                <c:pt idx="463">
                  <c:v>0.74</c:v>
                </c:pt>
                <c:pt idx="464">
                  <c:v>0.73</c:v>
                </c:pt>
                <c:pt idx="465">
                  <c:v>0.72</c:v>
                </c:pt>
                <c:pt idx="466">
                  <c:v>0.71</c:v>
                </c:pt>
                <c:pt idx="467">
                  <c:v>0.69</c:v>
                </c:pt>
                <c:pt idx="468">
                  <c:v>0.67</c:v>
                </c:pt>
                <c:pt idx="469">
                  <c:v>0.66</c:v>
                </c:pt>
                <c:pt idx="470">
                  <c:v>0.64</c:v>
                </c:pt>
                <c:pt idx="471">
                  <c:v>0.62</c:v>
                </c:pt>
                <c:pt idx="472">
                  <c:v>0.59</c:v>
                </c:pt>
                <c:pt idx="473">
                  <c:v>0.56999999999999995</c:v>
                </c:pt>
                <c:pt idx="474">
                  <c:v>0.54</c:v>
                </c:pt>
                <c:pt idx="475">
                  <c:v>0.51</c:v>
                </c:pt>
                <c:pt idx="476">
                  <c:v>0.49</c:v>
                </c:pt>
                <c:pt idx="477">
                  <c:v>0.47</c:v>
                </c:pt>
                <c:pt idx="478">
                  <c:v>0.45</c:v>
                </c:pt>
                <c:pt idx="479">
                  <c:v>0.44</c:v>
                </c:pt>
                <c:pt idx="480">
                  <c:v>0.42</c:v>
                </c:pt>
                <c:pt idx="481">
                  <c:v>0.41</c:v>
                </c:pt>
                <c:pt idx="482">
                  <c:v>0.39</c:v>
                </c:pt>
                <c:pt idx="483">
                  <c:v>0.38</c:v>
                </c:pt>
                <c:pt idx="484">
                  <c:v>0.37</c:v>
                </c:pt>
                <c:pt idx="485">
                  <c:v>0.36</c:v>
                </c:pt>
                <c:pt idx="486">
                  <c:v>0.36</c:v>
                </c:pt>
                <c:pt idx="487">
                  <c:v>0.36</c:v>
                </c:pt>
                <c:pt idx="488">
                  <c:v>0.36</c:v>
                </c:pt>
                <c:pt idx="489">
                  <c:v>0.36</c:v>
                </c:pt>
                <c:pt idx="490">
                  <c:v>0.36</c:v>
                </c:pt>
                <c:pt idx="491">
                  <c:v>0.36</c:v>
                </c:pt>
                <c:pt idx="492">
                  <c:v>0.36</c:v>
                </c:pt>
                <c:pt idx="493">
                  <c:v>0.36</c:v>
                </c:pt>
                <c:pt idx="494">
                  <c:v>0.36</c:v>
                </c:pt>
                <c:pt idx="495">
                  <c:v>0.36</c:v>
                </c:pt>
                <c:pt idx="496">
                  <c:v>0.36</c:v>
                </c:pt>
                <c:pt idx="497">
                  <c:v>0.36</c:v>
                </c:pt>
                <c:pt idx="498">
                  <c:v>0.36</c:v>
                </c:pt>
                <c:pt idx="499">
                  <c:v>0.36</c:v>
                </c:pt>
                <c:pt idx="500">
                  <c:v>0.36</c:v>
                </c:pt>
                <c:pt idx="501">
                  <c:v>0.36</c:v>
                </c:pt>
                <c:pt idx="502">
                  <c:v>0.36</c:v>
                </c:pt>
                <c:pt idx="503">
                  <c:v>0.36</c:v>
                </c:pt>
                <c:pt idx="504">
                  <c:v>0.36</c:v>
                </c:pt>
                <c:pt idx="505">
                  <c:v>0.36</c:v>
                </c:pt>
                <c:pt idx="506">
                  <c:v>0.36</c:v>
                </c:pt>
                <c:pt idx="507">
                  <c:v>0.36</c:v>
                </c:pt>
                <c:pt idx="508">
                  <c:v>0.36</c:v>
                </c:pt>
                <c:pt idx="509">
                  <c:v>0.36</c:v>
                </c:pt>
                <c:pt idx="510">
                  <c:v>0.36</c:v>
                </c:pt>
                <c:pt idx="511">
                  <c:v>0.36</c:v>
                </c:pt>
                <c:pt idx="512">
                  <c:v>0.36</c:v>
                </c:pt>
                <c:pt idx="513">
                  <c:v>0.36</c:v>
                </c:pt>
                <c:pt idx="514">
                  <c:v>0.36</c:v>
                </c:pt>
                <c:pt idx="515">
                  <c:v>0.36</c:v>
                </c:pt>
                <c:pt idx="516">
                  <c:v>0.36</c:v>
                </c:pt>
                <c:pt idx="517">
                  <c:v>0.36</c:v>
                </c:pt>
                <c:pt idx="518">
                  <c:v>0.36</c:v>
                </c:pt>
                <c:pt idx="519">
                  <c:v>0.36</c:v>
                </c:pt>
                <c:pt idx="520">
                  <c:v>0.36</c:v>
                </c:pt>
                <c:pt idx="521">
                  <c:v>0.36</c:v>
                </c:pt>
                <c:pt idx="522">
                  <c:v>0.36</c:v>
                </c:pt>
                <c:pt idx="523">
                  <c:v>0.36</c:v>
                </c:pt>
                <c:pt idx="524">
                  <c:v>0.36</c:v>
                </c:pt>
                <c:pt idx="525">
                  <c:v>0.36</c:v>
                </c:pt>
                <c:pt idx="526">
                  <c:v>0.36</c:v>
                </c:pt>
                <c:pt idx="527">
                  <c:v>0.36</c:v>
                </c:pt>
                <c:pt idx="528">
                  <c:v>0.36</c:v>
                </c:pt>
                <c:pt idx="529">
                  <c:v>0.36</c:v>
                </c:pt>
                <c:pt idx="530">
                  <c:v>0.36</c:v>
                </c:pt>
                <c:pt idx="531">
                  <c:v>0.36</c:v>
                </c:pt>
                <c:pt idx="532">
                  <c:v>0.36</c:v>
                </c:pt>
                <c:pt idx="533">
                  <c:v>0.36</c:v>
                </c:pt>
                <c:pt idx="534">
                  <c:v>0.36</c:v>
                </c:pt>
                <c:pt idx="535">
                  <c:v>0.36</c:v>
                </c:pt>
                <c:pt idx="536">
                  <c:v>0.36</c:v>
                </c:pt>
                <c:pt idx="537">
                  <c:v>0.36</c:v>
                </c:pt>
                <c:pt idx="538">
                  <c:v>0.36</c:v>
                </c:pt>
                <c:pt idx="539">
                  <c:v>0.36</c:v>
                </c:pt>
                <c:pt idx="540">
                  <c:v>0.36</c:v>
                </c:pt>
                <c:pt idx="541">
                  <c:v>0.36</c:v>
                </c:pt>
                <c:pt idx="542">
                  <c:v>0.36</c:v>
                </c:pt>
                <c:pt idx="543">
                  <c:v>0.36</c:v>
                </c:pt>
                <c:pt idx="544">
                  <c:v>0.36</c:v>
                </c:pt>
                <c:pt idx="545">
                  <c:v>0.36</c:v>
                </c:pt>
                <c:pt idx="546">
                  <c:v>0.36</c:v>
                </c:pt>
                <c:pt idx="547">
                  <c:v>0.36</c:v>
                </c:pt>
                <c:pt idx="548">
                  <c:v>0.36</c:v>
                </c:pt>
                <c:pt idx="549">
                  <c:v>0.36</c:v>
                </c:pt>
                <c:pt idx="550">
                  <c:v>0.36</c:v>
                </c:pt>
                <c:pt idx="551">
                  <c:v>0.36</c:v>
                </c:pt>
                <c:pt idx="552">
                  <c:v>0.36</c:v>
                </c:pt>
                <c:pt idx="553">
                  <c:v>0.36</c:v>
                </c:pt>
                <c:pt idx="554">
                  <c:v>0.36</c:v>
                </c:pt>
                <c:pt idx="555">
                  <c:v>0.36</c:v>
                </c:pt>
                <c:pt idx="556">
                  <c:v>0.36</c:v>
                </c:pt>
                <c:pt idx="557">
                  <c:v>0.36</c:v>
                </c:pt>
                <c:pt idx="558">
                  <c:v>0.36</c:v>
                </c:pt>
                <c:pt idx="559">
                  <c:v>0.37</c:v>
                </c:pt>
                <c:pt idx="560">
                  <c:v>0.37</c:v>
                </c:pt>
                <c:pt idx="561">
                  <c:v>0.37</c:v>
                </c:pt>
                <c:pt idx="562">
                  <c:v>0.37</c:v>
                </c:pt>
                <c:pt idx="563">
                  <c:v>0.37</c:v>
                </c:pt>
                <c:pt idx="564">
                  <c:v>0.37</c:v>
                </c:pt>
                <c:pt idx="565">
                  <c:v>0.37</c:v>
                </c:pt>
                <c:pt idx="566">
                  <c:v>0.37</c:v>
                </c:pt>
                <c:pt idx="567">
                  <c:v>0.38</c:v>
                </c:pt>
                <c:pt idx="568">
                  <c:v>0.39</c:v>
                </c:pt>
                <c:pt idx="569">
                  <c:v>0.4</c:v>
                </c:pt>
                <c:pt idx="570">
                  <c:v>0.42</c:v>
                </c:pt>
                <c:pt idx="571">
                  <c:v>0.44</c:v>
                </c:pt>
                <c:pt idx="572">
                  <c:v>0.46</c:v>
                </c:pt>
                <c:pt idx="573">
                  <c:v>0.48</c:v>
                </c:pt>
                <c:pt idx="574">
                  <c:v>0.5</c:v>
                </c:pt>
                <c:pt idx="575">
                  <c:v>0.53</c:v>
                </c:pt>
                <c:pt idx="576">
                  <c:v>0.57999999999999996</c:v>
                </c:pt>
                <c:pt idx="577">
                  <c:v>0.61</c:v>
                </c:pt>
                <c:pt idx="578">
                  <c:v>0.64</c:v>
                </c:pt>
                <c:pt idx="579">
                  <c:v>0.67</c:v>
                </c:pt>
                <c:pt idx="580">
                  <c:v>0.7</c:v>
                </c:pt>
                <c:pt idx="581">
                  <c:v>0.72</c:v>
                </c:pt>
                <c:pt idx="582">
                  <c:v>0.72</c:v>
                </c:pt>
                <c:pt idx="583">
                  <c:v>0.72</c:v>
                </c:pt>
                <c:pt idx="584">
                  <c:v>0.72</c:v>
                </c:pt>
                <c:pt idx="585">
                  <c:v>0.72</c:v>
                </c:pt>
                <c:pt idx="586">
                  <c:v>0.72</c:v>
                </c:pt>
                <c:pt idx="587">
                  <c:v>0.73</c:v>
                </c:pt>
                <c:pt idx="588">
                  <c:v>0.73</c:v>
                </c:pt>
                <c:pt idx="589">
                  <c:v>0.73</c:v>
                </c:pt>
                <c:pt idx="590">
                  <c:v>0.73</c:v>
                </c:pt>
                <c:pt idx="591">
                  <c:v>0.73</c:v>
                </c:pt>
                <c:pt idx="592">
                  <c:v>0.73</c:v>
                </c:pt>
                <c:pt idx="593">
                  <c:v>0.73</c:v>
                </c:pt>
                <c:pt idx="594">
                  <c:v>0.73</c:v>
                </c:pt>
                <c:pt idx="595">
                  <c:v>0.73</c:v>
                </c:pt>
                <c:pt idx="596">
                  <c:v>0.73</c:v>
                </c:pt>
                <c:pt idx="597">
                  <c:v>0.73</c:v>
                </c:pt>
                <c:pt idx="598">
                  <c:v>0.73</c:v>
                </c:pt>
                <c:pt idx="599">
                  <c:v>0.73</c:v>
                </c:pt>
                <c:pt idx="600">
                  <c:v>0.72</c:v>
                </c:pt>
                <c:pt idx="601">
                  <c:v>0.72</c:v>
                </c:pt>
                <c:pt idx="602">
                  <c:v>0.72</c:v>
                </c:pt>
                <c:pt idx="603">
                  <c:v>0.72</c:v>
                </c:pt>
                <c:pt idx="604">
                  <c:v>0.72</c:v>
                </c:pt>
                <c:pt idx="605">
                  <c:v>0.72</c:v>
                </c:pt>
                <c:pt idx="606">
                  <c:v>0.72</c:v>
                </c:pt>
                <c:pt idx="607">
                  <c:v>0.72</c:v>
                </c:pt>
                <c:pt idx="608">
                  <c:v>0.72</c:v>
                </c:pt>
                <c:pt idx="609">
                  <c:v>0.72</c:v>
                </c:pt>
                <c:pt idx="610">
                  <c:v>0.72</c:v>
                </c:pt>
                <c:pt idx="611">
                  <c:v>0.72</c:v>
                </c:pt>
                <c:pt idx="612">
                  <c:v>0.71</c:v>
                </c:pt>
                <c:pt idx="613">
                  <c:v>0.71</c:v>
                </c:pt>
                <c:pt idx="614">
                  <c:v>0.71</c:v>
                </c:pt>
                <c:pt idx="615">
                  <c:v>0.71</c:v>
                </c:pt>
                <c:pt idx="616">
                  <c:v>0.71</c:v>
                </c:pt>
                <c:pt idx="617">
                  <c:v>0.71</c:v>
                </c:pt>
                <c:pt idx="618">
                  <c:v>0.71</c:v>
                </c:pt>
                <c:pt idx="619">
                  <c:v>0.71</c:v>
                </c:pt>
                <c:pt idx="620">
                  <c:v>0.71</c:v>
                </c:pt>
                <c:pt idx="621">
                  <c:v>0.71</c:v>
                </c:pt>
                <c:pt idx="622">
                  <c:v>0.71</c:v>
                </c:pt>
                <c:pt idx="623">
                  <c:v>0.71</c:v>
                </c:pt>
                <c:pt idx="624">
                  <c:v>0.7</c:v>
                </c:pt>
                <c:pt idx="625">
                  <c:v>0.7</c:v>
                </c:pt>
                <c:pt idx="626">
                  <c:v>0.7</c:v>
                </c:pt>
                <c:pt idx="627">
                  <c:v>0.7</c:v>
                </c:pt>
                <c:pt idx="628">
                  <c:v>0.7</c:v>
                </c:pt>
                <c:pt idx="629">
                  <c:v>0.7</c:v>
                </c:pt>
                <c:pt idx="630">
                  <c:v>0.7</c:v>
                </c:pt>
                <c:pt idx="631">
                  <c:v>0.69</c:v>
                </c:pt>
                <c:pt idx="632">
                  <c:v>0.68</c:v>
                </c:pt>
                <c:pt idx="633">
                  <c:v>0.67</c:v>
                </c:pt>
                <c:pt idx="634">
                  <c:v>0.66</c:v>
                </c:pt>
                <c:pt idx="635">
                  <c:v>0.65</c:v>
                </c:pt>
                <c:pt idx="636">
                  <c:v>0.64</c:v>
                </c:pt>
                <c:pt idx="637">
                  <c:v>0.62</c:v>
                </c:pt>
                <c:pt idx="638">
                  <c:v>0.6</c:v>
                </c:pt>
                <c:pt idx="639">
                  <c:v>0.57999999999999996</c:v>
                </c:pt>
                <c:pt idx="640">
                  <c:v>0.55000000000000004</c:v>
                </c:pt>
                <c:pt idx="641">
                  <c:v>0.52</c:v>
                </c:pt>
                <c:pt idx="642">
                  <c:v>0.5</c:v>
                </c:pt>
                <c:pt idx="643">
                  <c:v>0.48</c:v>
                </c:pt>
                <c:pt idx="644">
                  <c:v>0.46</c:v>
                </c:pt>
                <c:pt idx="645">
                  <c:v>0.44</c:v>
                </c:pt>
                <c:pt idx="646">
                  <c:v>0.42</c:v>
                </c:pt>
                <c:pt idx="647">
                  <c:v>0.4</c:v>
                </c:pt>
                <c:pt idx="648">
                  <c:v>0.39</c:v>
                </c:pt>
                <c:pt idx="649">
                  <c:v>0.38</c:v>
                </c:pt>
                <c:pt idx="650">
                  <c:v>0.37</c:v>
                </c:pt>
                <c:pt idx="651">
                  <c:v>0.36</c:v>
                </c:pt>
                <c:pt idx="652">
                  <c:v>0.35</c:v>
                </c:pt>
                <c:pt idx="653">
                  <c:v>0.34</c:v>
                </c:pt>
                <c:pt idx="654">
                  <c:v>0.34</c:v>
                </c:pt>
                <c:pt idx="655">
                  <c:v>0.34</c:v>
                </c:pt>
                <c:pt idx="656">
                  <c:v>0.34</c:v>
                </c:pt>
                <c:pt idx="657">
                  <c:v>0.34</c:v>
                </c:pt>
                <c:pt idx="658">
                  <c:v>0.34</c:v>
                </c:pt>
                <c:pt idx="659">
                  <c:v>0.34</c:v>
                </c:pt>
                <c:pt idx="660">
                  <c:v>0.33</c:v>
                </c:pt>
                <c:pt idx="661">
                  <c:v>0.33</c:v>
                </c:pt>
                <c:pt idx="662">
                  <c:v>0.33</c:v>
                </c:pt>
                <c:pt idx="663">
                  <c:v>0.33</c:v>
                </c:pt>
                <c:pt idx="664">
                  <c:v>0.33</c:v>
                </c:pt>
                <c:pt idx="665">
                  <c:v>0.33</c:v>
                </c:pt>
                <c:pt idx="666">
                  <c:v>0.33</c:v>
                </c:pt>
                <c:pt idx="667">
                  <c:v>0.33</c:v>
                </c:pt>
                <c:pt idx="668">
                  <c:v>0.33</c:v>
                </c:pt>
                <c:pt idx="669">
                  <c:v>0.33</c:v>
                </c:pt>
                <c:pt idx="670">
                  <c:v>0.33</c:v>
                </c:pt>
                <c:pt idx="671">
                  <c:v>0.33</c:v>
                </c:pt>
                <c:pt idx="672">
                  <c:v>0.32</c:v>
                </c:pt>
                <c:pt idx="673">
                  <c:v>0.32</c:v>
                </c:pt>
                <c:pt idx="674">
                  <c:v>0.32</c:v>
                </c:pt>
                <c:pt idx="675">
                  <c:v>0.32</c:v>
                </c:pt>
                <c:pt idx="676">
                  <c:v>0.32</c:v>
                </c:pt>
                <c:pt idx="677">
                  <c:v>0.32</c:v>
                </c:pt>
                <c:pt idx="678">
                  <c:v>0.32</c:v>
                </c:pt>
                <c:pt idx="679">
                  <c:v>0.32</c:v>
                </c:pt>
                <c:pt idx="680">
                  <c:v>0.32</c:v>
                </c:pt>
                <c:pt idx="681">
                  <c:v>0.32</c:v>
                </c:pt>
                <c:pt idx="682">
                  <c:v>0.32</c:v>
                </c:pt>
                <c:pt idx="683">
                  <c:v>0.32</c:v>
                </c:pt>
                <c:pt idx="684">
                  <c:v>0.32</c:v>
                </c:pt>
                <c:pt idx="685">
                  <c:v>0.32</c:v>
                </c:pt>
                <c:pt idx="686">
                  <c:v>0.32</c:v>
                </c:pt>
                <c:pt idx="687">
                  <c:v>0.32</c:v>
                </c:pt>
                <c:pt idx="688">
                  <c:v>0.32</c:v>
                </c:pt>
                <c:pt idx="689">
                  <c:v>0.32</c:v>
                </c:pt>
                <c:pt idx="690">
                  <c:v>0.32</c:v>
                </c:pt>
                <c:pt idx="691">
                  <c:v>0.32</c:v>
                </c:pt>
                <c:pt idx="692">
                  <c:v>0.32</c:v>
                </c:pt>
                <c:pt idx="693">
                  <c:v>0.32</c:v>
                </c:pt>
                <c:pt idx="694">
                  <c:v>0.32</c:v>
                </c:pt>
                <c:pt idx="695">
                  <c:v>0.32</c:v>
                </c:pt>
                <c:pt idx="696">
                  <c:v>0.33</c:v>
                </c:pt>
                <c:pt idx="697">
                  <c:v>0.33</c:v>
                </c:pt>
                <c:pt idx="698">
                  <c:v>0.33</c:v>
                </c:pt>
                <c:pt idx="699">
                  <c:v>0.33</c:v>
                </c:pt>
                <c:pt idx="700">
                  <c:v>0.33</c:v>
                </c:pt>
                <c:pt idx="701">
                  <c:v>0.33</c:v>
                </c:pt>
                <c:pt idx="702">
                  <c:v>0.33</c:v>
                </c:pt>
                <c:pt idx="703">
                  <c:v>0.33</c:v>
                </c:pt>
                <c:pt idx="704">
                  <c:v>0.33</c:v>
                </c:pt>
                <c:pt idx="705">
                  <c:v>0.33</c:v>
                </c:pt>
                <c:pt idx="706">
                  <c:v>0.33</c:v>
                </c:pt>
                <c:pt idx="707">
                  <c:v>0.33</c:v>
                </c:pt>
                <c:pt idx="708">
                  <c:v>0.33</c:v>
                </c:pt>
                <c:pt idx="709">
                  <c:v>0.33</c:v>
                </c:pt>
                <c:pt idx="710">
                  <c:v>0.33</c:v>
                </c:pt>
                <c:pt idx="711">
                  <c:v>0.33</c:v>
                </c:pt>
                <c:pt idx="712">
                  <c:v>0.33</c:v>
                </c:pt>
                <c:pt idx="713">
                  <c:v>0.33</c:v>
                </c:pt>
                <c:pt idx="714">
                  <c:v>0.33</c:v>
                </c:pt>
                <c:pt idx="715">
                  <c:v>0.33</c:v>
                </c:pt>
                <c:pt idx="716">
                  <c:v>0.33</c:v>
                </c:pt>
                <c:pt idx="717">
                  <c:v>0.33</c:v>
                </c:pt>
                <c:pt idx="718">
                  <c:v>0.33</c:v>
                </c:pt>
                <c:pt idx="719">
                  <c:v>0.33</c:v>
                </c:pt>
                <c:pt idx="720">
                  <c:v>0.33</c:v>
                </c:pt>
                <c:pt idx="721">
                  <c:v>0.33</c:v>
                </c:pt>
                <c:pt idx="722">
                  <c:v>0.33</c:v>
                </c:pt>
                <c:pt idx="723">
                  <c:v>0.33</c:v>
                </c:pt>
                <c:pt idx="724">
                  <c:v>0.33</c:v>
                </c:pt>
                <c:pt idx="725">
                  <c:v>0.33</c:v>
                </c:pt>
                <c:pt idx="726">
                  <c:v>0.34</c:v>
                </c:pt>
                <c:pt idx="727">
                  <c:v>0.34</c:v>
                </c:pt>
                <c:pt idx="728">
                  <c:v>0.35</c:v>
                </c:pt>
                <c:pt idx="729">
                  <c:v>0.36</c:v>
                </c:pt>
                <c:pt idx="730">
                  <c:v>0.37</c:v>
                </c:pt>
                <c:pt idx="731">
                  <c:v>0.38</c:v>
                </c:pt>
                <c:pt idx="732">
                  <c:v>0.39</c:v>
                </c:pt>
                <c:pt idx="733">
                  <c:v>0.4</c:v>
                </c:pt>
                <c:pt idx="734">
                  <c:v>0.41</c:v>
                </c:pt>
                <c:pt idx="735">
                  <c:v>0.42</c:v>
                </c:pt>
                <c:pt idx="736">
                  <c:v>0.44</c:v>
                </c:pt>
                <c:pt idx="737">
                  <c:v>0.46</c:v>
                </c:pt>
                <c:pt idx="738">
                  <c:v>0.48</c:v>
                </c:pt>
                <c:pt idx="739">
                  <c:v>0.5</c:v>
                </c:pt>
                <c:pt idx="740">
                  <c:v>0.52</c:v>
                </c:pt>
                <c:pt idx="741">
                  <c:v>0.54</c:v>
                </c:pt>
                <c:pt idx="742">
                  <c:v>0.56000000000000005</c:v>
                </c:pt>
                <c:pt idx="743">
                  <c:v>0.57999999999999996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4304"/>
        <c:axId val="88676224"/>
      </c:scatterChart>
      <c:valAx>
        <c:axId val="88674304"/>
        <c:scaling>
          <c:orientation val="minMax"/>
          <c:max val="745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CC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8676224"/>
        <c:crosses val="autoZero"/>
        <c:crossBetween val="midCat"/>
        <c:majorUnit val="24"/>
        <c:minorUnit val="1.49"/>
      </c:valAx>
      <c:valAx>
        <c:axId val="88676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86743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February</a:t>
            </a:r>
          </a:p>
        </c:rich>
      </c:tx>
      <c:layout>
        <c:manualLayout>
          <c:xMode val="edge"/>
          <c:yMode val="edge"/>
          <c:x val="0.48102094240837695"/>
          <c:y val="2.86195286195286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6806282722513E-2"/>
          <c:y val="0.15993292286952018"/>
          <c:w val="0.95549738219895286"/>
          <c:h val="0.7154893917846956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80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'Graph-Hou'!$CT$2:$CT$697</c:f>
              <c:numCache>
                <c:formatCode>General</c:formatCode>
                <c:ptCount val="6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</c:numCache>
            </c:numRef>
          </c:xVal>
          <c:yVal>
            <c:numRef>
              <c:f>'Graph-Hou'!$CW$2:$CW$697</c:f>
              <c:numCache>
                <c:formatCode>0.00</c:formatCode>
                <c:ptCount val="696"/>
                <c:pt idx="0">
                  <c:v>0.6</c:v>
                </c:pt>
                <c:pt idx="1">
                  <c:v>0.62</c:v>
                </c:pt>
                <c:pt idx="2">
                  <c:v>0.64</c:v>
                </c:pt>
                <c:pt idx="3">
                  <c:v>0.68</c:v>
                </c:pt>
                <c:pt idx="4">
                  <c:v>0.69</c:v>
                </c:pt>
                <c:pt idx="5">
                  <c:v>0.7</c:v>
                </c:pt>
                <c:pt idx="6">
                  <c:v>0.71</c:v>
                </c:pt>
                <c:pt idx="7">
                  <c:v>0.71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0.73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0.72</c:v>
                </c:pt>
                <c:pt idx="20">
                  <c:v>0.72</c:v>
                </c:pt>
                <c:pt idx="21">
                  <c:v>0.72</c:v>
                </c:pt>
                <c:pt idx="22">
                  <c:v>0.72</c:v>
                </c:pt>
                <c:pt idx="23">
                  <c:v>0.71</c:v>
                </c:pt>
                <c:pt idx="24">
                  <c:v>0.71</c:v>
                </c:pt>
                <c:pt idx="25">
                  <c:v>0.71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0.69</c:v>
                </c:pt>
                <c:pt idx="30">
                  <c:v>0.68</c:v>
                </c:pt>
                <c:pt idx="31">
                  <c:v>0.68</c:v>
                </c:pt>
                <c:pt idx="32">
                  <c:v>0.67</c:v>
                </c:pt>
                <c:pt idx="33">
                  <c:v>0.67</c:v>
                </c:pt>
                <c:pt idx="34">
                  <c:v>0.66</c:v>
                </c:pt>
                <c:pt idx="35">
                  <c:v>0.66</c:v>
                </c:pt>
                <c:pt idx="36">
                  <c:v>0.65</c:v>
                </c:pt>
                <c:pt idx="37">
                  <c:v>0.64</c:v>
                </c:pt>
                <c:pt idx="38">
                  <c:v>0.63</c:v>
                </c:pt>
                <c:pt idx="39">
                  <c:v>0.62</c:v>
                </c:pt>
                <c:pt idx="40">
                  <c:v>0.61</c:v>
                </c:pt>
                <c:pt idx="41">
                  <c:v>0.6</c:v>
                </c:pt>
                <c:pt idx="42">
                  <c:v>0.59</c:v>
                </c:pt>
                <c:pt idx="43">
                  <c:v>0.57999999999999996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0.53</c:v>
                </c:pt>
                <c:pt idx="47">
                  <c:v>0.51</c:v>
                </c:pt>
                <c:pt idx="48">
                  <c:v>0.49</c:v>
                </c:pt>
                <c:pt idx="49">
                  <c:v>0.48</c:v>
                </c:pt>
                <c:pt idx="50">
                  <c:v>0.46</c:v>
                </c:pt>
                <c:pt idx="51">
                  <c:v>0.44</c:v>
                </c:pt>
                <c:pt idx="52">
                  <c:v>0.43</c:v>
                </c:pt>
                <c:pt idx="53">
                  <c:v>0.41</c:v>
                </c:pt>
                <c:pt idx="54">
                  <c:v>0.4</c:v>
                </c:pt>
                <c:pt idx="55">
                  <c:v>0.39</c:v>
                </c:pt>
                <c:pt idx="56">
                  <c:v>0.38</c:v>
                </c:pt>
                <c:pt idx="57">
                  <c:v>0.37</c:v>
                </c:pt>
                <c:pt idx="58">
                  <c:v>0.36</c:v>
                </c:pt>
                <c:pt idx="59">
                  <c:v>0.35</c:v>
                </c:pt>
                <c:pt idx="60">
                  <c:v>0.34</c:v>
                </c:pt>
                <c:pt idx="61">
                  <c:v>0.34</c:v>
                </c:pt>
                <c:pt idx="62">
                  <c:v>0.34</c:v>
                </c:pt>
                <c:pt idx="63">
                  <c:v>0.34</c:v>
                </c:pt>
                <c:pt idx="64">
                  <c:v>0.34</c:v>
                </c:pt>
                <c:pt idx="65">
                  <c:v>0.35</c:v>
                </c:pt>
                <c:pt idx="66">
                  <c:v>0.35</c:v>
                </c:pt>
                <c:pt idx="67">
                  <c:v>0.36</c:v>
                </c:pt>
                <c:pt idx="68">
                  <c:v>0.36</c:v>
                </c:pt>
                <c:pt idx="69">
                  <c:v>0.37</c:v>
                </c:pt>
                <c:pt idx="70">
                  <c:v>0.38</c:v>
                </c:pt>
                <c:pt idx="71">
                  <c:v>0.39</c:v>
                </c:pt>
                <c:pt idx="72">
                  <c:v>0.4</c:v>
                </c:pt>
                <c:pt idx="73">
                  <c:v>0.41</c:v>
                </c:pt>
                <c:pt idx="74">
                  <c:v>0.42</c:v>
                </c:pt>
                <c:pt idx="75">
                  <c:v>0.43</c:v>
                </c:pt>
                <c:pt idx="76">
                  <c:v>0.44</c:v>
                </c:pt>
                <c:pt idx="77">
                  <c:v>0.45</c:v>
                </c:pt>
                <c:pt idx="78">
                  <c:v>0.46</c:v>
                </c:pt>
                <c:pt idx="79">
                  <c:v>0.47</c:v>
                </c:pt>
                <c:pt idx="80">
                  <c:v>0.47</c:v>
                </c:pt>
                <c:pt idx="81">
                  <c:v>0.48</c:v>
                </c:pt>
                <c:pt idx="82">
                  <c:v>0.48</c:v>
                </c:pt>
                <c:pt idx="83">
                  <c:v>0.49</c:v>
                </c:pt>
                <c:pt idx="84">
                  <c:v>0.49</c:v>
                </c:pt>
                <c:pt idx="85">
                  <c:v>0.49</c:v>
                </c:pt>
                <c:pt idx="86">
                  <c:v>0.48</c:v>
                </c:pt>
                <c:pt idx="87">
                  <c:v>0.47</c:v>
                </c:pt>
                <c:pt idx="88">
                  <c:v>0.46</c:v>
                </c:pt>
                <c:pt idx="89">
                  <c:v>0.45</c:v>
                </c:pt>
                <c:pt idx="90">
                  <c:v>0.44</c:v>
                </c:pt>
                <c:pt idx="91">
                  <c:v>0.43</c:v>
                </c:pt>
                <c:pt idx="92">
                  <c:v>0.42</c:v>
                </c:pt>
                <c:pt idx="93">
                  <c:v>0.41</c:v>
                </c:pt>
                <c:pt idx="94">
                  <c:v>0.4</c:v>
                </c:pt>
                <c:pt idx="95">
                  <c:v>0.39</c:v>
                </c:pt>
                <c:pt idx="96">
                  <c:v>0.38</c:v>
                </c:pt>
                <c:pt idx="97">
                  <c:v>0.36</c:v>
                </c:pt>
                <c:pt idx="98">
                  <c:v>0.35</c:v>
                </c:pt>
                <c:pt idx="99">
                  <c:v>0.34</c:v>
                </c:pt>
                <c:pt idx="100">
                  <c:v>0.33</c:v>
                </c:pt>
                <c:pt idx="101">
                  <c:v>0.32</c:v>
                </c:pt>
                <c:pt idx="102">
                  <c:v>0.32</c:v>
                </c:pt>
                <c:pt idx="103">
                  <c:v>0.32</c:v>
                </c:pt>
                <c:pt idx="104">
                  <c:v>0.32</c:v>
                </c:pt>
                <c:pt idx="105">
                  <c:v>0.32</c:v>
                </c:pt>
                <c:pt idx="106">
                  <c:v>0.32</c:v>
                </c:pt>
                <c:pt idx="107">
                  <c:v>0.32</c:v>
                </c:pt>
                <c:pt idx="108">
                  <c:v>0.32</c:v>
                </c:pt>
                <c:pt idx="109">
                  <c:v>0.32</c:v>
                </c:pt>
                <c:pt idx="110">
                  <c:v>0.32</c:v>
                </c:pt>
                <c:pt idx="111">
                  <c:v>0.32</c:v>
                </c:pt>
                <c:pt idx="112">
                  <c:v>0.32</c:v>
                </c:pt>
                <c:pt idx="113">
                  <c:v>0.32</c:v>
                </c:pt>
                <c:pt idx="114">
                  <c:v>0.32</c:v>
                </c:pt>
                <c:pt idx="115">
                  <c:v>0.32</c:v>
                </c:pt>
                <c:pt idx="116">
                  <c:v>0.32</c:v>
                </c:pt>
                <c:pt idx="117">
                  <c:v>0.32</c:v>
                </c:pt>
                <c:pt idx="118">
                  <c:v>0.32</c:v>
                </c:pt>
                <c:pt idx="119">
                  <c:v>0.32</c:v>
                </c:pt>
                <c:pt idx="120">
                  <c:v>0.32</c:v>
                </c:pt>
                <c:pt idx="121">
                  <c:v>0.32</c:v>
                </c:pt>
                <c:pt idx="122">
                  <c:v>0.32</c:v>
                </c:pt>
                <c:pt idx="123">
                  <c:v>0.32</c:v>
                </c:pt>
                <c:pt idx="124">
                  <c:v>0.32</c:v>
                </c:pt>
                <c:pt idx="125">
                  <c:v>0.32</c:v>
                </c:pt>
                <c:pt idx="126">
                  <c:v>0.32</c:v>
                </c:pt>
                <c:pt idx="127">
                  <c:v>0.32</c:v>
                </c:pt>
                <c:pt idx="128">
                  <c:v>0.32</c:v>
                </c:pt>
                <c:pt idx="129">
                  <c:v>0.32</c:v>
                </c:pt>
                <c:pt idx="130">
                  <c:v>0.32</c:v>
                </c:pt>
                <c:pt idx="131">
                  <c:v>0.32</c:v>
                </c:pt>
                <c:pt idx="132">
                  <c:v>0.31</c:v>
                </c:pt>
                <c:pt idx="133">
                  <c:v>0.31</c:v>
                </c:pt>
                <c:pt idx="134">
                  <c:v>0.31</c:v>
                </c:pt>
                <c:pt idx="135">
                  <c:v>0.31</c:v>
                </c:pt>
                <c:pt idx="136">
                  <c:v>0.31</c:v>
                </c:pt>
                <c:pt idx="137">
                  <c:v>0.31</c:v>
                </c:pt>
                <c:pt idx="138">
                  <c:v>0.31</c:v>
                </c:pt>
                <c:pt idx="139">
                  <c:v>0.31</c:v>
                </c:pt>
                <c:pt idx="140">
                  <c:v>0.31</c:v>
                </c:pt>
                <c:pt idx="141">
                  <c:v>0.31</c:v>
                </c:pt>
                <c:pt idx="142">
                  <c:v>0.31</c:v>
                </c:pt>
                <c:pt idx="143">
                  <c:v>0.31</c:v>
                </c:pt>
                <c:pt idx="144">
                  <c:v>0.3</c:v>
                </c:pt>
                <c:pt idx="145">
                  <c:v>0.3</c:v>
                </c:pt>
                <c:pt idx="146">
                  <c:v>0.3</c:v>
                </c:pt>
                <c:pt idx="147">
                  <c:v>0.3</c:v>
                </c:pt>
                <c:pt idx="148">
                  <c:v>0.3</c:v>
                </c:pt>
                <c:pt idx="149">
                  <c:v>0.3</c:v>
                </c:pt>
                <c:pt idx="150">
                  <c:v>0.31</c:v>
                </c:pt>
                <c:pt idx="151">
                  <c:v>0.32</c:v>
                </c:pt>
                <c:pt idx="152">
                  <c:v>0.34</c:v>
                </c:pt>
                <c:pt idx="153">
                  <c:v>0.35</c:v>
                </c:pt>
                <c:pt idx="154">
                  <c:v>0.36</c:v>
                </c:pt>
                <c:pt idx="155">
                  <c:v>0.37</c:v>
                </c:pt>
                <c:pt idx="156">
                  <c:v>0.41</c:v>
                </c:pt>
                <c:pt idx="157">
                  <c:v>0.43</c:v>
                </c:pt>
                <c:pt idx="158">
                  <c:v>0.45</c:v>
                </c:pt>
                <c:pt idx="159">
                  <c:v>0.47</c:v>
                </c:pt>
                <c:pt idx="160">
                  <c:v>0.48</c:v>
                </c:pt>
                <c:pt idx="161">
                  <c:v>0.49</c:v>
                </c:pt>
                <c:pt idx="162">
                  <c:v>0.51</c:v>
                </c:pt>
                <c:pt idx="163">
                  <c:v>0.53</c:v>
                </c:pt>
                <c:pt idx="164">
                  <c:v>0.55000000000000004</c:v>
                </c:pt>
                <c:pt idx="165">
                  <c:v>0.56999999999999995</c:v>
                </c:pt>
                <c:pt idx="166">
                  <c:v>0.59</c:v>
                </c:pt>
                <c:pt idx="167">
                  <c:v>0.61</c:v>
                </c:pt>
                <c:pt idx="168">
                  <c:v>0.62</c:v>
                </c:pt>
                <c:pt idx="169">
                  <c:v>0.63</c:v>
                </c:pt>
                <c:pt idx="170">
                  <c:v>0.64</c:v>
                </c:pt>
                <c:pt idx="171">
                  <c:v>0.65</c:v>
                </c:pt>
                <c:pt idx="172">
                  <c:v>0.66</c:v>
                </c:pt>
                <c:pt idx="173">
                  <c:v>0.67</c:v>
                </c:pt>
                <c:pt idx="174">
                  <c:v>0.67</c:v>
                </c:pt>
                <c:pt idx="175">
                  <c:v>0.67</c:v>
                </c:pt>
                <c:pt idx="176">
                  <c:v>0.67</c:v>
                </c:pt>
                <c:pt idx="177">
                  <c:v>0.67</c:v>
                </c:pt>
                <c:pt idx="178">
                  <c:v>0.67</c:v>
                </c:pt>
                <c:pt idx="179">
                  <c:v>0.67</c:v>
                </c:pt>
                <c:pt idx="180">
                  <c:v>0.67</c:v>
                </c:pt>
                <c:pt idx="181">
                  <c:v>0.67</c:v>
                </c:pt>
                <c:pt idx="182">
                  <c:v>0.67</c:v>
                </c:pt>
                <c:pt idx="183">
                  <c:v>0.67</c:v>
                </c:pt>
                <c:pt idx="184">
                  <c:v>0.67</c:v>
                </c:pt>
                <c:pt idx="185">
                  <c:v>0.67</c:v>
                </c:pt>
                <c:pt idx="186">
                  <c:v>0.67</c:v>
                </c:pt>
                <c:pt idx="187">
                  <c:v>0.67</c:v>
                </c:pt>
                <c:pt idx="188">
                  <c:v>0.67</c:v>
                </c:pt>
                <c:pt idx="189">
                  <c:v>0.67</c:v>
                </c:pt>
                <c:pt idx="190">
                  <c:v>0.67</c:v>
                </c:pt>
                <c:pt idx="191">
                  <c:v>0.67</c:v>
                </c:pt>
                <c:pt idx="192">
                  <c:v>0.67</c:v>
                </c:pt>
                <c:pt idx="193">
                  <c:v>0.67</c:v>
                </c:pt>
                <c:pt idx="194">
                  <c:v>0.67</c:v>
                </c:pt>
                <c:pt idx="195">
                  <c:v>0.67</c:v>
                </c:pt>
                <c:pt idx="196">
                  <c:v>0.67</c:v>
                </c:pt>
                <c:pt idx="197">
                  <c:v>0.67</c:v>
                </c:pt>
                <c:pt idx="198">
                  <c:v>0.67</c:v>
                </c:pt>
                <c:pt idx="199">
                  <c:v>0.67</c:v>
                </c:pt>
                <c:pt idx="200">
                  <c:v>0.67</c:v>
                </c:pt>
                <c:pt idx="201">
                  <c:v>0.67</c:v>
                </c:pt>
                <c:pt idx="202">
                  <c:v>0.67</c:v>
                </c:pt>
                <c:pt idx="203">
                  <c:v>0.67</c:v>
                </c:pt>
                <c:pt idx="204">
                  <c:v>0.67</c:v>
                </c:pt>
                <c:pt idx="205">
                  <c:v>0.67</c:v>
                </c:pt>
                <c:pt idx="206">
                  <c:v>0.67</c:v>
                </c:pt>
                <c:pt idx="207">
                  <c:v>0.67</c:v>
                </c:pt>
                <c:pt idx="208">
                  <c:v>0.67</c:v>
                </c:pt>
                <c:pt idx="209">
                  <c:v>0.67</c:v>
                </c:pt>
                <c:pt idx="210">
                  <c:v>0.67</c:v>
                </c:pt>
                <c:pt idx="211">
                  <c:v>0.67</c:v>
                </c:pt>
                <c:pt idx="212">
                  <c:v>0.67</c:v>
                </c:pt>
                <c:pt idx="213">
                  <c:v>0.67</c:v>
                </c:pt>
                <c:pt idx="214">
                  <c:v>0.67</c:v>
                </c:pt>
                <c:pt idx="215">
                  <c:v>0.67</c:v>
                </c:pt>
                <c:pt idx="216">
                  <c:v>0.67</c:v>
                </c:pt>
                <c:pt idx="217">
                  <c:v>0.67</c:v>
                </c:pt>
                <c:pt idx="218">
                  <c:v>0.67</c:v>
                </c:pt>
                <c:pt idx="219">
                  <c:v>0.67</c:v>
                </c:pt>
                <c:pt idx="220">
                  <c:v>0.67</c:v>
                </c:pt>
                <c:pt idx="221">
                  <c:v>0.67</c:v>
                </c:pt>
                <c:pt idx="222">
                  <c:v>0.67</c:v>
                </c:pt>
                <c:pt idx="223">
                  <c:v>0.66</c:v>
                </c:pt>
                <c:pt idx="224">
                  <c:v>0.65</c:v>
                </c:pt>
                <c:pt idx="225">
                  <c:v>0.64</c:v>
                </c:pt>
                <c:pt idx="226">
                  <c:v>0.63</c:v>
                </c:pt>
                <c:pt idx="227">
                  <c:v>0.62</c:v>
                </c:pt>
                <c:pt idx="228">
                  <c:v>0.61</c:v>
                </c:pt>
                <c:pt idx="229">
                  <c:v>0.59</c:v>
                </c:pt>
                <c:pt idx="230">
                  <c:v>0.56999999999999995</c:v>
                </c:pt>
                <c:pt idx="231">
                  <c:v>0.54</c:v>
                </c:pt>
                <c:pt idx="232">
                  <c:v>0.51</c:v>
                </c:pt>
                <c:pt idx="233">
                  <c:v>0.49</c:v>
                </c:pt>
                <c:pt idx="234">
                  <c:v>0.45</c:v>
                </c:pt>
                <c:pt idx="235">
                  <c:v>0.42</c:v>
                </c:pt>
                <c:pt idx="236">
                  <c:v>0.41</c:v>
                </c:pt>
                <c:pt idx="237">
                  <c:v>0.39</c:v>
                </c:pt>
                <c:pt idx="238">
                  <c:v>0.37</c:v>
                </c:pt>
                <c:pt idx="239">
                  <c:v>0.36</c:v>
                </c:pt>
                <c:pt idx="240">
                  <c:v>0.35</c:v>
                </c:pt>
                <c:pt idx="241">
                  <c:v>0.34</c:v>
                </c:pt>
                <c:pt idx="242">
                  <c:v>0.33</c:v>
                </c:pt>
                <c:pt idx="243">
                  <c:v>0.32</c:v>
                </c:pt>
                <c:pt idx="244">
                  <c:v>0.31</c:v>
                </c:pt>
                <c:pt idx="245">
                  <c:v>0.3</c:v>
                </c:pt>
                <c:pt idx="246">
                  <c:v>0.3</c:v>
                </c:pt>
                <c:pt idx="247">
                  <c:v>0.3</c:v>
                </c:pt>
                <c:pt idx="248">
                  <c:v>0.3</c:v>
                </c:pt>
                <c:pt idx="249">
                  <c:v>0.3</c:v>
                </c:pt>
                <c:pt idx="250">
                  <c:v>0.3</c:v>
                </c:pt>
                <c:pt idx="251">
                  <c:v>0.3</c:v>
                </c:pt>
                <c:pt idx="252">
                  <c:v>0.28999999999999998</c:v>
                </c:pt>
                <c:pt idx="253">
                  <c:v>0.28999999999999998</c:v>
                </c:pt>
                <c:pt idx="254">
                  <c:v>0.28999999999999998</c:v>
                </c:pt>
                <c:pt idx="255">
                  <c:v>0.28999999999999998</c:v>
                </c:pt>
                <c:pt idx="256">
                  <c:v>0.28999999999999998</c:v>
                </c:pt>
                <c:pt idx="257">
                  <c:v>0.28999999999999998</c:v>
                </c:pt>
                <c:pt idx="258">
                  <c:v>0.28999999999999998</c:v>
                </c:pt>
                <c:pt idx="259">
                  <c:v>0.28999999999999998</c:v>
                </c:pt>
                <c:pt idx="260">
                  <c:v>0.28999999999999998</c:v>
                </c:pt>
                <c:pt idx="261">
                  <c:v>0.28999999999999998</c:v>
                </c:pt>
                <c:pt idx="262">
                  <c:v>0.28999999999999998</c:v>
                </c:pt>
                <c:pt idx="263">
                  <c:v>0.28999999999999998</c:v>
                </c:pt>
                <c:pt idx="264">
                  <c:v>0.28999999999999998</c:v>
                </c:pt>
                <c:pt idx="265">
                  <c:v>0.28999999999999998</c:v>
                </c:pt>
                <c:pt idx="266">
                  <c:v>0.28999999999999998</c:v>
                </c:pt>
                <c:pt idx="267">
                  <c:v>0.28999999999999998</c:v>
                </c:pt>
                <c:pt idx="268">
                  <c:v>0.28999999999999998</c:v>
                </c:pt>
                <c:pt idx="269">
                  <c:v>0.28999999999999998</c:v>
                </c:pt>
                <c:pt idx="270">
                  <c:v>0.28999999999999998</c:v>
                </c:pt>
                <c:pt idx="271">
                  <c:v>0.28999999999999998</c:v>
                </c:pt>
                <c:pt idx="272">
                  <c:v>0.28999999999999998</c:v>
                </c:pt>
                <c:pt idx="273">
                  <c:v>0.28999999999999998</c:v>
                </c:pt>
                <c:pt idx="274">
                  <c:v>0.28999999999999998</c:v>
                </c:pt>
                <c:pt idx="275">
                  <c:v>0.28999999999999998</c:v>
                </c:pt>
                <c:pt idx="276">
                  <c:v>0.28999999999999998</c:v>
                </c:pt>
                <c:pt idx="277">
                  <c:v>0.28999999999999998</c:v>
                </c:pt>
                <c:pt idx="278">
                  <c:v>0.28999999999999998</c:v>
                </c:pt>
                <c:pt idx="279">
                  <c:v>0.28999999999999998</c:v>
                </c:pt>
                <c:pt idx="280">
                  <c:v>0.28999999999999998</c:v>
                </c:pt>
                <c:pt idx="281">
                  <c:v>0.28999999999999998</c:v>
                </c:pt>
                <c:pt idx="282">
                  <c:v>0.28999999999999998</c:v>
                </c:pt>
                <c:pt idx="283">
                  <c:v>0.28999999999999998</c:v>
                </c:pt>
                <c:pt idx="284">
                  <c:v>0.28999999999999998</c:v>
                </c:pt>
                <c:pt idx="285">
                  <c:v>0.28999999999999998</c:v>
                </c:pt>
                <c:pt idx="286">
                  <c:v>0.28999999999999998</c:v>
                </c:pt>
                <c:pt idx="287">
                  <c:v>0.28999999999999998</c:v>
                </c:pt>
                <c:pt idx="288">
                  <c:v>0.3</c:v>
                </c:pt>
                <c:pt idx="289">
                  <c:v>0.3</c:v>
                </c:pt>
                <c:pt idx="290">
                  <c:v>0.3</c:v>
                </c:pt>
                <c:pt idx="291">
                  <c:v>0.3</c:v>
                </c:pt>
                <c:pt idx="292">
                  <c:v>0.3</c:v>
                </c:pt>
                <c:pt idx="293">
                  <c:v>0.3</c:v>
                </c:pt>
                <c:pt idx="294">
                  <c:v>0.3</c:v>
                </c:pt>
                <c:pt idx="295">
                  <c:v>0.3</c:v>
                </c:pt>
                <c:pt idx="296">
                  <c:v>0.3</c:v>
                </c:pt>
                <c:pt idx="297">
                  <c:v>0.3</c:v>
                </c:pt>
                <c:pt idx="298">
                  <c:v>0.3</c:v>
                </c:pt>
                <c:pt idx="299">
                  <c:v>0.3</c:v>
                </c:pt>
                <c:pt idx="300">
                  <c:v>0.3</c:v>
                </c:pt>
                <c:pt idx="301">
                  <c:v>0.3</c:v>
                </c:pt>
                <c:pt idx="302">
                  <c:v>0.3</c:v>
                </c:pt>
                <c:pt idx="303">
                  <c:v>0.3</c:v>
                </c:pt>
                <c:pt idx="304">
                  <c:v>0.3</c:v>
                </c:pt>
                <c:pt idx="305">
                  <c:v>0.3</c:v>
                </c:pt>
                <c:pt idx="306">
                  <c:v>0.3</c:v>
                </c:pt>
                <c:pt idx="307">
                  <c:v>0.3</c:v>
                </c:pt>
                <c:pt idx="308">
                  <c:v>0.3</c:v>
                </c:pt>
                <c:pt idx="309">
                  <c:v>0.3</c:v>
                </c:pt>
                <c:pt idx="310">
                  <c:v>0.3</c:v>
                </c:pt>
                <c:pt idx="311">
                  <c:v>0.3</c:v>
                </c:pt>
                <c:pt idx="312">
                  <c:v>0.28999999999999998</c:v>
                </c:pt>
                <c:pt idx="313">
                  <c:v>0.28999999999999998</c:v>
                </c:pt>
                <c:pt idx="314">
                  <c:v>0.28999999999999998</c:v>
                </c:pt>
                <c:pt idx="315">
                  <c:v>0.28999999999999998</c:v>
                </c:pt>
                <c:pt idx="316">
                  <c:v>0.28999999999999998</c:v>
                </c:pt>
                <c:pt idx="317">
                  <c:v>0.28999999999999998</c:v>
                </c:pt>
                <c:pt idx="318">
                  <c:v>0.3</c:v>
                </c:pt>
                <c:pt idx="319">
                  <c:v>0.3</c:v>
                </c:pt>
                <c:pt idx="320">
                  <c:v>0.31</c:v>
                </c:pt>
                <c:pt idx="321">
                  <c:v>0.32</c:v>
                </c:pt>
                <c:pt idx="322">
                  <c:v>0.33</c:v>
                </c:pt>
                <c:pt idx="323">
                  <c:v>0.34</c:v>
                </c:pt>
                <c:pt idx="324">
                  <c:v>0.35</c:v>
                </c:pt>
                <c:pt idx="325">
                  <c:v>0.37</c:v>
                </c:pt>
                <c:pt idx="326">
                  <c:v>0.38</c:v>
                </c:pt>
                <c:pt idx="327">
                  <c:v>0.39</c:v>
                </c:pt>
                <c:pt idx="328">
                  <c:v>0.41</c:v>
                </c:pt>
                <c:pt idx="329">
                  <c:v>0.43</c:v>
                </c:pt>
                <c:pt idx="330">
                  <c:v>0.45</c:v>
                </c:pt>
                <c:pt idx="331">
                  <c:v>0.47</c:v>
                </c:pt>
                <c:pt idx="332">
                  <c:v>0.49</c:v>
                </c:pt>
                <c:pt idx="333">
                  <c:v>0.51</c:v>
                </c:pt>
                <c:pt idx="334">
                  <c:v>0.53</c:v>
                </c:pt>
                <c:pt idx="335">
                  <c:v>0.55000000000000004</c:v>
                </c:pt>
                <c:pt idx="336">
                  <c:v>0.56999999999999995</c:v>
                </c:pt>
                <c:pt idx="337">
                  <c:v>0.59</c:v>
                </c:pt>
                <c:pt idx="338">
                  <c:v>0.62</c:v>
                </c:pt>
                <c:pt idx="339">
                  <c:v>0.64</c:v>
                </c:pt>
                <c:pt idx="340">
                  <c:v>0.65</c:v>
                </c:pt>
                <c:pt idx="341">
                  <c:v>0.67</c:v>
                </c:pt>
                <c:pt idx="342">
                  <c:v>0.68</c:v>
                </c:pt>
                <c:pt idx="343">
                  <c:v>0.7</c:v>
                </c:pt>
                <c:pt idx="344">
                  <c:v>0.71</c:v>
                </c:pt>
                <c:pt idx="345">
                  <c:v>0.72</c:v>
                </c:pt>
                <c:pt idx="346">
                  <c:v>0.73</c:v>
                </c:pt>
                <c:pt idx="347">
                  <c:v>0.74</c:v>
                </c:pt>
                <c:pt idx="348">
                  <c:v>0.75</c:v>
                </c:pt>
                <c:pt idx="349">
                  <c:v>0.76</c:v>
                </c:pt>
                <c:pt idx="350">
                  <c:v>0.77</c:v>
                </c:pt>
                <c:pt idx="351">
                  <c:v>0.78</c:v>
                </c:pt>
                <c:pt idx="352">
                  <c:v>0.79</c:v>
                </c:pt>
                <c:pt idx="353">
                  <c:v>0.79</c:v>
                </c:pt>
                <c:pt idx="354">
                  <c:v>0.8</c:v>
                </c:pt>
                <c:pt idx="355">
                  <c:v>0.8</c:v>
                </c:pt>
                <c:pt idx="356">
                  <c:v>0.8</c:v>
                </c:pt>
                <c:pt idx="357">
                  <c:v>0.81</c:v>
                </c:pt>
                <c:pt idx="358">
                  <c:v>0.81</c:v>
                </c:pt>
                <c:pt idx="359">
                  <c:v>0.81</c:v>
                </c:pt>
                <c:pt idx="360">
                  <c:v>0.82</c:v>
                </c:pt>
                <c:pt idx="361">
                  <c:v>0.82</c:v>
                </c:pt>
                <c:pt idx="362">
                  <c:v>0.82</c:v>
                </c:pt>
                <c:pt idx="363">
                  <c:v>0.83</c:v>
                </c:pt>
                <c:pt idx="364">
                  <c:v>0.83</c:v>
                </c:pt>
                <c:pt idx="365">
                  <c:v>0.83</c:v>
                </c:pt>
                <c:pt idx="366">
                  <c:v>0.83</c:v>
                </c:pt>
                <c:pt idx="367">
                  <c:v>0.83</c:v>
                </c:pt>
                <c:pt idx="368">
                  <c:v>0.84</c:v>
                </c:pt>
                <c:pt idx="369">
                  <c:v>0.84</c:v>
                </c:pt>
                <c:pt idx="370">
                  <c:v>0.84</c:v>
                </c:pt>
                <c:pt idx="371">
                  <c:v>0.84</c:v>
                </c:pt>
                <c:pt idx="372">
                  <c:v>0.85</c:v>
                </c:pt>
                <c:pt idx="373">
                  <c:v>0.85</c:v>
                </c:pt>
                <c:pt idx="374">
                  <c:v>0.85</c:v>
                </c:pt>
                <c:pt idx="375">
                  <c:v>0.85</c:v>
                </c:pt>
                <c:pt idx="376">
                  <c:v>0.85</c:v>
                </c:pt>
                <c:pt idx="377">
                  <c:v>0.85</c:v>
                </c:pt>
                <c:pt idx="378">
                  <c:v>0.84</c:v>
                </c:pt>
                <c:pt idx="379">
                  <c:v>0.84</c:v>
                </c:pt>
                <c:pt idx="380">
                  <c:v>0.84</c:v>
                </c:pt>
                <c:pt idx="381">
                  <c:v>0.84</c:v>
                </c:pt>
                <c:pt idx="382">
                  <c:v>0.84</c:v>
                </c:pt>
                <c:pt idx="383">
                  <c:v>0.84</c:v>
                </c:pt>
                <c:pt idx="384">
                  <c:v>0.83</c:v>
                </c:pt>
                <c:pt idx="385">
                  <c:v>0.83</c:v>
                </c:pt>
                <c:pt idx="386">
                  <c:v>0.83</c:v>
                </c:pt>
                <c:pt idx="387">
                  <c:v>0.83</c:v>
                </c:pt>
                <c:pt idx="388">
                  <c:v>0.82</c:v>
                </c:pt>
                <c:pt idx="389">
                  <c:v>0.82</c:v>
                </c:pt>
                <c:pt idx="390">
                  <c:v>0.81</c:v>
                </c:pt>
                <c:pt idx="391">
                  <c:v>0.81</c:v>
                </c:pt>
                <c:pt idx="392">
                  <c:v>0.8</c:v>
                </c:pt>
                <c:pt idx="393">
                  <c:v>0.78</c:v>
                </c:pt>
                <c:pt idx="394">
                  <c:v>0.76</c:v>
                </c:pt>
                <c:pt idx="395">
                  <c:v>0.75</c:v>
                </c:pt>
                <c:pt idx="396">
                  <c:v>0.73</c:v>
                </c:pt>
                <c:pt idx="397">
                  <c:v>0.71</c:v>
                </c:pt>
                <c:pt idx="398">
                  <c:v>0.68</c:v>
                </c:pt>
                <c:pt idx="399">
                  <c:v>0.65</c:v>
                </c:pt>
                <c:pt idx="400">
                  <c:v>0.63</c:v>
                </c:pt>
                <c:pt idx="401">
                  <c:v>0.6</c:v>
                </c:pt>
                <c:pt idx="402">
                  <c:v>0.56000000000000005</c:v>
                </c:pt>
                <c:pt idx="403">
                  <c:v>0.53</c:v>
                </c:pt>
                <c:pt idx="404">
                  <c:v>0.5</c:v>
                </c:pt>
                <c:pt idx="405">
                  <c:v>0.47</c:v>
                </c:pt>
                <c:pt idx="406">
                  <c:v>0.43</c:v>
                </c:pt>
                <c:pt idx="407">
                  <c:v>0.41</c:v>
                </c:pt>
                <c:pt idx="408">
                  <c:v>0.38</c:v>
                </c:pt>
                <c:pt idx="409">
                  <c:v>0.35</c:v>
                </c:pt>
                <c:pt idx="410">
                  <c:v>0.33</c:v>
                </c:pt>
                <c:pt idx="411">
                  <c:v>0.31</c:v>
                </c:pt>
                <c:pt idx="412">
                  <c:v>0.28999999999999998</c:v>
                </c:pt>
                <c:pt idx="413">
                  <c:v>0.27</c:v>
                </c:pt>
                <c:pt idx="414">
                  <c:v>0.27</c:v>
                </c:pt>
                <c:pt idx="415">
                  <c:v>0.27</c:v>
                </c:pt>
                <c:pt idx="416">
                  <c:v>0.27</c:v>
                </c:pt>
                <c:pt idx="417">
                  <c:v>0.27</c:v>
                </c:pt>
                <c:pt idx="418">
                  <c:v>0.27</c:v>
                </c:pt>
                <c:pt idx="419">
                  <c:v>0.27</c:v>
                </c:pt>
                <c:pt idx="420">
                  <c:v>0.27</c:v>
                </c:pt>
                <c:pt idx="421">
                  <c:v>0.27</c:v>
                </c:pt>
                <c:pt idx="422">
                  <c:v>0.27</c:v>
                </c:pt>
                <c:pt idx="423">
                  <c:v>0.27</c:v>
                </c:pt>
                <c:pt idx="424">
                  <c:v>0.27</c:v>
                </c:pt>
                <c:pt idx="425">
                  <c:v>0.27</c:v>
                </c:pt>
                <c:pt idx="426">
                  <c:v>0.27</c:v>
                </c:pt>
                <c:pt idx="427">
                  <c:v>0.27</c:v>
                </c:pt>
                <c:pt idx="428">
                  <c:v>0.27</c:v>
                </c:pt>
                <c:pt idx="429">
                  <c:v>0.27</c:v>
                </c:pt>
                <c:pt idx="430">
                  <c:v>0.27</c:v>
                </c:pt>
                <c:pt idx="431">
                  <c:v>0.27</c:v>
                </c:pt>
                <c:pt idx="432">
                  <c:v>0.27</c:v>
                </c:pt>
                <c:pt idx="433">
                  <c:v>0.27</c:v>
                </c:pt>
                <c:pt idx="434">
                  <c:v>0.27</c:v>
                </c:pt>
                <c:pt idx="435">
                  <c:v>0.27</c:v>
                </c:pt>
                <c:pt idx="436">
                  <c:v>0.27</c:v>
                </c:pt>
                <c:pt idx="437">
                  <c:v>0.27</c:v>
                </c:pt>
                <c:pt idx="438">
                  <c:v>0.27</c:v>
                </c:pt>
                <c:pt idx="439">
                  <c:v>0.27</c:v>
                </c:pt>
                <c:pt idx="440">
                  <c:v>0.27</c:v>
                </c:pt>
                <c:pt idx="441">
                  <c:v>0.27</c:v>
                </c:pt>
                <c:pt idx="442">
                  <c:v>0.27</c:v>
                </c:pt>
                <c:pt idx="443">
                  <c:v>0.27</c:v>
                </c:pt>
                <c:pt idx="444">
                  <c:v>0.27</c:v>
                </c:pt>
                <c:pt idx="445">
                  <c:v>0.27</c:v>
                </c:pt>
                <c:pt idx="446">
                  <c:v>0.27</c:v>
                </c:pt>
                <c:pt idx="447">
                  <c:v>0.27</c:v>
                </c:pt>
                <c:pt idx="448">
                  <c:v>0.27</c:v>
                </c:pt>
                <c:pt idx="449">
                  <c:v>0.27</c:v>
                </c:pt>
                <c:pt idx="450">
                  <c:v>0.27</c:v>
                </c:pt>
                <c:pt idx="451">
                  <c:v>0.27</c:v>
                </c:pt>
                <c:pt idx="452">
                  <c:v>0.27</c:v>
                </c:pt>
                <c:pt idx="453">
                  <c:v>0.27</c:v>
                </c:pt>
                <c:pt idx="454">
                  <c:v>0.27</c:v>
                </c:pt>
                <c:pt idx="455">
                  <c:v>0.27</c:v>
                </c:pt>
                <c:pt idx="456">
                  <c:v>0.28000000000000003</c:v>
                </c:pt>
                <c:pt idx="457">
                  <c:v>0.28000000000000003</c:v>
                </c:pt>
                <c:pt idx="458">
                  <c:v>0.28000000000000003</c:v>
                </c:pt>
                <c:pt idx="459">
                  <c:v>0.28000000000000003</c:v>
                </c:pt>
                <c:pt idx="460">
                  <c:v>0.28000000000000003</c:v>
                </c:pt>
                <c:pt idx="461">
                  <c:v>0.28000000000000003</c:v>
                </c:pt>
                <c:pt idx="462">
                  <c:v>0.28000000000000003</c:v>
                </c:pt>
                <c:pt idx="463">
                  <c:v>0.28000000000000003</c:v>
                </c:pt>
                <c:pt idx="464">
                  <c:v>0.28000000000000003</c:v>
                </c:pt>
                <c:pt idx="465">
                  <c:v>0.28000000000000003</c:v>
                </c:pt>
                <c:pt idx="466">
                  <c:v>0.28000000000000003</c:v>
                </c:pt>
                <c:pt idx="467">
                  <c:v>0.28000000000000003</c:v>
                </c:pt>
                <c:pt idx="468">
                  <c:v>0.27</c:v>
                </c:pt>
                <c:pt idx="469">
                  <c:v>0.27</c:v>
                </c:pt>
                <c:pt idx="470">
                  <c:v>0.27</c:v>
                </c:pt>
                <c:pt idx="471">
                  <c:v>0.27</c:v>
                </c:pt>
                <c:pt idx="472">
                  <c:v>0.27</c:v>
                </c:pt>
                <c:pt idx="473">
                  <c:v>0.27</c:v>
                </c:pt>
                <c:pt idx="474">
                  <c:v>0.27</c:v>
                </c:pt>
                <c:pt idx="475">
                  <c:v>0.27</c:v>
                </c:pt>
                <c:pt idx="476">
                  <c:v>0.27</c:v>
                </c:pt>
                <c:pt idx="477">
                  <c:v>0.27</c:v>
                </c:pt>
                <c:pt idx="478">
                  <c:v>0.27</c:v>
                </c:pt>
                <c:pt idx="479">
                  <c:v>0.27</c:v>
                </c:pt>
                <c:pt idx="480">
                  <c:v>0.26</c:v>
                </c:pt>
                <c:pt idx="481">
                  <c:v>0.26</c:v>
                </c:pt>
                <c:pt idx="482">
                  <c:v>0.26</c:v>
                </c:pt>
                <c:pt idx="483">
                  <c:v>0.26</c:v>
                </c:pt>
                <c:pt idx="484">
                  <c:v>0.26</c:v>
                </c:pt>
                <c:pt idx="485">
                  <c:v>0.26</c:v>
                </c:pt>
                <c:pt idx="486">
                  <c:v>0.27</c:v>
                </c:pt>
                <c:pt idx="487">
                  <c:v>0.27</c:v>
                </c:pt>
                <c:pt idx="488">
                  <c:v>0.28000000000000003</c:v>
                </c:pt>
                <c:pt idx="489">
                  <c:v>0.28999999999999998</c:v>
                </c:pt>
                <c:pt idx="490">
                  <c:v>0.3</c:v>
                </c:pt>
                <c:pt idx="491">
                  <c:v>0.31</c:v>
                </c:pt>
                <c:pt idx="492">
                  <c:v>0.33</c:v>
                </c:pt>
                <c:pt idx="493">
                  <c:v>0.35</c:v>
                </c:pt>
                <c:pt idx="494">
                  <c:v>0.37</c:v>
                </c:pt>
                <c:pt idx="495">
                  <c:v>0.39</c:v>
                </c:pt>
                <c:pt idx="496">
                  <c:v>0.41</c:v>
                </c:pt>
                <c:pt idx="497">
                  <c:v>0.43</c:v>
                </c:pt>
                <c:pt idx="498">
                  <c:v>0.46</c:v>
                </c:pt>
                <c:pt idx="499">
                  <c:v>0.49</c:v>
                </c:pt>
                <c:pt idx="500">
                  <c:v>0.51</c:v>
                </c:pt>
                <c:pt idx="501">
                  <c:v>0.53</c:v>
                </c:pt>
                <c:pt idx="502">
                  <c:v>0.56000000000000005</c:v>
                </c:pt>
                <c:pt idx="503">
                  <c:v>0.59</c:v>
                </c:pt>
                <c:pt idx="504">
                  <c:v>0.61</c:v>
                </c:pt>
                <c:pt idx="505">
                  <c:v>0.63</c:v>
                </c:pt>
                <c:pt idx="506">
                  <c:v>0.65</c:v>
                </c:pt>
                <c:pt idx="507">
                  <c:v>0.67</c:v>
                </c:pt>
                <c:pt idx="508">
                  <c:v>0.68</c:v>
                </c:pt>
                <c:pt idx="509">
                  <c:v>0.69</c:v>
                </c:pt>
                <c:pt idx="510">
                  <c:v>0.7</c:v>
                </c:pt>
                <c:pt idx="511">
                  <c:v>0.71</c:v>
                </c:pt>
                <c:pt idx="512">
                  <c:v>0.71</c:v>
                </c:pt>
                <c:pt idx="513">
                  <c:v>0.71</c:v>
                </c:pt>
                <c:pt idx="514">
                  <c:v>0.71</c:v>
                </c:pt>
                <c:pt idx="515">
                  <c:v>0.7</c:v>
                </c:pt>
                <c:pt idx="516">
                  <c:v>0.7</c:v>
                </c:pt>
                <c:pt idx="517">
                  <c:v>0.69</c:v>
                </c:pt>
                <c:pt idx="518">
                  <c:v>0.68</c:v>
                </c:pt>
                <c:pt idx="519">
                  <c:v>0.67</c:v>
                </c:pt>
                <c:pt idx="520">
                  <c:v>0.66</c:v>
                </c:pt>
                <c:pt idx="521">
                  <c:v>0.65</c:v>
                </c:pt>
                <c:pt idx="522">
                  <c:v>0.63</c:v>
                </c:pt>
                <c:pt idx="523">
                  <c:v>0.61</c:v>
                </c:pt>
                <c:pt idx="524">
                  <c:v>0.59</c:v>
                </c:pt>
                <c:pt idx="525">
                  <c:v>0.57999999999999996</c:v>
                </c:pt>
                <c:pt idx="526">
                  <c:v>0.56000000000000005</c:v>
                </c:pt>
                <c:pt idx="527">
                  <c:v>0.54</c:v>
                </c:pt>
                <c:pt idx="528">
                  <c:v>0.53</c:v>
                </c:pt>
                <c:pt idx="529">
                  <c:v>0.52</c:v>
                </c:pt>
                <c:pt idx="530">
                  <c:v>0.51</c:v>
                </c:pt>
                <c:pt idx="531">
                  <c:v>0.5</c:v>
                </c:pt>
                <c:pt idx="532">
                  <c:v>0.49</c:v>
                </c:pt>
                <c:pt idx="533">
                  <c:v>0.48</c:v>
                </c:pt>
                <c:pt idx="534">
                  <c:v>0.47</c:v>
                </c:pt>
                <c:pt idx="535">
                  <c:v>0.46</c:v>
                </c:pt>
                <c:pt idx="536">
                  <c:v>0.45</c:v>
                </c:pt>
                <c:pt idx="537">
                  <c:v>0.44</c:v>
                </c:pt>
                <c:pt idx="538">
                  <c:v>0.43</c:v>
                </c:pt>
                <c:pt idx="539">
                  <c:v>0.43</c:v>
                </c:pt>
                <c:pt idx="540">
                  <c:v>0.43</c:v>
                </c:pt>
                <c:pt idx="541">
                  <c:v>0.44</c:v>
                </c:pt>
                <c:pt idx="542">
                  <c:v>0.45</c:v>
                </c:pt>
                <c:pt idx="543">
                  <c:v>0.46</c:v>
                </c:pt>
                <c:pt idx="544">
                  <c:v>0.47</c:v>
                </c:pt>
                <c:pt idx="545">
                  <c:v>0.49</c:v>
                </c:pt>
                <c:pt idx="546">
                  <c:v>0.52</c:v>
                </c:pt>
                <c:pt idx="547">
                  <c:v>0.54</c:v>
                </c:pt>
                <c:pt idx="548">
                  <c:v>0.56000000000000005</c:v>
                </c:pt>
                <c:pt idx="549">
                  <c:v>0.59</c:v>
                </c:pt>
                <c:pt idx="550">
                  <c:v>0.61</c:v>
                </c:pt>
                <c:pt idx="551">
                  <c:v>0.63</c:v>
                </c:pt>
                <c:pt idx="552">
                  <c:v>0.64</c:v>
                </c:pt>
                <c:pt idx="553">
                  <c:v>0.65</c:v>
                </c:pt>
                <c:pt idx="554">
                  <c:v>0.66</c:v>
                </c:pt>
                <c:pt idx="555">
                  <c:v>0.67</c:v>
                </c:pt>
                <c:pt idx="556">
                  <c:v>0.67</c:v>
                </c:pt>
                <c:pt idx="557">
                  <c:v>0.68</c:v>
                </c:pt>
                <c:pt idx="558">
                  <c:v>0.68</c:v>
                </c:pt>
                <c:pt idx="559">
                  <c:v>0.68</c:v>
                </c:pt>
                <c:pt idx="560">
                  <c:v>0.67</c:v>
                </c:pt>
                <c:pt idx="561">
                  <c:v>0.65</c:v>
                </c:pt>
                <c:pt idx="562">
                  <c:v>0.63</c:v>
                </c:pt>
                <c:pt idx="563">
                  <c:v>0.61</c:v>
                </c:pt>
                <c:pt idx="564">
                  <c:v>0.59</c:v>
                </c:pt>
                <c:pt idx="565">
                  <c:v>0.56999999999999995</c:v>
                </c:pt>
                <c:pt idx="566">
                  <c:v>0.54</c:v>
                </c:pt>
                <c:pt idx="567">
                  <c:v>0.51</c:v>
                </c:pt>
                <c:pt idx="568">
                  <c:v>0.49</c:v>
                </c:pt>
                <c:pt idx="569">
                  <c:v>0.46</c:v>
                </c:pt>
                <c:pt idx="570">
                  <c:v>0.43</c:v>
                </c:pt>
                <c:pt idx="571">
                  <c:v>0.41</c:v>
                </c:pt>
                <c:pt idx="572">
                  <c:v>0.39</c:v>
                </c:pt>
                <c:pt idx="573">
                  <c:v>0.36</c:v>
                </c:pt>
                <c:pt idx="574">
                  <c:v>0.34</c:v>
                </c:pt>
                <c:pt idx="575">
                  <c:v>0.33</c:v>
                </c:pt>
                <c:pt idx="576">
                  <c:v>0.31</c:v>
                </c:pt>
                <c:pt idx="577">
                  <c:v>0.3</c:v>
                </c:pt>
                <c:pt idx="578">
                  <c:v>0.28999999999999998</c:v>
                </c:pt>
                <c:pt idx="579">
                  <c:v>0.28000000000000003</c:v>
                </c:pt>
                <c:pt idx="580">
                  <c:v>0.27</c:v>
                </c:pt>
                <c:pt idx="581">
                  <c:v>0.26</c:v>
                </c:pt>
                <c:pt idx="582">
                  <c:v>0.26</c:v>
                </c:pt>
                <c:pt idx="583">
                  <c:v>0.26</c:v>
                </c:pt>
                <c:pt idx="584">
                  <c:v>0.26</c:v>
                </c:pt>
                <c:pt idx="585">
                  <c:v>0.26</c:v>
                </c:pt>
                <c:pt idx="586">
                  <c:v>0.26</c:v>
                </c:pt>
                <c:pt idx="587">
                  <c:v>0.26</c:v>
                </c:pt>
                <c:pt idx="588">
                  <c:v>0.26</c:v>
                </c:pt>
                <c:pt idx="589">
                  <c:v>0.26</c:v>
                </c:pt>
                <c:pt idx="590">
                  <c:v>0.26</c:v>
                </c:pt>
                <c:pt idx="591">
                  <c:v>0.26</c:v>
                </c:pt>
                <c:pt idx="592">
                  <c:v>0.26</c:v>
                </c:pt>
                <c:pt idx="593">
                  <c:v>0.26</c:v>
                </c:pt>
                <c:pt idx="594">
                  <c:v>0.26</c:v>
                </c:pt>
                <c:pt idx="595">
                  <c:v>0.26</c:v>
                </c:pt>
                <c:pt idx="596">
                  <c:v>0.26</c:v>
                </c:pt>
                <c:pt idx="597">
                  <c:v>0.26</c:v>
                </c:pt>
                <c:pt idx="598">
                  <c:v>0.26</c:v>
                </c:pt>
                <c:pt idx="599">
                  <c:v>0.26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  <c:pt idx="630">
                  <c:v>0.25</c:v>
                </c:pt>
                <c:pt idx="631">
                  <c:v>0.25</c:v>
                </c:pt>
                <c:pt idx="632">
                  <c:v>0.25</c:v>
                </c:pt>
                <c:pt idx="633">
                  <c:v>0.25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0.25</c:v>
                </c:pt>
                <c:pt idx="642">
                  <c:v>0.25</c:v>
                </c:pt>
                <c:pt idx="643">
                  <c:v>0.25</c:v>
                </c:pt>
                <c:pt idx="644">
                  <c:v>0.25</c:v>
                </c:pt>
                <c:pt idx="645">
                  <c:v>0.25</c:v>
                </c:pt>
                <c:pt idx="646">
                  <c:v>0.25</c:v>
                </c:pt>
                <c:pt idx="647">
                  <c:v>0.25</c:v>
                </c:pt>
                <c:pt idx="648">
                  <c:v>0.25</c:v>
                </c:pt>
                <c:pt idx="649">
                  <c:v>0.25</c:v>
                </c:pt>
                <c:pt idx="650">
                  <c:v>0.25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0.26</c:v>
                </c:pt>
                <c:pt idx="655">
                  <c:v>0.27</c:v>
                </c:pt>
                <c:pt idx="656">
                  <c:v>0.27</c:v>
                </c:pt>
                <c:pt idx="657">
                  <c:v>0.28000000000000003</c:v>
                </c:pt>
                <c:pt idx="658">
                  <c:v>0.28999999999999998</c:v>
                </c:pt>
                <c:pt idx="659">
                  <c:v>0.3</c:v>
                </c:pt>
                <c:pt idx="660">
                  <c:v>0.32</c:v>
                </c:pt>
                <c:pt idx="661">
                  <c:v>0.35</c:v>
                </c:pt>
                <c:pt idx="662">
                  <c:v>0.37</c:v>
                </c:pt>
                <c:pt idx="663">
                  <c:v>0.39</c:v>
                </c:pt>
                <c:pt idx="664">
                  <c:v>0.41</c:v>
                </c:pt>
                <c:pt idx="665">
                  <c:v>0.44</c:v>
                </c:pt>
                <c:pt idx="666">
                  <c:v>0.46</c:v>
                </c:pt>
                <c:pt idx="667">
                  <c:v>0.49</c:v>
                </c:pt>
                <c:pt idx="668">
                  <c:v>0.51</c:v>
                </c:pt>
                <c:pt idx="669">
                  <c:v>0.53</c:v>
                </c:pt>
                <c:pt idx="670">
                  <c:v>0.55000000000000004</c:v>
                </c:pt>
                <c:pt idx="671">
                  <c:v>0.56999999999999995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19520"/>
        <c:axId val="89021440"/>
      </c:scatterChart>
      <c:valAx>
        <c:axId val="89019520"/>
        <c:scaling>
          <c:orientation val="minMax"/>
          <c:max val="700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9021440"/>
        <c:crosses val="autoZero"/>
        <c:crossBetween val="midCat"/>
        <c:majorUnit val="24"/>
        <c:minorUnit val="1.5"/>
      </c:valAx>
      <c:valAx>
        <c:axId val="89021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0195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March</a:t>
            </a:r>
          </a:p>
        </c:rich>
      </c:tx>
      <c:layout>
        <c:manualLayout>
          <c:xMode val="edge"/>
          <c:yMode val="edge"/>
          <c:x val="0.4842830795462944"/>
          <c:y val="2.831858407079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32359914878514E-2"/>
          <c:y val="0.12566382541467214"/>
          <c:w val="0.95383134625930721"/>
          <c:h val="0.74867321338600434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'Graph-Hou'!$CX$2:$CX$745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</c:numCache>
            </c:numRef>
          </c:xVal>
          <c:yVal>
            <c:numRef>
              <c:f>'Graph-Hou'!$DA$2:$DA$745</c:f>
              <c:numCache>
                <c:formatCode>0.00</c:formatCode>
                <c:ptCount val="744"/>
                <c:pt idx="0">
                  <c:v>0.59</c:v>
                </c:pt>
                <c:pt idx="1">
                  <c:v>0.61</c:v>
                </c:pt>
                <c:pt idx="2">
                  <c:v>0.62</c:v>
                </c:pt>
                <c:pt idx="3">
                  <c:v>0.63</c:v>
                </c:pt>
                <c:pt idx="4">
                  <c:v>0.64</c:v>
                </c:pt>
                <c:pt idx="5">
                  <c:v>0.65</c:v>
                </c:pt>
                <c:pt idx="6">
                  <c:v>0.65</c:v>
                </c:pt>
                <c:pt idx="7">
                  <c:v>0.65</c:v>
                </c:pt>
                <c:pt idx="8">
                  <c:v>0.65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0.65</c:v>
                </c:pt>
                <c:pt idx="16">
                  <c:v>0.65</c:v>
                </c:pt>
                <c:pt idx="17">
                  <c:v>0.65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0.65</c:v>
                </c:pt>
                <c:pt idx="23">
                  <c:v>0.65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0.65</c:v>
                </c:pt>
                <c:pt idx="28">
                  <c:v>0.65</c:v>
                </c:pt>
                <c:pt idx="29">
                  <c:v>0.65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0.65</c:v>
                </c:pt>
                <c:pt idx="34">
                  <c:v>0.65</c:v>
                </c:pt>
                <c:pt idx="35">
                  <c:v>0.65</c:v>
                </c:pt>
                <c:pt idx="36">
                  <c:v>0.65</c:v>
                </c:pt>
                <c:pt idx="37">
                  <c:v>0.65</c:v>
                </c:pt>
                <c:pt idx="38">
                  <c:v>0.65</c:v>
                </c:pt>
                <c:pt idx="39">
                  <c:v>0.65</c:v>
                </c:pt>
                <c:pt idx="40">
                  <c:v>0.65</c:v>
                </c:pt>
                <c:pt idx="41">
                  <c:v>0.65</c:v>
                </c:pt>
                <c:pt idx="42">
                  <c:v>0.65</c:v>
                </c:pt>
                <c:pt idx="43">
                  <c:v>0.65</c:v>
                </c:pt>
                <c:pt idx="44">
                  <c:v>0.65</c:v>
                </c:pt>
                <c:pt idx="45">
                  <c:v>0.65</c:v>
                </c:pt>
                <c:pt idx="46">
                  <c:v>0.65</c:v>
                </c:pt>
                <c:pt idx="47">
                  <c:v>0.65</c:v>
                </c:pt>
                <c:pt idx="48">
                  <c:v>0.64</c:v>
                </c:pt>
                <c:pt idx="49">
                  <c:v>0.64</c:v>
                </c:pt>
                <c:pt idx="50">
                  <c:v>0.64</c:v>
                </c:pt>
                <c:pt idx="51">
                  <c:v>0.64</c:v>
                </c:pt>
                <c:pt idx="52">
                  <c:v>0.64</c:v>
                </c:pt>
                <c:pt idx="53">
                  <c:v>0.66</c:v>
                </c:pt>
                <c:pt idx="54">
                  <c:v>0.63</c:v>
                </c:pt>
                <c:pt idx="55">
                  <c:v>0.62</c:v>
                </c:pt>
                <c:pt idx="56">
                  <c:v>0.61</c:v>
                </c:pt>
                <c:pt idx="57">
                  <c:v>0.59</c:v>
                </c:pt>
                <c:pt idx="58">
                  <c:v>0.57999999999999996</c:v>
                </c:pt>
                <c:pt idx="59">
                  <c:v>0.56000000000000005</c:v>
                </c:pt>
                <c:pt idx="60">
                  <c:v>0.54</c:v>
                </c:pt>
                <c:pt idx="61">
                  <c:v>0.52</c:v>
                </c:pt>
                <c:pt idx="62">
                  <c:v>0.5</c:v>
                </c:pt>
                <c:pt idx="63">
                  <c:v>0.47</c:v>
                </c:pt>
                <c:pt idx="64">
                  <c:v>0.45</c:v>
                </c:pt>
                <c:pt idx="65">
                  <c:v>0.43</c:v>
                </c:pt>
                <c:pt idx="66">
                  <c:v>0.4</c:v>
                </c:pt>
                <c:pt idx="67">
                  <c:v>0.38</c:v>
                </c:pt>
                <c:pt idx="68">
                  <c:v>0.36</c:v>
                </c:pt>
                <c:pt idx="69">
                  <c:v>0.34</c:v>
                </c:pt>
                <c:pt idx="70">
                  <c:v>0.32</c:v>
                </c:pt>
                <c:pt idx="71">
                  <c:v>0.31</c:v>
                </c:pt>
                <c:pt idx="72">
                  <c:v>0.28999999999999998</c:v>
                </c:pt>
                <c:pt idx="73">
                  <c:v>0.28000000000000003</c:v>
                </c:pt>
                <c:pt idx="74">
                  <c:v>0.27</c:v>
                </c:pt>
                <c:pt idx="75">
                  <c:v>0.26</c:v>
                </c:pt>
                <c:pt idx="76">
                  <c:v>0.25</c:v>
                </c:pt>
                <c:pt idx="77">
                  <c:v>0.24</c:v>
                </c:pt>
                <c:pt idx="78">
                  <c:v>0.24</c:v>
                </c:pt>
                <c:pt idx="79">
                  <c:v>0.24</c:v>
                </c:pt>
                <c:pt idx="80">
                  <c:v>0.24</c:v>
                </c:pt>
                <c:pt idx="81">
                  <c:v>0.24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0.26</c:v>
                </c:pt>
                <c:pt idx="97">
                  <c:v>0.26</c:v>
                </c:pt>
                <c:pt idx="98">
                  <c:v>0.26</c:v>
                </c:pt>
                <c:pt idx="99">
                  <c:v>0.26</c:v>
                </c:pt>
                <c:pt idx="100">
                  <c:v>0.26</c:v>
                </c:pt>
                <c:pt idx="101">
                  <c:v>0.26</c:v>
                </c:pt>
                <c:pt idx="102">
                  <c:v>0.26</c:v>
                </c:pt>
                <c:pt idx="103">
                  <c:v>0.26</c:v>
                </c:pt>
                <c:pt idx="104">
                  <c:v>0.26</c:v>
                </c:pt>
                <c:pt idx="105">
                  <c:v>0.26</c:v>
                </c:pt>
                <c:pt idx="106">
                  <c:v>0.26</c:v>
                </c:pt>
                <c:pt idx="107">
                  <c:v>0.26</c:v>
                </c:pt>
                <c:pt idx="108">
                  <c:v>0.26</c:v>
                </c:pt>
                <c:pt idx="109">
                  <c:v>0.26</c:v>
                </c:pt>
                <c:pt idx="110">
                  <c:v>0.26</c:v>
                </c:pt>
                <c:pt idx="111">
                  <c:v>0.26</c:v>
                </c:pt>
                <c:pt idx="112">
                  <c:v>0.26</c:v>
                </c:pt>
                <c:pt idx="113">
                  <c:v>0.26</c:v>
                </c:pt>
                <c:pt idx="114">
                  <c:v>0.26</c:v>
                </c:pt>
                <c:pt idx="115">
                  <c:v>0.26</c:v>
                </c:pt>
                <c:pt idx="116">
                  <c:v>0.26</c:v>
                </c:pt>
                <c:pt idx="117">
                  <c:v>0.26</c:v>
                </c:pt>
                <c:pt idx="118">
                  <c:v>0.26</c:v>
                </c:pt>
                <c:pt idx="119">
                  <c:v>0.26</c:v>
                </c:pt>
                <c:pt idx="120">
                  <c:v>0.26</c:v>
                </c:pt>
                <c:pt idx="121">
                  <c:v>0.26</c:v>
                </c:pt>
                <c:pt idx="122">
                  <c:v>0.26</c:v>
                </c:pt>
                <c:pt idx="123">
                  <c:v>0.26</c:v>
                </c:pt>
                <c:pt idx="124">
                  <c:v>0.26</c:v>
                </c:pt>
                <c:pt idx="125">
                  <c:v>0.26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0.24</c:v>
                </c:pt>
                <c:pt idx="138">
                  <c:v>0.24</c:v>
                </c:pt>
                <c:pt idx="139">
                  <c:v>0.24</c:v>
                </c:pt>
                <c:pt idx="140">
                  <c:v>0.24</c:v>
                </c:pt>
                <c:pt idx="141">
                  <c:v>0.24</c:v>
                </c:pt>
                <c:pt idx="142">
                  <c:v>0.24</c:v>
                </c:pt>
                <c:pt idx="143">
                  <c:v>0.24</c:v>
                </c:pt>
                <c:pt idx="144">
                  <c:v>0.24</c:v>
                </c:pt>
                <c:pt idx="145">
                  <c:v>0.24</c:v>
                </c:pt>
                <c:pt idx="146">
                  <c:v>0.24</c:v>
                </c:pt>
                <c:pt idx="147">
                  <c:v>0.24</c:v>
                </c:pt>
                <c:pt idx="148">
                  <c:v>0.24</c:v>
                </c:pt>
                <c:pt idx="149">
                  <c:v>0.24</c:v>
                </c:pt>
                <c:pt idx="150">
                  <c:v>0.24</c:v>
                </c:pt>
                <c:pt idx="151">
                  <c:v>0.25</c:v>
                </c:pt>
                <c:pt idx="152">
                  <c:v>0.25</c:v>
                </c:pt>
                <c:pt idx="153">
                  <c:v>0.26</c:v>
                </c:pt>
                <c:pt idx="154">
                  <c:v>0.27</c:v>
                </c:pt>
                <c:pt idx="155">
                  <c:v>0.27</c:v>
                </c:pt>
                <c:pt idx="156">
                  <c:v>0.28000000000000003</c:v>
                </c:pt>
                <c:pt idx="157">
                  <c:v>0.3</c:v>
                </c:pt>
                <c:pt idx="158">
                  <c:v>0.32</c:v>
                </c:pt>
                <c:pt idx="159">
                  <c:v>0.34</c:v>
                </c:pt>
                <c:pt idx="160">
                  <c:v>0.37</c:v>
                </c:pt>
                <c:pt idx="161">
                  <c:v>0.4</c:v>
                </c:pt>
                <c:pt idx="162">
                  <c:v>0.43</c:v>
                </c:pt>
                <c:pt idx="163">
                  <c:v>0.46</c:v>
                </c:pt>
                <c:pt idx="164">
                  <c:v>0.49</c:v>
                </c:pt>
                <c:pt idx="165">
                  <c:v>0.52</c:v>
                </c:pt>
                <c:pt idx="166">
                  <c:v>0.54</c:v>
                </c:pt>
                <c:pt idx="167">
                  <c:v>0.56000000000000005</c:v>
                </c:pt>
                <c:pt idx="168">
                  <c:v>0.57999999999999996</c:v>
                </c:pt>
                <c:pt idx="169">
                  <c:v>0.6</c:v>
                </c:pt>
                <c:pt idx="170">
                  <c:v>0.62</c:v>
                </c:pt>
                <c:pt idx="171">
                  <c:v>0.63</c:v>
                </c:pt>
                <c:pt idx="172">
                  <c:v>0.64</c:v>
                </c:pt>
                <c:pt idx="173">
                  <c:v>0.65</c:v>
                </c:pt>
                <c:pt idx="174">
                  <c:v>0.65</c:v>
                </c:pt>
                <c:pt idx="175">
                  <c:v>0.65</c:v>
                </c:pt>
                <c:pt idx="176">
                  <c:v>0.65</c:v>
                </c:pt>
                <c:pt idx="177">
                  <c:v>0.65</c:v>
                </c:pt>
                <c:pt idx="178">
                  <c:v>0.65</c:v>
                </c:pt>
                <c:pt idx="179">
                  <c:v>0.65</c:v>
                </c:pt>
                <c:pt idx="180">
                  <c:v>0.65</c:v>
                </c:pt>
                <c:pt idx="181">
                  <c:v>0.65</c:v>
                </c:pt>
                <c:pt idx="182">
                  <c:v>0.65</c:v>
                </c:pt>
                <c:pt idx="183">
                  <c:v>0.65</c:v>
                </c:pt>
                <c:pt idx="184">
                  <c:v>0.65</c:v>
                </c:pt>
                <c:pt idx="185">
                  <c:v>0.65</c:v>
                </c:pt>
                <c:pt idx="186">
                  <c:v>0.65</c:v>
                </c:pt>
                <c:pt idx="187">
                  <c:v>0.65</c:v>
                </c:pt>
                <c:pt idx="188">
                  <c:v>0.65</c:v>
                </c:pt>
                <c:pt idx="189">
                  <c:v>0.65</c:v>
                </c:pt>
                <c:pt idx="190">
                  <c:v>0.65</c:v>
                </c:pt>
                <c:pt idx="191">
                  <c:v>0.65</c:v>
                </c:pt>
                <c:pt idx="192">
                  <c:v>0.65</c:v>
                </c:pt>
                <c:pt idx="193">
                  <c:v>0.65</c:v>
                </c:pt>
                <c:pt idx="194">
                  <c:v>0.65</c:v>
                </c:pt>
                <c:pt idx="195">
                  <c:v>0.65</c:v>
                </c:pt>
                <c:pt idx="196">
                  <c:v>0.65</c:v>
                </c:pt>
                <c:pt idx="197">
                  <c:v>0.65</c:v>
                </c:pt>
                <c:pt idx="198">
                  <c:v>0.65</c:v>
                </c:pt>
                <c:pt idx="199">
                  <c:v>0.65</c:v>
                </c:pt>
                <c:pt idx="200">
                  <c:v>0.65</c:v>
                </c:pt>
                <c:pt idx="201">
                  <c:v>0.65</c:v>
                </c:pt>
                <c:pt idx="202">
                  <c:v>0.65</c:v>
                </c:pt>
                <c:pt idx="203">
                  <c:v>0.65</c:v>
                </c:pt>
                <c:pt idx="204">
                  <c:v>0.65</c:v>
                </c:pt>
                <c:pt idx="205">
                  <c:v>0.65</c:v>
                </c:pt>
                <c:pt idx="206">
                  <c:v>0.65</c:v>
                </c:pt>
                <c:pt idx="207">
                  <c:v>0.65</c:v>
                </c:pt>
                <c:pt idx="208">
                  <c:v>0.65</c:v>
                </c:pt>
                <c:pt idx="209">
                  <c:v>0.65</c:v>
                </c:pt>
                <c:pt idx="210">
                  <c:v>0.65</c:v>
                </c:pt>
                <c:pt idx="211">
                  <c:v>0.65</c:v>
                </c:pt>
                <c:pt idx="212">
                  <c:v>0.65</c:v>
                </c:pt>
                <c:pt idx="213">
                  <c:v>0.65</c:v>
                </c:pt>
                <c:pt idx="214">
                  <c:v>0.65</c:v>
                </c:pt>
                <c:pt idx="215">
                  <c:v>0.65</c:v>
                </c:pt>
                <c:pt idx="216">
                  <c:v>0.65</c:v>
                </c:pt>
                <c:pt idx="217">
                  <c:v>0.65</c:v>
                </c:pt>
                <c:pt idx="218">
                  <c:v>0.65</c:v>
                </c:pt>
                <c:pt idx="219">
                  <c:v>0.65</c:v>
                </c:pt>
                <c:pt idx="220">
                  <c:v>0.65</c:v>
                </c:pt>
                <c:pt idx="221">
                  <c:v>0.65</c:v>
                </c:pt>
                <c:pt idx="222">
                  <c:v>0.65</c:v>
                </c:pt>
                <c:pt idx="223">
                  <c:v>0.65</c:v>
                </c:pt>
                <c:pt idx="224">
                  <c:v>0.65</c:v>
                </c:pt>
                <c:pt idx="225">
                  <c:v>0.65</c:v>
                </c:pt>
                <c:pt idx="226">
                  <c:v>0.65</c:v>
                </c:pt>
                <c:pt idx="227">
                  <c:v>0.65</c:v>
                </c:pt>
                <c:pt idx="228">
                  <c:v>0.65</c:v>
                </c:pt>
                <c:pt idx="229">
                  <c:v>0.65</c:v>
                </c:pt>
                <c:pt idx="230">
                  <c:v>0.65</c:v>
                </c:pt>
                <c:pt idx="231">
                  <c:v>0.65</c:v>
                </c:pt>
                <c:pt idx="232">
                  <c:v>0.65</c:v>
                </c:pt>
                <c:pt idx="233">
                  <c:v>0.65</c:v>
                </c:pt>
                <c:pt idx="234">
                  <c:v>0.65</c:v>
                </c:pt>
                <c:pt idx="235">
                  <c:v>0.65</c:v>
                </c:pt>
                <c:pt idx="236">
                  <c:v>0.65</c:v>
                </c:pt>
                <c:pt idx="237">
                  <c:v>0.65</c:v>
                </c:pt>
                <c:pt idx="238">
                  <c:v>0.65</c:v>
                </c:pt>
                <c:pt idx="239">
                  <c:v>0.65</c:v>
                </c:pt>
                <c:pt idx="240">
                  <c:v>0.66</c:v>
                </c:pt>
                <c:pt idx="241">
                  <c:v>0.66</c:v>
                </c:pt>
                <c:pt idx="242">
                  <c:v>0.66</c:v>
                </c:pt>
                <c:pt idx="243">
                  <c:v>0.66</c:v>
                </c:pt>
                <c:pt idx="244">
                  <c:v>0.66</c:v>
                </c:pt>
                <c:pt idx="245">
                  <c:v>0.66</c:v>
                </c:pt>
                <c:pt idx="246">
                  <c:v>0.66</c:v>
                </c:pt>
                <c:pt idx="247">
                  <c:v>0.66</c:v>
                </c:pt>
                <c:pt idx="248">
                  <c:v>0.65</c:v>
                </c:pt>
                <c:pt idx="249">
                  <c:v>0.64</c:v>
                </c:pt>
                <c:pt idx="250">
                  <c:v>0.63</c:v>
                </c:pt>
                <c:pt idx="251">
                  <c:v>0.62</c:v>
                </c:pt>
                <c:pt idx="252">
                  <c:v>0.61</c:v>
                </c:pt>
                <c:pt idx="253">
                  <c:v>0.6</c:v>
                </c:pt>
                <c:pt idx="254">
                  <c:v>0.57999999999999996</c:v>
                </c:pt>
                <c:pt idx="255">
                  <c:v>0.56000000000000005</c:v>
                </c:pt>
                <c:pt idx="256">
                  <c:v>0.54</c:v>
                </c:pt>
                <c:pt idx="257">
                  <c:v>0.51</c:v>
                </c:pt>
                <c:pt idx="258">
                  <c:v>0.49</c:v>
                </c:pt>
                <c:pt idx="259">
                  <c:v>0.46</c:v>
                </c:pt>
                <c:pt idx="260">
                  <c:v>0.42</c:v>
                </c:pt>
                <c:pt idx="261">
                  <c:v>0.39</c:v>
                </c:pt>
                <c:pt idx="262">
                  <c:v>0.37</c:v>
                </c:pt>
                <c:pt idx="263">
                  <c:v>0.35</c:v>
                </c:pt>
                <c:pt idx="264">
                  <c:v>0.33</c:v>
                </c:pt>
                <c:pt idx="265">
                  <c:v>0.31</c:v>
                </c:pt>
                <c:pt idx="266">
                  <c:v>0.28999999999999998</c:v>
                </c:pt>
                <c:pt idx="267">
                  <c:v>0.27</c:v>
                </c:pt>
                <c:pt idx="268">
                  <c:v>0.25</c:v>
                </c:pt>
                <c:pt idx="269">
                  <c:v>0.24</c:v>
                </c:pt>
                <c:pt idx="270">
                  <c:v>0.24</c:v>
                </c:pt>
                <c:pt idx="271">
                  <c:v>0.24</c:v>
                </c:pt>
                <c:pt idx="272">
                  <c:v>0.24</c:v>
                </c:pt>
                <c:pt idx="273">
                  <c:v>0.24</c:v>
                </c:pt>
                <c:pt idx="274">
                  <c:v>0.24</c:v>
                </c:pt>
                <c:pt idx="275">
                  <c:v>0.24</c:v>
                </c:pt>
                <c:pt idx="276">
                  <c:v>0.24</c:v>
                </c:pt>
                <c:pt idx="277">
                  <c:v>0.24</c:v>
                </c:pt>
                <c:pt idx="278">
                  <c:v>0.24</c:v>
                </c:pt>
                <c:pt idx="279">
                  <c:v>0.24</c:v>
                </c:pt>
                <c:pt idx="280">
                  <c:v>0.24</c:v>
                </c:pt>
                <c:pt idx="281">
                  <c:v>0.24</c:v>
                </c:pt>
                <c:pt idx="282">
                  <c:v>0.24</c:v>
                </c:pt>
                <c:pt idx="283">
                  <c:v>0.24</c:v>
                </c:pt>
                <c:pt idx="284">
                  <c:v>0.24</c:v>
                </c:pt>
                <c:pt idx="285">
                  <c:v>0.24</c:v>
                </c:pt>
                <c:pt idx="286">
                  <c:v>0.24</c:v>
                </c:pt>
                <c:pt idx="287">
                  <c:v>0.24</c:v>
                </c:pt>
                <c:pt idx="288">
                  <c:v>0.24</c:v>
                </c:pt>
                <c:pt idx="289">
                  <c:v>0.24</c:v>
                </c:pt>
                <c:pt idx="290">
                  <c:v>0.24</c:v>
                </c:pt>
                <c:pt idx="291">
                  <c:v>0.24</c:v>
                </c:pt>
                <c:pt idx="292">
                  <c:v>0.24</c:v>
                </c:pt>
                <c:pt idx="293">
                  <c:v>0.24</c:v>
                </c:pt>
                <c:pt idx="294">
                  <c:v>0.24</c:v>
                </c:pt>
                <c:pt idx="295">
                  <c:v>0.24</c:v>
                </c:pt>
                <c:pt idx="296">
                  <c:v>0.24</c:v>
                </c:pt>
                <c:pt idx="297">
                  <c:v>0.24</c:v>
                </c:pt>
                <c:pt idx="298">
                  <c:v>0.24</c:v>
                </c:pt>
                <c:pt idx="299">
                  <c:v>0.24</c:v>
                </c:pt>
                <c:pt idx="300">
                  <c:v>0.24</c:v>
                </c:pt>
                <c:pt idx="301">
                  <c:v>0.24</c:v>
                </c:pt>
                <c:pt idx="302">
                  <c:v>0.24</c:v>
                </c:pt>
                <c:pt idx="303">
                  <c:v>0.24</c:v>
                </c:pt>
                <c:pt idx="304">
                  <c:v>0.24</c:v>
                </c:pt>
                <c:pt idx="305">
                  <c:v>0.24</c:v>
                </c:pt>
                <c:pt idx="306">
                  <c:v>0.24</c:v>
                </c:pt>
                <c:pt idx="307">
                  <c:v>0.24</c:v>
                </c:pt>
                <c:pt idx="308">
                  <c:v>0.24</c:v>
                </c:pt>
                <c:pt idx="309">
                  <c:v>0.24</c:v>
                </c:pt>
                <c:pt idx="310">
                  <c:v>0.24</c:v>
                </c:pt>
                <c:pt idx="311">
                  <c:v>0.24</c:v>
                </c:pt>
                <c:pt idx="312">
                  <c:v>0.24</c:v>
                </c:pt>
                <c:pt idx="313">
                  <c:v>0.24</c:v>
                </c:pt>
                <c:pt idx="314">
                  <c:v>0.24</c:v>
                </c:pt>
                <c:pt idx="315">
                  <c:v>0.24</c:v>
                </c:pt>
                <c:pt idx="316">
                  <c:v>0.24</c:v>
                </c:pt>
                <c:pt idx="317">
                  <c:v>0.24</c:v>
                </c:pt>
                <c:pt idx="318">
                  <c:v>0.25</c:v>
                </c:pt>
                <c:pt idx="319">
                  <c:v>0.26</c:v>
                </c:pt>
                <c:pt idx="320">
                  <c:v>0.27</c:v>
                </c:pt>
                <c:pt idx="321">
                  <c:v>0.28000000000000003</c:v>
                </c:pt>
                <c:pt idx="322">
                  <c:v>0.28999999999999998</c:v>
                </c:pt>
                <c:pt idx="323">
                  <c:v>0.3</c:v>
                </c:pt>
                <c:pt idx="324">
                  <c:v>0.31</c:v>
                </c:pt>
                <c:pt idx="325">
                  <c:v>0.33</c:v>
                </c:pt>
                <c:pt idx="326">
                  <c:v>0.34</c:v>
                </c:pt>
                <c:pt idx="327">
                  <c:v>0.35</c:v>
                </c:pt>
                <c:pt idx="328">
                  <c:v>0.37</c:v>
                </c:pt>
                <c:pt idx="329">
                  <c:v>0.39</c:v>
                </c:pt>
                <c:pt idx="330">
                  <c:v>0.41</c:v>
                </c:pt>
                <c:pt idx="331">
                  <c:v>0.43</c:v>
                </c:pt>
                <c:pt idx="332">
                  <c:v>0.45</c:v>
                </c:pt>
                <c:pt idx="333">
                  <c:v>0.48</c:v>
                </c:pt>
                <c:pt idx="334">
                  <c:v>0.5</c:v>
                </c:pt>
                <c:pt idx="335">
                  <c:v>0.52</c:v>
                </c:pt>
                <c:pt idx="336">
                  <c:v>0.63</c:v>
                </c:pt>
                <c:pt idx="337">
                  <c:v>0.65</c:v>
                </c:pt>
                <c:pt idx="338">
                  <c:v>0.67</c:v>
                </c:pt>
                <c:pt idx="339">
                  <c:v>0.68</c:v>
                </c:pt>
                <c:pt idx="340">
                  <c:v>0.69</c:v>
                </c:pt>
                <c:pt idx="341">
                  <c:v>0.7</c:v>
                </c:pt>
                <c:pt idx="342">
                  <c:v>0.7</c:v>
                </c:pt>
                <c:pt idx="343">
                  <c:v>0.7</c:v>
                </c:pt>
                <c:pt idx="344">
                  <c:v>0.7</c:v>
                </c:pt>
                <c:pt idx="345">
                  <c:v>0.7</c:v>
                </c:pt>
                <c:pt idx="346">
                  <c:v>0.7</c:v>
                </c:pt>
                <c:pt idx="347">
                  <c:v>0.7</c:v>
                </c:pt>
                <c:pt idx="348">
                  <c:v>0.7</c:v>
                </c:pt>
                <c:pt idx="349">
                  <c:v>0.7</c:v>
                </c:pt>
                <c:pt idx="350">
                  <c:v>0.7</c:v>
                </c:pt>
                <c:pt idx="351">
                  <c:v>0.7</c:v>
                </c:pt>
                <c:pt idx="352">
                  <c:v>0.7</c:v>
                </c:pt>
                <c:pt idx="353">
                  <c:v>0.7</c:v>
                </c:pt>
                <c:pt idx="354">
                  <c:v>0.7</c:v>
                </c:pt>
                <c:pt idx="355">
                  <c:v>0.7</c:v>
                </c:pt>
                <c:pt idx="356">
                  <c:v>0.7</c:v>
                </c:pt>
                <c:pt idx="357">
                  <c:v>0.7</c:v>
                </c:pt>
                <c:pt idx="358">
                  <c:v>0.7</c:v>
                </c:pt>
                <c:pt idx="359">
                  <c:v>0.7</c:v>
                </c:pt>
                <c:pt idx="360">
                  <c:v>0.7</c:v>
                </c:pt>
                <c:pt idx="361">
                  <c:v>0.7</c:v>
                </c:pt>
                <c:pt idx="362">
                  <c:v>0.7</c:v>
                </c:pt>
                <c:pt idx="363">
                  <c:v>0.7</c:v>
                </c:pt>
                <c:pt idx="364">
                  <c:v>0.7</c:v>
                </c:pt>
                <c:pt idx="365">
                  <c:v>0.7</c:v>
                </c:pt>
                <c:pt idx="366">
                  <c:v>0.7</c:v>
                </c:pt>
                <c:pt idx="367">
                  <c:v>0.7</c:v>
                </c:pt>
                <c:pt idx="368">
                  <c:v>0.7</c:v>
                </c:pt>
                <c:pt idx="369">
                  <c:v>0.7</c:v>
                </c:pt>
                <c:pt idx="370">
                  <c:v>0.7</c:v>
                </c:pt>
                <c:pt idx="371">
                  <c:v>0.7</c:v>
                </c:pt>
                <c:pt idx="372">
                  <c:v>0.7</c:v>
                </c:pt>
                <c:pt idx="373">
                  <c:v>0.7</c:v>
                </c:pt>
                <c:pt idx="374">
                  <c:v>0.7</c:v>
                </c:pt>
                <c:pt idx="375">
                  <c:v>0.7</c:v>
                </c:pt>
                <c:pt idx="376">
                  <c:v>0.7</c:v>
                </c:pt>
                <c:pt idx="377">
                  <c:v>0.7</c:v>
                </c:pt>
                <c:pt idx="378">
                  <c:v>0.7</c:v>
                </c:pt>
                <c:pt idx="379">
                  <c:v>0.7</c:v>
                </c:pt>
                <c:pt idx="380">
                  <c:v>0.7</c:v>
                </c:pt>
                <c:pt idx="381">
                  <c:v>0.7</c:v>
                </c:pt>
                <c:pt idx="382">
                  <c:v>0.7</c:v>
                </c:pt>
                <c:pt idx="383">
                  <c:v>0.7</c:v>
                </c:pt>
                <c:pt idx="384">
                  <c:v>0.71</c:v>
                </c:pt>
                <c:pt idx="385">
                  <c:v>0.71</c:v>
                </c:pt>
                <c:pt idx="386">
                  <c:v>0.71</c:v>
                </c:pt>
                <c:pt idx="387">
                  <c:v>0.71</c:v>
                </c:pt>
                <c:pt idx="388">
                  <c:v>0.71</c:v>
                </c:pt>
                <c:pt idx="389">
                  <c:v>0.71</c:v>
                </c:pt>
                <c:pt idx="390">
                  <c:v>0.71</c:v>
                </c:pt>
                <c:pt idx="391">
                  <c:v>0.71</c:v>
                </c:pt>
                <c:pt idx="392">
                  <c:v>0.71</c:v>
                </c:pt>
                <c:pt idx="393">
                  <c:v>0.71</c:v>
                </c:pt>
                <c:pt idx="394">
                  <c:v>0.71</c:v>
                </c:pt>
                <c:pt idx="395">
                  <c:v>0.71</c:v>
                </c:pt>
                <c:pt idx="396">
                  <c:v>0.71</c:v>
                </c:pt>
                <c:pt idx="397">
                  <c:v>0.71</c:v>
                </c:pt>
                <c:pt idx="398">
                  <c:v>0.71</c:v>
                </c:pt>
                <c:pt idx="399">
                  <c:v>0.71</c:v>
                </c:pt>
                <c:pt idx="400">
                  <c:v>0.71</c:v>
                </c:pt>
                <c:pt idx="401">
                  <c:v>0.71</c:v>
                </c:pt>
                <c:pt idx="402">
                  <c:v>0.71</c:v>
                </c:pt>
                <c:pt idx="403">
                  <c:v>0.71</c:v>
                </c:pt>
                <c:pt idx="404">
                  <c:v>0.71</c:v>
                </c:pt>
                <c:pt idx="405">
                  <c:v>0.71</c:v>
                </c:pt>
                <c:pt idx="406">
                  <c:v>0.71</c:v>
                </c:pt>
                <c:pt idx="407">
                  <c:v>0.71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0.69</c:v>
                </c:pt>
                <c:pt idx="415">
                  <c:v>0.69</c:v>
                </c:pt>
                <c:pt idx="416">
                  <c:v>0.68</c:v>
                </c:pt>
                <c:pt idx="417">
                  <c:v>0.67</c:v>
                </c:pt>
                <c:pt idx="418">
                  <c:v>0.66</c:v>
                </c:pt>
                <c:pt idx="419">
                  <c:v>0.64</c:v>
                </c:pt>
                <c:pt idx="420">
                  <c:v>0.62</c:v>
                </c:pt>
                <c:pt idx="421">
                  <c:v>0.6</c:v>
                </c:pt>
                <c:pt idx="422">
                  <c:v>0.57999999999999996</c:v>
                </c:pt>
                <c:pt idx="423">
                  <c:v>0.51</c:v>
                </c:pt>
                <c:pt idx="424">
                  <c:v>0.49</c:v>
                </c:pt>
                <c:pt idx="425">
                  <c:v>0.47</c:v>
                </c:pt>
                <c:pt idx="426">
                  <c:v>0.46</c:v>
                </c:pt>
                <c:pt idx="427">
                  <c:v>0.45</c:v>
                </c:pt>
                <c:pt idx="428">
                  <c:v>0.43</c:v>
                </c:pt>
                <c:pt idx="429">
                  <c:v>0.41</c:v>
                </c:pt>
                <c:pt idx="430">
                  <c:v>0.39</c:v>
                </c:pt>
                <c:pt idx="431">
                  <c:v>0.36</c:v>
                </c:pt>
                <c:pt idx="432">
                  <c:v>0.34</c:v>
                </c:pt>
                <c:pt idx="433">
                  <c:v>0.31</c:v>
                </c:pt>
                <c:pt idx="434">
                  <c:v>0.28000000000000003</c:v>
                </c:pt>
                <c:pt idx="435">
                  <c:v>0.26</c:v>
                </c:pt>
                <c:pt idx="436">
                  <c:v>0.24</c:v>
                </c:pt>
                <c:pt idx="437">
                  <c:v>0.22</c:v>
                </c:pt>
                <c:pt idx="438">
                  <c:v>0.22</c:v>
                </c:pt>
                <c:pt idx="439">
                  <c:v>0.22</c:v>
                </c:pt>
                <c:pt idx="440">
                  <c:v>0.22</c:v>
                </c:pt>
                <c:pt idx="441">
                  <c:v>0.22</c:v>
                </c:pt>
                <c:pt idx="442">
                  <c:v>0.22</c:v>
                </c:pt>
                <c:pt idx="443">
                  <c:v>0.22</c:v>
                </c:pt>
                <c:pt idx="444">
                  <c:v>0.22</c:v>
                </c:pt>
                <c:pt idx="445">
                  <c:v>0.22</c:v>
                </c:pt>
                <c:pt idx="446">
                  <c:v>0.22</c:v>
                </c:pt>
                <c:pt idx="447">
                  <c:v>0.22</c:v>
                </c:pt>
                <c:pt idx="448">
                  <c:v>0.22</c:v>
                </c:pt>
                <c:pt idx="449">
                  <c:v>0.22</c:v>
                </c:pt>
                <c:pt idx="450">
                  <c:v>0.22</c:v>
                </c:pt>
                <c:pt idx="451">
                  <c:v>0.22</c:v>
                </c:pt>
                <c:pt idx="452">
                  <c:v>0.22</c:v>
                </c:pt>
                <c:pt idx="453">
                  <c:v>0.22</c:v>
                </c:pt>
                <c:pt idx="454">
                  <c:v>0.22</c:v>
                </c:pt>
                <c:pt idx="455">
                  <c:v>0.22</c:v>
                </c:pt>
                <c:pt idx="456">
                  <c:v>0.21</c:v>
                </c:pt>
                <c:pt idx="457">
                  <c:v>0.21</c:v>
                </c:pt>
                <c:pt idx="458">
                  <c:v>0.21</c:v>
                </c:pt>
                <c:pt idx="459">
                  <c:v>0.21</c:v>
                </c:pt>
                <c:pt idx="460">
                  <c:v>0.21</c:v>
                </c:pt>
                <c:pt idx="461">
                  <c:v>0.21</c:v>
                </c:pt>
                <c:pt idx="462">
                  <c:v>0.21</c:v>
                </c:pt>
                <c:pt idx="463">
                  <c:v>0.21</c:v>
                </c:pt>
                <c:pt idx="464">
                  <c:v>0.21</c:v>
                </c:pt>
                <c:pt idx="465">
                  <c:v>0.21</c:v>
                </c:pt>
                <c:pt idx="466">
                  <c:v>0.21</c:v>
                </c:pt>
                <c:pt idx="467">
                  <c:v>0.21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0.19</c:v>
                </c:pt>
                <c:pt idx="481">
                  <c:v>0.19</c:v>
                </c:pt>
                <c:pt idx="482">
                  <c:v>0.19</c:v>
                </c:pt>
                <c:pt idx="483">
                  <c:v>0.19</c:v>
                </c:pt>
                <c:pt idx="484">
                  <c:v>0.19</c:v>
                </c:pt>
                <c:pt idx="485">
                  <c:v>0.19</c:v>
                </c:pt>
                <c:pt idx="486">
                  <c:v>0.19</c:v>
                </c:pt>
                <c:pt idx="487">
                  <c:v>0.19</c:v>
                </c:pt>
                <c:pt idx="488">
                  <c:v>0.2</c:v>
                </c:pt>
                <c:pt idx="489">
                  <c:v>0.21</c:v>
                </c:pt>
                <c:pt idx="490">
                  <c:v>0.22</c:v>
                </c:pt>
                <c:pt idx="491">
                  <c:v>0.23</c:v>
                </c:pt>
                <c:pt idx="492">
                  <c:v>0.25</c:v>
                </c:pt>
                <c:pt idx="493">
                  <c:v>0.28000000000000003</c:v>
                </c:pt>
                <c:pt idx="494">
                  <c:v>0.32</c:v>
                </c:pt>
                <c:pt idx="495">
                  <c:v>0.36</c:v>
                </c:pt>
                <c:pt idx="496">
                  <c:v>0.4</c:v>
                </c:pt>
                <c:pt idx="497">
                  <c:v>0.44</c:v>
                </c:pt>
                <c:pt idx="498">
                  <c:v>0.48</c:v>
                </c:pt>
                <c:pt idx="499">
                  <c:v>0.53</c:v>
                </c:pt>
                <c:pt idx="500">
                  <c:v>0.56000000000000005</c:v>
                </c:pt>
                <c:pt idx="501">
                  <c:v>0.59</c:v>
                </c:pt>
                <c:pt idx="502">
                  <c:v>0.61</c:v>
                </c:pt>
                <c:pt idx="503">
                  <c:v>0.63</c:v>
                </c:pt>
                <c:pt idx="504">
                  <c:v>0.64</c:v>
                </c:pt>
                <c:pt idx="505">
                  <c:v>0.65</c:v>
                </c:pt>
                <c:pt idx="506">
                  <c:v>0.66</c:v>
                </c:pt>
                <c:pt idx="507">
                  <c:v>0.67</c:v>
                </c:pt>
                <c:pt idx="508">
                  <c:v>0.67</c:v>
                </c:pt>
                <c:pt idx="509">
                  <c:v>0.68</c:v>
                </c:pt>
                <c:pt idx="510">
                  <c:v>0.68</c:v>
                </c:pt>
                <c:pt idx="511">
                  <c:v>0.69</c:v>
                </c:pt>
                <c:pt idx="512">
                  <c:v>0.69</c:v>
                </c:pt>
                <c:pt idx="513">
                  <c:v>0.7</c:v>
                </c:pt>
                <c:pt idx="514">
                  <c:v>0.7</c:v>
                </c:pt>
                <c:pt idx="515">
                  <c:v>0.7</c:v>
                </c:pt>
                <c:pt idx="516">
                  <c:v>0.7</c:v>
                </c:pt>
                <c:pt idx="517">
                  <c:v>0.7</c:v>
                </c:pt>
                <c:pt idx="518">
                  <c:v>0.7</c:v>
                </c:pt>
                <c:pt idx="519">
                  <c:v>0.7</c:v>
                </c:pt>
                <c:pt idx="520">
                  <c:v>0.7</c:v>
                </c:pt>
                <c:pt idx="521">
                  <c:v>0.69</c:v>
                </c:pt>
                <c:pt idx="522">
                  <c:v>0.69</c:v>
                </c:pt>
                <c:pt idx="523">
                  <c:v>0.69</c:v>
                </c:pt>
                <c:pt idx="524">
                  <c:v>0.68</c:v>
                </c:pt>
                <c:pt idx="525">
                  <c:v>0.68</c:v>
                </c:pt>
                <c:pt idx="526">
                  <c:v>0.67</c:v>
                </c:pt>
                <c:pt idx="527">
                  <c:v>0.67</c:v>
                </c:pt>
                <c:pt idx="528">
                  <c:v>0.66</c:v>
                </c:pt>
                <c:pt idx="529">
                  <c:v>0.66</c:v>
                </c:pt>
                <c:pt idx="530">
                  <c:v>0.65</c:v>
                </c:pt>
                <c:pt idx="531">
                  <c:v>0.65</c:v>
                </c:pt>
                <c:pt idx="532">
                  <c:v>0.64</c:v>
                </c:pt>
                <c:pt idx="533">
                  <c:v>0.64</c:v>
                </c:pt>
                <c:pt idx="534">
                  <c:v>0.64</c:v>
                </c:pt>
                <c:pt idx="535">
                  <c:v>0.64</c:v>
                </c:pt>
                <c:pt idx="536">
                  <c:v>0.64</c:v>
                </c:pt>
                <c:pt idx="537">
                  <c:v>0.64</c:v>
                </c:pt>
                <c:pt idx="538">
                  <c:v>0.64</c:v>
                </c:pt>
                <c:pt idx="539">
                  <c:v>0.64</c:v>
                </c:pt>
                <c:pt idx="540">
                  <c:v>0.64</c:v>
                </c:pt>
                <c:pt idx="541">
                  <c:v>0.64</c:v>
                </c:pt>
                <c:pt idx="542">
                  <c:v>0.64</c:v>
                </c:pt>
                <c:pt idx="543">
                  <c:v>0.64</c:v>
                </c:pt>
                <c:pt idx="544">
                  <c:v>0.64</c:v>
                </c:pt>
                <c:pt idx="545">
                  <c:v>0.64</c:v>
                </c:pt>
                <c:pt idx="546">
                  <c:v>0.64</c:v>
                </c:pt>
                <c:pt idx="547">
                  <c:v>0.64</c:v>
                </c:pt>
                <c:pt idx="548">
                  <c:v>0.64</c:v>
                </c:pt>
                <c:pt idx="549">
                  <c:v>0.64</c:v>
                </c:pt>
                <c:pt idx="550">
                  <c:v>0.64</c:v>
                </c:pt>
                <c:pt idx="551">
                  <c:v>0.64</c:v>
                </c:pt>
                <c:pt idx="552">
                  <c:v>0.63</c:v>
                </c:pt>
                <c:pt idx="553">
                  <c:v>0.63</c:v>
                </c:pt>
                <c:pt idx="554">
                  <c:v>0.63</c:v>
                </c:pt>
                <c:pt idx="555">
                  <c:v>0.63</c:v>
                </c:pt>
                <c:pt idx="556">
                  <c:v>0.63</c:v>
                </c:pt>
                <c:pt idx="557">
                  <c:v>0.63</c:v>
                </c:pt>
                <c:pt idx="558">
                  <c:v>0.61</c:v>
                </c:pt>
                <c:pt idx="559">
                  <c:v>0.59</c:v>
                </c:pt>
                <c:pt idx="560">
                  <c:v>0.57999999999999996</c:v>
                </c:pt>
                <c:pt idx="561">
                  <c:v>0.56999999999999995</c:v>
                </c:pt>
                <c:pt idx="562">
                  <c:v>0.56000000000000005</c:v>
                </c:pt>
                <c:pt idx="563">
                  <c:v>0.56000000000000005</c:v>
                </c:pt>
                <c:pt idx="564">
                  <c:v>0.56000000000000005</c:v>
                </c:pt>
                <c:pt idx="565">
                  <c:v>0.56000000000000005</c:v>
                </c:pt>
                <c:pt idx="566">
                  <c:v>0.56999999999999995</c:v>
                </c:pt>
                <c:pt idx="567">
                  <c:v>0.57999999999999996</c:v>
                </c:pt>
                <c:pt idx="568">
                  <c:v>0.59</c:v>
                </c:pt>
                <c:pt idx="569">
                  <c:v>0.59</c:v>
                </c:pt>
                <c:pt idx="570">
                  <c:v>0.59</c:v>
                </c:pt>
                <c:pt idx="571">
                  <c:v>0.59</c:v>
                </c:pt>
                <c:pt idx="572">
                  <c:v>0.59</c:v>
                </c:pt>
                <c:pt idx="573">
                  <c:v>0.59</c:v>
                </c:pt>
                <c:pt idx="574">
                  <c:v>0.57999999999999996</c:v>
                </c:pt>
                <c:pt idx="575">
                  <c:v>0.57999999999999996</c:v>
                </c:pt>
                <c:pt idx="576">
                  <c:v>0.57999999999999996</c:v>
                </c:pt>
                <c:pt idx="577">
                  <c:v>0.57999999999999996</c:v>
                </c:pt>
                <c:pt idx="578">
                  <c:v>0.57999999999999996</c:v>
                </c:pt>
                <c:pt idx="579">
                  <c:v>0.56999999999999995</c:v>
                </c:pt>
                <c:pt idx="580">
                  <c:v>0.56999999999999995</c:v>
                </c:pt>
                <c:pt idx="581">
                  <c:v>0.56000000000000005</c:v>
                </c:pt>
                <c:pt idx="582">
                  <c:v>0.55000000000000004</c:v>
                </c:pt>
                <c:pt idx="583">
                  <c:v>0.54</c:v>
                </c:pt>
                <c:pt idx="584">
                  <c:v>0.53</c:v>
                </c:pt>
                <c:pt idx="585">
                  <c:v>0.51</c:v>
                </c:pt>
                <c:pt idx="586">
                  <c:v>0.49</c:v>
                </c:pt>
                <c:pt idx="587">
                  <c:v>0.47</c:v>
                </c:pt>
                <c:pt idx="588">
                  <c:v>0.45</c:v>
                </c:pt>
                <c:pt idx="589">
                  <c:v>0.43</c:v>
                </c:pt>
                <c:pt idx="590">
                  <c:v>0.41</c:v>
                </c:pt>
                <c:pt idx="591">
                  <c:v>0.39</c:v>
                </c:pt>
                <c:pt idx="592">
                  <c:v>0.38</c:v>
                </c:pt>
                <c:pt idx="593">
                  <c:v>0.37</c:v>
                </c:pt>
                <c:pt idx="594">
                  <c:v>0.35</c:v>
                </c:pt>
                <c:pt idx="595">
                  <c:v>0.33</c:v>
                </c:pt>
                <c:pt idx="596">
                  <c:v>0.3</c:v>
                </c:pt>
                <c:pt idx="597">
                  <c:v>0.28000000000000003</c:v>
                </c:pt>
                <c:pt idx="598">
                  <c:v>0.26</c:v>
                </c:pt>
                <c:pt idx="599">
                  <c:v>0.25</c:v>
                </c:pt>
                <c:pt idx="600">
                  <c:v>0.24</c:v>
                </c:pt>
                <c:pt idx="601">
                  <c:v>0.23</c:v>
                </c:pt>
                <c:pt idx="602">
                  <c:v>0.22</c:v>
                </c:pt>
                <c:pt idx="603">
                  <c:v>0.21</c:v>
                </c:pt>
                <c:pt idx="604">
                  <c:v>0.21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0.19</c:v>
                </c:pt>
                <c:pt idx="649">
                  <c:v>0.19</c:v>
                </c:pt>
                <c:pt idx="650">
                  <c:v>0.19</c:v>
                </c:pt>
                <c:pt idx="651">
                  <c:v>0.19</c:v>
                </c:pt>
                <c:pt idx="652">
                  <c:v>0.19</c:v>
                </c:pt>
                <c:pt idx="653">
                  <c:v>0.19</c:v>
                </c:pt>
                <c:pt idx="654">
                  <c:v>0.2</c:v>
                </c:pt>
                <c:pt idx="655">
                  <c:v>0.21</c:v>
                </c:pt>
                <c:pt idx="656">
                  <c:v>0.22</c:v>
                </c:pt>
                <c:pt idx="657">
                  <c:v>0.24</c:v>
                </c:pt>
                <c:pt idx="658">
                  <c:v>0.26</c:v>
                </c:pt>
                <c:pt idx="659">
                  <c:v>0.28999999999999998</c:v>
                </c:pt>
                <c:pt idx="660">
                  <c:v>0.32</c:v>
                </c:pt>
                <c:pt idx="661">
                  <c:v>0.35</c:v>
                </c:pt>
                <c:pt idx="662">
                  <c:v>0.38</c:v>
                </c:pt>
                <c:pt idx="663">
                  <c:v>0.41</c:v>
                </c:pt>
                <c:pt idx="664">
                  <c:v>0.44</c:v>
                </c:pt>
                <c:pt idx="665">
                  <c:v>0.48</c:v>
                </c:pt>
                <c:pt idx="666">
                  <c:v>0.51</c:v>
                </c:pt>
                <c:pt idx="667">
                  <c:v>0.53</c:v>
                </c:pt>
                <c:pt idx="668">
                  <c:v>0.56000000000000005</c:v>
                </c:pt>
                <c:pt idx="669">
                  <c:v>0.57999999999999996</c:v>
                </c:pt>
                <c:pt idx="670">
                  <c:v>0.6</c:v>
                </c:pt>
                <c:pt idx="671">
                  <c:v>0.62</c:v>
                </c:pt>
                <c:pt idx="672">
                  <c:v>0.63</c:v>
                </c:pt>
                <c:pt idx="673">
                  <c:v>0.64</c:v>
                </c:pt>
                <c:pt idx="674">
                  <c:v>0.65</c:v>
                </c:pt>
                <c:pt idx="675">
                  <c:v>0.66</c:v>
                </c:pt>
                <c:pt idx="676">
                  <c:v>0.68</c:v>
                </c:pt>
                <c:pt idx="677">
                  <c:v>0.69</c:v>
                </c:pt>
                <c:pt idx="678">
                  <c:v>0.69</c:v>
                </c:pt>
                <c:pt idx="679">
                  <c:v>0.7</c:v>
                </c:pt>
                <c:pt idx="680">
                  <c:v>0.7</c:v>
                </c:pt>
                <c:pt idx="681">
                  <c:v>0.71</c:v>
                </c:pt>
                <c:pt idx="682">
                  <c:v>0.71</c:v>
                </c:pt>
                <c:pt idx="683">
                  <c:v>0.71</c:v>
                </c:pt>
                <c:pt idx="684">
                  <c:v>0.7</c:v>
                </c:pt>
                <c:pt idx="685">
                  <c:v>0.7</c:v>
                </c:pt>
                <c:pt idx="686">
                  <c:v>0.7</c:v>
                </c:pt>
                <c:pt idx="687">
                  <c:v>0.7</c:v>
                </c:pt>
                <c:pt idx="688">
                  <c:v>0.7</c:v>
                </c:pt>
                <c:pt idx="689">
                  <c:v>0.7</c:v>
                </c:pt>
                <c:pt idx="690">
                  <c:v>0.69</c:v>
                </c:pt>
                <c:pt idx="691">
                  <c:v>0.69</c:v>
                </c:pt>
                <c:pt idx="692">
                  <c:v>0.68</c:v>
                </c:pt>
                <c:pt idx="693">
                  <c:v>0.68</c:v>
                </c:pt>
                <c:pt idx="694">
                  <c:v>0.67</c:v>
                </c:pt>
                <c:pt idx="695">
                  <c:v>0.67</c:v>
                </c:pt>
                <c:pt idx="696">
                  <c:v>0.66</c:v>
                </c:pt>
                <c:pt idx="697">
                  <c:v>0.66</c:v>
                </c:pt>
                <c:pt idx="698">
                  <c:v>0.65</c:v>
                </c:pt>
                <c:pt idx="699">
                  <c:v>0.65</c:v>
                </c:pt>
                <c:pt idx="700">
                  <c:v>0.65</c:v>
                </c:pt>
                <c:pt idx="701">
                  <c:v>0.64</c:v>
                </c:pt>
                <c:pt idx="702">
                  <c:v>0.64</c:v>
                </c:pt>
                <c:pt idx="703">
                  <c:v>0.64</c:v>
                </c:pt>
                <c:pt idx="704">
                  <c:v>0.64</c:v>
                </c:pt>
                <c:pt idx="705">
                  <c:v>0.64</c:v>
                </c:pt>
                <c:pt idx="706">
                  <c:v>0.64</c:v>
                </c:pt>
                <c:pt idx="707">
                  <c:v>0.64</c:v>
                </c:pt>
                <c:pt idx="708">
                  <c:v>0.63</c:v>
                </c:pt>
                <c:pt idx="709">
                  <c:v>0.63</c:v>
                </c:pt>
                <c:pt idx="710">
                  <c:v>0.63</c:v>
                </c:pt>
                <c:pt idx="711">
                  <c:v>0.63</c:v>
                </c:pt>
                <c:pt idx="712">
                  <c:v>0.63</c:v>
                </c:pt>
                <c:pt idx="713">
                  <c:v>0.63</c:v>
                </c:pt>
                <c:pt idx="714">
                  <c:v>0.63</c:v>
                </c:pt>
                <c:pt idx="715">
                  <c:v>0.63</c:v>
                </c:pt>
                <c:pt idx="716">
                  <c:v>0.63</c:v>
                </c:pt>
                <c:pt idx="717">
                  <c:v>0.63</c:v>
                </c:pt>
                <c:pt idx="718">
                  <c:v>0.63</c:v>
                </c:pt>
                <c:pt idx="719">
                  <c:v>0.63</c:v>
                </c:pt>
                <c:pt idx="720">
                  <c:v>0.63</c:v>
                </c:pt>
                <c:pt idx="721">
                  <c:v>0.64</c:v>
                </c:pt>
                <c:pt idx="722">
                  <c:v>0.65</c:v>
                </c:pt>
                <c:pt idx="723">
                  <c:v>0.66</c:v>
                </c:pt>
                <c:pt idx="724">
                  <c:v>0.68</c:v>
                </c:pt>
                <c:pt idx="725">
                  <c:v>0.69</c:v>
                </c:pt>
                <c:pt idx="726">
                  <c:v>0.69</c:v>
                </c:pt>
                <c:pt idx="727">
                  <c:v>0.7</c:v>
                </c:pt>
                <c:pt idx="728">
                  <c:v>0.7</c:v>
                </c:pt>
                <c:pt idx="729">
                  <c:v>0.71</c:v>
                </c:pt>
                <c:pt idx="730">
                  <c:v>0.71</c:v>
                </c:pt>
                <c:pt idx="731">
                  <c:v>0.71</c:v>
                </c:pt>
                <c:pt idx="732">
                  <c:v>0.7</c:v>
                </c:pt>
                <c:pt idx="733">
                  <c:v>0.7</c:v>
                </c:pt>
                <c:pt idx="734">
                  <c:v>0.7</c:v>
                </c:pt>
                <c:pt idx="735">
                  <c:v>0.7</c:v>
                </c:pt>
                <c:pt idx="736">
                  <c:v>0.7</c:v>
                </c:pt>
                <c:pt idx="737">
                  <c:v>0.7</c:v>
                </c:pt>
                <c:pt idx="738">
                  <c:v>0.69</c:v>
                </c:pt>
                <c:pt idx="739">
                  <c:v>0.69</c:v>
                </c:pt>
                <c:pt idx="740">
                  <c:v>0.68</c:v>
                </c:pt>
                <c:pt idx="741">
                  <c:v>0.68</c:v>
                </c:pt>
                <c:pt idx="742">
                  <c:v>0.67</c:v>
                </c:pt>
                <c:pt idx="743">
                  <c:v>0.67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9984"/>
        <c:axId val="89376256"/>
      </c:scatterChart>
      <c:valAx>
        <c:axId val="89369984"/>
        <c:scaling>
          <c:orientation val="minMax"/>
          <c:max val="750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CC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9376256"/>
        <c:crosses val="autoZero"/>
        <c:crossBetween val="midCat"/>
        <c:majorUnit val="24"/>
        <c:minorUnit val="1.5"/>
      </c:valAx>
      <c:valAx>
        <c:axId val="893762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369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Hourly - July</a:t>
            </a:r>
          </a:p>
        </c:rich>
      </c:tx>
      <c:layout>
        <c:manualLayout>
          <c:xMode val="edge"/>
          <c:yMode val="edge"/>
          <c:x val="0.4865926128102529"/>
          <c:y val="2.8268551236749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833882476847751E-2"/>
          <c:y val="0.14840989399293286"/>
          <c:w val="0.95487261813158786"/>
          <c:h val="0.7226148409893993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80008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'Graph-Hou'!$BR$2:$BR$745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</c:numCache>
            </c:numRef>
          </c:xVal>
          <c:yVal>
            <c:numRef>
              <c:f>'Graph-Hou'!$BU$2:$BU$745</c:f>
              <c:numCache>
                <c:formatCode>0.00</c:formatCode>
                <c:ptCount val="744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0.23</c:v>
                </c:pt>
                <c:pt idx="5">
                  <c:v>0.23</c:v>
                </c:pt>
                <c:pt idx="6">
                  <c:v>0.23</c:v>
                </c:pt>
                <c:pt idx="7">
                  <c:v>0.23</c:v>
                </c:pt>
                <c:pt idx="8">
                  <c:v>0.23</c:v>
                </c:pt>
                <c:pt idx="9">
                  <c:v>0.23</c:v>
                </c:pt>
                <c:pt idx="10">
                  <c:v>0.23</c:v>
                </c:pt>
                <c:pt idx="11">
                  <c:v>0.23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  <c:pt idx="20">
                  <c:v>0.23</c:v>
                </c:pt>
                <c:pt idx="21">
                  <c:v>0.23</c:v>
                </c:pt>
                <c:pt idx="22">
                  <c:v>0.23</c:v>
                </c:pt>
                <c:pt idx="23">
                  <c:v>0.23</c:v>
                </c:pt>
                <c:pt idx="24">
                  <c:v>0.23</c:v>
                </c:pt>
                <c:pt idx="25">
                  <c:v>0.23</c:v>
                </c:pt>
                <c:pt idx="26">
                  <c:v>0.23</c:v>
                </c:pt>
                <c:pt idx="27">
                  <c:v>0.23</c:v>
                </c:pt>
                <c:pt idx="28">
                  <c:v>0.23</c:v>
                </c:pt>
                <c:pt idx="29">
                  <c:v>0.23</c:v>
                </c:pt>
                <c:pt idx="30">
                  <c:v>0.23</c:v>
                </c:pt>
                <c:pt idx="31">
                  <c:v>0.23</c:v>
                </c:pt>
                <c:pt idx="32">
                  <c:v>0.23</c:v>
                </c:pt>
                <c:pt idx="33">
                  <c:v>0.23</c:v>
                </c:pt>
                <c:pt idx="34">
                  <c:v>0.23</c:v>
                </c:pt>
                <c:pt idx="35">
                  <c:v>0.23</c:v>
                </c:pt>
                <c:pt idx="36">
                  <c:v>0.23</c:v>
                </c:pt>
                <c:pt idx="37">
                  <c:v>0.23</c:v>
                </c:pt>
                <c:pt idx="38">
                  <c:v>0.23</c:v>
                </c:pt>
                <c:pt idx="39">
                  <c:v>0.23</c:v>
                </c:pt>
                <c:pt idx="40">
                  <c:v>0.23</c:v>
                </c:pt>
                <c:pt idx="41">
                  <c:v>0.23</c:v>
                </c:pt>
                <c:pt idx="42">
                  <c:v>0.23</c:v>
                </c:pt>
                <c:pt idx="43">
                  <c:v>0.23</c:v>
                </c:pt>
                <c:pt idx="44">
                  <c:v>0.23</c:v>
                </c:pt>
                <c:pt idx="45">
                  <c:v>0.23</c:v>
                </c:pt>
                <c:pt idx="46">
                  <c:v>0.23</c:v>
                </c:pt>
                <c:pt idx="47">
                  <c:v>0.23</c:v>
                </c:pt>
                <c:pt idx="48">
                  <c:v>0.23</c:v>
                </c:pt>
                <c:pt idx="49">
                  <c:v>0.23</c:v>
                </c:pt>
                <c:pt idx="50">
                  <c:v>0.23</c:v>
                </c:pt>
                <c:pt idx="51">
                  <c:v>0.23</c:v>
                </c:pt>
                <c:pt idx="52">
                  <c:v>0.23</c:v>
                </c:pt>
                <c:pt idx="53">
                  <c:v>0.23</c:v>
                </c:pt>
                <c:pt idx="54">
                  <c:v>0.23</c:v>
                </c:pt>
                <c:pt idx="55">
                  <c:v>0.23</c:v>
                </c:pt>
                <c:pt idx="56">
                  <c:v>0.23</c:v>
                </c:pt>
                <c:pt idx="57">
                  <c:v>0.23</c:v>
                </c:pt>
                <c:pt idx="58">
                  <c:v>0.23</c:v>
                </c:pt>
                <c:pt idx="59">
                  <c:v>0.23</c:v>
                </c:pt>
                <c:pt idx="60">
                  <c:v>0.23</c:v>
                </c:pt>
                <c:pt idx="61">
                  <c:v>0.23</c:v>
                </c:pt>
                <c:pt idx="62">
                  <c:v>0.23</c:v>
                </c:pt>
                <c:pt idx="63">
                  <c:v>0.23</c:v>
                </c:pt>
                <c:pt idx="64">
                  <c:v>0.23</c:v>
                </c:pt>
                <c:pt idx="65">
                  <c:v>0.23</c:v>
                </c:pt>
                <c:pt idx="66">
                  <c:v>0.23</c:v>
                </c:pt>
                <c:pt idx="67">
                  <c:v>0.23</c:v>
                </c:pt>
                <c:pt idx="68">
                  <c:v>0.23</c:v>
                </c:pt>
                <c:pt idx="69">
                  <c:v>0.23</c:v>
                </c:pt>
                <c:pt idx="70">
                  <c:v>0.23</c:v>
                </c:pt>
                <c:pt idx="71">
                  <c:v>0.23</c:v>
                </c:pt>
                <c:pt idx="72">
                  <c:v>0.24</c:v>
                </c:pt>
                <c:pt idx="73">
                  <c:v>0.24</c:v>
                </c:pt>
                <c:pt idx="74">
                  <c:v>0.24</c:v>
                </c:pt>
                <c:pt idx="75">
                  <c:v>0.24</c:v>
                </c:pt>
                <c:pt idx="76">
                  <c:v>0.24</c:v>
                </c:pt>
                <c:pt idx="77">
                  <c:v>0.24</c:v>
                </c:pt>
                <c:pt idx="78">
                  <c:v>0.24</c:v>
                </c:pt>
                <c:pt idx="79">
                  <c:v>0.24</c:v>
                </c:pt>
                <c:pt idx="80">
                  <c:v>0.24</c:v>
                </c:pt>
                <c:pt idx="81">
                  <c:v>0.24</c:v>
                </c:pt>
                <c:pt idx="82">
                  <c:v>0.24</c:v>
                </c:pt>
                <c:pt idx="83">
                  <c:v>0.24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0.26</c:v>
                </c:pt>
                <c:pt idx="91">
                  <c:v>0.26</c:v>
                </c:pt>
                <c:pt idx="92">
                  <c:v>0.26</c:v>
                </c:pt>
                <c:pt idx="93">
                  <c:v>0.26</c:v>
                </c:pt>
                <c:pt idx="94">
                  <c:v>0.26</c:v>
                </c:pt>
                <c:pt idx="95">
                  <c:v>0.26</c:v>
                </c:pt>
                <c:pt idx="96">
                  <c:v>0.27</c:v>
                </c:pt>
                <c:pt idx="97">
                  <c:v>0.27</c:v>
                </c:pt>
                <c:pt idx="98">
                  <c:v>0.27</c:v>
                </c:pt>
                <c:pt idx="99">
                  <c:v>0.27</c:v>
                </c:pt>
                <c:pt idx="100">
                  <c:v>0.27</c:v>
                </c:pt>
                <c:pt idx="101">
                  <c:v>0.27</c:v>
                </c:pt>
                <c:pt idx="102">
                  <c:v>0.27</c:v>
                </c:pt>
                <c:pt idx="103">
                  <c:v>0.27</c:v>
                </c:pt>
                <c:pt idx="104">
                  <c:v>0.27</c:v>
                </c:pt>
                <c:pt idx="105">
                  <c:v>0.27</c:v>
                </c:pt>
                <c:pt idx="106">
                  <c:v>0.27</c:v>
                </c:pt>
                <c:pt idx="107">
                  <c:v>0.27</c:v>
                </c:pt>
                <c:pt idx="108">
                  <c:v>0.27</c:v>
                </c:pt>
                <c:pt idx="109">
                  <c:v>0.27</c:v>
                </c:pt>
                <c:pt idx="110">
                  <c:v>0.27</c:v>
                </c:pt>
                <c:pt idx="111">
                  <c:v>0.27</c:v>
                </c:pt>
                <c:pt idx="112">
                  <c:v>0.27</c:v>
                </c:pt>
                <c:pt idx="113">
                  <c:v>0.27</c:v>
                </c:pt>
                <c:pt idx="114">
                  <c:v>0.27</c:v>
                </c:pt>
                <c:pt idx="115">
                  <c:v>0.27</c:v>
                </c:pt>
                <c:pt idx="116">
                  <c:v>0.27</c:v>
                </c:pt>
                <c:pt idx="117">
                  <c:v>0.27</c:v>
                </c:pt>
                <c:pt idx="118">
                  <c:v>0.27</c:v>
                </c:pt>
                <c:pt idx="119">
                  <c:v>0.27</c:v>
                </c:pt>
                <c:pt idx="120">
                  <c:v>0.27</c:v>
                </c:pt>
                <c:pt idx="121">
                  <c:v>0.27</c:v>
                </c:pt>
                <c:pt idx="122">
                  <c:v>0.27</c:v>
                </c:pt>
                <c:pt idx="123">
                  <c:v>0.27</c:v>
                </c:pt>
                <c:pt idx="124">
                  <c:v>0.27</c:v>
                </c:pt>
                <c:pt idx="125">
                  <c:v>0.27</c:v>
                </c:pt>
                <c:pt idx="126">
                  <c:v>0.26</c:v>
                </c:pt>
                <c:pt idx="127">
                  <c:v>0.26</c:v>
                </c:pt>
                <c:pt idx="128">
                  <c:v>0.26</c:v>
                </c:pt>
                <c:pt idx="129">
                  <c:v>0.26</c:v>
                </c:pt>
                <c:pt idx="130">
                  <c:v>0.26</c:v>
                </c:pt>
                <c:pt idx="131">
                  <c:v>0.26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0.24</c:v>
                </c:pt>
                <c:pt idx="139">
                  <c:v>0.24</c:v>
                </c:pt>
                <c:pt idx="140">
                  <c:v>0.24</c:v>
                </c:pt>
                <c:pt idx="141">
                  <c:v>0.24</c:v>
                </c:pt>
                <c:pt idx="142">
                  <c:v>0.24</c:v>
                </c:pt>
                <c:pt idx="143">
                  <c:v>0.24</c:v>
                </c:pt>
                <c:pt idx="144">
                  <c:v>0.24</c:v>
                </c:pt>
                <c:pt idx="145">
                  <c:v>0.24</c:v>
                </c:pt>
                <c:pt idx="146">
                  <c:v>0.24</c:v>
                </c:pt>
                <c:pt idx="147">
                  <c:v>0.24</c:v>
                </c:pt>
                <c:pt idx="148">
                  <c:v>0.24</c:v>
                </c:pt>
                <c:pt idx="149">
                  <c:v>0.24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0.26</c:v>
                </c:pt>
                <c:pt idx="157">
                  <c:v>0.26</c:v>
                </c:pt>
                <c:pt idx="158">
                  <c:v>0.26</c:v>
                </c:pt>
                <c:pt idx="159">
                  <c:v>0.26</c:v>
                </c:pt>
                <c:pt idx="160">
                  <c:v>0.26</c:v>
                </c:pt>
                <c:pt idx="161">
                  <c:v>0.26</c:v>
                </c:pt>
                <c:pt idx="162">
                  <c:v>0.27</c:v>
                </c:pt>
                <c:pt idx="163">
                  <c:v>0.27</c:v>
                </c:pt>
                <c:pt idx="164">
                  <c:v>0.27</c:v>
                </c:pt>
                <c:pt idx="165">
                  <c:v>0.27</c:v>
                </c:pt>
                <c:pt idx="166">
                  <c:v>0.27</c:v>
                </c:pt>
                <c:pt idx="167">
                  <c:v>0.27</c:v>
                </c:pt>
                <c:pt idx="168">
                  <c:v>0.28000000000000003</c:v>
                </c:pt>
                <c:pt idx="169">
                  <c:v>0.28000000000000003</c:v>
                </c:pt>
                <c:pt idx="170">
                  <c:v>0.28000000000000003</c:v>
                </c:pt>
                <c:pt idx="171">
                  <c:v>0.28000000000000003</c:v>
                </c:pt>
                <c:pt idx="172">
                  <c:v>0.28000000000000003</c:v>
                </c:pt>
                <c:pt idx="173">
                  <c:v>0.28000000000000003</c:v>
                </c:pt>
                <c:pt idx="174">
                  <c:v>0.28000000000000003</c:v>
                </c:pt>
                <c:pt idx="175">
                  <c:v>0.28000000000000003</c:v>
                </c:pt>
                <c:pt idx="176">
                  <c:v>0.28000000000000003</c:v>
                </c:pt>
                <c:pt idx="177">
                  <c:v>0.28000000000000003</c:v>
                </c:pt>
                <c:pt idx="178">
                  <c:v>0.28000000000000003</c:v>
                </c:pt>
                <c:pt idx="179">
                  <c:v>0.28000000000000003</c:v>
                </c:pt>
                <c:pt idx="180">
                  <c:v>0.27</c:v>
                </c:pt>
                <c:pt idx="181">
                  <c:v>0.27</c:v>
                </c:pt>
                <c:pt idx="182">
                  <c:v>0.27</c:v>
                </c:pt>
                <c:pt idx="183">
                  <c:v>0.27</c:v>
                </c:pt>
                <c:pt idx="184">
                  <c:v>0.27</c:v>
                </c:pt>
                <c:pt idx="185">
                  <c:v>0.27</c:v>
                </c:pt>
                <c:pt idx="186">
                  <c:v>0.27</c:v>
                </c:pt>
                <c:pt idx="187">
                  <c:v>0.27</c:v>
                </c:pt>
                <c:pt idx="188">
                  <c:v>0.27</c:v>
                </c:pt>
                <c:pt idx="189">
                  <c:v>0.27</c:v>
                </c:pt>
                <c:pt idx="190">
                  <c:v>0.27</c:v>
                </c:pt>
                <c:pt idx="191">
                  <c:v>0.27</c:v>
                </c:pt>
                <c:pt idx="192">
                  <c:v>0.26</c:v>
                </c:pt>
                <c:pt idx="193">
                  <c:v>0.26</c:v>
                </c:pt>
                <c:pt idx="194">
                  <c:v>0.26</c:v>
                </c:pt>
                <c:pt idx="195">
                  <c:v>0.26</c:v>
                </c:pt>
                <c:pt idx="196">
                  <c:v>0.26</c:v>
                </c:pt>
                <c:pt idx="197">
                  <c:v>0.26</c:v>
                </c:pt>
                <c:pt idx="198">
                  <c:v>0.26</c:v>
                </c:pt>
                <c:pt idx="199">
                  <c:v>0.26</c:v>
                </c:pt>
                <c:pt idx="200">
                  <c:v>0.26</c:v>
                </c:pt>
                <c:pt idx="201">
                  <c:v>0.26</c:v>
                </c:pt>
                <c:pt idx="202">
                  <c:v>0.26</c:v>
                </c:pt>
                <c:pt idx="203">
                  <c:v>0.27</c:v>
                </c:pt>
                <c:pt idx="204">
                  <c:v>0.27</c:v>
                </c:pt>
                <c:pt idx="205">
                  <c:v>0.28000000000000003</c:v>
                </c:pt>
                <c:pt idx="206">
                  <c:v>0.28000000000000003</c:v>
                </c:pt>
                <c:pt idx="207">
                  <c:v>0.28999999999999998</c:v>
                </c:pt>
                <c:pt idx="208">
                  <c:v>0.28999999999999998</c:v>
                </c:pt>
                <c:pt idx="209">
                  <c:v>0.3</c:v>
                </c:pt>
                <c:pt idx="210">
                  <c:v>0.3</c:v>
                </c:pt>
                <c:pt idx="211">
                  <c:v>0.31</c:v>
                </c:pt>
                <c:pt idx="212">
                  <c:v>0.31</c:v>
                </c:pt>
                <c:pt idx="213">
                  <c:v>0.32</c:v>
                </c:pt>
                <c:pt idx="214">
                  <c:v>0.32</c:v>
                </c:pt>
                <c:pt idx="215">
                  <c:v>0.33</c:v>
                </c:pt>
                <c:pt idx="216">
                  <c:v>0.33</c:v>
                </c:pt>
                <c:pt idx="217">
                  <c:v>0.34</c:v>
                </c:pt>
                <c:pt idx="218">
                  <c:v>0.35</c:v>
                </c:pt>
                <c:pt idx="219">
                  <c:v>0.36</c:v>
                </c:pt>
                <c:pt idx="220">
                  <c:v>0.37</c:v>
                </c:pt>
                <c:pt idx="221">
                  <c:v>0.37</c:v>
                </c:pt>
                <c:pt idx="222">
                  <c:v>0.38</c:v>
                </c:pt>
                <c:pt idx="223">
                  <c:v>0.39</c:v>
                </c:pt>
                <c:pt idx="224">
                  <c:v>0.39</c:v>
                </c:pt>
                <c:pt idx="225">
                  <c:v>0.4</c:v>
                </c:pt>
                <c:pt idx="226">
                  <c:v>0.4</c:v>
                </c:pt>
                <c:pt idx="227">
                  <c:v>0.41</c:v>
                </c:pt>
                <c:pt idx="228">
                  <c:v>0.41</c:v>
                </c:pt>
                <c:pt idx="229">
                  <c:v>0.42</c:v>
                </c:pt>
                <c:pt idx="230">
                  <c:v>0.42</c:v>
                </c:pt>
                <c:pt idx="231">
                  <c:v>0.43</c:v>
                </c:pt>
                <c:pt idx="232">
                  <c:v>0.43</c:v>
                </c:pt>
                <c:pt idx="233">
                  <c:v>0.44</c:v>
                </c:pt>
                <c:pt idx="234">
                  <c:v>0.44</c:v>
                </c:pt>
                <c:pt idx="235">
                  <c:v>0.45</c:v>
                </c:pt>
                <c:pt idx="236">
                  <c:v>0.45</c:v>
                </c:pt>
                <c:pt idx="237">
                  <c:v>0.46</c:v>
                </c:pt>
                <c:pt idx="238">
                  <c:v>0.46</c:v>
                </c:pt>
                <c:pt idx="239">
                  <c:v>0.47</c:v>
                </c:pt>
                <c:pt idx="240">
                  <c:v>0.47</c:v>
                </c:pt>
                <c:pt idx="241">
                  <c:v>0.47</c:v>
                </c:pt>
                <c:pt idx="242">
                  <c:v>0.47</c:v>
                </c:pt>
                <c:pt idx="243">
                  <c:v>0.48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  <c:pt idx="247">
                  <c:v>0.48</c:v>
                </c:pt>
                <c:pt idx="248">
                  <c:v>0.48</c:v>
                </c:pt>
                <c:pt idx="249">
                  <c:v>0.48</c:v>
                </c:pt>
                <c:pt idx="250">
                  <c:v>0.48</c:v>
                </c:pt>
                <c:pt idx="251">
                  <c:v>0.48</c:v>
                </c:pt>
                <c:pt idx="252">
                  <c:v>0.47</c:v>
                </c:pt>
                <c:pt idx="253">
                  <c:v>0.47</c:v>
                </c:pt>
                <c:pt idx="254">
                  <c:v>0.47</c:v>
                </c:pt>
                <c:pt idx="255">
                  <c:v>0.47</c:v>
                </c:pt>
                <c:pt idx="256">
                  <c:v>0.47</c:v>
                </c:pt>
                <c:pt idx="257">
                  <c:v>0.47</c:v>
                </c:pt>
                <c:pt idx="258">
                  <c:v>0.47</c:v>
                </c:pt>
                <c:pt idx="259">
                  <c:v>0.47</c:v>
                </c:pt>
                <c:pt idx="260">
                  <c:v>0.47</c:v>
                </c:pt>
                <c:pt idx="261">
                  <c:v>0.47</c:v>
                </c:pt>
                <c:pt idx="262">
                  <c:v>0.47</c:v>
                </c:pt>
                <c:pt idx="263">
                  <c:v>0.47</c:v>
                </c:pt>
                <c:pt idx="264">
                  <c:v>0.47</c:v>
                </c:pt>
                <c:pt idx="265">
                  <c:v>0.47</c:v>
                </c:pt>
                <c:pt idx="266">
                  <c:v>0.47</c:v>
                </c:pt>
                <c:pt idx="267">
                  <c:v>0.47</c:v>
                </c:pt>
                <c:pt idx="268">
                  <c:v>0.47</c:v>
                </c:pt>
                <c:pt idx="269">
                  <c:v>0.47</c:v>
                </c:pt>
                <c:pt idx="270">
                  <c:v>0.47</c:v>
                </c:pt>
                <c:pt idx="271">
                  <c:v>0.47</c:v>
                </c:pt>
                <c:pt idx="272">
                  <c:v>0.47</c:v>
                </c:pt>
                <c:pt idx="273">
                  <c:v>0.47</c:v>
                </c:pt>
                <c:pt idx="274">
                  <c:v>0.47</c:v>
                </c:pt>
                <c:pt idx="275">
                  <c:v>0.46</c:v>
                </c:pt>
                <c:pt idx="276">
                  <c:v>0.46</c:v>
                </c:pt>
                <c:pt idx="277">
                  <c:v>0.46</c:v>
                </c:pt>
                <c:pt idx="278">
                  <c:v>0.46</c:v>
                </c:pt>
                <c:pt idx="279">
                  <c:v>0.46</c:v>
                </c:pt>
                <c:pt idx="280">
                  <c:v>0.46</c:v>
                </c:pt>
                <c:pt idx="281">
                  <c:v>0.45</c:v>
                </c:pt>
                <c:pt idx="282">
                  <c:v>0.45</c:v>
                </c:pt>
                <c:pt idx="283">
                  <c:v>0.45</c:v>
                </c:pt>
                <c:pt idx="284">
                  <c:v>0.45</c:v>
                </c:pt>
                <c:pt idx="285">
                  <c:v>0.45</c:v>
                </c:pt>
                <c:pt idx="286">
                  <c:v>0.45</c:v>
                </c:pt>
                <c:pt idx="287">
                  <c:v>0.45</c:v>
                </c:pt>
                <c:pt idx="288">
                  <c:v>0.44</c:v>
                </c:pt>
                <c:pt idx="289">
                  <c:v>0.44</c:v>
                </c:pt>
                <c:pt idx="290">
                  <c:v>0.44</c:v>
                </c:pt>
                <c:pt idx="291">
                  <c:v>0.44</c:v>
                </c:pt>
                <c:pt idx="292">
                  <c:v>0.44</c:v>
                </c:pt>
                <c:pt idx="293">
                  <c:v>0.43</c:v>
                </c:pt>
                <c:pt idx="294">
                  <c:v>0.43</c:v>
                </c:pt>
                <c:pt idx="295">
                  <c:v>0.43</c:v>
                </c:pt>
                <c:pt idx="296">
                  <c:v>0.43</c:v>
                </c:pt>
                <c:pt idx="297">
                  <c:v>0.43</c:v>
                </c:pt>
                <c:pt idx="298">
                  <c:v>0.42</c:v>
                </c:pt>
                <c:pt idx="299">
                  <c:v>0.42</c:v>
                </c:pt>
                <c:pt idx="300">
                  <c:v>0.41</c:v>
                </c:pt>
                <c:pt idx="301">
                  <c:v>0.41</c:v>
                </c:pt>
                <c:pt idx="302">
                  <c:v>0.4</c:v>
                </c:pt>
                <c:pt idx="303">
                  <c:v>0.4</c:v>
                </c:pt>
                <c:pt idx="304">
                  <c:v>0.4</c:v>
                </c:pt>
                <c:pt idx="305">
                  <c:v>0.39</c:v>
                </c:pt>
                <c:pt idx="306">
                  <c:v>0.39</c:v>
                </c:pt>
                <c:pt idx="307">
                  <c:v>0.39</c:v>
                </c:pt>
                <c:pt idx="308">
                  <c:v>0.38</c:v>
                </c:pt>
                <c:pt idx="309">
                  <c:v>0.38</c:v>
                </c:pt>
                <c:pt idx="310">
                  <c:v>0.38</c:v>
                </c:pt>
                <c:pt idx="311">
                  <c:v>0.38</c:v>
                </c:pt>
                <c:pt idx="312">
                  <c:v>0.37</c:v>
                </c:pt>
                <c:pt idx="313">
                  <c:v>0.37</c:v>
                </c:pt>
                <c:pt idx="314">
                  <c:v>0.37</c:v>
                </c:pt>
                <c:pt idx="315">
                  <c:v>0.37</c:v>
                </c:pt>
                <c:pt idx="316">
                  <c:v>0.37</c:v>
                </c:pt>
                <c:pt idx="317">
                  <c:v>0.37</c:v>
                </c:pt>
                <c:pt idx="318">
                  <c:v>0.37</c:v>
                </c:pt>
                <c:pt idx="319">
                  <c:v>0.37</c:v>
                </c:pt>
                <c:pt idx="320">
                  <c:v>0.37</c:v>
                </c:pt>
                <c:pt idx="321">
                  <c:v>0.37</c:v>
                </c:pt>
                <c:pt idx="322">
                  <c:v>0.37</c:v>
                </c:pt>
                <c:pt idx="323">
                  <c:v>0.38</c:v>
                </c:pt>
                <c:pt idx="324">
                  <c:v>0.38</c:v>
                </c:pt>
                <c:pt idx="325">
                  <c:v>0.38</c:v>
                </c:pt>
                <c:pt idx="326">
                  <c:v>0.39</c:v>
                </c:pt>
                <c:pt idx="327">
                  <c:v>0.39</c:v>
                </c:pt>
                <c:pt idx="328">
                  <c:v>0.4</c:v>
                </c:pt>
                <c:pt idx="329">
                  <c:v>0.41</c:v>
                </c:pt>
                <c:pt idx="330">
                  <c:v>0.42</c:v>
                </c:pt>
                <c:pt idx="331">
                  <c:v>0.43</c:v>
                </c:pt>
                <c:pt idx="332">
                  <c:v>0.44</c:v>
                </c:pt>
                <c:pt idx="333">
                  <c:v>0.45</c:v>
                </c:pt>
                <c:pt idx="334">
                  <c:v>0.46</c:v>
                </c:pt>
                <c:pt idx="335">
                  <c:v>0.47</c:v>
                </c:pt>
                <c:pt idx="336">
                  <c:v>0.48</c:v>
                </c:pt>
                <c:pt idx="337">
                  <c:v>0.5</c:v>
                </c:pt>
                <c:pt idx="338">
                  <c:v>0.51</c:v>
                </c:pt>
                <c:pt idx="339">
                  <c:v>0.52</c:v>
                </c:pt>
                <c:pt idx="340">
                  <c:v>0.53</c:v>
                </c:pt>
                <c:pt idx="341">
                  <c:v>0.54</c:v>
                </c:pt>
                <c:pt idx="342">
                  <c:v>0.55000000000000004</c:v>
                </c:pt>
                <c:pt idx="343">
                  <c:v>0.56000000000000005</c:v>
                </c:pt>
                <c:pt idx="344">
                  <c:v>0.56999999999999995</c:v>
                </c:pt>
                <c:pt idx="345">
                  <c:v>0.57999999999999996</c:v>
                </c:pt>
                <c:pt idx="346">
                  <c:v>0.59</c:v>
                </c:pt>
                <c:pt idx="347">
                  <c:v>0.6</c:v>
                </c:pt>
                <c:pt idx="348">
                  <c:v>0.61</c:v>
                </c:pt>
                <c:pt idx="349">
                  <c:v>0.62</c:v>
                </c:pt>
                <c:pt idx="350">
                  <c:v>0.62</c:v>
                </c:pt>
                <c:pt idx="351">
                  <c:v>0.62</c:v>
                </c:pt>
                <c:pt idx="352">
                  <c:v>0.62</c:v>
                </c:pt>
                <c:pt idx="353">
                  <c:v>0.61</c:v>
                </c:pt>
                <c:pt idx="354">
                  <c:v>0.61</c:v>
                </c:pt>
                <c:pt idx="355">
                  <c:v>0.6</c:v>
                </c:pt>
                <c:pt idx="356">
                  <c:v>0.6</c:v>
                </c:pt>
                <c:pt idx="357">
                  <c:v>0.59</c:v>
                </c:pt>
                <c:pt idx="358">
                  <c:v>0.57999999999999996</c:v>
                </c:pt>
                <c:pt idx="359">
                  <c:v>0.56999999999999995</c:v>
                </c:pt>
                <c:pt idx="360">
                  <c:v>0.56000000000000005</c:v>
                </c:pt>
                <c:pt idx="361">
                  <c:v>0.55000000000000004</c:v>
                </c:pt>
                <c:pt idx="362">
                  <c:v>0.54</c:v>
                </c:pt>
                <c:pt idx="363">
                  <c:v>0.54</c:v>
                </c:pt>
                <c:pt idx="364">
                  <c:v>0.53</c:v>
                </c:pt>
                <c:pt idx="365">
                  <c:v>0.53</c:v>
                </c:pt>
                <c:pt idx="366">
                  <c:v>0.53</c:v>
                </c:pt>
                <c:pt idx="367">
                  <c:v>0.52</c:v>
                </c:pt>
                <c:pt idx="368">
                  <c:v>0.52</c:v>
                </c:pt>
                <c:pt idx="369">
                  <c:v>0.52</c:v>
                </c:pt>
                <c:pt idx="370">
                  <c:v>0.51</c:v>
                </c:pt>
                <c:pt idx="371">
                  <c:v>0.51</c:v>
                </c:pt>
                <c:pt idx="372">
                  <c:v>0.51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0.49</c:v>
                </c:pt>
                <c:pt idx="379">
                  <c:v>0.49</c:v>
                </c:pt>
                <c:pt idx="380">
                  <c:v>0.49</c:v>
                </c:pt>
                <c:pt idx="381">
                  <c:v>0.49</c:v>
                </c:pt>
                <c:pt idx="382">
                  <c:v>0.49</c:v>
                </c:pt>
                <c:pt idx="383">
                  <c:v>0.49</c:v>
                </c:pt>
                <c:pt idx="384">
                  <c:v>0.48</c:v>
                </c:pt>
                <c:pt idx="385">
                  <c:v>0.48</c:v>
                </c:pt>
                <c:pt idx="386">
                  <c:v>0.48</c:v>
                </c:pt>
                <c:pt idx="387">
                  <c:v>0.48</c:v>
                </c:pt>
                <c:pt idx="388">
                  <c:v>0.48</c:v>
                </c:pt>
                <c:pt idx="389">
                  <c:v>0.47</c:v>
                </c:pt>
                <c:pt idx="390">
                  <c:v>0.47</c:v>
                </c:pt>
                <c:pt idx="391">
                  <c:v>0.47</c:v>
                </c:pt>
                <c:pt idx="392">
                  <c:v>0.47</c:v>
                </c:pt>
                <c:pt idx="393">
                  <c:v>0.47</c:v>
                </c:pt>
                <c:pt idx="394">
                  <c:v>0.47</c:v>
                </c:pt>
                <c:pt idx="395">
                  <c:v>0.47</c:v>
                </c:pt>
                <c:pt idx="396">
                  <c:v>0.48</c:v>
                </c:pt>
                <c:pt idx="397">
                  <c:v>0.48</c:v>
                </c:pt>
                <c:pt idx="398">
                  <c:v>0.48</c:v>
                </c:pt>
                <c:pt idx="399">
                  <c:v>0.48</c:v>
                </c:pt>
                <c:pt idx="400">
                  <c:v>0.48</c:v>
                </c:pt>
                <c:pt idx="401">
                  <c:v>0.48</c:v>
                </c:pt>
                <c:pt idx="402">
                  <c:v>0.49</c:v>
                </c:pt>
                <c:pt idx="403">
                  <c:v>0.49</c:v>
                </c:pt>
                <c:pt idx="404">
                  <c:v>0.49</c:v>
                </c:pt>
                <c:pt idx="405">
                  <c:v>0.49</c:v>
                </c:pt>
                <c:pt idx="406">
                  <c:v>0.49</c:v>
                </c:pt>
                <c:pt idx="407">
                  <c:v>0.49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0.49</c:v>
                </c:pt>
                <c:pt idx="415">
                  <c:v>0.49</c:v>
                </c:pt>
                <c:pt idx="416">
                  <c:v>0.49</c:v>
                </c:pt>
                <c:pt idx="417">
                  <c:v>0.49</c:v>
                </c:pt>
                <c:pt idx="418">
                  <c:v>0.49</c:v>
                </c:pt>
                <c:pt idx="419">
                  <c:v>0.48</c:v>
                </c:pt>
                <c:pt idx="420">
                  <c:v>0.48</c:v>
                </c:pt>
                <c:pt idx="421">
                  <c:v>0.48</c:v>
                </c:pt>
                <c:pt idx="422">
                  <c:v>0.48</c:v>
                </c:pt>
                <c:pt idx="423">
                  <c:v>0.48</c:v>
                </c:pt>
                <c:pt idx="424">
                  <c:v>0.48</c:v>
                </c:pt>
                <c:pt idx="425">
                  <c:v>0.47</c:v>
                </c:pt>
                <c:pt idx="426">
                  <c:v>0.47</c:v>
                </c:pt>
                <c:pt idx="427">
                  <c:v>0.47</c:v>
                </c:pt>
                <c:pt idx="428">
                  <c:v>0.47</c:v>
                </c:pt>
                <c:pt idx="429">
                  <c:v>0.47</c:v>
                </c:pt>
                <c:pt idx="430">
                  <c:v>0.47</c:v>
                </c:pt>
                <c:pt idx="431">
                  <c:v>0.47</c:v>
                </c:pt>
                <c:pt idx="432">
                  <c:v>0.46</c:v>
                </c:pt>
                <c:pt idx="433">
                  <c:v>0.46</c:v>
                </c:pt>
                <c:pt idx="434">
                  <c:v>0.46</c:v>
                </c:pt>
                <c:pt idx="435">
                  <c:v>0.46</c:v>
                </c:pt>
                <c:pt idx="436">
                  <c:v>0.46</c:v>
                </c:pt>
                <c:pt idx="437">
                  <c:v>0.45</c:v>
                </c:pt>
                <c:pt idx="438">
                  <c:v>0.45</c:v>
                </c:pt>
                <c:pt idx="439">
                  <c:v>0.45</c:v>
                </c:pt>
                <c:pt idx="440">
                  <c:v>0.45</c:v>
                </c:pt>
                <c:pt idx="441">
                  <c:v>0.45</c:v>
                </c:pt>
                <c:pt idx="442">
                  <c:v>0.45</c:v>
                </c:pt>
                <c:pt idx="443">
                  <c:v>0.45</c:v>
                </c:pt>
                <c:pt idx="444">
                  <c:v>0.44</c:v>
                </c:pt>
                <c:pt idx="445">
                  <c:v>0.44</c:v>
                </c:pt>
                <c:pt idx="446">
                  <c:v>0.44</c:v>
                </c:pt>
                <c:pt idx="447">
                  <c:v>0.43</c:v>
                </c:pt>
                <c:pt idx="448">
                  <c:v>0.43</c:v>
                </c:pt>
                <c:pt idx="449">
                  <c:v>0.43</c:v>
                </c:pt>
                <c:pt idx="450">
                  <c:v>0.42</c:v>
                </c:pt>
                <c:pt idx="451">
                  <c:v>0.42</c:v>
                </c:pt>
                <c:pt idx="452">
                  <c:v>0.42</c:v>
                </c:pt>
                <c:pt idx="453">
                  <c:v>0.41</c:v>
                </c:pt>
                <c:pt idx="454">
                  <c:v>0.41</c:v>
                </c:pt>
                <c:pt idx="455">
                  <c:v>0.41</c:v>
                </c:pt>
                <c:pt idx="456">
                  <c:v>0.4</c:v>
                </c:pt>
                <c:pt idx="457">
                  <c:v>0.4</c:v>
                </c:pt>
                <c:pt idx="458">
                  <c:v>0.4</c:v>
                </c:pt>
                <c:pt idx="459">
                  <c:v>0.4</c:v>
                </c:pt>
                <c:pt idx="460">
                  <c:v>0.39</c:v>
                </c:pt>
                <c:pt idx="461">
                  <c:v>0.39</c:v>
                </c:pt>
                <c:pt idx="462">
                  <c:v>0.39</c:v>
                </c:pt>
                <c:pt idx="463">
                  <c:v>0.38</c:v>
                </c:pt>
                <c:pt idx="464">
                  <c:v>0.38</c:v>
                </c:pt>
                <c:pt idx="465">
                  <c:v>0.38</c:v>
                </c:pt>
                <c:pt idx="466">
                  <c:v>0.37</c:v>
                </c:pt>
                <c:pt idx="467">
                  <c:v>0.37</c:v>
                </c:pt>
                <c:pt idx="468">
                  <c:v>0.37</c:v>
                </c:pt>
                <c:pt idx="469">
                  <c:v>0.36</c:v>
                </c:pt>
                <c:pt idx="470">
                  <c:v>0.36</c:v>
                </c:pt>
                <c:pt idx="471">
                  <c:v>0.36</c:v>
                </c:pt>
                <c:pt idx="472">
                  <c:v>0.36</c:v>
                </c:pt>
                <c:pt idx="473">
                  <c:v>0.36</c:v>
                </c:pt>
                <c:pt idx="474">
                  <c:v>0.35</c:v>
                </c:pt>
                <c:pt idx="475">
                  <c:v>0.35</c:v>
                </c:pt>
                <c:pt idx="476">
                  <c:v>0.35</c:v>
                </c:pt>
                <c:pt idx="477">
                  <c:v>0.35</c:v>
                </c:pt>
                <c:pt idx="478">
                  <c:v>0.35</c:v>
                </c:pt>
                <c:pt idx="479">
                  <c:v>0.35</c:v>
                </c:pt>
                <c:pt idx="480">
                  <c:v>0.34</c:v>
                </c:pt>
                <c:pt idx="481">
                  <c:v>0.34</c:v>
                </c:pt>
                <c:pt idx="482">
                  <c:v>0.34</c:v>
                </c:pt>
                <c:pt idx="483">
                  <c:v>0.34</c:v>
                </c:pt>
                <c:pt idx="484">
                  <c:v>0.34</c:v>
                </c:pt>
                <c:pt idx="485">
                  <c:v>0.34</c:v>
                </c:pt>
                <c:pt idx="486">
                  <c:v>0.34</c:v>
                </c:pt>
                <c:pt idx="487">
                  <c:v>0.34</c:v>
                </c:pt>
                <c:pt idx="488">
                  <c:v>0.34</c:v>
                </c:pt>
                <c:pt idx="489">
                  <c:v>0.34</c:v>
                </c:pt>
                <c:pt idx="490">
                  <c:v>0.34</c:v>
                </c:pt>
                <c:pt idx="491">
                  <c:v>0.34</c:v>
                </c:pt>
                <c:pt idx="492">
                  <c:v>0.34</c:v>
                </c:pt>
                <c:pt idx="493">
                  <c:v>0.34</c:v>
                </c:pt>
                <c:pt idx="494">
                  <c:v>0.34</c:v>
                </c:pt>
                <c:pt idx="495">
                  <c:v>0.34</c:v>
                </c:pt>
                <c:pt idx="496">
                  <c:v>0.34</c:v>
                </c:pt>
                <c:pt idx="497">
                  <c:v>0.34</c:v>
                </c:pt>
                <c:pt idx="498">
                  <c:v>0.34</c:v>
                </c:pt>
                <c:pt idx="499">
                  <c:v>0.34</c:v>
                </c:pt>
                <c:pt idx="500">
                  <c:v>0.34</c:v>
                </c:pt>
                <c:pt idx="501">
                  <c:v>0.34</c:v>
                </c:pt>
                <c:pt idx="502">
                  <c:v>0.34</c:v>
                </c:pt>
                <c:pt idx="503">
                  <c:v>0.34</c:v>
                </c:pt>
                <c:pt idx="504">
                  <c:v>0.34</c:v>
                </c:pt>
                <c:pt idx="505">
                  <c:v>0.34</c:v>
                </c:pt>
                <c:pt idx="506">
                  <c:v>0.34</c:v>
                </c:pt>
                <c:pt idx="507">
                  <c:v>0.34</c:v>
                </c:pt>
                <c:pt idx="508">
                  <c:v>0.34</c:v>
                </c:pt>
                <c:pt idx="509">
                  <c:v>0.34</c:v>
                </c:pt>
                <c:pt idx="510">
                  <c:v>0.34</c:v>
                </c:pt>
                <c:pt idx="511">
                  <c:v>0.34</c:v>
                </c:pt>
                <c:pt idx="512">
                  <c:v>0.34</c:v>
                </c:pt>
                <c:pt idx="513">
                  <c:v>0.34</c:v>
                </c:pt>
                <c:pt idx="514">
                  <c:v>0.34</c:v>
                </c:pt>
                <c:pt idx="515">
                  <c:v>0.34</c:v>
                </c:pt>
                <c:pt idx="516">
                  <c:v>0.33</c:v>
                </c:pt>
                <c:pt idx="517">
                  <c:v>0.33</c:v>
                </c:pt>
                <c:pt idx="518">
                  <c:v>0.33</c:v>
                </c:pt>
                <c:pt idx="519">
                  <c:v>0.33</c:v>
                </c:pt>
                <c:pt idx="520">
                  <c:v>0.33</c:v>
                </c:pt>
                <c:pt idx="521">
                  <c:v>0.33</c:v>
                </c:pt>
                <c:pt idx="522">
                  <c:v>0.33</c:v>
                </c:pt>
                <c:pt idx="523">
                  <c:v>0.33</c:v>
                </c:pt>
                <c:pt idx="524">
                  <c:v>0.33</c:v>
                </c:pt>
                <c:pt idx="525">
                  <c:v>0.33</c:v>
                </c:pt>
                <c:pt idx="526">
                  <c:v>0.33</c:v>
                </c:pt>
                <c:pt idx="527">
                  <c:v>0.33</c:v>
                </c:pt>
                <c:pt idx="528">
                  <c:v>0.32</c:v>
                </c:pt>
                <c:pt idx="529">
                  <c:v>0.32</c:v>
                </c:pt>
                <c:pt idx="530">
                  <c:v>0.32</c:v>
                </c:pt>
                <c:pt idx="531">
                  <c:v>0.32</c:v>
                </c:pt>
                <c:pt idx="532">
                  <c:v>0.32</c:v>
                </c:pt>
                <c:pt idx="533">
                  <c:v>0.32</c:v>
                </c:pt>
                <c:pt idx="534">
                  <c:v>0.32</c:v>
                </c:pt>
                <c:pt idx="535">
                  <c:v>0.32</c:v>
                </c:pt>
                <c:pt idx="536">
                  <c:v>0.33</c:v>
                </c:pt>
                <c:pt idx="537">
                  <c:v>0.33</c:v>
                </c:pt>
                <c:pt idx="538">
                  <c:v>0.33</c:v>
                </c:pt>
                <c:pt idx="539">
                  <c:v>0.33</c:v>
                </c:pt>
                <c:pt idx="540">
                  <c:v>0.34</c:v>
                </c:pt>
                <c:pt idx="541">
                  <c:v>0.34</c:v>
                </c:pt>
                <c:pt idx="542">
                  <c:v>0.35</c:v>
                </c:pt>
                <c:pt idx="543">
                  <c:v>0.36</c:v>
                </c:pt>
                <c:pt idx="544">
                  <c:v>0.37</c:v>
                </c:pt>
                <c:pt idx="545">
                  <c:v>0.38</c:v>
                </c:pt>
                <c:pt idx="546">
                  <c:v>0.39</c:v>
                </c:pt>
                <c:pt idx="547">
                  <c:v>0.4</c:v>
                </c:pt>
                <c:pt idx="548">
                  <c:v>0.41</c:v>
                </c:pt>
                <c:pt idx="549">
                  <c:v>0.43</c:v>
                </c:pt>
                <c:pt idx="550">
                  <c:v>0.46</c:v>
                </c:pt>
                <c:pt idx="551">
                  <c:v>0.49</c:v>
                </c:pt>
                <c:pt idx="552">
                  <c:v>0.5</c:v>
                </c:pt>
                <c:pt idx="553">
                  <c:v>0.51</c:v>
                </c:pt>
                <c:pt idx="554">
                  <c:v>0.53</c:v>
                </c:pt>
                <c:pt idx="555">
                  <c:v>0.55000000000000004</c:v>
                </c:pt>
                <c:pt idx="556">
                  <c:v>0.56999999999999995</c:v>
                </c:pt>
                <c:pt idx="557">
                  <c:v>0.57999999999999996</c:v>
                </c:pt>
                <c:pt idx="558">
                  <c:v>0.6</c:v>
                </c:pt>
                <c:pt idx="559">
                  <c:v>0.61</c:v>
                </c:pt>
                <c:pt idx="560">
                  <c:v>0.62</c:v>
                </c:pt>
                <c:pt idx="561">
                  <c:v>0.63</c:v>
                </c:pt>
                <c:pt idx="562">
                  <c:v>0.64</c:v>
                </c:pt>
                <c:pt idx="563">
                  <c:v>0.64</c:v>
                </c:pt>
                <c:pt idx="564">
                  <c:v>0.64</c:v>
                </c:pt>
                <c:pt idx="565">
                  <c:v>0.63</c:v>
                </c:pt>
                <c:pt idx="566">
                  <c:v>0.62</c:v>
                </c:pt>
                <c:pt idx="567">
                  <c:v>0.61</c:v>
                </c:pt>
                <c:pt idx="568">
                  <c:v>0.6</c:v>
                </c:pt>
                <c:pt idx="569">
                  <c:v>0.59</c:v>
                </c:pt>
                <c:pt idx="570">
                  <c:v>0.57999999999999996</c:v>
                </c:pt>
                <c:pt idx="571">
                  <c:v>0.56999999999999995</c:v>
                </c:pt>
                <c:pt idx="572">
                  <c:v>0.56000000000000005</c:v>
                </c:pt>
                <c:pt idx="573">
                  <c:v>0.55000000000000004</c:v>
                </c:pt>
                <c:pt idx="574">
                  <c:v>0.54</c:v>
                </c:pt>
                <c:pt idx="575">
                  <c:v>0.53</c:v>
                </c:pt>
                <c:pt idx="576">
                  <c:v>0.52</c:v>
                </c:pt>
                <c:pt idx="577">
                  <c:v>0.51</c:v>
                </c:pt>
                <c:pt idx="578">
                  <c:v>0.5</c:v>
                </c:pt>
                <c:pt idx="579">
                  <c:v>0.5</c:v>
                </c:pt>
                <c:pt idx="580">
                  <c:v>0.49</c:v>
                </c:pt>
                <c:pt idx="581">
                  <c:v>0.49</c:v>
                </c:pt>
                <c:pt idx="582">
                  <c:v>0.48</c:v>
                </c:pt>
                <c:pt idx="583">
                  <c:v>0.48</c:v>
                </c:pt>
                <c:pt idx="584">
                  <c:v>0.47</c:v>
                </c:pt>
                <c:pt idx="585">
                  <c:v>0.47</c:v>
                </c:pt>
                <c:pt idx="586">
                  <c:v>0.46</c:v>
                </c:pt>
                <c:pt idx="587">
                  <c:v>0.46</c:v>
                </c:pt>
                <c:pt idx="588">
                  <c:v>0.45</c:v>
                </c:pt>
                <c:pt idx="589">
                  <c:v>0.45</c:v>
                </c:pt>
                <c:pt idx="590">
                  <c:v>0.44</c:v>
                </c:pt>
                <c:pt idx="591">
                  <c:v>0.44</c:v>
                </c:pt>
                <c:pt idx="592">
                  <c:v>0.44</c:v>
                </c:pt>
                <c:pt idx="593">
                  <c:v>0.44</c:v>
                </c:pt>
                <c:pt idx="594">
                  <c:v>0.43</c:v>
                </c:pt>
                <c:pt idx="595">
                  <c:v>0.43</c:v>
                </c:pt>
                <c:pt idx="596">
                  <c:v>0.43</c:v>
                </c:pt>
                <c:pt idx="597">
                  <c:v>0.43</c:v>
                </c:pt>
                <c:pt idx="598">
                  <c:v>0.43</c:v>
                </c:pt>
                <c:pt idx="599">
                  <c:v>0.43</c:v>
                </c:pt>
                <c:pt idx="600">
                  <c:v>0.42</c:v>
                </c:pt>
                <c:pt idx="601">
                  <c:v>0.42</c:v>
                </c:pt>
                <c:pt idx="602">
                  <c:v>0.42</c:v>
                </c:pt>
                <c:pt idx="603">
                  <c:v>0.42</c:v>
                </c:pt>
                <c:pt idx="604">
                  <c:v>0.42</c:v>
                </c:pt>
                <c:pt idx="605">
                  <c:v>0.42</c:v>
                </c:pt>
                <c:pt idx="606">
                  <c:v>0.42</c:v>
                </c:pt>
                <c:pt idx="607">
                  <c:v>0.42</c:v>
                </c:pt>
                <c:pt idx="608">
                  <c:v>0.42</c:v>
                </c:pt>
                <c:pt idx="609">
                  <c:v>0.42</c:v>
                </c:pt>
                <c:pt idx="610">
                  <c:v>0.42</c:v>
                </c:pt>
                <c:pt idx="611">
                  <c:v>0.42</c:v>
                </c:pt>
                <c:pt idx="612">
                  <c:v>0.41</c:v>
                </c:pt>
                <c:pt idx="613">
                  <c:v>0.41</c:v>
                </c:pt>
                <c:pt idx="614">
                  <c:v>0.41</c:v>
                </c:pt>
                <c:pt idx="615">
                  <c:v>0.41</c:v>
                </c:pt>
                <c:pt idx="616">
                  <c:v>0.4</c:v>
                </c:pt>
                <c:pt idx="617">
                  <c:v>0.4</c:v>
                </c:pt>
                <c:pt idx="618">
                  <c:v>0.4</c:v>
                </c:pt>
                <c:pt idx="619">
                  <c:v>0.39</c:v>
                </c:pt>
                <c:pt idx="620">
                  <c:v>0.39</c:v>
                </c:pt>
                <c:pt idx="621">
                  <c:v>0.38</c:v>
                </c:pt>
                <c:pt idx="622">
                  <c:v>0.38</c:v>
                </c:pt>
                <c:pt idx="623">
                  <c:v>0.37</c:v>
                </c:pt>
                <c:pt idx="624">
                  <c:v>0.37</c:v>
                </c:pt>
                <c:pt idx="625">
                  <c:v>0.37</c:v>
                </c:pt>
                <c:pt idx="626">
                  <c:v>0.36</c:v>
                </c:pt>
                <c:pt idx="627">
                  <c:v>0.36</c:v>
                </c:pt>
                <c:pt idx="628">
                  <c:v>0.36</c:v>
                </c:pt>
                <c:pt idx="629">
                  <c:v>0.35</c:v>
                </c:pt>
                <c:pt idx="630">
                  <c:v>0.35</c:v>
                </c:pt>
                <c:pt idx="631">
                  <c:v>0.35</c:v>
                </c:pt>
                <c:pt idx="632">
                  <c:v>0.34</c:v>
                </c:pt>
                <c:pt idx="633">
                  <c:v>0.34</c:v>
                </c:pt>
                <c:pt idx="634">
                  <c:v>0.34</c:v>
                </c:pt>
                <c:pt idx="635">
                  <c:v>0.34</c:v>
                </c:pt>
                <c:pt idx="636">
                  <c:v>0.34</c:v>
                </c:pt>
                <c:pt idx="637">
                  <c:v>0.34</c:v>
                </c:pt>
                <c:pt idx="638">
                  <c:v>0.35</c:v>
                </c:pt>
                <c:pt idx="639">
                  <c:v>0.35</c:v>
                </c:pt>
                <c:pt idx="640">
                  <c:v>0.35</c:v>
                </c:pt>
                <c:pt idx="641">
                  <c:v>0.36</c:v>
                </c:pt>
                <c:pt idx="642">
                  <c:v>0.36</c:v>
                </c:pt>
                <c:pt idx="643">
                  <c:v>0.36</c:v>
                </c:pt>
                <c:pt idx="644">
                  <c:v>0.37</c:v>
                </c:pt>
                <c:pt idx="645">
                  <c:v>0.37</c:v>
                </c:pt>
                <c:pt idx="646">
                  <c:v>0.37</c:v>
                </c:pt>
                <c:pt idx="647">
                  <c:v>0.37</c:v>
                </c:pt>
                <c:pt idx="648">
                  <c:v>0.37</c:v>
                </c:pt>
                <c:pt idx="649">
                  <c:v>0.37</c:v>
                </c:pt>
                <c:pt idx="650">
                  <c:v>0.37</c:v>
                </c:pt>
                <c:pt idx="651">
                  <c:v>0.37</c:v>
                </c:pt>
                <c:pt idx="652">
                  <c:v>0.37</c:v>
                </c:pt>
                <c:pt idx="653">
                  <c:v>0.38</c:v>
                </c:pt>
                <c:pt idx="654">
                  <c:v>0.38</c:v>
                </c:pt>
                <c:pt idx="655">
                  <c:v>0.38</c:v>
                </c:pt>
                <c:pt idx="656">
                  <c:v>0.38</c:v>
                </c:pt>
                <c:pt idx="657">
                  <c:v>0.38</c:v>
                </c:pt>
                <c:pt idx="658">
                  <c:v>0.38</c:v>
                </c:pt>
                <c:pt idx="659">
                  <c:v>0.38</c:v>
                </c:pt>
                <c:pt idx="660">
                  <c:v>0.39</c:v>
                </c:pt>
                <c:pt idx="661">
                  <c:v>0.39</c:v>
                </c:pt>
                <c:pt idx="662">
                  <c:v>0.39</c:v>
                </c:pt>
                <c:pt idx="663">
                  <c:v>0.39</c:v>
                </c:pt>
                <c:pt idx="664">
                  <c:v>0.39</c:v>
                </c:pt>
                <c:pt idx="665">
                  <c:v>0.39</c:v>
                </c:pt>
                <c:pt idx="666">
                  <c:v>0.39</c:v>
                </c:pt>
                <c:pt idx="667">
                  <c:v>0.39</c:v>
                </c:pt>
                <c:pt idx="668">
                  <c:v>0.39</c:v>
                </c:pt>
                <c:pt idx="669">
                  <c:v>0.39</c:v>
                </c:pt>
                <c:pt idx="670">
                  <c:v>0.39</c:v>
                </c:pt>
                <c:pt idx="671">
                  <c:v>0.39</c:v>
                </c:pt>
                <c:pt idx="672">
                  <c:v>0.4</c:v>
                </c:pt>
                <c:pt idx="673">
                  <c:v>0.4</c:v>
                </c:pt>
                <c:pt idx="674">
                  <c:v>0.4</c:v>
                </c:pt>
                <c:pt idx="675">
                  <c:v>0.4</c:v>
                </c:pt>
                <c:pt idx="676">
                  <c:v>0.4</c:v>
                </c:pt>
                <c:pt idx="677">
                  <c:v>0.4</c:v>
                </c:pt>
                <c:pt idx="678">
                  <c:v>0.41</c:v>
                </c:pt>
                <c:pt idx="679">
                  <c:v>0.41</c:v>
                </c:pt>
                <c:pt idx="680">
                  <c:v>0.42</c:v>
                </c:pt>
                <c:pt idx="681">
                  <c:v>0.42</c:v>
                </c:pt>
                <c:pt idx="682">
                  <c:v>0.43</c:v>
                </c:pt>
                <c:pt idx="683">
                  <c:v>0.43</c:v>
                </c:pt>
                <c:pt idx="684">
                  <c:v>0.43</c:v>
                </c:pt>
                <c:pt idx="685">
                  <c:v>0.44</c:v>
                </c:pt>
                <c:pt idx="686">
                  <c:v>0.44</c:v>
                </c:pt>
                <c:pt idx="687">
                  <c:v>0.45</c:v>
                </c:pt>
                <c:pt idx="688">
                  <c:v>0.45</c:v>
                </c:pt>
                <c:pt idx="689">
                  <c:v>0.46</c:v>
                </c:pt>
                <c:pt idx="690">
                  <c:v>0.46</c:v>
                </c:pt>
                <c:pt idx="691">
                  <c:v>0.47</c:v>
                </c:pt>
                <c:pt idx="692">
                  <c:v>0.47</c:v>
                </c:pt>
                <c:pt idx="693">
                  <c:v>0.48</c:v>
                </c:pt>
                <c:pt idx="694">
                  <c:v>0.49</c:v>
                </c:pt>
                <c:pt idx="695">
                  <c:v>0.49</c:v>
                </c:pt>
                <c:pt idx="696">
                  <c:v>0.5</c:v>
                </c:pt>
                <c:pt idx="697">
                  <c:v>0.51</c:v>
                </c:pt>
                <c:pt idx="698">
                  <c:v>0.52</c:v>
                </c:pt>
                <c:pt idx="699">
                  <c:v>0.53</c:v>
                </c:pt>
                <c:pt idx="700">
                  <c:v>0.53</c:v>
                </c:pt>
                <c:pt idx="701">
                  <c:v>0.54</c:v>
                </c:pt>
                <c:pt idx="702">
                  <c:v>0.54</c:v>
                </c:pt>
                <c:pt idx="703">
                  <c:v>0.55000000000000004</c:v>
                </c:pt>
                <c:pt idx="704">
                  <c:v>0.55000000000000004</c:v>
                </c:pt>
                <c:pt idx="705">
                  <c:v>0.55000000000000004</c:v>
                </c:pt>
                <c:pt idx="706">
                  <c:v>0.56000000000000005</c:v>
                </c:pt>
                <c:pt idx="707">
                  <c:v>0.56000000000000005</c:v>
                </c:pt>
                <c:pt idx="708">
                  <c:v>0.56000000000000005</c:v>
                </c:pt>
                <c:pt idx="709">
                  <c:v>0.56999999999999995</c:v>
                </c:pt>
                <c:pt idx="710">
                  <c:v>0.56999999999999995</c:v>
                </c:pt>
                <c:pt idx="711">
                  <c:v>0.56999999999999995</c:v>
                </c:pt>
                <c:pt idx="712">
                  <c:v>0.57999999999999996</c:v>
                </c:pt>
                <c:pt idx="713">
                  <c:v>0.57999999999999996</c:v>
                </c:pt>
                <c:pt idx="714">
                  <c:v>0.57999999999999996</c:v>
                </c:pt>
                <c:pt idx="715">
                  <c:v>0.59</c:v>
                </c:pt>
                <c:pt idx="716">
                  <c:v>0.59</c:v>
                </c:pt>
                <c:pt idx="717">
                  <c:v>0.59</c:v>
                </c:pt>
                <c:pt idx="718">
                  <c:v>0.59</c:v>
                </c:pt>
                <c:pt idx="719">
                  <c:v>0.59</c:v>
                </c:pt>
                <c:pt idx="720">
                  <c:v>0.59</c:v>
                </c:pt>
                <c:pt idx="721">
                  <c:v>0.59</c:v>
                </c:pt>
                <c:pt idx="722">
                  <c:v>0.59</c:v>
                </c:pt>
                <c:pt idx="723">
                  <c:v>0.59</c:v>
                </c:pt>
                <c:pt idx="724">
                  <c:v>0.59</c:v>
                </c:pt>
                <c:pt idx="725">
                  <c:v>0.6</c:v>
                </c:pt>
                <c:pt idx="726">
                  <c:v>0.6</c:v>
                </c:pt>
                <c:pt idx="727">
                  <c:v>0.6</c:v>
                </c:pt>
                <c:pt idx="728">
                  <c:v>0.6</c:v>
                </c:pt>
                <c:pt idx="729">
                  <c:v>0.6</c:v>
                </c:pt>
                <c:pt idx="730">
                  <c:v>0.6</c:v>
                </c:pt>
                <c:pt idx="731">
                  <c:v>0.6</c:v>
                </c:pt>
                <c:pt idx="732">
                  <c:v>0.6</c:v>
                </c:pt>
                <c:pt idx="733">
                  <c:v>0.6</c:v>
                </c:pt>
                <c:pt idx="734">
                  <c:v>0.6</c:v>
                </c:pt>
                <c:pt idx="735">
                  <c:v>0.6</c:v>
                </c:pt>
                <c:pt idx="736">
                  <c:v>0.6</c:v>
                </c:pt>
                <c:pt idx="737">
                  <c:v>0.6</c:v>
                </c:pt>
                <c:pt idx="738">
                  <c:v>0.59</c:v>
                </c:pt>
                <c:pt idx="739">
                  <c:v>0.59</c:v>
                </c:pt>
                <c:pt idx="740">
                  <c:v>0.59</c:v>
                </c:pt>
                <c:pt idx="741">
                  <c:v>0.59</c:v>
                </c:pt>
                <c:pt idx="742">
                  <c:v>0.59</c:v>
                </c:pt>
                <c:pt idx="743">
                  <c:v>0.59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69920"/>
        <c:axId val="89576192"/>
      </c:scatterChart>
      <c:valAx>
        <c:axId val="89569920"/>
        <c:scaling>
          <c:orientation val="minMax"/>
          <c:max val="750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66FF"/>
                </a:solidFill>
                <a:latin typeface="Courier New"/>
                <a:ea typeface="Courier New"/>
                <a:cs typeface="Courier New"/>
              </a:defRPr>
            </a:pPr>
            <a:endParaRPr lang="th-TH"/>
          </a:p>
        </c:txPr>
        <c:crossAx val="89576192"/>
        <c:crosses val="autoZero"/>
        <c:crossBetween val="midCat"/>
        <c:majorUnit val="24"/>
        <c:minorUnit val="1.5"/>
      </c:valAx>
      <c:valAx>
        <c:axId val="8957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5699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Daily Max GageHeight</a:t>
            </a:r>
          </a:p>
        </c:rich>
      </c:tx>
      <c:layout>
        <c:manualLayout>
          <c:xMode val="edge"/>
          <c:yMode val="edge"/>
          <c:x val="0.41276625528191951"/>
          <c:y val="2.8346456692913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716339564175786E-2"/>
          <c:y val="0.15433070866141732"/>
          <c:w val="0.93120631871005011"/>
          <c:h val="0.70551181102362204"/>
        </c:manualLayout>
      </c:layout>
      <c:lineChart>
        <c:grouping val="standard"/>
        <c:varyColors val="0"/>
        <c:ser>
          <c:idx val="0"/>
          <c:order val="0"/>
          <c:tx>
            <c:v>Max-GH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'Graph-GH'!$AJ$5:$AJ$370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cat>
          <c:val>
            <c:numRef>
              <c:f>'Graph-GH'!$AK$5:$AK$370</c:f>
              <c:numCache>
                <c:formatCode>General</c:formatCode>
                <c:ptCount val="366"/>
                <c:pt idx="0">
                  <c:v>338.16</c:v>
                </c:pt>
                <c:pt idx="1">
                  <c:v>338.37</c:v>
                </c:pt>
                <c:pt idx="2">
                  <c:v>338.33000000000004</c:v>
                </c:pt>
                <c:pt idx="3">
                  <c:v>338.20000000000005</c:v>
                </c:pt>
                <c:pt idx="4">
                  <c:v>338.20000000000005</c:v>
                </c:pt>
                <c:pt idx="5">
                  <c:v>338.26000000000005</c:v>
                </c:pt>
                <c:pt idx="6">
                  <c:v>338.31</c:v>
                </c:pt>
                <c:pt idx="7">
                  <c:v>338.27000000000004</c:v>
                </c:pt>
                <c:pt idx="8">
                  <c:v>338.20000000000005</c:v>
                </c:pt>
                <c:pt idx="9">
                  <c:v>338.21000000000004</c:v>
                </c:pt>
                <c:pt idx="10">
                  <c:v>338.22</c:v>
                </c:pt>
                <c:pt idx="11">
                  <c:v>338.20000000000005</c:v>
                </c:pt>
                <c:pt idx="12">
                  <c:v>338.19</c:v>
                </c:pt>
                <c:pt idx="13">
                  <c:v>338.20000000000005</c:v>
                </c:pt>
                <c:pt idx="14">
                  <c:v>338.20000000000005</c:v>
                </c:pt>
                <c:pt idx="15">
                  <c:v>338.20000000000005</c:v>
                </c:pt>
                <c:pt idx="16">
                  <c:v>338.20000000000005</c:v>
                </c:pt>
                <c:pt idx="17">
                  <c:v>338.20000000000005</c:v>
                </c:pt>
                <c:pt idx="18">
                  <c:v>338.20000000000005</c:v>
                </c:pt>
                <c:pt idx="19">
                  <c:v>338.17</c:v>
                </c:pt>
                <c:pt idx="20">
                  <c:v>338.17</c:v>
                </c:pt>
                <c:pt idx="21">
                  <c:v>338.19</c:v>
                </c:pt>
                <c:pt idx="22">
                  <c:v>338.18</c:v>
                </c:pt>
                <c:pt idx="23">
                  <c:v>338.17</c:v>
                </c:pt>
                <c:pt idx="24">
                  <c:v>338.17</c:v>
                </c:pt>
                <c:pt idx="25">
                  <c:v>338.16</c:v>
                </c:pt>
                <c:pt idx="26">
                  <c:v>338.16</c:v>
                </c:pt>
                <c:pt idx="27">
                  <c:v>338.16</c:v>
                </c:pt>
                <c:pt idx="28">
                  <c:v>338.16</c:v>
                </c:pt>
                <c:pt idx="29">
                  <c:v>338.16</c:v>
                </c:pt>
                <c:pt idx="30">
                  <c:v>338.17</c:v>
                </c:pt>
                <c:pt idx="31">
                  <c:v>338.17</c:v>
                </c:pt>
                <c:pt idx="32">
                  <c:v>338.18</c:v>
                </c:pt>
                <c:pt idx="33">
                  <c:v>338.16</c:v>
                </c:pt>
                <c:pt idx="34">
                  <c:v>338.17</c:v>
                </c:pt>
                <c:pt idx="35">
                  <c:v>338.14000000000004</c:v>
                </c:pt>
                <c:pt idx="36">
                  <c:v>338.09000000000003</c:v>
                </c:pt>
                <c:pt idx="37">
                  <c:v>338.09000000000003</c:v>
                </c:pt>
                <c:pt idx="38">
                  <c:v>338.15000000000003</c:v>
                </c:pt>
                <c:pt idx="39">
                  <c:v>338.19</c:v>
                </c:pt>
                <c:pt idx="40">
                  <c:v>338.18</c:v>
                </c:pt>
                <c:pt idx="41">
                  <c:v>338.17</c:v>
                </c:pt>
                <c:pt idx="42">
                  <c:v>338.17</c:v>
                </c:pt>
                <c:pt idx="43">
                  <c:v>338.12</c:v>
                </c:pt>
                <c:pt idx="44">
                  <c:v>338.1</c:v>
                </c:pt>
                <c:pt idx="45">
                  <c:v>338.09000000000003</c:v>
                </c:pt>
                <c:pt idx="46">
                  <c:v>338.08000000000004</c:v>
                </c:pt>
                <c:pt idx="47">
                  <c:v>338.08000000000004</c:v>
                </c:pt>
                <c:pt idx="48">
                  <c:v>338.08000000000004</c:v>
                </c:pt>
                <c:pt idx="49">
                  <c:v>337.81</c:v>
                </c:pt>
                <c:pt idx="50">
                  <c:v>337.85</c:v>
                </c:pt>
                <c:pt idx="51">
                  <c:v>337.83000000000004</c:v>
                </c:pt>
                <c:pt idx="52">
                  <c:v>337.8</c:v>
                </c:pt>
                <c:pt idx="53">
                  <c:v>337.82000000000005</c:v>
                </c:pt>
                <c:pt idx="54">
                  <c:v>337.79</c:v>
                </c:pt>
                <c:pt idx="55">
                  <c:v>337.76000000000005</c:v>
                </c:pt>
                <c:pt idx="56">
                  <c:v>337.78000000000003</c:v>
                </c:pt>
                <c:pt idx="57">
                  <c:v>337.78000000000003</c:v>
                </c:pt>
                <c:pt idx="58">
                  <c:v>337.8</c:v>
                </c:pt>
                <c:pt idx="59">
                  <c:v>337.82000000000005</c:v>
                </c:pt>
                <c:pt idx="60">
                  <c:v>337.83000000000004</c:v>
                </c:pt>
                <c:pt idx="61">
                  <c:v>337.83000000000004</c:v>
                </c:pt>
                <c:pt idx="62">
                  <c:v>337.83000000000004</c:v>
                </c:pt>
                <c:pt idx="63">
                  <c:v>337.84000000000003</c:v>
                </c:pt>
                <c:pt idx="64">
                  <c:v>337.82000000000005</c:v>
                </c:pt>
                <c:pt idx="65">
                  <c:v>337.8</c:v>
                </c:pt>
                <c:pt idx="66">
                  <c:v>337.83000000000004</c:v>
                </c:pt>
                <c:pt idx="67">
                  <c:v>337.84000000000003</c:v>
                </c:pt>
                <c:pt idx="68">
                  <c:v>337.84000000000003</c:v>
                </c:pt>
                <c:pt idx="69">
                  <c:v>337.84000000000003</c:v>
                </c:pt>
                <c:pt idx="70">
                  <c:v>337.78000000000003</c:v>
                </c:pt>
                <c:pt idx="71">
                  <c:v>338.12</c:v>
                </c:pt>
                <c:pt idx="72">
                  <c:v>338.34000000000003</c:v>
                </c:pt>
                <c:pt idx="73">
                  <c:v>338.14000000000004</c:v>
                </c:pt>
                <c:pt idx="74">
                  <c:v>337.93</c:v>
                </c:pt>
                <c:pt idx="75">
                  <c:v>337.83000000000004</c:v>
                </c:pt>
                <c:pt idx="76">
                  <c:v>337.8</c:v>
                </c:pt>
                <c:pt idx="77">
                  <c:v>337.8</c:v>
                </c:pt>
                <c:pt idx="78">
                  <c:v>337.81</c:v>
                </c:pt>
                <c:pt idx="79">
                  <c:v>337.82000000000005</c:v>
                </c:pt>
                <c:pt idx="80">
                  <c:v>337.86</c:v>
                </c:pt>
                <c:pt idx="81">
                  <c:v>337.87</c:v>
                </c:pt>
                <c:pt idx="82">
                  <c:v>337.84000000000003</c:v>
                </c:pt>
                <c:pt idx="83">
                  <c:v>338.28000000000003</c:v>
                </c:pt>
                <c:pt idx="84">
                  <c:v>338.32000000000005</c:v>
                </c:pt>
                <c:pt idx="85">
                  <c:v>337.88</c:v>
                </c:pt>
                <c:pt idx="86">
                  <c:v>337.86</c:v>
                </c:pt>
                <c:pt idx="87">
                  <c:v>337.86</c:v>
                </c:pt>
                <c:pt idx="88">
                  <c:v>337.83000000000004</c:v>
                </c:pt>
                <c:pt idx="89">
                  <c:v>337.84000000000003</c:v>
                </c:pt>
                <c:pt idx="90">
                  <c:v>337.85</c:v>
                </c:pt>
                <c:pt idx="91">
                  <c:v>337.83000000000004</c:v>
                </c:pt>
                <c:pt idx="92">
                  <c:v>337.83000000000004</c:v>
                </c:pt>
                <c:pt idx="93">
                  <c:v>337.83000000000004</c:v>
                </c:pt>
                <c:pt idx="94">
                  <c:v>337.86</c:v>
                </c:pt>
                <c:pt idx="95">
                  <c:v>337.87</c:v>
                </c:pt>
                <c:pt idx="96">
                  <c:v>337.87</c:v>
                </c:pt>
                <c:pt idx="97">
                  <c:v>337.87</c:v>
                </c:pt>
                <c:pt idx="98">
                  <c:v>337.88</c:v>
                </c:pt>
                <c:pt idx="99">
                  <c:v>337.93</c:v>
                </c:pt>
                <c:pt idx="100">
                  <c:v>338.07000000000005</c:v>
                </c:pt>
                <c:pt idx="101">
                  <c:v>338.08000000000004</c:v>
                </c:pt>
                <c:pt idx="102">
                  <c:v>338.07000000000005</c:v>
                </c:pt>
                <c:pt idx="103">
                  <c:v>338.04</c:v>
                </c:pt>
                <c:pt idx="104">
                  <c:v>338.07000000000005</c:v>
                </c:pt>
                <c:pt idx="105">
                  <c:v>338.22</c:v>
                </c:pt>
                <c:pt idx="106">
                  <c:v>338.16</c:v>
                </c:pt>
                <c:pt idx="107">
                  <c:v>338.09000000000003</c:v>
                </c:pt>
                <c:pt idx="108">
                  <c:v>338.1</c:v>
                </c:pt>
                <c:pt idx="109">
                  <c:v>338.06</c:v>
                </c:pt>
                <c:pt idx="110">
                  <c:v>338</c:v>
                </c:pt>
                <c:pt idx="111">
                  <c:v>337.94</c:v>
                </c:pt>
                <c:pt idx="112">
                  <c:v>337.94</c:v>
                </c:pt>
                <c:pt idx="113">
                  <c:v>338.09000000000003</c:v>
                </c:pt>
                <c:pt idx="114">
                  <c:v>338.24</c:v>
                </c:pt>
                <c:pt idx="115">
                  <c:v>338.12</c:v>
                </c:pt>
                <c:pt idx="116">
                  <c:v>338.02000000000004</c:v>
                </c:pt>
                <c:pt idx="117">
                  <c:v>337.97</c:v>
                </c:pt>
                <c:pt idx="118">
                  <c:v>337.99</c:v>
                </c:pt>
                <c:pt idx="119">
                  <c:v>338.09000000000003</c:v>
                </c:pt>
                <c:pt idx="120">
                  <c:v>338.19</c:v>
                </c:pt>
                <c:pt idx="121">
                  <c:v>338.20000000000005</c:v>
                </c:pt>
                <c:pt idx="122">
                  <c:v>338.18</c:v>
                </c:pt>
                <c:pt idx="123">
                  <c:v>338.18</c:v>
                </c:pt>
                <c:pt idx="124">
                  <c:v>338.12</c:v>
                </c:pt>
                <c:pt idx="125">
                  <c:v>338.09000000000003</c:v>
                </c:pt>
                <c:pt idx="126">
                  <c:v>338.21000000000004</c:v>
                </c:pt>
                <c:pt idx="127">
                  <c:v>338.3</c:v>
                </c:pt>
                <c:pt idx="128">
                  <c:v>338.20000000000005</c:v>
                </c:pt>
                <c:pt idx="129">
                  <c:v>338.20000000000005</c:v>
                </c:pt>
                <c:pt idx="130">
                  <c:v>338.88</c:v>
                </c:pt>
                <c:pt idx="131">
                  <c:v>340.12</c:v>
                </c:pt>
                <c:pt idx="132">
                  <c:v>340.14000000000004</c:v>
                </c:pt>
                <c:pt idx="133">
                  <c:v>339.79</c:v>
                </c:pt>
                <c:pt idx="134">
                  <c:v>339.35</c:v>
                </c:pt>
                <c:pt idx="135">
                  <c:v>338.78000000000003</c:v>
                </c:pt>
                <c:pt idx="136">
                  <c:v>338.76000000000005</c:v>
                </c:pt>
                <c:pt idx="137">
                  <c:v>338.65000000000003</c:v>
                </c:pt>
                <c:pt idx="138">
                  <c:v>338.46000000000004</c:v>
                </c:pt>
                <c:pt idx="139">
                  <c:v>338.33000000000004</c:v>
                </c:pt>
                <c:pt idx="140">
                  <c:v>338.23</c:v>
                </c:pt>
                <c:pt idx="141">
                  <c:v>338.21000000000004</c:v>
                </c:pt>
                <c:pt idx="142">
                  <c:v>338.23</c:v>
                </c:pt>
                <c:pt idx="143">
                  <c:v>338.42</c:v>
                </c:pt>
                <c:pt idx="144">
                  <c:v>338.70000000000005</c:v>
                </c:pt>
                <c:pt idx="145">
                  <c:v>338.70000000000005</c:v>
                </c:pt>
                <c:pt idx="146">
                  <c:v>338.40000000000003</c:v>
                </c:pt>
                <c:pt idx="147">
                  <c:v>338.32000000000005</c:v>
                </c:pt>
                <c:pt idx="148">
                  <c:v>338.28000000000003</c:v>
                </c:pt>
                <c:pt idx="149">
                  <c:v>338.24</c:v>
                </c:pt>
                <c:pt idx="150">
                  <c:v>338.20000000000005</c:v>
                </c:pt>
                <c:pt idx="151">
                  <c:v>338.16</c:v>
                </c:pt>
                <c:pt idx="152">
                  <c:v>338.44</c:v>
                </c:pt>
                <c:pt idx="153">
                  <c:v>339.06</c:v>
                </c:pt>
                <c:pt idx="154">
                  <c:v>339.02000000000004</c:v>
                </c:pt>
                <c:pt idx="155">
                  <c:v>338.53000000000003</c:v>
                </c:pt>
                <c:pt idx="156">
                  <c:v>338.31</c:v>
                </c:pt>
                <c:pt idx="157">
                  <c:v>338.23</c:v>
                </c:pt>
                <c:pt idx="158">
                  <c:v>338.45000000000005</c:v>
                </c:pt>
                <c:pt idx="159">
                  <c:v>339.05</c:v>
                </c:pt>
                <c:pt idx="160">
                  <c:v>339.63</c:v>
                </c:pt>
                <c:pt idx="161">
                  <c:v>340.22</c:v>
                </c:pt>
                <c:pt idx="162">
                  <c:v>340.1</c:v>
                </c:pt>
                <c:pt idx="163">
                  <c:v>339.24</c:v>
                </c:pt>
                <c:pt idx="164">
                  <c:v>338.84000000000003</c:v>
                </c:pt>
                <c:pt idx="165">
                  <c:v>339.17</c:v>
                </c:pt>
                <c:pt idx="166">
                  <c:v>339.19</c:v>
                </c:pt>
                <c:pt idx="167">
                  <c:v>339.56</c:v>
                </c:pt>
                <c:pt idx="168">
                  <c:v>339.57000000000005</c:v>
                </c:pt>
                <c:pt idx="169">
                  <c:v>339.65000000000003</c:v>
                </c:pt>
                <c:pt idx="170">
                  <c:v>339.6</c:v>
                </c:pt>
                <c:pt idx="171">
                  <c:v>339.14000000000004</c:v>
                </c:pt>
                <c:pt idx="172">
                  <c:v>338.88</c:v>
                </c:pt>
                <c:pt idx="173">
                  <c:v>338.79</c:v>
                </c:pt>
                <c:pt idx="174">
                  <c:v>338.61</c:v>
                </c:pt>
                <c:pt idx="175">
                  <c:v>338.49</c:v>
                </c:pt>
                <c:pt idx="176">
                  <c:v>338.43</c:v>
                </c:pt>
                <c:pt idx="177">
                  <c:v>338.44</c:v>
                </c:pt>
                <c:pt idx="178">
                  <c:v>339.15000000000003</c:v>
                </c:pt>
                <c:pt idx="179">
                  <c:v>339.64000000000004</c:v>
                </c:pt>
                <c:pt idx="180">
                  <c:v>339.28000000000003</c:v>
                </c:pt>
                <c:pt idx="181">
                  <c:v>339.53000000000003</c:v>
                </c:pt>
                <c:pt idx="182">
                  <c:v>338.98</c:v>
                </c:pt>
                <c:pt idx="183">
                  <c:v>338.64000000000004</c:v>
                </c:pt>
                <c:pt idx="184">
                  <c:v>338.58000000000004</c:v>
                </c:pt>
                <c:pt idx="185">
                  <c:v>338.6</c:v>
                </c:pt>
                <c:pt idx="186">
                  <c:v>338.58000000000004</c:v>
                </c:pt>
                <c:pt idx="187">
                  <c:v>338.54</c:v>
                </c:pt>
                <c:pt idx="188">
                  <c:v>338.64000000000004</c:v>
                </c:pt>
                <c:pt idx="189">
                  <c:v>338.57000000000005</c:v>
                </c:pt>
                <c:pt idx="190">
                  <c:v>338.44</c:v>
                </c:pt>
                <c:pt idx="191">
                  <c:v>338.39000000000004</c:v>
                </c:pt>
                <c:pt idx="192">
                  <c:v>338.31</c:v>
                </c:pt>
                <c:pt idx="193">
                  <c:v>338.26000000000005</c:v>
                </c:pt>
                <c:pt idx="194">
                  <c:v>338.24</c:v>
                </c:pt>
                <c:pt idx="195">
                  <c:v>338.24</c:v>
                </c:pt>
                <c:pt idx="196">
                  <c:v>338.22</c:v>
                </c:pt>
                <c:pt idx="197">
                  <c:v>338.20000000000005</c:v>
                </c:pt>
                <c:pt idx="198">
                  <c:v>338.18</c:v>
                </c:pt>
                <c:pt idx="199">
                  <c:v>338.22</c:v>
                </c:pt>
                <c:pt idx="200">
                  <c:v>340.01000000000005</c:v>
                </c:pt>
                <c:pt idx="201">
                  <c:v>340.23</c:v>
                </c:pt>
                <c:pt idx="202">
                  <c:v>339.93</c:v>
                </c:pt>
                <c:pt idx="203">
                  <c:v>339.38</c:v>
                </c:pt>
                <c:pt idx="204">
                  <c:v>339.73</c:v>
                </c:pt>
                <c:pt idx="205">
                  <c:v>339.69</c:v>
                </c:pt>
                <c:pt idx="206">
                  <c:v>339.28000000000003</c:v>
                </c:pt>
                <c:pt idx="207">
                  <c:v>339.21000000000004</c:v>
                </c:pt>
                <c:pt idx="208">
                  <c:v>338.94</c:v>
                </c:pt>
                <c:pt idx="209">
                  <c:v>338.81</c:v>
                </c:pt>
                <c:pt idx="210">
                  <c:v>338.85</c:v>
                </c:pt>
                <c:pt idx="211">
                  <c:v>339.08000000000004</c:v>
                </c:pt>
                <c:pt idx="212">
                  <c:v>338.90000000000003</c:v>
                </c:pt>
                <c:pt idx="213">
                  <c:v>338.70000000000005</c:v>
                </c:pt>
                <c:pt idx="214">
                  <c:v>338.65000000000003</c:v>
                </c:pt>
                <c:pt idx="215">
                  <c:v>338.58000000000004</c:v>
                </c:pt>
                <c:pt idx="216">
                  <c:v>338.51000000000005</c:v>
                </c:pt>
                <c:pt idx="217">
                  <c:v>338.47</c:v>
                </c:pt>
                <c:pt idx="218">
                  <c:v>338.42</c:v>
                </c:pt>
                <c:pt idx="219">
                  <c:v>338.38</c:v>
                </c:pt>
                <c:pt idx="220">
                  <c:v>338.34000000000003</c:v>
                </c:pt>
                <c:pt idx="221">
                  <c:v>338.32000000000005</c:v>
                </c:pt>
                <c:pt idx="222">
                  <c:v>338.3</c:v>
                </c:pt>
                <c:pt idx="223">
                  <c:v>338.28000000000003</c:v>
                </c:pt>
                <c:pt idx="224">
                  <c:v>338.26000000000005</c:v>
                </c:pt>
                <c:pt idx="225">
                  <c:v>338.26000000000005</c:v>
                </c:pt>
                <c:pt idx="226">
                  <c:v>338.25</c:v>
                </c:pt>
                <c:pt idx="227">
                  <c:v>338.33000000000004</c:v>
                </c:pt>
                <c:pt idx="228">
                  <c:v>338.5</c:v>
                </c:pt>
                <c:pt idx="229">
                  <c:v>338.32000000000005</c:v>
                </c:pt>
                <c:pt idx="230">
                  <c:v>338.26000000000005</c:v>
                </c:pt>
                <c:pt idx="231">
                  <c:v>338.28000000000003</c:v>
                </c:pt>
                <c:pt idx="232">
                  <c:v>338.41</c:v>
                </c:pt>
                <c:pt idx="233">
                  <c:v>338.49</c:v>
                </c:pt>
                <c:pt idx="234">
                  <c:v>338.41</c:v>
                </c:pt>
                <c:pt idx="235">
                  <c:v>338.31</c:v>
                </c:pt>
                <c:pt idx="236">
                  <c:v>338.24</c:v>
                </c:pt>
                <c:pt idx="237">
                  <c:v>338.22</c:v>
                </c:pt>
                <c:pt idx="238">
                  <c:v>338.20000000000005</c:v>
                </c:pt>
                <c:pt idx="239">
                  <c:v>338.18</c:v>
                </c:pt>
                <c:pt idx="240">
                  <c:v>338.18</c:v>
                </c:pt>
                <c:pt idx="241">
                  <c:v>338.18</c:v>
                </c:pt>
                <c:pt idx="242">
                  <c:v>338.17</c:v>
                </c:pt>
                <c:pt idx="243">
                  <c:v>338.18</c:v>
                </c:pt>
                <c:pt idx="244">
                  <c:v>338.16</c:v>
                </c:pt>
                <c:pt idx="245">
                  <c:v>338.14000000000004</c:v>
                </c:pt>
                <c:pt idx="246">
                  <c:v>338.14000000000004</c:v>
                </c:pt>
                <c:pt idx="247">
                  <c:v>338.14000000000004</c:v>
                </c:pt>
                <c:pt idx="248">
                  <c:v>338.12</c:v>
                </c:pt>
                <c:pt idx="249">
                  <c:v>338.11</c:v>
                </c:pt>
                <c:pt idx="250">
                  <c:v>338.1</c:v>
                </c:pt>
                <c:pt idx="251">
                  <c:v>338.1</c:v>
                </c:pt>
                <c:pt idx="252">
                  <c:v>338.09000000000003</c:v>
                </c:pt>
                <c:pt idx="253">
                  <c:v>338.08000000000004</c:v>
                </c:pt>
                <c:pt idx="254">
                  <c:v>338.08000000000004</c:v>
                </c:pt>
                <c:pt idx="255">
                  <c:v>338.09000000000003</c:v>
                </c:pt>
                <c:pt idx="256">
                  <c:v>338.20000000000005</c:v>
                </c:pt>
                <c:pt idx="257">
                  <c:v>338.43</c:v>
                </c:pt>
                <c:pt idx="258">
                  <c:v>338.65000000000003</c:v>
                </c:pt>
                <c:pt idx="259">
                  <c:v>338.65000000000003</c:v>
                </c:pt>
                <c:pt idx="260">
                  <c:v>338.36</c:v>
                </c:pt>
                <c:pt idx="261">
                  <c:v>338.22</c:v>
                </c:pt>
                <c:pt idx="262">
                  <c:v>338.17</c:v>
                </c:pt>
                <c:pt idx="263">
                  <c:v>338.15000000000003</c:v>
                </c:pt>
                <c:pt idx="264">
                  <c:v>338.11</c:v>
                </c:pt>
                <c:pt idx="265">
                  <c:v>338.08000000000004</c:v>
                </c:pt>
                <c:pt idx="266">
                  <c:v>338.07000000000005</c:v>
                </c:pt>
                <c:pt idx="267">
                  <c:v>338.05</c:v>
                </c:pt>
                <c:pt idx="268">
                  <c:v>338.23</c:v>
                </c:pt>
                <c:pt idx="269">
                  <c:v>338.11</c:v>
                </c:pt>
                <c:pt idx="270">
                  <c:v>338.03000000000003</c:v>
                </c:pt>
                <c:pt idx="271">
                  <c:v>338.03000000000003</c:v>
                </c:pt>
                <c:pt idx="272">
                  <c:v>338.04</c:v>
                </c:pt>
                <c:pt idx="273">
                  <c:v>338.04</c:v>
                </c:pt>
                <c:pt idx="274">
                  <c:v>338.04</c:v>
                </c:pt>
                <c:pt idx="275">
                  <c:v>338.04</c:v>
                </c:pt>
                <c:pt idx="276">
                  <c:v>338.03000000000003</c:v>
                </c:pt>
                <c:pt idx="277">
                  <c:v>338.03000000000003</c:v>
                </c:pt>
                <c:pt idx="278">
                  <c:v>338.03000000000003</c:v>
                </c:pt>
                <c:pt idx="279">
                  <c:v>338.03000000000003</c:v>
                </c:pt>
                <c:pt idx="280">
                  <c:v>338.02000000000004</c:v>
                </c:pt>
                <c:pt idx="281">
                  <c:v>338.02000000000004</c:v>
                </c:pt>
                <c:pt idx="282">
                  <c:v>338.02000000000004</c:v>
                </c:pt>
                <c:pt idx="283">
                  <c:v>338.01000000000005</c:v>
                </c:pt>
                <c:pt idx="284">
                  <c:v>338.01000000000005</c:v>
                </c:pt>
                <c:pt idx="285">
                  <c:v>338</c:v>
                </c:pt>
                <c:pt idx="286">
                  <c:v>338</c:v>
                </c:pt>
                <c:pt idx="287">
                  <c:v>338</c:v>
                </c:pt>
                <c:pt idx="288">
                  <c:v>338</c:v>
                </c:pt>
                <c:pt idx="289">
                  <c:v>338</c:v>
                </c:pt>
                <c:pt idx="290">
                  <c:v>338</c:v>
                </c:pt>
                <c:pt idx="291">
                  <c:v>338.24</c:v>
                </c:pt>
                <c:pt idx="292">
                  <c:v>338.32000000000005</c:v>
                </c:pt>
                <c:pt idx="293">
                  <c:v>338.34000000000003</c:v>
                </c:pt>
                <c:pt idx="294">
                  <c:v>338.34000000000003</c:v>
                </c:pt>
                <c:pt idx="295">
                  <c:v>338.02000000000004</c:v>
                </c:pt>
                <c:pt idx="296">
                  <c:v>337.96000000000004</c:v>
                </c:pt>
                <c:pt idx="297">
                  <c:v>337.96000000000004</c:v>
                </c:pt>
                <c:pt idx="298">
                  <c:v>338.13</c:v>
                </c:pt>
                <c:pt idx="299">
                  <c:v>338.33000000000004</c:v>
                </c:pt>
                <c:pt idx="300">
                  <c:v>338.32000000000005</c:v>
                </c:pt>
                <c:pt idx="301">
                  <c:v>338.3</c:v>
                </c:pt>
                <c:pt idx="302">
                  <c:v>337.99</c:v>
                </c:pt>
                <c:pt idx="303">
                  <c:v>337.92</c:v>
                </c:pt>
                <c:pt idx="304">
                  <c:v>337.93</c:v>
                </c:pt>
                <c:pt idx="305">
                  <c:v>338.18</c:v>
                </c:pt>
                <c:pt idx="306">
                  <c:v>338.33000000000004</c:v>
                </c:pt>
                <c:pt idx="307">
                  <c:v>338.31</c:v>
                </c:pt>
                <c:pt idx="308">
                  <c:v>338.09000000000003</c:v>
                </c:pt>
                <c:pt idx="309">
                  <c:v>338.09000000000003</c:v>
                </c:pt>
                <c:pt idx="310">
                  <c:v>337.98</c:v>
                </c:pt>
                <c:pt idx="311">
                  <c:v>337.92</c:v>
                </c:pt>
                <c:pt idx="312">
                  <c:v>338.21000000000004</c:v>
                </c:pt>
                <c:pt idx="313">
                  <c:v>338.27000000000004</c:v>
                </c:pt>
                <c:pt idx="314">
                  <c:v>338.27000000000004</c:v>
                </c:pt>
                <c:pt idx="315">
                  <c:v>338.27000000000004</c:v>
                </c:pt>
                <c:pt idx="316">
                  <c:v>337.95000000000005</c:v>
                </c:pt>
                <c:pt idx="317">
                  <c:v>337.89000000000004</c:v>
                </c:pt>
                <c:pt idx="318">
                  <c:v>337.90000000000003</c:v>
                </c:pt>
                <c:pt idx="319">
                  <c:v>338.15000000000003</c:v>
                </c:pt>
                <c:pt idx="320">
                  <c:v>338.41</c:v>
                </c:pt>
                <c:pt idx="321">
                  <c:v>338.45000000000005</c:v>
                </c:pt>
                <c:pt idx="322">
                  <c:v>338.43</c:v>
                </c:pt>
                <c:pt idx="323">
                  <c:v>337.98</c:v>
                </c:pt>
                <c:pt idx="324">
                  <c:v>337.87</c:v>
                </c:pt>
                <c:pt idx="325">
                  <c:v>337.88</c:v>
                </c:pt>
                <c:pt idx="326">
                  <c:v>338.19</c:v>
                </c:pt>
                <c:pt idx="327">
                  <c:v>338.31</c:v>
                </c:pt>
                <c:pt idx="328">
                  <c:v>338.23</c:v>
                </c:pt>
                <c:pt idx="329">
                  <c:v>338.28000000000003</c:v>
                </c:pt>
                <c:pt idx="330">
                  <c:v>337.91</c:v>
                </c:pt>
                <c:pt idx="331">
                  <c:v>337.85</c:v>
                </c:pt>
                <c:pt idx="332">
                  <c:v>337.85</c:v>
                </c:pt>
                <c:pt idx="333">
                  <c:v>338.17</c:v>
                </c:pt>
                <c:pt idx="334">
                  <c:v>338.17</c:v>
                </c:pt>
                <c:pt idx="335">
                  <c:v>338.25</c:v>
                </c:pt>
                <c:pt idx="336">
                  <c:v>338.25</c:v>
                </c:pt>
                <c:pt idx="337">
                  <c:v>338.26000000000005</c:v>
                </c:pt>
                <c:pt idx="338">
                  <c:v>337.89000000000004</c:v>
                </c:pt>
                <c:pt idx="339">
                  <c:v>337.86</c:v>
                </c:pt>
                <c:pt idx="340">
                  <c:v>337.86</c:v>
                </c:pt>
                <c:pt idx="341">
                  <c:v>338.16</c:v>
                </c:pt>
                <c:pt idx="342">
                  <c:v>338.25</c:v>
                </c:pt>
                <c:pt idx="343">
                  <c:v>338.25</c:v>
                </c:pt>
                <c:pt idx="344">
                  <c:v>338.25</c:v>
                </c:pt>
                <c:pt idx="345">
                  <c:v>338.26000000000005</c:v>
                </c:pt>
                <c:pt idx="346">
                  <c:v>337.93</c:v>
                </c:pt>
                <c:pt idx="347">
                  <c:v>337.84000000000003</c:v>
                </c:pt>
                <c:pt idx="348">
                  <c:v>338.12</c:v>
                </c:pt>
                <c:pt idx="349">
                  <c:v>338.3</c:v>
                </c:pt>
                <c:pt idx="350">
                  <c:v>338.3</c:v>
                </c:pt>
                <c:pt idx="351">
                  <c:v>338.31</c:v>
                </c:pt>
                <c:pt idx="352">
                  <c:v>338.3</c:v>
                </c:pt>
                <c:pt idx="353">
                  <c:v>337.94</c:v>
                </c:pt>
                <c:pt idx="354">
                  <c:v>337.81</c:v>
                </c:pt>
                <c:pt idx="355">
                  <c:v>338.23</c:v>
                </c:pt>
                <c:pt idx="356">
                  <c:v>338.3</c:v>
                </c:pt>
                <c:pt idx="357">
                  <c:v>338.26000000000005</c:v>
                </c:pt>
                <c:pt idx="358">
                  <c:v>338.23</c:v>
                </c:pt>
                <c:pt idx="359">
                  <c:v>338.18</c:v>
                </c:pt>
                <c:pt idx="360">
                  <c:v>337.84000000000003</c:v>
                </c:pt>
                <c:pt idx="361">
                  <c:v>337.8</c:v>
                </c:pt>
                <c:pt idx="362">
                  <c:v>338.22</c:v>
                </c:pt>
                <c:pt idx="363">
                  <c:v>338.31</c:v>
                </c:pt>
                <c:pt idx="364">
                  <c:v>338.26000000000005</c:v>
                </c:pt>
                <c:pt idx="365">
                  <c:v>338.22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4944"/>
        <c:axId val="89973504"/>
      </c:lineChart>
      <c:catAx>
        <c:axId val="899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97350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89973504"/>
        <c:scaling>
          <c:orientation val="minMax"/>
          <c:max val="343"/>
          <c:min val="33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954944"/>
        <c:crosses val="autoZero"/>
        <c:crossBetween val="between"/>
        <c:majorUnit val="1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18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Daily Min GageHeight</a:t>
            </a:r>
          </a:p>
        </c:rich>
      </c:tx>
      <c:layout>
        <c:manualLayout>
          <c:xMode val="edge"/>
          <c:yMode val="edge"/>
          <c:x val="0.42168689579996688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144590821209063E-2"/>
          <c:y val="0.16842134118239649"/>
          <c:w val="0.93054603427936278"/>
          <c:h val="0.68947486546543557"/>
        </c:manualLayout>
      </c:layout>
      <c:lineChart>
        <c:grouping val="standard"/>
        <c:varyColors val="0"/>
        <c:ser>
          <c:idx val="0"/>
          <c:order val="0"/>
          <c:tx>
            <c:v>Daily Min GH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'Graph-GH'!$AP$5:$AP$370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cat>
          <c:val>
            <c:numRef>
              <c:f>'Graph-GH'!$AQ$5:$AQ$370</c:f>
              <c:numCache>
                <c:formatCode>General</c:formatCode>
                <c:ptCount val="366"/>
                <c:pt idx="0">
                  <c:v>337.94</c:v>
                </c:pt>
                <c:pt idx="1">
                  <c:v>338.18</c:v>
                </c:pt>
                <c:pt idx="2">
                  <c:v>338.11</c:v>
                </c:pt>
                <c:pt idx="3">
                  <c:v>338.1</c:v>
                </c:pt>
                <c:pt idx="4">
                  <c:v>338.16</c:v>
                </c:pt>
                <c:pt idx="5">
                  <c:v>338.16</c:v>
                </c:pt>
                <c:pt idx="6">
                  <c:v>338.26000000000005</c:v>
                </c:pt>
                <c:pt idx="7">
                  <c:v>338.21000000000004</c:v>
                </c:pt>
                <c:pt idx="8">
                  <c:v>338.20000000000005</c:v>
                </c:pt>
                <c:pt idx="9">
                  <c:v>338.20000000000005</c:v>
                </c:pt>
                <c:pt idx="10">
                  <c:v>338.21000000000004</c:v>
                </c:pt>
                <c:pt idx="11">
                  <c:v>338.15000000000003</c:v>
                </c:pt>
                <c:pt idx="12">
                  <c:v>338.14000000000004</c:v>
                </c:pt>
                <c:pt idx="13">
                  <c:v>338.20000000000005</c:v>
                </c:pt>
                <c:pt idx="14">
                  <c:v>338.20000000000005</c:v>
                </c:pt>
                <c:pt idx="15">
                  <c:v>338.20000000000005</c:v>
                </c:pt>
                <c:pt idx="16">
                  <c:v>338.20000000000005</c:v>
                </c:pt>
                <c:pt idx="17">
                  <c:v>338.20000000000005</c:v>
                </c:pt>
                <c:pt idx="18">
                  <c:v>338.18</c:v>
                </c:pt>
                <c:pt idx="19">
                  <c:v>338.17</c:v>
                </c:pt>
                <c:pt idx="20">
                  <c:v>338.17</c:v>
                </c:pt>
                <c:pt idx="21">
                  <c:v>338.17</c:v>
                </c:pt>
                <c:pt idx="22">
                  <c:v>338.17</c:v>
                </c:pt>
                <c:pt idx="23">
                  <c:v>338.17</c:v>
                </c:pt>
                <c:pt idx="24">
                  <c:v>338.17</c:v>
                </c:pt>
                <c:pt idx="25">
                  <c:v>338.16</c:v>
                </c:pt>
                <c:pt idx="26">
                  <c:v>338.16</c:v>
                </c:pt>
                <c:pt idx="27">
                  <c:v>338.16</c:v>
                </c:pt>
                <c:pt idx="28">
                  <c:v>338.16</c:v>
                </c:pt>
                <c:pt idx="29">
                  <c:v>338.16</c:v>
                </c:pt>
                <c:pt idx="30">
                  <c:v>338.17</c:v>
                </c:pt>
                <c:pt idx="31">
                  <c:v>338.17</c:v>
                </c:pt>
                <c:pt idx="32">
                  <c:v>338.18</c:v>
                </c:pt>
                <c:pt idx="33">
                  <c:v>338.16</c:v>
                </c:pt>
                <c:pt idx="34">
                  <c:v>338.15000000000003</c:v>
                </c:pt>
                <c:pt idx="35">
                  <c:v>338.1</c:v>
                </c:pt>
                <c:pt idx="36">
                  <c:v>338.08000000000004</c:v>
                </c:pt>
                <c:pt idx="37">
                  <c:v>338.09000000000003</c:v>
                </c:pt>
                <c:pt idx="38">
                  <c:v>338.08000000000004</c:v>
                </c:pt>
                <c:pt idx="39">
                  <c:v>338.16</c:v>
                </c:pt>
                <c:pt idx="40">
                  <c:v>338.18</c:v>
                </c:pt>
                <c:pt idx="41">
                  <c:v>338.17</c:v>
                </c:pt>
                <c:pt idx="42">
                  <c:v>338.12</c:v>
                </c:pt>
                <c:pt idx="43">
                  <c:v>338.1</c:v>
                </c:pt>
                <c:pt idx="44">
                  <c:v>338.1</c:v>
                </c:pt>
                <c:pt idx="45">
                  <c:v>338.09000000000003</c:v>
                </c:pt>
                <c:pt idx="46">
                  <c:v>338.08000000000004</c:v>
                </c:pt>
                <c:pt idx="47">
                  <c:v>338.08000000000004</c:v>
                </c:pt>
                <c:pt idx="48">
                  <c:v>337.82000000000005</c:v>
                </c:pt>
                <c:pt idx="49">
                  <c:v>337.73</c:v>
                </c:pt>
                <c:pt idx="50">
                  <c:v>337.77000000000004</c:v>
                </c:pt>
                <c:pt idx="51">
                  <c:v>337.78000000000003</c:v>
                </c:pt>
                <c:pt idx="52">
                  <c:v>337.78000000000003</c:v>
                </c:pt>
                <c:pt idx="53">
                  <c:v>337.8</c:v>
                </c:pt>
                <c:pt idx="54">
                  <c:v>337.76000000000005</c:v>
                </c:pt>
                <c:pt idx="55">
                  <c:v>337.74</c:v>
                </c:pt>
                <c:pt idx="56">
                  <c:v>337.77000000000004</c:v>
                </c:pt>
                <c:pt idx="57">
                  <c:v>337.78000000000003</c:v>
                </c:pt>
                <c:pt idx="58">
                  <c:v>337.78000000000003</c:v>
                </c:pt>
                <c:pt idx="59">
                  <c:v>337.8</c:v>
                </c:pt>
                <c:pt idx="60">
                  <c:v>337.83000000000004</c:v>
                </c:pt>
                <c:pt idx="61">
                  <c:v>337.83000000000004</c:v>
                </c:pt>
                <c:pt idx="62">
                  <c:v>337.82000000000005</c:v>
                </c:pt>
                <c:pt idx="63">
                  <c:v>337.81</c:v>
                </c:pt>
                <c:pt idx="64">
                  <c:v>337.8</c:v>
                </c:pt>
                <c:pt idx="65">
                  <c:v>337.79</c:v>
                </c:pt>
                <c:pt idx="66">
                  <c:v>337.8</c:v>
                </c:pt>
                <c:pt idx="67">
                  <c:v>337.84000000000003</c:v>
                </c:pt>
                <c:pt idx="68">
                  <c:v>337.84000000000003</c:v>
                </c:pt>
                <c:pt idx="69">
                  <c:v>337.78000000000003</c:v>
                </c:pt>
                <c:pt idx="70">
                  <c:v>337.76000000000005</c:v>
                </c:pt>
                <c:pt idx="71">
                  <c:v>337.78000000000003</c:v>
                </c:pt>
                <c:pt idx="72">
                  <c:v>338.15000000000003</c:v>
                </c:pt>
                <c:pt idx="73">
                  <c:v>337.94</c:v>
                </c:pt>
                <c:pt idx="74">
                  <c:v>337.83000000000004</c:v>
                </c:pt>
                <c:pt idx="75">
                  <c:v>337.81</c:v>
                </c:pt>
                <c:pt idx="76">
                  <c:v>337.8</c:v>
                </c:pt>
                <c:pt idx="77">
                  <c:v>337.8</c:v>
                </c:pt>
                <c:pt idx="78">
                  <c:v>337.81</c:v>
                </c:pt>
                <c:pt idx="79">
                  <c:v>337.79</c:v>
                </c:pt>
                <c:pt idx="80">
                  <c:v>337.82000000000005</c:v>
                </c:pt>
                <c:pt idx="81">
                  <c:v>337.85</c:v>
                </c:pt>
                <c:pt idx="82">
                  <c:v>337.84000000000003</c:v>
                </c:pt>
                <c:pt idx="83">
                  <c:v>337.83000000000004</c:v>
                </c:pt>
                <c:pt idx="84">
                  <c:v>337.88</c:v>
                </c:pt>
                <c:pt idx="85">
                  <c:v>337.83000000000004</c:v>
                </c:pt>
                <c:pt idx="86">
                  <c:v>337.85</c:v>
                </c:pt>
                <c:pt idx="87">
                  <c:v>337.84000000000003</c:v>
                </c:pt>
                <c:pt idx="88">
                  <c:v>337.83000000000004</c:v>
                </c:pt>
                <c:pt idx="89">
                  <c:v>337.83000000000004</c:v>
                </c:pt>
                <c:pt idx="90">
                  <c:v>337.84000000000003</c:v>
                </c:pt>
                <c:pt idx="91">
                  <c:v>337.83000000000004</c:v>
                </c:pt>
                <c:pt idx="92">
                  <c:v>337.83000000000004</c:v>
                </c:pt>
                <c:pt idx="93">
                  <c:v>337.83000000000004</c:v>
                </c:pt>
                <c:pt idx="94">
                  <c:v>337.84000000000003</c:v>
                </c:pt>
                <c:pt idx="95">
                  <c:v>337.87</c:v>
                </c:pt>
                <c:pt idx="96">
                  <c:v>337.84000000000003</c:v>
                </c:pt>
                <c:pt idx="97">
                  <c:v>337.84000000000003</c:v>
                </c:pt>
                <c:pt idx="98">
                  <c:v>337.87</c:v>
                </c:pt>
                <c:pt idx="99">
                  <c:v>337.86</c:v>
                </c:pt>
                <c:pt idx="100">
                  <c:v>337.93</c:v>
                </c:pt>
                <c:pt idx="101">
                  <c:v>338.07000000000005</c:v>
                </c:pt>
                <c:pt idx="102">
                  <c:v>338.05</c:v>
                </c:pt>
                <c:pt idx="103">
                  <c:v>337.98</c:v>
                </c:pt>
                <c:pt idx="104">
                  <c:v>337.97</c:v>
                </c:pt>
                <c:pt idx="105">
                  <c:v>338.08000000000004</c:v>
                </c:pt>
                <c:pt idx="106">
                  <c:v>338.09000000000003</c:v>
                </c:pt>
                <c:pt idx="107">
                  <c:v>338.07000000000005</c:v>
                </c:pt>
                <c:pt idx="108">
                  <c:v>338.07000000000005</c:v>
                </c:pt>
                <c:pt idx="109">
                  <c:v>338.01000000000005</c:v>
                </c:pt>
                <c:pt idx="110">
                  <c:v>337.95000000000005</c:v>
                </c:pt>
                <c:pt idx="111">
                  <c:v>337.94</c:v>
                </c:pt>
                <c:pt idx="112">
                  <c:v>337.93</c:v>
                </c:pt>
                <c:pt idx="113">
                  <c:v>337.92</c:v>
                </c:pt>
                <c:pt idx="114">
                  <c:v>338.1</c:v>
                </c:pt>
                <c:pt idx="115">
                  <c:v>338.03000000000003</c:v>
                </c:pt>
                <c:pt idx="116">
                  <c:v>337.97</c:v>
                </c:pt>
                <c:pt idx="117">
                  <c:v>337.94</c:v>
                </c:pt>
                <c:pt idx="118">
                  <c:v>337.97</c:v>
                </c:pt>
                <c:pt idx="119">
                  <c:v>338</c:v>
                </c:pt>
                <c:pt idx="120">
                  <c:v>338.1</c:v>
                </c:pt>
                <c:pt idx="121">
                  <c:v>338.19</c:v>
                </c:pt>
                <c:pt idx="122">
                  <c:v>338.18</c:v>
                </c:pt>
                <c:pt idx="123">
                  <c:v>338.13</c:v>
                </c:pt>
                <c:pt idx="124">
                  <c:v>338.1</c:v>
                </c:pt>
                <c:pt idx="125">
                  <c:v>338.09000000000003</c:v>
                </c:pt>
                <c:pt idx="126">
                  <c:v>338.08000000000004</c:v>
                </c:pt>
                <c:pt idx="127">
                  <c:v>338.20000000000005</c:v>
                </c:pt>
                <c:pt idx="128">
                  <c:v>338.16</c:v>
                </c:pt>
                <c:pt idx="129">
                  <c:v>338.16</c:v>
                </c:pt>
                <c:pt idx="130">
                  <c:v>338.21000000000004</c:v>
                </c:pt>
                <c:pt idx="131">
                  <c:v>338.96000000000004</c:v>
                </c:pt>
                <c:pt idx="132">
                  <c:v>339.81</c:v>
                </c:pt>
                <c:pt idx="133">
                  <c:v>339.37</c:v>
                </c:pt>
                <c:pt idx="134">
                  <c:v>338.8</c:v>
                </c:pt>
                <c:pt idx="135">
                  <c:v>338.58000000000004</c:v>
                </c:pt>
                <c:pt idx="136">
                  <c:v>338.6</c:v>
                </c:pt>
                <c:pt idx="137">
                  <c:v>338.47</c:v>
                </c:pt>
                <c:pt idx="138">
                  <c:v>338.33000000000004</c:v>
                </c:pt>
                <c:pt idx="139">
                  <c:v>338.23</c:v>
                </c:pt>
                <c:pt idx="140">
                  <c:v>338.22</c:v>
                </c:pt>
                <c:pt idx="141">
                  <c:v>338.21000000000004</c:v>
                </c:pt>
                <c:pt idx="142">
                  <c:v>338.20000000000005</c:v>
                </c:pt>
                <c:pt idx="143">
                  <c:v>338.24</c:v>
                </c:pt>
                <c:pt idx="144">
                  <c:v>338.43</c:v>
                </c:pt>
                <c:pt idx="145">
                  <c:v>338.41</c:v>
                </c:pt>
                <c:pt idx="146">
                  <c:v>338.33000000000004</c:v>
                </c:pt>
                <c:pt idx="147">
                  <c:v>338.29</c:v>
                </c:pt>
                <c:pt idx="148">
                  <c:v>338.25</c:v>
                </c:pt>
                <c:pt idx="149">
                  <c:v>338.21000000000004</c:v>
                </c:pt>
                <c:pt idx="150">
                  <c:v>338.16</c:v>
                </c:pt>
                <c:pt idx="151">
                  <c:v>338.14000000000004</c:v>
                </c:pt>
                <c:pt idx="152">
                  <c:v>338.14000000000004</c:v>
                </c:pt>
                <c:pt idx="153">
                  <c:v>338.49</c:v>
                </c:pt>
                <c:pt idx="154">
                  <c:v>338.54</c:v>
                </c:pt>
                <c:pt idx="155">
                  <c:v>338.31</c:v>
                </c:pt>
                <c:pt idx="156">
                  <c:v>338.23</c:v>
                </c:pt>
                <c:pt idx="157">
                  <c:v>338.20000000000005</c:v>
                </c:pt>
                <c:pt idx="158">
                  <c:v>338.21000000000004</c:v>
                </c:pt>
                <c:pt idx="159">
                  <c:v>338.48</c:v>
                </c:pt>
                <c:pt idx="160">
                  <c:v>339.07000000000005</c:v>
                </c:pt>
                <c:pt idx="161">
                  <c:v>339.67</c:v>
                </c:pt>
                <c:pt idx="162">
                  <c:v>339.27000000000004</c:v>
                </c:pt>
                <c:pt idx="163">
                  <c:v>338.85</c:v>
                </c:pt>
                <c:pt idx="164">
                  <c:v>338.78000000000003</c:v>
                </c:pt>
                <c:pt idx="165">
                  <c:v>338.82000000000005</c:v>
                </c:pt>
                <c:pt idx="166">
                  <c:v>339.01000000000005</c:v>
                </c:pt>
                <c:pt idx="167">
                  <c:v>339.23</c:v>
                </c:pt>
                <c:pt idx="168">
                  <c:v>339.17</c:v>
                </c:pt>
                <c:pt idx="169">
                  <c:v>339.38</c:v>
                </c:pt>
                <c:pt idx="170">
                  <c:v>339.17</c:v>
                </c:pt>
                <c:pt idx="171">
                  <c:v>338.88</c:v>
                </c:pt>
                <c:pt idx="172">
                  <c:v>338.79</c:v>
                </c:pt>
                <c:pt idx="173">
                  <c:v>338.63</c:v>
                </c:pt>
                <c:pt idx="174">
                  <c:v>338.49</c:v>
                </c:pt>
                <c:pt idx="175">
                  <c:v>338.44</c:v>
                </c:pt>
                <c:pt idx="176">
                  <c:v>338.41</c:v>
                </c:pt>
                <c:pt idx="177">
                  <c:v>338.41</c:v>
                </c:pt>
                <c:pt idx="178">
                  <c:v>338.44</c:v>
                </c:pt>
                <c:pt idx="179">
                  <c:v>339.22</c:v>
                </c:pt>
                <c:pt idx="180">
                  <c:v>339.01000000000005</c:v>
                </c:pt>
                <c:pt idx="181">
                  <c:v>339.01000000000005</c:v>
                </c:pt>
                <c:pt idx="182">
                  <c:v>338.65000000000003</c:v>
                </c:pt>
                <c:pt idx="183">
                  <c:v>338.59000000000003</c:v>
                </c:pt>
                <c:pt idx="184">
                  <c:v>338.57000000000005</c:v>
                </c:pt>
                <c:pt idx="185">
                  <c:v>338.59000000000003</c:v>
                </c:pt>
                <c:pt idx="186">
                  <c:v>338.49</c:v>
                </c:pt>
                <c:pt idx="187">
                  <c:v>338.47</c:v>
                </c:pt>
                <c:pt idx="188">
                  <c:v>338.55</c:v>
                </c:pt>
                <c:pt idx="189">
                  <c:v>338.44</c:v>
                </c:pt>
                <c:pt idx="190">
                  <c:v>338.39000000000004</c:v>
                </c:pt>
                <c:pt idx="191">
                  <c:v>338.32000000000005</c:v>
                </c:pt>
                <c:pt idx="192">
                  <c:v>338.27000000000004</c:v>
                </c:pt>
                <c:pt idx="193">
                  <c:v>338.25</c:v>
                </c:pt>
                <c:pt idx="194">
                  <c:v>338.24</c:v>
                </c:pt>
                <c:pt idx="195">
                  <c:v>338.23</c:v>
                </c:pt>
                <c:pt idx="196">
                  <c:v>338.21000000000004</c:v>
                </c:pt>
                <c:pt idx="197">
                  <c:v>338.19</c:v>
                </c:pt>
                <c:pt idx="198">
                  <c:v>338.18</c:v>
                </c:pt>
                <c:pt idx="199">
                  <c:v>338.18</c:v>
                </c:pt>
                <c:pt idx="200">
                  <c:v>338.23</c:v>
                </c:pt>
                <c:pt idx="201">
                  <c:v>339.97</c:v>
                </c:pt>
                <c:pt idx="202">
                  <c:v>339.38</c:v>
                </c:pt>
                <c:pt idx="203">
                  <c:v>339.3</c:v>
                </c:pt>
                <c:pt idx="204">
                  <c:v>339.40000000000003</c:v>
                </c:pt>
                <c:pt idx="205">
                  <c:v>339.1</c:v>
                </c:pt>
                <c:pt idx="206">
                  <c:v>339.1</c:v>
                </c:pt>
                <c:pt idx="207">
                  <c:v>338.95000000000005</c:v>
                </c:pt>
                <c:pt idx="208">
                  <c:v>338.81</c:v>
                </c:pt>
                <c:pt idx="209">
                  <c:v>338.75</c:v>
                </c:pt>
                <c:pt idx="210">
                  <c:v>338.74</c:v>
                </c:pt>
                <c:pt idx="211">
                  <c:v>338.87</c:v>
                </c:pt>
                <c:pt idx="212">
                  <c:v>338.70000000000005</c:v>
                </c:pt>
                <c:pt idx="213">
                  <c:v>338.65000000000003</c:v>
                </c:pt>
                <c:pt idx="214">
                  <c:v>338.59000000000003</c:v>
                </c:pt>
                <c:pt idx="215">
                  <c:v>338.52000000000004</c:v>
                </c:pt>
                <c:pt idx="216">
                  <c:v>338.48</c:v>
                </c:pt>
                <c:pt idx="217">
                  <c:v>338.43</c:v>
                </c:pt>
                <c:pt idx="218">
                  <c:v>338.39000000000004</c:v>
                </c:pt>
                <c:pt idx="219">
                  <c:v>338.35</c:v>
                </c:pt>
                <c:pt idx="220">
                  <c:v>338.33000000000004</c:v>
                </c:pt>
                <c:pt idx="221">
                  <c:v>338.31</c:v>
                </c:pt>
                <c:pt idx="222">
                  <c:v>338.29</c:v>
                </c:pt>
                <c:pt idx="223">
                  <c:v>338.27000000000004</c:v>
                </c:pt>
                <c:pt idx="224">
                  <c:v>338.26000000000005</c:v>
                </c:pt>
                <c:pt idx="225">
                  <c:v>338.26000000000005</c:v>
                </c:pt>
                <c:pt idx="226">
                  <c:v>338.23</c:v>
                </c:pt>
                <c:pt idx="227">
                  <c:v>338.22</c:v>
                </c:pt>
                <c:pt idx="228">
                  <c:v>338.33000000000004</c:v>
                </c:pt>
                <c:pt idx="229">
                  <c:v>338.27000000000004</c:v>
                </c:pt>
                <c:pt idx="230">
                  <c:v>338.26000000000005</c:v>
                </c:pt>
                <c:pt idx="231">
                  <c:v>338.25</c:v>
                </c:pt>
                <c:pt idx="232">
                  <c:v>338.29</c:v>
                </c:pt>
                <c:pt idx="233">
                  <c:v>338.42</c:v>
                </c:pt>
                <c:pt idx="234">
                  <c:v>338.32000000000005</c:v>
                </c:pt>
                <c:pt idx="235">
                  <c:v>338.25</c:v>
                </c:pt>
                <c:pt idx="236">
                  <c:v>338.23</c:v>
                </c:pt>
                <c:pt idx="237">
                  <c:v>338.21000000000004</c:v>
                </c:pt>
                <c:pt idx="238">
                  <c:v>338.19</c:v>
                </c:pt>
                <c:pt idx="239">
                  <c:v>338.18</c:v>
                </c:pt>
                <c:pt idx="240">
                  <c:v>338.18</c:v>
                </c:pt>
                <c:pt idx="241">
                  <c:v>338.18</c:v>
                </c:pt>
                <c:pt idx="242">
                  <c:v>338.17</c:v>
                </c:pt>
                <c:pt idx="243">
                  <c:v>338.17</c:v>
                </c:pt>
                <c:pt idx="244">
                  <c:v>338.16</c:v>
                </c:pt>
                <c:pt idx="245">
                  <c:v>338.14000000000004</c:v>
                </c:pt>
                <c:pt idx="246">
                  <c:v>338.14000000000004</c:v>
                </c:pt>
                <c:pt idx="247">
                  <c:v>338.13</c:v>
                </c:pt>
                <c:pt idx="248">
                  <c:v>338.12</c:v>
                </c:pt>
                <c:pt idx="249">
                  <c:v>338.11</c:v>
                </c:pt>
                <c:pt idx="250">
                  <c:v>338.1</c:v>
                </c:pt>
                <c:pt idx="251">
                  <c:v>338.1</c:v>
                </c:pt>
                <c:pt idx="252">
                  <c:v>338.09000000000003</c:v>
                </c:pt>
                <c:pt idx="253">
                  <c:v>338.08000000000004</c:v>
                </c:pt>
                <c:pt idx="254">
                  <c:v>338.08000000000004</c:v>
                </c:pt>
                <c:pt idx="255">
                  <c:v>338.09000000000003</c:v>
                </c:pt>
                <c:pt idx="256">
                  <c:v>338.09000000000003</c:v>
                </c:pt>
                <c:pt idx="257">
                  <c:v>338.22</c:v>
                </c:pt>
                <c:pt idx="258">
                  <c:v>338.44</c:v>
                </c:pt>
                <c:pt idx="259">
                  <c:v>338.37</c:v>
                </c:pt>
                <c:pt idx="260">
                  <c:v>338.22</c:v>
                </c:pt>
                <c:pt idx="261">
                  <c:v>338.18</c:v>
                </c:pt>
                <c:pt idx="262">
                  <c:v>338.16</c:v>
                </c:pt>
                <c:pt idx="263">
                  <c:v>338.12</c:v>
                </c:pt>
                <c:pt idx="264">
                  <c:v>338.09000000000003</c:v>
                </c:pt>
                <c:pt idx="265">
                  <c:v>338.08000000000004</c:v>
                </c:pt>
                <c:pt idx="266">
                  <c:v>338.06</c:v>
                </c:pt>
                <c:pt idx="267">
                  <c:v>338.05</c:v>
                </c:pt>
                <c:pt idx="268">
                  <c:v>338.05</c:v>
                </c:pt>
                <c:pt idx="269">
                  <c:v>338.04</c:v>
                </c:pt>
                <c:pt idx="270">
                  <c:v>338.03000000000003</c:v>
                </c:pt>
                <c:pt idx="271">
                  <c:v>338.02000000000004</c:v>
                </c:pt>
                <c:pt idx="272">
                  <c:v>338.04</c:v>
                </c:pt>
                <c:pt idx="273">
                  <c:v>338.04</c:v>
                </c:pt>
                <c:pt idx="274">
                  <c:v>338.04</c:v>
                </c:pt>
                <c:pt idx="275">
                  <c:v>338.04</c:v>
                </c:pt>
                <c:pt idx="276">
                  <c:v>338.03000000000003</c:v>
                </c:pt>
                <c:pt idx="277">
                  <c:v>338.03000000000003</c:v>
                </c:pt>
                <c:pt idx="278">
                  <c:v>338.03000000000003</c:v>
                </c:pt>
                <c:pt idx="279">
                  <c:v>338.03000000000003</c:v>
                </c:pt>
                <c:pt idx="280">
                  <c:v>338.01000000000005</c:v>
                </c:pt>
                <c:pt idx="281">
                  <c:v>338.02000000000004</c:v>
                </c:pt>
                <c:pt idx="282">
                  <c:v>338.02000000000004</c:v>
                </c:pt>
                <c:pt idx="283">
                  <c:v>338.01000000000005</c:v>
                </c:pt>
                <c:pt idx="284">
                  <c:v>338.01000000000005</c:v>
                </c:pt>
                <c:pt idx="285">
                  <c:v>338</c:v>
                </c:pt>
                <c:pt idx="286">
                  <c:v>338</c:v>
                </c:pt>
                <c:pt idx="287">
                  <c:v>337.99</c:v>
                </c:pt>
                <c:pt idx="288">
                  <c:v>338</c:v>
                </c:pt>
                <c:pt idx="289">
                  <c:v>338</c:v>
                </c:pt>
                <c:pt idx="290">
                  <c:v>338</c:v>
                </c:pt>
                <c:pt idx="291">
                  <c:v>337.99</c:v>
                </c:pt>
                <c:pt idx="292">
                  <c:v>338.26000000000005</c:v>
                </c:pt>
                <c:pt idx="293">
                  <c:v>338.32000000000005</c:v>
                </c:pt>
                <c:pt idx="294">
                  <c:v>338.04</c:v>
                </c:pt>
                <c:pt idx="295">
                  <c:v>337.96000000000004</c:v>
                </c:pt>
                <c:pt idx="296">
                  <c:v>337.96000000000004</c:v>
                </c:pt>
                <c:pt idx="297">
                  <c:v>337.96000000000004</c:v>
                </c:pt>
                <c:pt idx="298">
                  <c:v>337.96000000000004</c:v>
                </c:pt>
                <c:pt idx="299">
                  <c:v>338.18</c:v>
                </c:pt>
                <c:pt idx="300">
                  <c:v>338.31</c:v>
                </c:pt>
                <c:pt idx="301">
                  <c:v>338</c:v>
                </c:pt>
                <c:pt idx="302">
                  <c:v>337.93</c:v>
                </c:pt>
                <c:pt idx="303">
                  <c:v>337.92</c:v>
                </c:pt>
                <c:pt idx="304">
                  <c:v>337.93</c:v>
                </c:pt>
                <c:pt idx="305">
                  <c:v>337.93</c:v>
                </c:pt>
                <c:pt idx="306">
                  <c:v>338.20000000000005</c:v>
                </c:pt>
                <c:pt idx="307">
                  <c:v>338.11</c:v>
                </c:pt>
                <c:pt idx="308">
                  <c:v>337.94</c:v>
                </c:pt>
                <c:pt idx="309">
                  <c:v>337.99</c:v>
                </c:pt>
                <c:pt idx="310">
                  <c:v>337.92</c:v>
                </c:pt>
                <c:pt idx="311">
                  <c:v>337.91</c:v>
                </c:pt>
                <c:pt idx="312">
                  <c:v>337.90000000000003</c:v>
                </c:pt>
                <c:pt idx="313">
                  <c:v>338.22</c:v>
                </c:pt>
                <c:pt idx="314">
                  <c:v>338.27000000000004</c:v>
                </c:pt>
                <c:pt idx="315">
                  <c:v>337.96000000000004</c:v>
                </c:pt>
                <c:pt idx="316">
                  <c:v>337.89000000000004</c:v>
                </c:pt>
                <c:pt idx="317">
                  <c:v>337.89000000000004</c:v>
                </c:pt>
                <c:pt idx="318">
                  <c:v>337.90000000000003</c:v>
                </c:pt>
                <c:pt idx="319">
                  <c:v>337.89000000000004</c:v>
                </c:pt>
                <c:pt idx="320">
                  <c:v>338.17</c:v>
                </c:pt>
                <c:pt idx="321">
                  <c:v>338.42</c:v>
                </c:pt>
                <c:pt idx="322">
                  <c:v>338.01000000000005</c:v>
                </c:pt>
                <c:pt idx="323">
                  <c:v>337.87</c:v>
                </c:pt>
                <c:pt idx="324">
                  <c:v>337.87</c:v>
                </c:pt>
                <c:pt idx="325">
                  <c:v>337.87</c:v>
                </c:pt>
                <c:pt idx="326">
                  <c:v>337.86</c:v>
                </c:pt>
                <c:pt idx="327">
                  <c:v>338.14000000000004</c:v>
                </c:pt>
                <c:pt idx="328">
                  <c:v>338.03000000000003</c:v>
                </c:pt>
                <c:pt idx="329">
                  <c:v>337.93</c:v>
                </c:pt>
                <c:pt idx="330">
                  <c:v>337.86</c:v>
                </c:pt>
                <c:pt idx="331">
                  <c:v>337.85</c:v>
                </c:pt>
                <c:pt idx="332">
                  <c:v>337.85</c:v>
                </c:pt>
                <c:pt idx="333">
                  <c:v>337.85</c:v>
                </c:pt>
                <c:pt idx="334">
                  <c:v>337.85</c:v>
                </c:pt>
                <c:pt idx="335">
                  <c:v>338.19</c:v>
                </c:pt>
                <c:pt idx="336">
                  <c:v>338.25</c:v>
                </c:pt>
                <c:pt idx="337">
                  <c:v>337.91</c:v>
                </c:pt>
                <c:pt idx="338">
                  <c:v>337.84000000000003</c:v>
                </c:pt>
                <c:pt idx="339">
                  <c:v>337.86</c:v>
                </c:pt>
                <c:pt idx="340">
                  <c:v>337.84000000000003</c:v>
                </c:pt>
                <c:pt idx="341">
                  <c:v>337.84000000000003</c:v>
                </c:pt>
                <c:pt idx="342">
                  <c:v>338.18</c:v>
                </c:pt>
                <c:pt idx="343">
                  <c:v>338.25</c:v>
                </c:pt>
                <c:pt idx="344">
                  <c:v>338.25</c:v>
                </c:pt>
                <c:pt idx="345">
                  <c:v>337.95000000000005</c:v>
                </c:pt>
                <c:pt idx="346">
                  <c:v>337.84000000000003</c:v>
                </c:pt>
                <c:pt idx="347">
                  <c:v>337.84000000000003</c:v>
                </c:pt>
                <c:pt idx="348">
                  <c:v>337.84000000000003</c:v>
                </c:pt>
                <c:pt idx="349">
                  <c:v>338.23</c:v>
                </c:pt>
                <c:pt idx="350">
                  <c:v>338.3</c:v>
                </c:pt>
                <c:pt idx="351">
                  <c:v>338.31</c:v>
                </c:pt>
                <c:pt idx="352">
                  <c:v>337.96000000000004</c:v>
                </c:pt>
                <c:pt idx="353">
                  <c:v>337.82000000000005</c:v>
                </c:pt>
                <c:pt idx="354">
                  <c:v>337.8</c:v>
                </c:pt>
                <c:pt idx="355">
                  <c:v>337.79</c:v>
                </c:pt>
                <c:pt idx="356">
                  <c:v>338.24</c:v>
                </c:pt>
                <c:pt idx="357">
                  <c:v>338.24</c:v>
                </c:pt>
                <c:pt idx="358">
                  <c:v>338.16</c:v>
                </c:pt>
                <c:pt idx="359">
                  <c:v>337.85</c:v>
                </c:pt>
                <c:pt idx="360">
                  <c:v>337.8</c:v>
                </c:pt>
                <c:pt idx="361">
                  <c:v>337.8</c:v>
                </c:pt>
                <c:pt idx="362">
                  <c:v>337.79</c:v>
                </c:pt>
                <c:pt idx="363">
                  <c:v>338.23</c:v>
                </c:pt>
                <c:pt idx="364">
                  <c:v>338.23</c:v>
                </c:pt>
                <c:pt idx="365">
                  <c:v>338.19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7472"/>
        <c:axId val="89819392"/>
      </c:lineChart>
      <c:catAx>
        <c:axId val="898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819392"/>
        <c:crossesAt val="0"/>
        <c:auto val="1"/>
        <c:lblAlgn val="ctr"/>
        <c:lblOffset val="100"/>
        <c:tickLblSkip val="10"/>
        <c:tickMarkSkip val="1"/>
        <c:noMultiLvlLbl val="0"/>
      </c:catAx>
      <c:valAx>
        <c:axId val="89819392"/>
        <c:scaling>
          <c:orientation val="minMax"/>
          <c:max val="343"/>
          <c:min val="33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817472"/>
        <c:crosses val="autoZero"/>
        <c:crossBetween val="between"/>
        <c:majorUnit val="1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18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Discharge - CMS</a:t>
            </a:r>
          </a:p>
        </c:rich>
      </c:tx>
      <c:layout>
        <c:manualLayout>
          <c:xMode val="edge"/>
          <c:yMode val="edge"/>
          <c:x val="0.43223980739925338"/>
          <c:y val="1.5950920245398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89884529454477E-2"/>
          <c:y val="0.16319018404907976"/>
          <c:w val="0.93223998230763472"/>
          <c:h val="0.7791411042944785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'Graph-GH'!$AW$5:$AW$370</c:f>
              <c:numCache>
                <c:formatCode>0.00</c:formatCode>
                <c:ptCount val="366"/>
                <c:pt idx="0">
                  <c:v>8.1300000000000008</c:v>
                </c:pt>
                <c:pt idx="1">
                  <c:v>18.399999999999999</c:v>
                </c:pt>
                <c:pt idx="2">
                  <c:v>13.45</c:v>
                </c:pt>
                <c:pt idx="3">
                  <c:v>11.37</c:v>
                </c:pt>
                <c:pt idx="4">
                  <c:v>12.35</c:v>
                </c:pt>
                <c:pt idx="5">
                  <c:v>13</c:v>
                </c:pt>
                <c:pt idx="6">
                  <c:v>17.05</c:v>
                </c:pt>
                <c:pt idx="7">
                  <c:v>14.35</c:v>
                </c:pt>
                <c:pt idx="8">
                  <c:v>13</c:v>
                </c:pt>
                <c:pt idx="9">
                  <c:v>13.45</c:v>
                </c:pt>
                <c:pt idx="10">
                  <c:v>13.9</c:v>
                </c:pt>
                <c:pt idx="11">
                  <c:v>12.35</c:v>
                </c:pt>
                <c:pt idx="12">
                  <c:v>11.7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12.68</c:v>
                </c:pt>
                <c:pt idx="19">
                  <c:v>12.03</c:v>
                </c:pt>
                <c:pt idx="20">
                  <c:v>12.03</c:v>
                </c:pt>
                <c:pt idx="21">
                  <c:v>12.35</c:v>
                </c:pt>
                <c:pt idx="22">
                  <c:v>12.03</c:v>
                </c:pt>
                <c:pt idx="23">
                  <c:v>12.03</c:v>
                </c:pt>
                <c:pt idx="24">
                  <c:v>12.03</c:v>
                </c:pt>
                <c:pt idx="25">
                  <c:v>11.7</c:v>
                </c:pt>
                <c:pt idx="26">
                  <c:v>11.7</c:v>
                </c:pt>
                <c:pt idx="27">
                  <c:v>11.7</c:v>
                </c:pt>
                <c:pt idx="28">
                  <c:v>11.7</c:v>
                </c:pt>
                <c:pt idx="29">
                  <c:v>11.7</c:v>
                </c:pt>
                <c:pt idx="30">
                  <c:v>12.03</c:v>
                </c:pt>
                <c:pt idx="31">
                  <c:v>12.03</c:v>
                </c:pt>
                <c:pt idx="32">
                  <c:v>12.35</c:v>
                </c:pt>
                <c:pt idx="33">
                  <c:v>11.7</c:v>
                </c:pt>
                <c:pt idx="34">
                  <c:v>11.7</c:v>
                </c:pt>
                <c:pt idx="35">
                  <c:v>10.4</c:v>
                </c:pt>
                <c:pt idx="36">
                  <c:v>9.1</c:v>
                </c:pt>
                <c:pt idx="37">
                  <c:v>9.42</c:v>
                </c:pt>
                <c:pt idx="38">
                  <c:v>10.08</c:v>
                </c:pt>
                <c:pt idx="39">
                  <c:v>12.35</c:v>
                </c:pt>
                <c:pt idx="40">
                  <c:v>12.35</c:v>
                </c:pt>
                <c:pt idx="41">
                  <c:v>12.03</c:v>
                </c:pt>
                <c:pt idx="42">
                  <c:v>11.37</c:v>
                </c:pt>
                <c:pt idx="43">
                  <c:v>9.75</c:v>
                </c:pt>
                <c:pt idx="44">
                  <c:v>9.75</c:v>
                </c:pt>
                <c:pt idx="45">
                  <c:v>9.42</c:v>
                </c:pt>
                <c:pt idx="46">
                  <c:v>9.1</c:v>
                </c:pt>
                <c:pt idx="47">
                  <c:v>9.1</c:v>
                </c:pt>
                <c:pt idx="48">
                  <c:v>6.25</c:v>
                </c:pt>
                <c:pt idx="49">
                  <c:v>1.25</c:v>
                </c:pt>
                <c:pt idx="50">
                  <c:v>2.4</c:v>
                </c:pt>
                <c:pt idx="51">
                  <c:v>2</c:v>
                </c:pt>
                <c:pt idx="52">
                  <c:v>1.85</c:v>
                </c:pt>
                <c:pt idx="53">
                  <c:v>2.2000000000000002</c:v>
                </c:pt>
                <c:pt idx="54">
                  <c:v>1.7</c:v>
                </c:pt>
                <c:pt idx="55">
                  <c:v>1.25</c:v>
                </c:pt>
                <c:pt idx="56">
                  <c:v>1.7</c:v>
                </c:pt>
                <c:pt idx="57">
                  <c:v>1.7</c:v>
                </c:pt>
                <c:pt idx="58">
                  <c:v>1.85</c:v>
                </c:pt>
                <c:pt idx="59">
                  <c:v>2.2000000000000002</c:v>
                </c:pt>
                <c:pt idx="60">
                  <c:v>2.6</c:v>
                </c:pt>
                <c:pt idx="61">
                  <c:v>2.6</c:v>
                </c:pt>
                <c:pt idx="62">
                  <c:v>2.6</c:v>
                </c:pt>
                <c:pt idx="63">
                  <c:v>2.4</c:v>
                </c:pt>
                <c:pt idx="64">
                  <c:v>2.2000000000000002</c:v>
                </c:pt>
                <c:pt idx="65">
                  <c:v>2</c:v>
                </c:pt>
                <c:pt idx="66">
                  <c:v>2.4</c:v>
                </c:pt>
                <c:pt idx="67">
                  <c:v>2.8</c:v>
                </c:pt>
                <c:pt idx="68">
                  <c:v>2.8</c:v>
                </c:pt>
                <c:pt idx="69">
                  <c:v>2.4</c:v>
                </c:pt>
                <c:pt idx="70">
                  <c:v>1.55</c:v>
                </c:pt>
                <c:pt idx="71">
                  <c:v>4</c:v>
                </c:pt>
                <c:pt idx="72">
                  <c:v>16.149999999999999</c:v>
                </c:pt>
                <c:pt idx="73">
                  <c:v>6.82</c:v>
                </c:pt>
                <c:pt idx="74">
                  <c:v>3.6</c:v>
                </c:pt>
                <c:pt idx="75">
                  <c:v>2.4</c:v>
                </c:pt>
                <c:pt idx="76">
                  <c:v>2</c:v>
                </c:pt>
                <c:pt idx="77">
                  <c:v>2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3</c:v>
                </c:pt>
                <c:pt idx="81">
                  <c:v>3.2</c:v>
                </c:pt>
                <c:pt idx="82">
                  <c:v>2.8</c:v>
                </c:pt>
                <c:pt idx="83">
                  <c:v>5.5</c:v>
                </c:pt>
                <c:pt idx="84">
                  <c:v>11.7</c:v>
                </c:pt>
                <c:pt idx="85">
                  <c:v>2.8</c:v>
                </c:pt>
                <c:pt idx="86">
                  <c:v>3.2</c:v>
                </c:pt>
                <c:pt idx="87">
                  <c:v>3</c:v>
                </c:pt>
                <c:pt idx="88">
                  <c:v>2.6</c:v>
                </c:pt>
                <c:pt idx="89">
                  <c:v>2.8</c:v>
                </c:pt>
                <c:pt idx="90">
                  <c:v>3</c:v>
                </c:pt>
                <c:pt idx="91">
                  <c:v>2.6</c:v>
                </c:pt>
                <c:pt idx="92">
                  <c:v>2.6</c:v>
                </c:pt>
                <c:pt idx="93">
                  <c:v>2.6</c:v>
                </c:pt>
                <c:pt idx="94">
                  <c:v>3</c:v>
                </c:pt>
                <c:pt idx="95">
                  <c:v>3.4</c:v>
                </c:pt>
                <c:pt idx="96">
                  <c:v>3.2</c:v>
                </c:pt>
                <c:pt idx="97">
                  <c:v>3.2</c:v>
                </c:pt>
                <c:pt idx="98">
                  <c:v>3.6</c:v>
                </c:pt>
                <c:pt idx="99">
                  <c:v>3.6</c:v>
                </c:pt>
                <c:pt idx="100">
                  <c:v>6.82</c:v>
                </c:pt>
                <c:pt idx="101">
                  <c:v>8.77</c:v>
                </c:pt>
                <c:pt idx="102">
                  <c:v>8.4499999999999993</c:v>
                </c:pt>
                <c:pt idx="103">
                  <c:v>6.82</c:v>
                </c:pt>
                <c:pt idx="104">
                  <c:v>6.25</c:v>
                </c:pt>
                <c:pt idx="105">
                  <c:v>12.03</c:v>
                </c:pt>
                <c:pt idx="106">
                  <c:v>10.08</c:v>
                </c:pt>
                <c:pt idx="107">
                  <c:v>9.1</c:v>
                </c:pt>
                <c:pt idx="108">
                  <c:v>9.1</c:v>
                </c:pt>
                <c:pt idx="109">
                  <c:v>7.8</c:v>
                </c:pt>
                <c:pt idx="110">
                  <c:v>5.75</c:v>
                </c:pt>
                <c:pt idx="111">
                  <c:v>5</c:v>
                </c:pt>
                <c:pt idx="112">
                  <c:v>5</c:v>
                </c:pt>
                <c:pt idx="113">
                  <c:v>5.5</c:v>
                </c:pt>
                <c:pt idx="114">
                  <c:v>12.35</c:v>
                </c:pt>
                <c:pt idx="115">
                  <c:v>8.4499999999999993</c:v>
                </c:pt>
                <c:pt idx="116">
                  <c:v>6.82</c:v>
                </c:pt>
                <c:pt idx="117">
                  <c:v>5.5</c:v>
                </c:pt>
                <c:pt idx="118">
                  <c:v>6</c:v>
                </c:pt>
                <c:pt idx="119">
                  <c:v>7.8</c:v>
                </c:pt>
                <c:pt idx="120">
                  <c:v>11.7</c:v>
                </c:pt>
                <c:pt idx="121">
                  <c:v>13</c:v>
                </c:pt>
                <c:pt idx="122">
                  <c:v>12.35</c:v>
                </c:pt>
                <c:pt idx="123">
                  <c:v>11.37</c:v>
                </c:pt>
                <c:pt idx="124">
                  <c:v>10.08</c:v>
                </c:pt>
                <c:pt idx="125">
                  <c:v>9.42</c:v>
                </c:pt>
                <c:pt idx="126">
                  <c:v>10.4</c:v>
                </c:pt>
                <c:pt idx="127">
                  <c:v>15.7</c:v>
                </c:pt>
                <c:pt idx="128">
                  <c:v>12.35</c:v>
                </c:pt>
                <c:pt idx="129">
                  <c:v>12.03</c:v>
                </c:pt>
                <c:pt idx="130">
                  <c:v>24</c:v>
                </c:pt>
                <c:pt idx="131">
                  <c:v>98.1</c:v>
                </c:pt>
                <c:pt idx="132">
                  <c:v>124</c:v>
                </c:pt>
                <c:pt idx="133">
                  <c:v>91.15</c:v>
                </c:pt>
                <c:pt idx="134">
                  <c:v>57.25</c:v>
                </c:pt>
                <c:pt idx="135">
                  <c:v>34.5</c:v>
                </c:pt>
                <c:pt idx="136">
                  <c:v>37</c:v>
                </c:pt>
                <c:pt idx="137">
                  <c:v>28.5</c:v>
                </c:pt>
                <c:pt idx="138">
                  <c:v>22.5</c:v>
                </c:pt>
                <c:pt idx="139">
                  <c:v>16.149999999999999</c:v>
                </c:pt>
                <c:pt idx="140">
                  <c:v>13.9</c:v>
                </c:pt>
                <c:pt idx="141">
                  <c:v>13.45</c:v>
                </c:pt>
                <c:pt idx="142">
                  <c:v>13.45</c:v>
                </c:pt>
                <c:pt idx="143">
                  <c:v>17.95</c:v>
                </c:pt>
                <c:pt idx="144">
                  <c:v>31</c:v>
                </c:pt>
                <c:pt idx="145">
                  <c:v>29.5</c:v>
                </c:pt>
                <c:pt idx="146">
                  <c:v>19.75</c:v>
                </c:pt>
                <c:pt idx="147">
                  <c:v>17.95</c:v>
                </c:pt>
                <c:pt idx="148">
                  <c:v>16.149999999999999</c:v>
                </c:pt>
                <c:pt idx="149">
                  <c:v>14.35</c:v>
                </c:pt>
                <c:pt idx="150">
                  <c:v>12.35</c:v>
                </c:pt>
                <c:pt idx="151">
                  <c:v>11.37</c:v>
                </c:pt>
                <c:pt idx="152">
                  <c:v>13.45</c:v>
                </c:pt>
                <c:pt idx="153">
                  <c:v>47.17</c:v>
                </c:pt>
                <c:pt idx="154">
                  <c:v>40</c:v>
                </c:pt>
                <c:pt idx="155">
                  <c:v>22.5</c:v>
                </c:pt>
                <c:pt idx="156">
                  <c:v>16.149999999999999</c:v>
                </c:pt>
                <c:pt idx="157">
                  <c:v>13.45</c:v>
                </c:pt>
                <c:pt idx="158">
                  <c:v>17.05</c:v>
                </c:pt>
                <c:pt idx="159">
                  <c:v>41</c:v>
                </c:pt>
                <c:pt idx="160">
                  <c:v>73.150000000000006</c:v>
                </c:pt>
                <c:pt idx="161">
                  <c:v>120.5</c:v>
                </c:pt>
                <c:pt idx="162">
                  <c:v>100.9</c:v>
                </c:pt>
                <c:pt idx="163">
                  <c:v>54.12</c:v>
                </c:pt>
                <c:pt idx="164">
                  <c:v>42</c:v>
                </c:pt>
                <c:pt idx="165">
                  <c:v>54.12</c:v>
                </c:pt>
                <c:pt idx="166">
                  <c:v>57.87</c:v>
                </c:pt>
                <c:pt idx="167">
                  <c:v>83.05</c:v>
                </c:pt>
                <c:pt idx="168">
                  <c:v>71.2</c:v>
                </c:pt>
                <c:pt idx="169">
                  <c:v>86.42</c:v>
                </c:pt>
                <c:pt idx="170">
                  <c:v>83.05</c:v>
                </c:pt>
                <c:pt idx="171">
                  <c:v>52.35</c:v>
                </c:pt>
                <c:pt idx="172">
                  <c:v>43.72</c:v>
                </c:pt>
                <c:pt idx="173">
                  <c:v>38.5</c:v>
                </c:pt>
                <c:pt idx="174">
                  <c:v>29.5</c:v>
                </c:pt>
                <c:pt idx="175">
                  <c:v>25</c:v>
                </c:pt>
                <c:pt idx="176">
                  <c:v>23</c:v>
                </c:pt>
                <c:pt idx="177">
                  <c:v>23</c:v>
                </c:pt>
                <c:pt idx="178">
                  <c:v>36.5</c:v>
                </c:pt>
                <c:pt idx="179">
                  <c:v>85.75</c:v>
                </c:pt>
                <c:pt idx="180">
                  <c:v>59.75</c:v>
                </c:pt>
                <c:pt idx="181">
                  <c:v>77.05</c:v>
                </c:pt>
                <c:pt idx="182">
                  <c:v>41.5</c:v>
                </c:pt>
                <c:pt idx="183">
                  <c:v>32.5</c:v>
                </c:pt>
                <c:pt idx="184">
                  <c:v>30.5</c:v>
                </c:pt>
                <c:pt idx="185">
                  <c:v>31.5</c:v>
                </c:pt>
                <c:pt idx="186">
                  <c:v>29.5</c:v>
                </c:pt>
                <c:pt idx="187">
                  <c:v>26.5</c:v>
                </c:pt>
                <c:pt idx="188">
                  <c:v>32.5</c:v>
                </c:pt>
                <c:pt idx="189">
                  <c:v>26.5</c:v>
                </c:pt>
                <c:pt idx="190">
                  <c:v>23</c:v>
                </c:pt>
                <c:pt idx="191">
                  <c:v>19.75</c:v>
                </c:pt>
                <c:pt idx="192">
                  <c:v>17.05</c:v>
                </c:pt>
                <c:pt idx="193">
                  <c:v>15.25</c:v>
                </c:pt>
                <c:pt idx="194">
                  <c:v>14.8</c:v>
                </c:pt>
                <c:pt idx="195">
                  <c:v>14.8</c:v>
                </c:pt>
                <c:pt idx="196">
                  <c:v>13.9</c:v>
                </c:pt>
                <c:pt idx="197">
                  <c:v>13</c:v>
                </c:pt>
                <c:pt idx="198">
                  <c:v>12.35</c:v>
                </c:pt>
                <c:pt idx="199">
                  <c:v>12.68</c:v>
                </c:pt>
                <c:pt idx="200">
                  <c:v>51.2</c:v>
                </c:pt>
                <c:pt idx="201">
                  <c:v>131</c:v>
                </c:pt>
                <c:pt idx="202">
                  <c:v>91.82</c:v>
                </c:pt>
                <c:pt idx="203">
                  <c:v>73.8</c:v>
                </c:pt>
                <c:pt idx="204">
                  <c:v>94.6</c:v>
                </c:pt>
                <c:pt idx="205">
                  <c:v>76.400000000000006</c:v>
                </c:pt>
                <c:pt idx="206">
                  <c:v>66.650000000000006</c:v>
                </c:pt>
                <c:pt idx="207">
                  <c:v>56.63</c:v>
                </c:pt>
                <c:pt idx="208">
                  <c:v>46.6</c:v>
                </c:pt>
                <c:pt idx="209">
                  <c:v>41</c:v>
                </c:pt>
                <c:pt idx="210">
                  <c:v>40</c:v>
                </c:pt>
                <c:pt idx="211">
                  <c:v>54.12</c:v>
                </c:pt>
                <c:pt idx="212">
                  <c:v>39.5</c:v>
                </c:pt>
                <c:pt idx="213">
                  <c:v>36</c:v>
                </c:pt>
                <c:pt idx="214">
                  <c:v>33</c:v>
                </c:pt>
                <c:pt idx="215">
                  <c:v>29.5</c:v>
                </c:pt>
                <c:pt idx="216">
                  <c:v>26.5</c:v>
                </c:pt>
                <c:pt idx="217">
                  <c:v>24.5</c:v>
                </c:pt>
                <c:pt idx="218">
                  <c:v>22</c:v>
                </c:pt>
                <c:pt idx="219">
                  <c:v>20.65</c:v>
                </c:pt>
                <c:pt idx="220">
                  <c:v>19.3</c:v>
                </c:pt>
                <c:pt idx="221">
                  <c:v>18.399999999999999</c:v>
                </c:pt>
                <c:pt idx="222">
                  <c:v>17.5</c:v>
                </c:pt>
                <c:pt idx="223">
                  <c:v>16.600000000000001</c:v>
                </c:pt>
                <c:pt idx="224">
                  <c:v>15.7</c:v>
                </c:pt>
                <c:pt idx="225">
                  <c:v>15.7</c:v>
                </c:pt>
                <c:pt idx="226">
                  <c:v>14.8</c:v>
                </c:pt>
                <c:pt idx="227">
                  <c:v>15.7</c:v>
                </c:pt>
                <c:pt idx="228">
                  <c:v>23.5</c:v>
                </c:pt>
                <c:pt idx="229">
                  <c:v>16.600000000000001</c:v>
                </c:pt>
                <c:pt idx="230">
                  <c:v>15.7</c:v>
                </c:pt>
                <c:pt idx="231">
                  <c:v>16.149999999999999</c:v>
                </c:pt>
                <c:pt idx="232">
                  <c:v>19.3</c:v>
                </c:pt>
                <c:pt idx="233">
                  <c:v>25</c:v>
                </c:pt>
                <c:pt idx="234">
                  <c:v>19.75</c:v>
                </c:pt>
                <c:pt idx="235">
                  <c:v>16.600000000000001</c:v>
                </c:pt>
                <c:pt idx="236">
                  <c:v>14.35</c:v>
                </c:pt>
                <c:pt idx="237">
                  <c:v>13.9</c:v>
                </c:pt>
                <c:pt idx="238">
                  <c:v>13</c:v>
                </c:pt>
                <c:pt idx="239">
                  <c:v>12.35</c:v>
                </c:pt>
                <c:pt idx="240">
                  <c:v>12.35</c:v>
                </c:pt>
                <c:pt idx="241">
                  <c:v>12.35</c:v>
                </c:pt>
                <c:pt idx="242">
                  <c:v>12.03</c:v>
                </c:pt>
                <c:pt idx="243">
                  <c:v>12.35</c:v>
                </c:pt>
                <c:pt idx="244">
                  <c:v>11.7</c:v>
                </c:pt>
                <c:pt idx="245">
                  <c:v>11.05</c:v>
                </c:pt>
                <c:pt idx="246">
                  <c:v>11.05</c:v>
                </c:pt>
                <c:pt idx="247">
                  <c:v>10.73</c:v>
                </c:pt>
                <c:pt idx="248">
                  <c:v>10.4</c:v>
                </c:pt>
                <c:pt idx="249">
                  <c:v>10.08</c:v>
                </c:pt>
                <c:pt idx="250">
                  <c:v>9.75</c:v>
                </c:pt>
                <c:pt idx="251">
                  <c:v>9.75</c:v>
                </c:pt>
                <c:pt idx="252">
                  <c:v>9.42</c:v>
                </c:pt>
                <c:pt idx="253">
                  <c:v>9.1</c:v>
                </c:pt>
                <c:pt idx="254">
                  <c:v>9.1</c:v>
                </c:pt>
                <c:pt idx="255">
                  <c:v>9.42</c:v>
                </c:pt>
                <c:pt idx="256">
                  <c:v>10.4</c:v>
                </c:pt>
                <c:pt idx="257">
                  <c:v>19.3</c:v>
                </c:pt>
                <c:pt idx="258">
                  <c:v>29</c:v>
                </c:pt>
                <c:pt idx="259">
                  <c:v>27.5</c:v>
                </c:pt>
                <c:pt idx="260">
                  <c:v>16.149999999999999</c:v>
                </c:pt>
                <c:pt idx="261">
                  <c:v>13</c:v>
                </c:pt>
                <c:pt idx="262">
                  <c:v>12.03</c:v>
                </c:pt>
                <c:pt idx="263">
                  <c:v>10.73</c:v>
                </c:pt>
                <c:pt idx="264">
                  <c:v>9.75</c:v>
                </c:pt>
                <c:pt idx="265">
                  <c:v>9.1</c:v>
                </c:pt>
                <c:pt idx="266">
                  <c:v>8.77</c:v>
                </c:pt>
                <c:pt idx="267">
                  <c:v>8.1300000000000008</c:v>
                </c:pt>
                <c:pt idx="268">
                  <c:v>11.05</c:v>
                </c:pt>
                <c:pt idx="269">
                  <c:v>8.1300000000000008</c:v>
                </c:pt>
                <c:pt idx="270">
                  <c:v>7.47</c:v>
                </c:pt>
                <c:pt idx="271">
                  <c:v>7.47</c:v>
                </c:pt>
                <c:pt idx="272">
                  <c:v>7.8</c:v>
                </c:pt>
                <c:pt idx="273">
                  <c:v>7.8</c:v>
                </c:pt>
                <c:pt idx="274">
                  <c:v>7.8</c:v>
                </c:pt>
                <c:pt idx="275">
                  <c:v>7.8</c:v>
                </c:pt>
                <c:pt idx="276">
                  <c:v>7.47</c:v>
                </c:pt>
                <c:pt idx="277">
                  <c:v>7.47</c:v>
                </c:pt>
                <c:pt idx="278">
                  <c:v>7.47</c:v>
                </c:pt>
                <c:pt idx="279">
                  <c:v>7.47</c:v>
                </c:pt>
                <c:pt idx="280">
                  <c:v>6.82</c:v>
                </c:pt>
                <c:pt idx="281">
                  <c:v>7.15</c:v>
                </c:pt>
                <c:pt idx="282">
                  <c:v>7.15</c:v>
                </c:pt>
                <c:pt idx="283">
                  <c:v>6.82</c:v>
                </c:pt>
                <c:pt idx="284">
                  <c:v>6.82</c:v>
                </c:pt>
                <c:pt idx="285">
                  <c:v>6.5</c:v>
                </c:pt>
                <c:pt idx="286">
                  <c:v>6.5</c:v>
                </c:pt>
                <c:pt idx="287">
                  <c:v>6.25</c:v>
                </c:pt>
                <c:pt idx="288">
                  <c:v>6.5</c:v>
                </c:pt>
                <c:pt idx="289">
                  <c:v>6.5</c:v>
                </c:pt>
                <c:pt idx="290">
                  <c:v>6.5</c:v>
                </c:pt>
                <c:pt idx="291">
                  <c:v>8.77</c:v>
                </c:pt>
                <c:pt idx="292">
                  <c:v>17.95</c:v>
                </c:pt>
                <c:pt idx="293">
                  <c:v>18.850000000000001</c:v>
                </c:pt>
                <c:pt idx="294">
                  <c:v>14.8</c:v>
                </c:pt>
                <c:pt idx="295">
                  <c:v>5.75</c:v>
                </c:pt>
                <c:pt idx="296">
                  <c:v>5.5</c:v>
                </c:pt>
                <c:pt idx="297">
                  <c:v>5.5</c:v>
                </c:pt>
                <c:pt idx="298">
                  <c:v>6.5</c:v>
                </c:pt>
                <c:pt idx="299">
                  <c:v>17.95</c:v>
                </c:pt>
                <c:pt idx="300">
                  <c:v>18.399999999999999</c:v>
                </c:pt>
                <c:pt idx="301">
                  <c:v>13</c:v>
                </c:pt>
                <c:pt idx="302">
                  <c:v>5</c:v>
                </c:pt>
                <c:pt idx="303">
                  <c:v>4.5</c:v>
                </c:pt>
                <c:pt idx="304">
                  <c:v>4.75</c:v>
                </c:pt>
                <c:pt idx="305">
                  <c:v>6.82</c:v>
                </c:pt>
                <c:pt idx="306">
                  <c:v>17.95</c:v>
                </c:pt>
                <c:pt idx="307">
                  <c:v>14.8</c:v>
                </c:pt>
                <c:pt idx="308">
                  <c:v>6</c:v>
                </c:pt>
                <c:pt idx="309">
                  <c:v>8.1300000000000008</c:v>
                </c:pt>
                <c:pt idx="310">
                  <c:v>4.75</c:v>
                </c:pt>
                <c:pt idx="311">
                  <c:v>4.5</c:v>
                </c:pt>
                <c:pt idx="312">
                  <c:v>6.82</c:v>
                </c:pt>
                <c:pt idx="313">
                  <c:v>15.7</c:v>
                </c:pt>
                <c:pt idx="314">
                  <c:v>16.149999999999999</c:v>
                </c:pt>
                <c:pt idx="315">
                  <c:v>12.03</c:v>
                </c:pt>
                <c:pt idx="316">
                  <c:v>4</c:v>
                </c:pt>
                <c:pt idx="317">
                  <c:v>3.8</c:v>
                </c:pt>
                <c:pt idx="318">
                  <c:v>4</c:v>
                </c:pt>
                <c:pt idx="319">
                  <c:v>5.75</c:v>
                </c:pt>
                <c:pt idx="320">
                  <c:v>18.850000000000001</c:v>
                </c:pt>
                <c:pt idx="321">
                  <c:v>24</c:v>
                </c:pt>
                <c:pt idx="322">
                  <c:v>17.05</c:v>
                </c:pt>
                <c:pt idx="323">
                  <c:v>3.6</c:v>
                </c:pt>
                <c:pt idx="324">
                  <c:v>3.4</c:v>
                </c:pt>
                <c:pt idx="325">
                  <c:v>3.6</c:v>
                </c:pt>
                <c:pt idx="326">
                  <c:v>5.5</c:v>
                </c:pt>
                <c:pt idx="327">
                  <c:v>15.7</c:v>
                </c:pt>
                <c:pt idx="328">
                  <c:v>9.75</c:v>
                </c:pt>
                <c:pt idx="329">
                  <c:v>11.37</c:v>
                </c:pt>
                <c:pt idx="330">
                  <c:v>3.4</c:v>
                </c:pt>
                <c:pt idx="331">
                  <c:v>3</c:v>
                </c:pt>
                <c:pt idx="332">
                  <c:v>3</c:v>
                </c:pt>
                <c:pt idx="333">
                  <c:v>5.5</c:v>
                </c:pt>
                <c:pt idx="334">
                  <c:v>5.5</c:v>
                </c:pt>
                <c:pt idx="335">
                  <c:v>14.8</c:v>
                </c:pt>
                <c:pt idx="336">
                  <c:v>15.25</c:v>
                </c:pt>
                <c:pt idx="337">
                  <c:v>10.4</c:v>
                </c:pt>
                <c:pt idx="338">
                  <c:v>3</c:v>
                </c:pt>
                <c:pt idx="339">
                  <c:v>3.2</c:v>
                </c:pt>
                <c:pt idx="340">
                  <c:v>3</c:v>
                </c:pt>
                <c:pt idx="341">
                  <c:v>4.75</c:v>
                </c:pt>
                <c:pt idx="342">
                  <c:v>14.8</c:v>
                </c:pt>
                <c:pt idx="343">
                  <c:v>15.25</c:v>
                </c:pt>
                <c:pt idx="344">
                  <c:v>15.25</c:v>
                </c:pt>
                <c:pt idx="345">
                  <c:v>12.03</c:v>
                </c:pt>
                <c:pt idx="346">
                  <c:v>3</c:v>
                </c:pt>
                <c:pt idx="347">
                  <c:v>2.8</c:v>
                </c:pt>
                <c:pt idx="348">
                  <c:v>4.75</c:v>
                </c:pt>
                <c:pt idx="349">
                  <c:v>17.05</c:v>
                </c:pt>
                <c:pt idx="350">
                  <c:v>17.5</c:v>
                </c:pt>
                <c:pt idx="351">
                  <c:v>17.95</c:v>
                </c:pt>
                <c:pt idx="352">
                  <c:v>12.35</c:v>
                </c:pt>
                <c:pt idx="353">
                  <c:v>2.6</c:v>
                </c:pt>
                <c:pt idx="354">
                  <c:v>2.2000000000000002</c:v>
                </c:pt>
                <c:pt idx="355">
                  <c:v>4.75</c:v>
                </c:pt>
                <c:pt idx="356">
                  <c:v>16.600000000000001</c:v>
                </c:pt>
                <c:pt idx="357">
                  <c:v>14.8</c:v>
                </c:pt>
                <c:pt idx="358">
                  <c:v>12.68</c:v>
                </c:pt>
                <c:pt idx="359">
                  <c:v>8.1300000000000008</c:v>
                </c:pt>
                <c:pt idx="360">
                  <c:v>2</c:v>
                </c:pt>
                <c:pt idx="361">
                  <c:v>2</c:v>
                </c:pt>
                <c:pt idx="362">
                  <c:v>5.25</c:v>
                </c:pt>
                <c:pt idx="363">
                  <c:v>17.05</c:v>
                </c:pt>
                <c:pt idx="364">
                  <c:v>14.8</c:v>
                </c:pt>
                <c:pt idx="365">
                  <c:v>13.45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83232"/>
        <c:axId val="89993600"/>
      </c:lineChart>
      <c:catAx>
        <c:axId val="899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99360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8999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9983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18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660066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Flow  -  CMS</a:t>
            </a:r>
          </a:p>
        </c:rich>
      </c:tx>
      <c:layout>
        <c:manualLayout>
          <c:xMode val="edge"/>
          <c:yMode val="edge"/>
          <c:x val="0.46471846044191017"/>
          <c:y val="2.573529411764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63435495367072E-2"/>
          <c:y val="0.18995120771964005"/>
          <c:w val="0.95295794725588023"/>
          <c:h val="0.75490286422773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9966"/>
            </a:solidFill>
            <a:ln w="12700">
              <a:solidFill>
                <a:srgbClr val="008080"/>
              </a:solidFill>
              <a:prstDash val="solid"/>
            </a:ln>
          </c:spPr>
          <c:invertIfNegative val="0"/>
          <c:val>
            <c:numRef>
              <c:f>'Graph-GH'!$AW$5:$AW$370</c:f>
              <c:numCache>
                <c:formatCode>0.00</c:formatCode>
                <c:ptCount val="366"/>
                <c:pt idx="0">
                  <c:v>8.1300000000000008</c:v>
                </c:pt>
                <c:pt idx="1">
                  <c:v>18.399999999999999</c:v>
                </c:pt>
                <c:pt idx="2">
                  <c:v>13.45</c:v>
                </c:pt>
                <c:pt idx="3">
                  <c:v>11.37</c:v>
                </c:pt>
                <c:pt idx="4">
                  <c:v>12.35</c:v>
                </c:pt>
                <c:pt idx="5">
                  <c:v>13</c:v>
                </c:pt>
                <c:pt idx="6">
                  <c:v>17.05</c:v>
                </c:pt>
                <c:pt idx="7">
                  <c:v>14.35</c:v>
                </c:pt>
                <c:pt idx="8">
                  <c:v>13</c:v>
                </c:pt>
                <c:pt idx="9">
                  <c:v>13.45</c:v>
                </c:pt>
                <c:pt idx="10">
                  <c:v>13.9</c:v>
                </c:pt>
                <c:pt idx="11">
                  <c:v>12.35</c:v>
                </c:pt>
                <c:pt idx="12">
                  <c:v>11.7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12.68</c:v>
                </c:pt>
                <c:pt idx="19">
                  <c:v>12.03</c:v>
                </c:pt>
                <c:pt idx="20">
                  <c:v>12.03</c:v>
                </c:pt>
                <c:pt idx="21">
                  <c:v>12.35</c:v>
                </c:pt>
                <c:pt idx="22">
                  <c:v>12.03</c:v>
                </c:pt>
                <c:pt idx="23">
                  <c:v>12.03</c:v>
                </c:pt>
                <c:pt idx="24">
                  <c:v>12.03</c:v>
                </c:pt>
                <c:pt idx="25">
                  <c:v>11.7</c:v>
                </c:pt>
                <c:pt idx="26">
                  <c:v>11.7</c:v>
                </c:pt>
                <c:pt idx="27">
                  <c:v>11.7</c:v>
                </c:pt>
                <c:pt idx="28">
                  <c:v>11.7</c:v>
                </c:pt>
                <c:pt idx="29">
                  <c:v>11.7</c:v>
                </c:pt>
                <c:pt idx="30">
                  <c:v>12.03</c:v>
                </c:pt>
                <c:pt idx="31">
                  <c:v>12.03</c:v>
                </c:pt>
                <c:pt idx="32">
                  <c:v>12.35</c:v>
                </c:pt>
                <c:pt idx="33">
                  <c:v>11.7</c:v>
                </c:pt>
                <c:pt idx="34">
                  <c:v>11.7</c:v>
                </c:pt>
                <c:pt idx="35">
                  <c:v>10.4</c:v>
                </c:pt>
                <c:pt idx="36">
                  <c:v>9.1</c:v>
                </c:pt>
                <c:pt idx="37">
                  <c:v>9.42</c:v>
                </c:pt>
                <c:pt idx="38">
                  <c:v>10.08</c:v>
                </c:pt>
                <c:pt idx="39">
                  <c:v>12.35</c:v>
                </c:pt>
                <c:pt idx="40">
                  <c:v>12.35</c:v>
                </c:pt>
                <c:pt idx="41">
                  <c:v>12.03</c:v>
                </c:pt>
                <c:pt idx="42">
                  <c:v>11.37</c:v>
                </c:pt>
                <c:pt idx="43">
                  <c:v>9.75</c:v>
                </c:pt>
                <c:pt idx="44">
                  <c:v>9.75</c:v>
                </c:pt>
                <c:pt idx="45">
                  <c:v>9.42</c:v>
                </c:pt>
                <c:pt idx="46">
                  <c:v>9.1</c:v>
                </c:pt>
                <c:pt idx="47">
                  <c:v>9.1</c:v>
                </c:pt>
                <c:pt idx="48">
                  <c:v>6.25</c:v>
                </c:pt>
                <c:pt idx="49">
                  <c:v>1.25</c:v>
                </c:pt>
                <c:pt idx="50">
                  <c:v>2.4</c:v>
                </c:pt>
                <c:pt idx="51">
                  <c:v>2</c:v>
                </c:pt>
                <c:pt idx="52">
                  <c:v>1.85</c:v>
                </c:pt>
                <c:pt idx="53">
                  <c:v>2.2000000000000002</c:v>
                </c:pt>
                <c:pt idx="54">
                  <c:v>1.7</c:v>
                </c:pt>
                <c:pt idx="55">
                  <c:v>1.25</c:v>
                </c:pt>
                <c:pt idx="56">
                  <c:v>1.7</c:v>
                </c:pt>
                <c:pt idx="57">
                  <c:v>1.7</c:v>
                </c:pt>
                <c:pt idx="58">
                  <c:v>1.85</c:v>
                </c:pt>
                <c:pt idx="59">
                  <c:v>2.2000000000000002</c:v>
                </c:pt>
                <c:pt idx="60">
                  <c:v>2.6</c:v>
                </c:pt>
                <c:pt idx="61">
                  <c:v>2.6</c:v>
                </c:pt>
                <c:pt idx="62">
                  <c:v>2.6</c:v>
                </c:pt>
                <c:pt idx="63">
                  <c:v>2.4</c:v>
                </c:pt>
                <c:pt idx="64">
                  <c:v>2.2000000000000002</c:v>
                </c:pt>
                <c:pt idx="65">
                  <c:v>2</c:v>
                </c:pt>
                <c:pt idx="66">
                  <c:v>2.4</c:v>
                </c:pt>
                <c:pt idx="67">
                  <c:v>2.8</c:v>
                </c:pt>
                <c:pt idx="68">
                  <c:v>2.8</c:v>
                </c:pt>
                <c:pt idx="69">
                  <c:v>2.4</c:v>
                </c:pt>
                <c:pt idx="70">
                  <c:v>1.55</c:v>
                </c:pt>
                <c:pt idx="71">
                  <c:v>4</c:v>
                </c:pt>
                <c:pt idx="72">
                  <c:v>16.149999999999999</c:v>
                </c:pt>
                <c:pt idx="73">
                  <c:v>6.82</c:v>
                </c:pt>
                <c:pt idx="74">
                  <c:v>3.6</c:v>
                </c:pt>
                <c:pt idx="75">
                  <c:v>2.4</c:v>
                </c:pt>
                <c:pt idx="76">
                  <c:v>2</c:v>
                </c:pt>
                <c:pt idx="77">
                  <c:v>2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3</c:v>
                </c:pt>
                <c:pt idx="81">
                  <c:v>3.2</c:v>
                </c:pt>
                <c:pt idx="82">
                  <c:v>2.8</c:v>
                </c:pt>
                <c:pt idx="83">
                  <c:v>5.5</c:v>
                </c:pt>
                <c:pt idx="84">
                  <c:v>11.7</c:v>
                </c:pt>
                <c:pt idx="85">
                  <c:v>2.8</c:v>
                </c:pt>
                <c:pt idx="86">
                  <c:v>3.2</c:v>
                </c:pt>
                <c:pt idx="87">
                  <c:v>3</c:v>
                </c:pt>
                <c:pt idx="88">
                  <c:v>2.6</c:v>
                </c:pt>
                <c:pt idx="89">
                  <c:v>2.8</c:v>
                </c:pt>
                <c:pt idx="90">
                  <c:v>3</c:v>
                </c:pt>
                <c:pt idx="91">
                  <c:v>2.6</c:v>
                </c:pt>
                <c:pt idx="92">
                  <c:v>2.6</c:v>
                </c:pt>
                <c:pt idx="93">
                  <c:v>2.6</c:v>
                </c:pt>
                <c:pt idx="94">
                  <c:v>3</c:v>
                </c:pt>
                <c:pt idx="95">
                  <c:v>3.4</c:v>
                </c:pt>
                <c:pt idx="96">
                  <c:v>3.2</c:v>
                </c:pt>
                <c:pt idx="97">
                  <c:v>3.2</c:v>
                </c:pt>
                <c:pt idx="98">
                  <c:v>3.6</c:v>
                </c:pt>
                <c:pt idx="99">
                  <c:v>3.6</c:v>
                </c:pt>
                <c:pt idx="100">
                  <c:v>6.82</c:v>
                </c:pt>
                <c:pt idx="101">
                  <c:v>8.77</c:v>
                </c:pt>
                <c:pt idx="102">
                  <c:v>8.4499999999999993</c:v>
                </c:pt>
                <c:pt idx="103">
                  <c:v>6.82</c:v>
                </c:pt>
                <c:pt idx="104">
                  <c:v>6.25</c:v>
                </c:pt>
                <c:pt idx="105">
                  <c:v>12.03</c:v>
                </c:pt>
                <c:pt idx="106">
                  <c:v>10.08</c:v>
                </c:pt>
                <c:pt idx="107">
                  <c:v>9.1</c:v>
                </c:pt>
                <c:pt idx="108">
                  <c:v>9.1</c:v>
                </c:pt>
                <c:pt idx="109">
                  <c:v>7.8</c:v>
                </c:pt>
                <c:pt idx="110">
                  <c:v>5.75</c:v>
                </c:pt>
                <c:pt idx="111">
                  <c:v>5</c:v>
                </c:pt>
                <c:pt idx="112">
                  <c:v>5</c:v>
                </c:pt>
                <c:pt idx="113">
                  <c:v>5.5</c:v>
                </c:pt>
                <c:pt idx="114">
                  <c:v>12.35</c:v>
                </c:pt>
                <c:pt idx="115">
                  <c:v>8.4499999999999993</c:v>
                </c:pt>
                <c:pt idx="116">
                  <c:v>6.82</c:v>
                </c:pt>
                <c:pt idx="117">
                  <c:v>5.5</c:v>
                </c:pt>
                <c:pt idx="118">
                  <c:v>6</c:v>
                </c:pt>
                <c:pt idx="119">
                  <c:v>7.8</c:v>
                </c:pt>
                <c:pt idx="120">
                  <c:v>11.7</c:v>
                </c:pt>
                <c:pt idx="121">
                  <c:v>13</c:v>
                </c:pt>
                <c:pt idx="122">
                  <c:v>12.35</c:v>
                </c:pt>
                <c:pt idx="123">
                  <c:v>11.37</c:v>
                </c:pt>
                <c:pt idx="124">
                  <c:v>10.08</c:v>
                </c:pt>
                <c:pt idx="125">
                  <c:v>9.42</c:v>
                </c:pt>
                <c:pt idx="126">
                  <c:v>10.4</c:v>
                </c:pt>
                <c:pt idx="127">
                  <c:v>15.7</c:v>
                </c:pt>
                <c:pt idx="128">
                  <c:v>12.35</c:v>
                </c:pt>
                <c:pt idx="129">
                  <c:v>12.03</c:v>
                </c:pt>
                <c:pt idx="130">
                  <c:v>24</c:v>
                </c:pt>
                <c:pt idx="131">
                  <c:v>98.1</c:v>
                </c:pt>
                <c:pt idx="132">
                  <c:v>124</c:v>
                </c:pt>
                <c:pt idx="133">
                  <c:v>91.15</c:v>
                </c:pt>
                <c:pt idx="134">
                  <c:v>57.25</c:v>
                </c:pt>
                <c:pt idx="135">
                  <c:v>34.5</c:v>
                </c:pt>
                <c:pt idx="136">
                  <c:v>37</c:v>
                </c:pt>
                <c:pt idx="137">
                  <c:v>28.5</c:v>
                </c:pt>
                <c:pt idx="138">
                  <c:v>22.5</c:v>
                </c:pt>
                <c:pt idx="139">
                  <c:v>16.149999999999999</c:v>
                </c:pt>
                <c:pt idx="140">
                  <c:v>13.9</c:v>
                </c:pt>
                <c:pt idx="141">
                  <c:v>13.45</c:v>
                </c:pt>
                <c:pt idx="142">
                  <c:v>13.45</c:v>
                </c:pt>
                <c:pt idx="143">
                  <c:v>17.95</c:v>
                </c:pt>
                <c:pt idx="144">
                  <c:v>31</c:v>
                </c:pt>
                <c:pt idx="145">
                  <c:v>29.5</c:v>
                </c:pt>
                <c:pt idx="146">
                  <c:v>19.75</c:v>
                </c:pt>
                <c:pt idx="147">
                  <c:v>17.95</c:v>
                </c:pt>
                <c:pt idx="148">
                  <c:v>16.149999999999999</c:v>
                </c:pt>
                <c:pt idx="149">
                  <c:v>14.35</c:v>
                </c:pt>
                <c:pt idx="150">
                  <c:v>12.35</c:v>
                </c:pt>
                <c:pt idx="151">
                  <c:v>11.37</c:v>
                </c:pt>
                <c:pt idx="152">
                  <c:v>13.45</c:v>
                </c:pt>
                <c:pt idx="153">
                  <c:v>47.17</c:v>
                </c:pt>
                <c:pt idx="154">
                  <c:v>40</c:v>
                </c:pt>
                <c:pt idx="155">
                  <c:v>22.5</c:v>
                </c:pt>
                <c:pt idx="156">
                  <c:v>16.149999999999999</c:v>
                </c:pt>
                <c:pt idx="157">
                  <c:v>13.45</c:v>
                </c:pt>
                <c:pt idx="158">
                  <c:v>17.05</c:v>
                </c:pt>
                <c:pt idx="159">
                  <c:v>41</c:v>
                </c:pt>
                <c:pt idx="160">
                  <c:v>73.150000000000006</c:v>
                </c:pt>
                <c:pt idx="161">
                  <c:v>120.5</c:v>
                </c:pt>
                <c:pt idx="162">
                  <c:v>100.9</c:v>
                </c:pt>
                <c:pt idx="163">
                  <c:v>54.12</c:v>
                </c:pt>
                <c:pt idx="164">
                  <c:v>42</c:v>
                </c:pt>
                <c:pt idx="165">
                  <c:v>54.12</c:v>
                </c:pt>
                <c:pt idx="166">
                  <c:v>57.87</c:v>
                </c:pt>
                <c:pt idx="167">
                  <c:v>83.05</c:v>
                </c:pt>
                <c:pt idx="168">
                  <c:v>71.2</c:v>
                </c:pt>
                <c:pt idx="169">
                  <c:v>86.42</c:v>
                </c:pt>
                <c:pt idx="170">
                  <c:v>83.05</c:v>
                </c:pt>
                <c:pt idx="171">
                  <c:v>52.35</c:v>
                </c:pt>
                <c:pt idx="172">
                  <c:v>43.72</c:v>
                </c:pt>
                <c:pt idx="173">
                  <c:v>38.5</c:v>
                </c:pt>
                <c:pt idx="174">
                  <c:v>29.5</c:v>
                </c:pt>
                <c:pt idx="175">
                  <c:v>25</c:v>
                </c:pt>
                <c:pt idx="176">
                  <c:v>23</c:v>
                </c:pt>
                <c:pt idx="177">
                  <c:v>23</c:v>
                </c:pt>
                <c:pt idx="178">
                  <c:v>36.5</c:v>
                </c:pt>
                <c:pt idx="179">
                  <c:v>85.75</c:v>
                </c:pt>
                <c:pt idx="180">
                  <c:v>59.75</c:v>
                </c:pt>
                <c:pt idx="181">
                  <c:v>77.05</c:v>
                </c:pt>
                <c:pt idx="182">
                  <c:v>41.5</c:v>
                </c:pt>
                <c:pt idx="183">
                  <c:v>32.5</c:v>
                </c:pt>
                <c:pt idx="184">
                  <c:v>30.5</c:v>
                </c:pt>
                <c:pt idx="185">
                  <c:v>31.5</c:v>
                </c:pt>
                <c:pt idx="186">
                  <c:v>29.5</c:v>
                </c:pt>
                <c:pt idx="187">
                  <c:v>26.5</c:v>
                </c:pt>
                <c:pt idx="188">
                  <c:v>32.5</c:v>
                </c:pt>
                <c:pt idx="189">
                  <c:v>26.5</c:v>
                </c:pt>
                <c:pt idx="190">
                  <c:v>23</c:v>
                </c:pt>
                <c:pt idx="191">
                  <c:v>19.75</c:v>
                </c:pt>
                <c:pt idx="192">
                  <c:v>17.05</c:v>
                </c:pt>
                <c:pt idx="193">
                  <c:v>15.25</c:v>
                </c:pt>
                <c:pt idx="194">
                  <c:v>14.8</c:v>
                </c:pt>
                <c:pt idx="195">
                  <c:v>14.8</c:v>
                </c:pt>
                <c:pt idx="196">
                  <c:v>13.9</c:v>
                </c:pt>
                <c:pt idx="197">
                  <c:v>13</c:v>
                </c:pt>
                <c:pt idx="198">
                  <c:v>12.35</c:v>
                </c:pt>
                <c:pt idx="199">
                  <c:v>12.68</c:v>
                </c:pt>
                <c:pt idx="200">
                  <c:v>51.2</c:v>
                </c:pt>
                <c:pt idx="201">
                  <c:v>131</c:v>
                </c:pt>
                <c:pt idx="202">
                  <c:v>91.82</c:v>
                </c:pt>
                <c:pt idx="203">
                  <c:v>73.8</c:v>
                </c:pt>
                <c:pt idx="204">
                  <c:v>94.6</c:v>
                </c:pt>
                <c:pt idx="205">
                  <c:v>76.400000000000006</c:v>
                </c:pt>
                <c:pt idx="206">
                  <c:v>66.650000000000006</c:v>
                </c:pt>
                <c:pt idx="207">
                  <c:v>56.63</c:v>
                </c:pt>
                <c:pt idx="208">
                  <c:v>46.6</c:v>
                </c:pt>
                <c:pt idx="209">
                  <c:v>41</c:v>
                </c:pt>
                <c:pt idx="210">
                  <c:v>40</c:v>
                </c:pt>
                <c:pt idx="211">
                  <c:v>54.12</c:v>
                </c:pt>
                <c:pt idx="212">
                  <c:v>39.5</c:v>
                </c:pt>
                <c:pt idx="213">
                  <c:v>36</c:v>
                </c:pt>
                <c:pt idx="214">
                  <c:v>33</c:v>
                </c:pt>
                <c:pt idx="215">
                  <c:v>29.5</c:v>
                </c:pt>
                <c:pt idx="216">
                  <c:v>26.5</c:v>
                </c:pt>
                <c:pt idx="217">
                  <c:v>24.5</c:v>
                </c:pt>
                <c:pt idx="218">
                  <c:v>22</c:v>
                </c:pt>
                <c:pt idx="219">
                  <c:v>20.65</c:v>
                </c:pt>
                <c:pt idx="220">
                  <c:v>19.3</c:v>
                </c:pt>
                <c:pt idx="221">
                  <c:v>18.399999999999999</c:v>
                </c:pt>
                <c:pt idx="222">
                  <c:v>17.5</c:v>
                </c:pt>
                <c:pt idx="223">
                  <c:v>16.600000000000001</c:v>
                </c:pt>
                <c:pt idx="224">
                  <c:v>15.7</c:v>
                </c:pt>
                <c:pt idx="225">
                  <c:v>15.7</c:v>
                </c:pt>
                <c:pt idx="226">
                  <c:v>14.8</c:v>
                </c:pt>
                <c:pt idx="227">
                  <c:v>15.7</c:v>
                </c:pt>
                <c:pt idx="228">
                  <c:v>23.5</c:v>
                </c:pt>
                <c:pt idx="229">
                  <c:v>16.600000000000001</c:v>
                </c:pt>
                <c:pt idx="230">
                  <c:v>15.7</c:v>
                </c:pt>
                <c:pt idx="231">
                  <c:v>16.149999999999999</c:v>
                </c:pt>
                <c:pt idx="232">
                  <c:v>19.3</c:v>
                </c:pt>
                <c:pt idx="233">
                  <c:v>25</c:v>
                </c:pt>
                <c:pt idx="234">
                  <c:v>19.75</c:v>
                </c:pt>
                <c:pt idx="235">
                  <c:v>16.600000000000001</c:v>
                </c:pt>
                <c:pt idx="236">
                  <c:v>14.35</c:v>
                </c:pt>
                <c:pt idx="237">
                  <c:v>13.9</c:v>
                </c:pt>
                <c:pt idx="238">
                  <c:v>13</c:v>
                </c:pt>
                <c:pt idx="239">
                  <c:v>12.35</c:v>
                </c:pt>
                <c:pt idx="240">
                  <c:v>12.35</c:v>
                </c:pt>
                <c:pt idx="241">
                  <c:v>12.35</c:v>
                </c:pt>
                <c:pt idx="242">
                  <c:v>12.03</c:v>
                </c:pt>
                <c:pt idx="243">
                  <c:v>12.35</c:v>
                </c:pt>
                <c:pt idx="244">
                  <c:v>11.7</c:v>
                </c:pt>
                <c:pt idx="245">
                  <c:v>11.05</c:v>
                </c:pt>
                <c:pt idx="246">
                  <c:v>11.05</c:v>
                </c:pt>
                <c:pt idx="247">
                  <c:v>10.73</c:v>
                </c:pt>
                <c:pt idx="248">
                  <c:v>10.4</c:v>
                </c:pt>
                <c:pt idx="249">
                  <c:v>10.08</c:v>
                </c:pt>
                <c:pt idx="250">
                  <c:v>9.75</c:v>
                </c:pt>
                <c:pt idx="251">
                  <c:v>9.75</c:v>
                </c:pt>
                <c:pt idx="252">
                  <c:v>9.42</c:v>
                </c:pt>
                <c:pt idx="253">
                  <c:v>9.1</c:v>
                </c:pt>
                <c:pt idx="254">
                  <c:v>9.1</c:v>
                </c:pt>
                <c:pt idx="255">
                  <c:v>9.42</c:v>
                </c:pt>
                <c:pt idx="256">
                  <c:v>10.4</c:v>
                </c:pt>
                <c:pt idx="257">
                  <c:v>19.3</c:v>
                </c:pt>
                <c:pt idx="258">
                  <c:v>29</c:v>
                </c:pt>
                <c:pt idx="259">
                  <c:v>27.5</c:v>
                </c:pt>
                <c:pt idx="260">
                  <c:v>16.149999999999999</c:v>
                </c:pt>
                <c:pt idx="261">
                  <c:v>13</c:v>
                </c:pt>
                <c:pt idx="262">
                  <c:v>12.03</c:v>
                </c:pt>
                <c:pt idx="263">
                  <c:v>10.73</c:v>
                </c:pt>
                <c:pt idx="264">
                  <c:v>9.75</c:v>
                </c:pt>
                <c:pt idx="265">
                  <c:v>9.1</c:v>
                </c:pt>
                <c:pt idx="266">
                  <c:v>8.77</c:v>
                </c:pt>
                <c:pt idx="267">
                  <c:v>8.1300000000000008</c:v>
                </c:pt>
                <c:pt idx="268">
                  <c:v>11.05</c:v>
                </c:pt>
                <c:pt idx="269">
                  <c:v>8.1300000000000008</c:v>
                </c:pt>
                <c:pt idx="270">
                  <c:v>7.47</c:v>
                </c:pt>
                <c:pt idx="271">
                  <c:v>7.47</c:v>
                </c:pt>
                <c:pt idx="272">
                  <c:v>7.8</c:v>
                </c:pt>
                <c:pt idx="273">
                  <c:v>7.8</c:v>
                </c:pt>
                <c:pt idx="274">
                  <c:v>7.8</c:v>
                </c:pt>
                <c:pt idx="275">
                  <c:v>7.8</c:v>
                </c:pt>
                <c:pt idx="276">
                  <c:v>7.47</c:v>
                </c:pt>
                <c:pt idx="277">
                  <c:v>7.47</c:v>
                </c:pt>
                <c:pt idx="278">
                  <c:v>7.47</c:v>
                </c:pt>
                <c:pt idx="279">
                  <c:v>7.47</c:v>
                </c:pt>
                <c:pt idx="280">
                  <c:v>6.82</c:v>
                </c:pt>
                <c:pt idx="281">
                  <c:v>7.15</c:v>
                </c:pt>
                <c:pt idx="282">
                  <c:v>7.15</c:v>
                </c:pt>
                <c:pt idx="283">
                  <c:v>6.82</c:v>
                </c:pt>
                <c:pt idx="284">
                  <c:v>6.82</c:v>
                </c:pt>
                <c:pt idx="285">
                  <c:v>6.5</c:v>
                </c:pt>
                <c:pt idx="286">
                  <c:v>6.5</c:v>
                </c:pt>
                <c:pt idx="287">
                  <c:v>6.25</c:v>
                </c:pt>
                <c:pt idx="288">
                  <c:v>6.5</c:v>
                </c:pt>
                <c:pt idx="289">
                  <c:v>6.5</c:v>
                </c:pt>
                <c:pt idx="290">
                  <c:v>6.5</c:v>
                </c:pt>
                <c:pt idx="291">
                  <c:v>8.77</c:v>
                </c:pt>
                <c:pt idx="292">
                  <c:v>17.95</c:v>
                </c:pt>
                <c:pt idx="293">
                  <c:v>18.850000000000001</c:v>
                </c:pt>
                <c:pt idx="294">
                  <c:v>14.8</c:v>
                </c:pt>
                <c:pt idx="295">
                  <c:v>5.75</c:v>
                </c:pt>
                <c:pt idx="296">
                  <c:v>5.5</c:v>
                </c:pt>
                <c:pt idx="297">
                  <c:v>5.5</c:v>
                </c:pt>
                <c:pt idx="298">
                  <c:v>6.5</c:v>
                </c:pt>
                <c:pt idx="299">
                  <c:v>17.95</c:v>
                </c:pt>
                <c:pt idx="300">
                  <c:v>18.399999999999999</c:v>
                </c:pt>
                <c:pt idx="301">
                  <c:v>13</c:v>
                </c:pt>
                <c:pt idx="302">
                  <c:v>5</c:v>
                </c:pt>
                <c:pt idx="303">
                  <c:v>4.5</c:v>
                </c:pt>
                <c:pt idx="304">
                  <c:v>4.75</c:v>
                </c:pt>
                <c:pt idx="305">
                  <c:v>6.82</c:v>
                </c:pt>
                <c:pt idx="306">
                  <c:v>17.95</c:v>
                </c:pt>
                <c:pt idx="307">
                  <c:v>14.8</c:v>
                </c:pt>
                <c:pt idx="308">
                  <c:v>6</c:v>
                </c:pt>
                <c:pt idx="309">
                  <c:v>8.1300000000000008</c:v>
                </c:pt>
                <c:pt idx="310">
                  <c:v>4.75</c:v>
                </c:pt>
                <c:pt idx="311">
                  <c:v>4.5</c:v>
                </c:pt>
                <c:pt idx="312">
                  <c:v>6.82</c:v>
                </c:pt>
                <c:pt idx="313">
                  <c:v>15.7</c:v>
                </c:pt>
                <c:pt idx="314">
                  <c:v>16.149999999999999</c:v>
                </c:pt>
                <c:pt idx="315">
                  <c:v>12.03</c:v>
                </c:pt>
                <c:pt idx="316">
                  <c:v>4</c:v>
                </c:pt>
                <c:pt idx="317">
                  <c:v>3.8</c:v>
                </c:pt>
                <c:pt idx="318">
                  <c:v>4</c:v>
                </c:pt>
                <c:pt idx="319">
                  <c:v>5.75</c:v>
                </c:pt>
                <c:pt idx="320">
                  <c:v>18.850000000000001</c:v>
                </c:pt>
                <c:pt idx="321">
                  <c:v>24</c:v>
                </c:pt>
                <c:pt idx="322">
                  <c:v>17.05</c:v>
                </c:pt>
                <c:pt idx="323">
                  <c:v>3.6</c:v>
                </c:pt>
                <c:pt idx="324">
                  <c:v>3.4</c:v>
                </c:pt>
                <c:pt idx="325">
                  <c:v>3.6</c:v>
                </c:pt>
                <c:pt idx="326">
                  <c:v>5.5</c:v>
                </c:pt>
                <c:pt idx="327">
                  <c:v>15.7</c:v>
                </c:pt>
                <c:pt idx="328">
                  <c:v>9.75</c:v>
                </c:pt>
                <c:pt idx="329">
                  <c:v>11.37</c:v>
                </c:pt>
                <c:pt idx="330">
                  <c:v>3.4</c:v>
                </c:pt>
                <c:pt idx="331">
                  <c:v>3</c:v>
                </c:pt>
                <c:pt idx="332">
                  <c:v>3</c:v>
                </c:pt>
                <c:pt idx="333">
                  <c:v>5.5</c:v>
                </c:pt>
                <c:pt idx="334">
                  <c:v>5.5</c:v>
                </c:pt>
                <c:pt idx="335">
                  <c:v>14.8</c:v>
                </c:pt>
                <c:pt idx="336">
                  <c:v>15.25</c:v>
                </c:pt>
                <c:pt idx="337">
                  <c:v>10.4</c:v>
                </c:pt>
                <c:pt idx="338">
                  <c:v>3</c:v>
                </c:pt>
                <c:pt idx="339">
                  <c:v>3.2</c:v>
                </c:pt>
                <c:pt idx="340">
                  <c:v>3</c:v>
                </c:pt>
                <c:pt idx="341">
                  <c:v>4.75</c:v>
                </c:pt>
                <c:pt idx="342">
                  <c:v>14.8</c:v>
                </c:pt>
                <c:pt idx="343">
                  <c:v>15.25</c:v>
                </c:pt>
                <c:pt idx="344">
                  <c:v>15.25</c:v>
                </c:pt>
                <c:pt idx="345">
                  <c:v>12.03</c:v>
                </c:pt>
                <c:pt idx="346">
                  <c:v>3</c:v>
                </c:pt>
                <c:pt idx="347">
                  <c:v>2.8</c:v>
                </c:pt>
                <c:pt idx="348">
                  <c:v>4.75</c:v>
                </c:pt>
                <c:pt idx="349">
                  <c:v>17.05</c:v>
                </c:pt>
                <c:pt idx="350">
                  <c:v>17.5</c:v>
                </c:pt>
                <c:pt idx="351">
                  <c:v>17.95</c:v>
                </c:pt>
                <c:pt idx="352">
                  <c:v>12.35</c:v>
                </c:pt>
                <c:pt idx="353">
                  <c:v>2.6</c:v>
                </c:pt>
                <c:pt idx="354">
                  <c:v>2.2000000000000002</c:v>
                </c:pt>
                <c:pt idx="355">
                  <c:v>4.75</c:v>
                </c:pt>
                <c:pt idx="356">
                  <c:v>16.600000000000001</c:v>
                </c:pt>
                <c:pt idx="357">
                  <c:v>14.8</c:v>
                </c:pt>
                <c:pt idx="358">
                  <c:v>12.68</c:v>
                </c:pt>
                <c:pt idx="359">
                  <c:v>8.1300000000000008</c:v>
                </c:pt>
                <c:pt idx="360">
                  <c:v>2</c:v>
                </c:pt>
                <c:pt idx="361">
                  <c:v>2</c:v>
                </c:pt>
                <c:pt idx="362">
                  <c:v>5.25</c:v>
                </c:pt>
                <c:pt idx="363">
                  <c:v>17.05</c:v>
                </c:pt>
                <c:pt idx="364">
                  <c:v>14.8</c:v>
                </c:pt>
                <c:pt idx="365">
                  <c:v>13.45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40896"/>
        <c:axId val="101042432"/>
      </c:barChart>
      <c:catAx>
        <c:axId val="1010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0104243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10104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01040896"/>
        <c:crosses val="autoZero"/>
        <c:crossBetween val="between"/>
      </c:valAx>
      <c:spPr>
        <a:noFill/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18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660066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Daily Mean GageHeight</a:t>
            </a:r>
          </a:p>
        </c:rich>
      </c:tx>
      <c:layout>
        <c:manualLayout>
          <c:xMode val="edge"/>
          <c:yMode val="edge"/>
          <c:x val="0.40738112136266857"/>
          <c:y val="2.6988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77856635911991E-2"/>
          <c:y val="0.140625"/>
          <c:w val="0.91412349183818309"/>
          <c:h val="0.73295454545454541"/>
        </c:manualLayout>
      </c:layout>
      <c:lineChart>
        <c:grouping val="standard"/>
        <c:varyColors val="0"/>
        <c:ser>
          <c:idx val="1"/>
          <c:order val="0"/>
          <c:tx>
            <c:v>Daily Mean GH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'Graph-GH'!$AE$5:$AE$370</c:f>
              <c:numCache>
                <c:formatCode>0.00</c:formatCode>
                <c:ptCount val="366"/>
                <c:pt idx="0">
                  <c:v>338.05</c:v>
                </c:pt>
                <c:pt idx="1">
                  <c:v>338.32</c:v>
                </c:pt>
                <c:pt idx="2">
                  <c:v>338.21</c:v>
                </c:pt>
                <c:pt idx="3">
                  <c:v>338.15</c:v>
                </c:pt>
                <c:pt idx="4">
                  <c:v>338.18</c:v>
                </c:pt>
                <c:pt idx="5">
                  <c:v>338.2</c:v>
                </c:pt>
                <c:pt idx="6">
                  <c:v>338.29</c:v>
                </c:pt>
                <c:pt idx="7">
                  <c:v>338.23</c:v>
                </c:pt>
                <c:pt idx="8">
                  <c:v>338.2</c:v>
                </c:pt>
                <c:pt idx="9">
                  <c:v>338.21</c:v>
                </c:pt>
                <c:pt idx="10">
                  <c:v>338.22</c:v>
                </c:pt>
                <c:pt idx="11">
                  <c:v>338.18</c:v>
                </c:pt>
                <c:pt idx="12">
                  <c:v>338.16</c:v>
                </c:pt>
                <c:pt idx="13">
                  <c:v>338.2</c:v>
                </c:pt>
                <c:pt idx="14">
                  <c:v>338.2</c:v>
                </c:pt>
                <c:pt idx="15">
                  <c:v>338.2</c:v>
                </c:pt>
                <c:pt idx="16">
                  <c:v>338.2</c:v>
                </c:pt>
                <c:pt idx="17">
                  <c:v>338.2</c:v>
                </c:pt>
                <c:pt idx="18">
                  <c:v>338.19</c:v>
                </c:pt>
                <c:pt idx="19">
                  <c:v>338.17</c:v>
                </c:pt>
                <c:pt idx="20">
                  <c:v>338.17</c:v>
                </c:pt>
                <c:pt idx="21">
                  <c:v>338.18</c:v>
                </c:pt>
                <c:pt idx="22">
                  <c:v>338.17</c:v>
                </c:pt>
                <c:pt idx="23">
                  <c:v>338.17</c:v>
                </c:pt>
                <c:pt idx="24">
                  <c:v>338.17</c:v>
                </c:pt>
                <c:pt idx="25">
                  <c:v>338.16</c:v>
                </c:pt>
                <c:pt idx="26">
                  <c:v>338.16</c:v>
                </c:pt>
                <c:pt idx="27">
                  <c:v>338.16</c:v>
                </c:pt>
                <c:pt idx="28">
                  <c:v>338.16</c:v>
                </c:pt>
                <c:pt idx="29">
                  <c:v>338.16</c:v>
                </c:pt>
                <c:pt idx="30">
                  <c:v>338.17</c:v>
                </c:pt>
                <c:pt idx="31">
                  <c:v>338.17</c:v>
                </c:pt>
                <c:pt idx="32">
                  <c:v>338.18</c:v>
                </c:pt>
                <c:pt idx="33">
                  <c:v>338.16</c:v>
                </c:pt>
                <c:pt idx="34">
                  <c:v>338.16</c:v>
                </c:pt>
                <c:pt idx="35">
                  <c:v>338.12</c:v>
                </c:pt>
                <c:pt idx="36">
                  <c:v>338.08</c:v>
                </c:pt>
                <c:pt idx="37">
                  <c:v>338.09</c:v>
                </c:pt>
                <c:pt idx="38">
                  <c:v>338.11</c:v>
                </c:pt>
                <c:pt idx="39">
                  <c:v>338.18</c:v>
                </c:pt>
                <c:pt idx="40">
                  <c:v>338.18</c:v>
                </c:pt>
                <c:pt idx="41">
                  <c:v>338.17</c:v>
                </c:pt>
                <c:pt idx="42">
                  <c:v>338.15</c:v>
                </c:pt>
                <c:pt idx="43">
                  <c:v>338.1</c:v>
                </c:pt>
                <c:pt idx="44">
                  <c:v>338.1</c:v>
                </c:pt>
                <c:pt idx="45">
                  <c:v>338.09</c:v>
                </c:pt>
                <c:pt idx="46">
                  <c:v>338.08</c:v>
                </c:pt>
                <c:pt idx="47">
                  <c:v>338.08</c:v>
                </c:pt>
                <c:pt idx="48">
                  <c:v>337.99</c:v>
                </c:pt>
                <c:pt idx="49">
                  <c:v>337.75</c:v>
                </c:pt>
                <c:pt idx="50">
                  <c:v>337.82</c:v>
                </c:pt>
                <c:pt idx="51">
                  <c:v>337.8</c:v>
                </c:pt>
                <c:pt idx="52">
                  <c:v>337.79</c:v>
                </c:pt>
                <c:pt idx="53">
                  <c:v>337.81</c:v>
                </c:pt>
                <c:pt idx="54">
                  <c:v>337.78</c:v>
                </c:pt>
                <c:pt idx="55">
                  <c:v>337.75</c:v>
                </c:pt>
                <c:pt idx="56">
                  <c:v>337.78</c:v>
                </c:pt>
                <c:pt idx="57">
                  <c:v>337.78</c:v>
                </c:pt>
                <c:pt idx="58">
                  <c:v>337.79</c:v>
                </c:pt>
                <c:pt idx="59">
                  <c:v>337.81</c:v>
                </c:pt>
                <c:pt idx="60">
                  <c:v>337.83</c:v>
                </c:pt>
                <c:pt idx="61">
                  <c:v>337.83</c:v>
                </c:pt>
                <c:pt idx="62">
                  <c:v>337.83</c:v>
                </c:pt>
                <c:pt idx="63">
                  <c:v>337.82</c:v>
                </c:pt>
                <c:pt idx="64">
                  <c:v>337.81</c:v>
                </c:pt>
                <c:pt idx="65">
                  <c:v>337.8</c:v>
                </c:pt>
                <c:pt idx="66">
                  <c:v>337.82</c:v>
                </c:pt>
                <c:pt idx="67">
                  <c:v>337.84</c:v>
                </c:pt>
                <c:pt idx="68">
                  <c:v>337.84</c:v>
                </c:pt>
                <c:pt idx="69">
                  <c:v>337.82</c:v>
                </c:pt>
                <c:pt idx="70">
                  <c:v>337.77</c:v>
                </c:pt>
                <c:pt idx="71">
                  <c:v>337.9</c:v>
                </c:pt>
                <c:pt idx="72">
                  <c:v>338.27</c:v>
                </c:pt>
                <c:pt idx="73">
                  <c:v>338.01</c:v>
                </c:pt>
                <c:pt idx="74">
                  <c:v>337.88</c:v>
                </c:pt>
                <c:pt idx="75">
                  <c:v>337.82</c:v>
                </c:pt>
                <c:pt idx="76">
                  <c:v>337.8</c:v>
                </c:pt>
                <c:pt idx="77">
                  <c:v>337.8</c:v>
                </c:pt>
                <c:pt idx="78">
                  <c:v>337.81</c:v>
                </c:pt>
                <c:pt idx="79">
                  <c:v>337.81</c:v>
                </c:pt>
                <c:pt idx="80">
                  <c:v>337.85</c:v>
                </c:pt>
                <c:pt idx="81">
                  <c:v>337.86</c:v>
                </c:pt>
                <c:pt idx="82">
                  <c:v>337.84</c:v>
                </c:pt>
                <c:pt idx="83">
                  <c:v>337.96</c:v>
                </c:pt>
                <c:pt idx="84">
                  <c:v>338.16</c:v>
                </c:pt>
                <c:pt idx="85">
                  <c:v>337.84</c:v>
                </c:pt>
                <c:pt idx="86">
                  <c:v>337.86</c:v>
                </c:pt>
                <c:pt idx="87">
                  <c:v>337.85</c:v>
                </c:pt>
                <c:pt idx="88">
                  <c:v>337.83</c:v>
                </c:pt>
                <c:pt idx="89">
                  <c:v>337.84</c:v>
                </c:pt>
                <c:pt idx="90">
                  <c:v>337.85</c:v>
                </c:pt>
                <c:pt idx="91">
                  <c:v>337.83</c:v>
                </c:pt>
                <c:pt idx="92">
                  <c:v>337.83</c:v>
                </c:pt>
                <c:pt idx="93">
                  <c:v>337.83</c:v>
                </c:pt>
                <c:pt idx="94">
                  <c:v>337.85</c:v>
                </c:pt>
                <c:pt idx="95">
                  <c:v>337.87</c:v>
                </c:pt>
                <c:pt idx="96">
                  <c:v>337.86</c:v>
                </c:pt>
                <c:pt idx="97">
                  <c:v>337.86</c:v>
                </c:pt>
                <c:pt idx="98">
                  <c:v>337.88</c:v>
                </c:pt>
                <c:pt idx="99">
                  <c:v>337.88</c:v>
                </c:pt>
                <c:pt idx="100">
                  <c:v>338.01</c:v>
                </c:pt>
                <c:pt idx="101">
                  <c:v>338.07</c:v>
                </c:pt>
                <c:pt idx="102">
                  <c:v>338.06</c:v>
                </c:pt>
                <c:pt idx="103">
                  <c:v>338.01</c:v>
                </c:pt>
                <c:pt idx="104">
                  <c:v>337.99</c:v>
                </c:pt>
                <c:pt idx="105">
                  <c:v>338.17</c:v>
                </c:pt>
                <c:pt idx="106">
                  <c:v>338.11</c:v>
                </c:pt>
                <c:pt idx="107">
                  <c:v>338.08</c:v>
                </c:pt>
                <c:pt idx="108">
                  <c:v>338.08</c:v>
                </c:pt>
                <c:pt idx="109">
                  <c:v>338.04</c:v>
                </c:pt>
                <c:pt idx="110">
                  <c:v>337.97</c:v>
                </c:pt>
                <c:pt idx="111">
                  <c:v>337.94</c:v>
                </c:pt>
                <c:pt idx="112">
                  <c:v>337.94</c:v>
                </c:pt>
                <c:pt idx="113">
                  <c:v>337.96</c:v>
                </c:pt>
                <c:pt idx="114">
                  <c:v>338.18</c:v>
                </c:pt>
                <c:pt idx="115">
                  <c:v>338.06</c:v>
                </c:pt>
                <c:pt idx="116">
                  <c:v>338.01</c:v>
                </c:pt>
                <c:pt idx="117">
                  <c:v>337.96</c:v>
                </c:pt>
                <c:pt idx="118">
                  <c:v>337.98</c:v>
                </c:pt>
                <c:pt idx="119">
                  <c:v>338.04</c:v>
                </c:pt>
                <c:pt idx="120">
                  <c:v>338.16</c:v>
                </c:pt>
                <c:pt idx="121">
                  <c:v>338.2</c:v>
                </c:pt>
                <c:pt idx="122">
                  <c:v>338.18</c:v>
                </c:pt>
                <c:pt idx="123">
                  <c:v>338.15</c:v>
                </c:pt>
                <c:pt idx="124">
                  <c:v>338.11</c:v>
                </c:pt>
                <c:pt idx="125">
                  <c:v>338.09</c:v>
                </c:pt>
                <c:pt idx="126">
                  <c:v>338.12</c:v>
                </c:pt>
                <c:pt idx="127">
                  <c:v>338.26</c:v>
                </c:pt>
                <c:pt idx="128">
                  <c:v>338.18</c:v>
                </c:pt>
                <c:pt idx="129">
                  <c:v>338.17</c:v>
                </c:pt>
                <c:pt idx="130">
                  <c:v>338.44</c:v>
                </c:pt>
                <c:pt idx="131">
                  <c:v>339.68</c:v>
                </c:pt>
                <c:pt idx="132">
                  <c:v>340.05</c:v>
                </c:pt>
                <c:pt idx="133">
                  <c:v>339.58</c:v>
                </c:pt>
                <c:pt idx="134">
                  <c:v>339.06</c:v>
                </c:pt>
                <c:pt idx="135">
                  <c:v>338.65</c:v>
                </c:pt>
                <c:pt idx="136">
                  <c:v>338.7</c:v>
                </c:pt>
                <c:pt idx="137">
                  <c:v>338.53</c:v>
                </c:pt>
                <c:pt idx="138">
                  <c:v>338.41</c:v>
                </c:pt>
                <c:pt idx="139">
                  <c:v>338.27</c:v>
                </c:pt>
                <c:pt idx="140">
                  <c:v>338.22</c:v>
                </c:pt>
                <c:pt idx="141">
                  <c:v>338.21</c:v>
                </c:pt>
                <c:pt idx="142">
                  <c:v>338.21</c:v>
                </c:pt>
                <c:pt idx="143">
                  <c:v>338.31</c:v>
                </c:pt>
                <c:pt idx="144">
                  <c:v>338.58</c:v>
                </c:pt>
                <c:pt idx="145">
                  <c:v>338.55</c:v>
                </c:pt>
                <c:pt idx="146">
                  <c:v>338.35</c:v>
                </c:pt>
                <c:pt idx="147">
                  <c:v>338.31</c:v>
                </c:pt>
                <c:pt idx="148">
                  <c:v>338.27</c:v>
                </c:pt>
                <c:pt idx="149">
                  <c:v>338.23</c:v>
                </c:pt>
                <c:pt idx="150">
                  <c:v>338.18</c:v>
                </c:pt>
                <c:pt idx="151">
                  <c:v>338.15</c:v>
                </c:pt>
                <c:pt idx="152">
                  <c:v>338.21</c:v>
                </c:pt>
                <c:pt idx="153">
                  <c:v>338.89</c:v>
                </c:pt>
                <c:pt idx="154">
                  <c:v>338.76</c:v>
                </c:pt>
                <c:pt idx="155">
                  <c:v>338.41</c:v>
                </c:pt>
                <c:pt idx="156">
                  <c:v>338.27</c:v>
                </c:pt>
                <c:pt idx="157">
                  <c:v>338.21</c:v>
                </c:pt>
                <c:pt idx="158">
                  <c:v>338.29</c:v>
                </c:pt>
                <c:pt idx="159">
                  <c:v>338.78</c:v>
                </c:pt>
                <c:pt idx="160">
                  <c:v>339.31</c:v>
                </c:pt>
                <c:pt idx="161">
                  <c:v>340</c:v>
                </c:pt>
                <c:pt idx="162">
                  <c:v>339.72</c:v>
                </c:pt>
                <c:pt idx="163">
                  <c:v>339.01</c:v>
                </c:pt>
                <c:pt idx="164">
                  <c:v>338.8</c:v>
                </c:pt>
                <c:pt idx="165">
                  <c:v>339.01</c:v>
                </c:pt>
                <c:pt idx="166">
                  <c:v>339.07</c:v>
                </c:pt>
                <c:pt idx="167">
                  <c:v>339.46</c:v>
                </c:pt>
                <c:pt idx="168">
                  <c:v>339.28</c:v>
                </c:pt>
                <c:pt idx="169">
                  <c:v>339.51</c:v>
                </c:pt>
                <c:pt idx="170">
                  <c:v>339.46</c:v>
                </c:pt>
                <c:pt idx="171">
                  <c:v>338.98</c:v>
                </c:pt>
                <c:pt idx="172">
                  <c:v>338.83</c:v>
                </c:pt>
                <c:pt idx="173">
                  <c:v>338.73</c:v>
                </c:pt>
                <c:pt idx="174">
                  <c:v>338.55</c:v>
                </c:pt>
                <c:pt idx="175">
                  <c:v>338.46</c:v>
                </c:pt>
                <c:pt idx="176">
                  <c:v>338.42</c:v>
                </c:pt>
                <c:pt idx="177">
                  <c:v>338.42</c:v>
                </c:pt>
                <c:pt idx="178">
                  <c:v>338.69</c:v>
                </c:pt>
                <c:pt idx="179">
                  <c:v>339.5</c:v>
                </c:pt>
                <c:pt idx="180">
                  <c:v>339.1</c:v>
                </c:pt>
                <c:pt idx="181">
                  <c:v>339.37</c:v>
                </c:pt>
                <c:pt idx="182">
                  <c:v>338.79</c:v>
                </c:pt>
                <c:pt idx="183">
                  <c:v>338.61</c:v>
                </c:pt>
                <c:pt idx="184">
                  <c:v>338.57</c:v>
                </c:pt>
                <c:pt idx="185">
                  <c:v>338.59</c:v>
                </c:pt>
                <c:pt idx="186">
                  <c:v>338.55</c:v>
                </c:pt>
                <c:pt idx="187">
                  <c:v>338.49</c:v>
                </c:pt>
                <c:pt idx="188">
                  <c:v>338.61</c:v>
                </c:pt>
                <c:pt idx="189">
                  <c:v>338.49</c:v>
                </c:pt>
                <c:pt idx="190">
                  <c:v>338.42</c:v>
                </c:pt>
                <c:pt idx="191">
                  <c:v>338.35</c:v>
                </c:pt>
                <c:pt idx="192">
                  <c:v>338.29</c:v>
                </c:pt>
                <c:pt idx="193">
                  <c:v>338.25</c:v>
                </c:pt>
                <c:pt idx="194">
                  <c:v>338.24</c:v>
                </c:pt>
                <c:pt idx="195">
                  <c:v>338.24</c:v>
                </c:pt>
                <c:pt idx="196">
                  <c:v>338.22</c:v>
                </c:pt>
                <c:pt idx="197">
                  <c:v>338.2</c:v>
                </c:pt>
                <c:pt idx="198">
                  <c:v>338.18</c:v>
                </c:pt>
                <c:pt idx="199">
                  <c:v>338.19</c:v>
                </c:pt>
                <c:pt idx="200">
                  <c:v>338.96</c:v>
                </c:pt>
                <c:pt idx="201">
                  <c:v>340.15</c:v>
                </c:pt>
                <c:pt idx="202">
                  <c:v>339.59</c:v>
                </c:pt>
                <c:pt idx="203">
                  <c:v>339.32</c:v>
                </c:pt>
                <c:pt idx="204">
                  <c:v>339.63</c:v>
                </c:pt>
                <c:pt idx="205">
                  <c:v>339.36</c:v>
                </c:pt>
                <c:pt idx="206">
                  <c:v>339.21</c:v>
                </c:pt>
                <c:pt idx="207">
                  <c:v>339.05</c:v>
                </c:pt>
                <c:pt idx="208">
                  <c:v>338.88</c:v>
                </c:pt>
                <c:pt idx="209">
                  <c:v>338.78</c:v>
                </c:pt>
                <c:pt idx="210">
                  <c:v>338.76</c:v>
                </c:pt>
                <c:pt idx="211">
                  <c:v>339.01</c:v>
                </c:pt>
                <c:pt idx="212">
                  <c:v>338.75</c:v>
                </c:pt>
                <c:pt idx="213">
                  <c:v>338.68</c:v>
                </c:pt>
                <c:pt idx="214">
                  <c:v>338.62</c:v>
                </c:pt>
                <c:pt idx="215">
                  <c:v>338.55</c:v>
                </c:pt>
                <c:pt idx="216">
                  <c:v>338.49</c:v>
                </c:pt>
                <c:pt idx="217">
                  <c:v>338.45</c:v>
                </c:pt>
                <c:pt idx="218">
                  <c:v>338.4</c:v>
                </c:pt>
                <c:pt idx="219">
                  <c:v>338.37</c:v>
                </c:pt>
                <c:pt idx="220">
                  <c:v>338.34</c:v>
                </c:pt>
                <c:pt idx="221">
                  <c:v>338.32</c:v>
                </c:pt>
                <c:pt idx="222">
                  <c:v>338.3</c:v>
                </c:pt>
                <c:pt idx="223">
                  <c:v>338.28</c:v>
                </c:pt>
                <c:pt idx="224">
                  <c:v>338.26</c:v>
                </c:pt>
                <c:pt idx="225">
                  <c:v>338.26</c:v>
                </c:pt>
                <c:pt idx="226">
                  <c:v>338.24</c:v>
                </c:pt>
                <c:pt idx="227">
                  <c:v>338.26</c:v>
                </c:pt>
                <c:pt idx="228">
                  <c:v>338.43</c:v>
                </c:pt>
                <c:pt idx="229">
                  <c:v>338.28</c:v>
                </c:pt>
                <c:pt idx="230">
                  <c:v>338.26</c:v>
                </c:pt>
                <c:pt idx="231">
                  <c:v>338.27</c:v>
                </c:pt>
                <c:pt idx="232">
                  <c:v>338.34</c:v>
                </c:pt>
                <c:pt idx="233">
                  <c:v>338.46</c:v>
                </c:pt>
                <c:pt idx="234">
                  <c:v>338.35</c:v>
                </c:pt>
                <c:pt idx="235">
                  <c:v>338.28</c:v>
                </c:pt>
                <c:pt idx="236">
                  <c:v>338.23</c:v>
                </c:pt>
                <c:pt idx="237">
                  <c:v>338.22</c:v>
                </c:pt>
                <c:pt idx="238">
                  <c:v>338.2</c:v>
                </c:pt>
                <c:pt idx="239">
                  <c:v>338.18</c:v>
                </c:pt>
                <c:pt idx="240">
                  <c:v>338.18</c:v>
                </c:pt>
                <c:pt idx="241">
                  <c:v>338.18</c:v>
                </c:pt>
                <c:pt idx="242">
                  <c:v>338.17</c:v>
                </c:pt>
                <c:pt idx="243">
                  <c:v>338.18</c:v>
                </c:pt>
                <c:pt idx="244">
                  <c:v>338.16</c:v>
                </c:pt>
                <c:pt idx="245">
                  <c:v>338.14</c:v>
                </c:pt>
                <c:pt idx="246">
                  <c:v>338.14</c:v>
                </c:pt>
                <c:pt idx="247">
                  <c:v>338.13</c:v>
                </c:pt>
                <c:pt idx="248">
                  <c:v>338.12</c:v>
                </c:pt>
                <c:pt idx="249">
                  <c:v>338.11</c:v>
                </c:pt>
                <c:pt idx="250">
                  <c:v>338.1</c:v>
                </c:pt>
                <c:pt idx="251">
                  <c:v>338.1</c:v>
                </c:pt>
                <c:pt idx="252">
                  <c:v>338.09</c:v>
                </c:pt>
                <c:pt idx="253">
                  <c:v>338.08</c:v>
                </c:pt>
                <c:pt idx="254">
                  <c:v>338.08</c:v>
                </c:pt>
                <c:pt idx="255">
                  <c:v>338.09</c:v>
                </c:pt>
                <c:pt idx="256">
                  <c:v>338.12</c:v>
                </c:pt>
                <c:pt idx="257">
                  <c:v>338.34</c:v>
                </c:pt>
                <c:pt idx="258">
                  <c:v>338.54</c:v>
                </c:pt>
                <c:pt idx="259">
                  <c:v>338.51</c:v>
                </c:pt>
                <c:pt idx="260">
                  <c:v>338.27</c:v>
                </c:pt>
                <c:pt idx="261">
                  <c:v>338.2</c:v>
                </c:pt>
                <c:pt idx="262">
                  <c:v>338.17</c:v>
                </c:pt>
                <c:pt idx="263">
                  <c:v>338.13</c:v>
                </c:pt>
                <c:pt idx="264">
                  <c:v>338.1</c:v>
                </c:pt>
                <c:pt idx="265">
                  <c:v>338.08</c:v>
                </c:pt>
                <c:pt idx="266">
                  <c:v>338.07</c:v>
                </c:pt>
                <c:pt idx="267">
                  <c:v>338.05</c:v>
                </c:pt>
                <c:pt idx="268">
                  <c:v>338.14</c:v>
                </c:pt>
                <c:pt idx="269">
                  <c:v>338.05</c:v>
                </c:pt>
                <c:pt idx="270">
                  <c:v>338.03</c:v>
                </c:pt>
                <c:pt idx="271">
                  <c:v>338.03</c:v>
                </c:pt>
                <c:pt idx="272">
                  <c:v>338.04</c:v>
                </c:pt>
                <c:pt idx="273">
                  <c:v>338.04</c:v>
                </c:pt>
                <c:pt idx="274">
                  <c:v>338.04</c:v>
                </c:pt>
                <c:pt idx="275">
                  <c:v>338.04</c:v>
                </c:pt>
                <c:pt idx="276">
                  <c:v>338.03</c:v>
                </c:pt>
                <c:pt idx="277">
                  <c:v>338.03</c:v>
                </c:pt>
                <c:pt idx="278">
                  <c:v>338.03</c:v>
                </c:pt>
                <c:pt idx="279">
                  <c:v>338.03</c:v>
                </c:pt>
                <c:pt idx="280">
                  <c:v>338.01</c:v>
                </c:pt>
                <c:pt idx="281">
                  <c:v>338.02</c:v>
                </c:pt>
                <c:pt idx="282">
                  <c:v>338.02</c:v>
                </c:pt>
                <c:pt idx="283">
                  <c:v>338.01</c:v>
                </c:pt>
                <c:pt idx="284">
                  <c:v>338.01</c:v>
                </c:pt>
                <c:pt idx="285">
                  <c:v>338</c:v>
                </c:pt>
                <c:pt idx="286">
                  <c:v>338</c:v>
                </c:pt>
                <c:pt idx="287">
                  <c:v>337.99</c:v>
                </c:pt>
                <c:pt idx="288">
                  <c:v>338</c:v>
                </c:pt>
                <c:pt idx="289">
                  <c:v>338</c:v>
                </c:pt>
                <c:pt idx="290">
                  <c:v>338</c:v>
                </c:pt>
                <c:pt idx="291">
                  <c:v>338.07</c:v>
                </c:pt>
                <c:pt idx="292">
                  <c:v>338.31</c:v>
                </c:pt>
                <c:pt idx="293">
                  <c:v>338.33</c:v>
                </c:pt>
                <c:pt idx="294">
                  <c:v>338.24</c:v>
                </c:pt>
                <c:pt idx="295">
                  <c:v>337.97</c:v>
                </c:pt>
                <c:pt idx="296">
                  <c:v>337.96</c:v>
                </c:pt>
                <c:pt idx="297">
                  <c:v>337.96</c:v>
                </c:pt>
                <c:pt idx="298">
                  <c:v>338</c:v>
                </c:pt>
                <c:pt idx="299">
                  <c:v>338.31</c:v>
                </c:pt>
                <c:pt idx="300">
                  <c:v>338.32</c:v>
                </c:pt>
                <c:pt idx="301">
                  <c:v>338.2</c:v>
                </c:pt>
                <c:pt idx="302">
                  <c:v>337.94</c:v>
                </c:pt>
                <c:pt idx="303">
                  <c:v>337.92</c:v>
                </c:pt>
                <c:pt idx="304">
                  <c:v>337.93</c:v>
                </c:pt>
                <c:pt idx="305">
                  <c:v>338.01</c:v>
                </c:pt>
                <c:pt idx="306">
                  <c:v>338.31</c:v>
                </c:pt>
                <c:pt idx="307">
                  <c:v>338.24</c:v>
                </c:pt>
                <c:pt idx="308">
                  <c:v>337.98</c:v>
                </c:pt>
                <c:pt idx="309">
                  <c:v>338.05</c:v>
                </c:pt>
                <c:pt idx="310">
                  <c:v>337.93</c:v>
                </c:pt>
                <c:pt idx="311">
                  <c:v>337.92</c:v>
                </c:pt>
                <c:pt idx="312">
                  <c:v>338.01</c:v>
                </c:pt>
                <c:pt idx="313">
                  <c:v>338.26</c:v>
                </c:pt>
                <c:pt idx="314">
                  <c:v>338.27</c:v>
                </c:pt>
                <c:pt idx="315">
                  <c:v>338.17</c:v>
                </c:pt>
                <c:pt idx="316">
                  <c:v>337.9</c:v>
                </c:pt>
                <c:pt idx="317">
                  <c:v>337.89</c:v>
                </c:pt>
                <c:pt idx="318">
                  <c:v>337.9</c:v>
                </c:pt>
                <c:pt idx="319">
                  <c:v>337.97</c:v>
                </c:pt>
                <c:pt idx="320">
                  <c:v>338.33</c:v>
                </c:pt>
                <c:pt idx="321">
                  <c:v>338.44</c:v>
                </c:pt>
                <c:pt idx="322">
                  <c:v>338.29</c:v>
                </c:pt>
                <c:pt idx="323">
                  <c:v>337.88</c:v>
                </c:pt>
                <c:pt idx="324">
                  <c:v>337.87</c:v>
                </c:pt>
                <c:pt idx="325">
                  <c:v>337.88</c:v>
                </c:pt>
                <c:pt idx="326">
                  <c:v>337.96</c:v>
                </c:pt>
                <c:pt idx="327">
                  <c:v>338.26</c:v>
                </c:pt>
                <c:pt idx="328">
                  <c:v>338.1</c:v>
                </c:pt>
                <c:pt idx="329">
                  <c:v>338.15</c:v>
                </c:pt>
                <c:pt idx="330">
                  <c:v>337.87</c:v>
                </c:pt>
                <c:pt idx="331">
                  <c:v>337.85</c:v>
                </c:pt>
                <c:pt idx="332">
                  <c:v>337.85</c:v>
                </c:pt>
                <c:pt idx="333">
                  <c:v>337.96</c:v>
                </c:pt>
                <c:pt idx="334">
                  <c:v>337.96</c:v>
                </c:pt>
                <c:pt idx="335">
                  <c:v>338.24</c:v>
                </c:pt>
                <c:pt idx="336">
                  <c:v>338.25</c:v>
                </c:pt>
                <c:pt idx="337">
                  <c:v>338.12</c:v>
                </c:pt>
                <c:pt idx="338">
                  <c:v>337.85</c:v>
                </c:pt>
                <c:pt idx="339">
                  <c:v>337.86</c:v>
                </c:pt>
                <c:pt idx="340">
                  <c:v>337.85</c:v>
                </c:pt>
                <c:pt idx="341">
                  <c:v>337.93</c:v>
                </c:pt>
                <c:pt idx="342">
                  <c:v>338.24</c:v>
                </c:pt>
                <c:pt idx="343">
                  <c:v>338.25</c:v>
                </c:pt>
                <c:pt idx="344">
                  <c:v>338.25</c:v>
                </c:pt>
                <c:pt idx="345">
                  <c:v>338.17</c:v>
                </c:pt>
                <c:pt idx="346">
                  <c:v>337.85</c:v>
                </c:pt>
                <c:pt idx="347">
                  <c:v>337.84</c:v>
                </c:pt>
                <c:pt idx="348">
                  <c:v>337.93</c:v>
                </c:pt>
                <c:pt idx="349">
                  <c:v>338.29</c:v>
                </c:pt>
                <c:pt idx="350">
                  <c:v>338.3</c:v>
                </c:pt>
                <c:pt idx="351">
                  <c:v>338.31</c:v>
                </c:pt>
                <c:pt idx="352">
                  <c:v>338.18</c:v>
                </c:pt>
                <c:pt idx="353">
                  <c:v>337.83</c:v>
                </c:pt>
                <c:pt idx="354">
                  <c:v>337.81</c:v>
                </c:pt>
                <c:pt idx="355">
                  <c:v>337.93</c:v>
                </c:pt>
                <c:pt idx="356">
                  <c:v>338.28</c:v>
                </c:pt>
                <c:pt idx="357">
                  <c:v>338.24</c:v>
                </c:pt>
                <c:pt idx="358">
                  <c:v>338.19</c:v>
                </c:pt>
                <c:pt idx="359">
                  <c:v>338.05</c:v>
                </c:pt>
                <c:pt idx="360">
                  <c:v>337.8</c:v>
                </c:pt>
                <c:pt idx="361">
                  <c:v>337.8</c:v>
                </c:pt>
                <c:pt idx="362">
                  <c:v>337.95</c:v>
                </c:pt>
                <c:pt idx="363">
                  <c:v>338.29</c:v>
                </c:pt>
                <c:pt idx="364">
                  <c:v>338.24</c:v>
                </c:pt>
                <c:pt idx="365">
                  <c:v>338.21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26464"/>
        <c:axId val="105332736"/>
      </c:lineChart>
      <c:catAx>
        <c:axId val="10532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660066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05332736"/>
        <c:crossesAt val="0"/>
        <c:auto val="1"/>
        <c:lblAlgn val="ctr"/>
        <c:lblOffset val="100"/>
        <c:tickLblSkip val="10"/>
        <c:tickMarkSkip val="1"/>
        <c:noMultiLvlLbl val="0"/>
      </c:catAx>
      <c:valAx>
        <c:axId val="105332736"/>
        <c:scaling>
          <c:orientation val="minMax"/>
          <c:max val="343"/>
          <c:min val="33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660066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05326464"/>
        <c:crosses val="autoZero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2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verticalDpi="18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7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10" Type="http://schemas.openxmlformats.org/officeDocument/2006/relationships/image" Target="../media/image14.emf"/><Relationship Id="rId4" Type="http://schemas.openxmlformats.org/officeDocument/2006/relationships/image" Target="../media/image8.emf"/><Relationship Id="rId9" Type="http://schemas.openxmlformats.org/officeDocument/2006/relationships/image" Target="../media/image13.emf"/><Relationship Id="rId1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57150</xdr:colOff>
      <xdr:row>1</xdr:row>
      <xdr:rowOff>142875</xdr:rowOff>
    </xdr:from>
    <xdr:to>
      <xdr:col>8</xdr:col>
      <xdr:colOff>85725</xdr:colOff>
      <xdr:row>1</xdr:row>
      <xdr:rowOff>533400</xdr:rowOff>
    </xdr:to>
    <xdr:grpSp>
      <xdr:nvGrpSpPr>
        <xdr:cNvPr id="14519" name="Group 120"/>
        <xdr:cNvGrpSpPr>
          <a:grpSpLocks/>
        </xdr:cNvGrpSpPr>
      </xdr:nvGrpSpPr>
      <xdr:grpSpPr bwMode="auto">
        <a:xfrm>
          <a:off x="3086100" y="438150"/>
          <a:ext cx="3228975" cy="390525"/>
          <a:chOff x="255" y="46"/>
          <a:chExt cx="339" cy="41"/>
        </a:xfrm>
      </xdr:grpSpPr>
      <xdr:sp macro="" textlink="">
        <xdr:nvSpPr>
          <xdr:cNvPr id="14520" name="Rectangle 92"/>
          <xdr:cNvSpPr>
            <a:spLocks noChangeArrowheads="1"/>
          </xdr:cNvSpPr>
        </xdr:nvSpPr>
        <xdr:spPr bwMode="auto">
          <a:xfrm>
            <a:off x="255" y="46"/>
            <a:ext cx="339" cy="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 algn="ctr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42" name="Run2" hidden="1">
                <a:extLst>
                  <a:ext uri="{63B3BB69-23CF-44E3-9099-C40C66FF867C}">
                    <a14:compatExt spid="_x0000_s14342"/>
                  </a:ext>
                </a:extLst>
              </xdr:cNvPr>
              <xdr:cNvSpPr/>
            </xdr:nvSpPr>
            <xdr:spPr>
              <a:xfrm>
                <a:off x="262" y="50"/>
                <a:ext cx="146" cy="33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89" name="cprint" hidden="1">
                <a:extLst>
                  <a:ext uri="{63B3BB69-23CF-44E3-9099-C40C66FF867C}">
                    <a14:compatExt spid="_x0000_s14389"/>
                  </a:ext>
                </a:extLst>
              </xdr:cNvPr>
              <xdr:cNvSpPr/>
            </xdr:nvSpPr>
            <xdr:spPr>
              <a:xfrm>
                <a:off x="429" y="50"/>
                <a:ext cx="157" cy="34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542925</xdr:colOff>
      <xdr:row>1</xdr:row>
      <xdr:rowOff>66675</xdr:rowOff>
    </xdr:from>
    <xdr:to>
      <xdr:col>9</xdr:col>
      <xdr:colOff>352425</xdr:colOff>
      <xdr:row>1</xdr:row>
      <xdr:rowOff>485775</xdr:rowOff>
    </xdr:to>
    <xdr:grpSp>
      <xdr:nvGrpSpPr>
        <xdr:cNvPr id="16527" name="Group 1088"/>
        <xdr:cNvGrpSpPr>
          <a:grpSpLocks/>
        </xdr:cNvGrpSpPr>
      </xdr:nvGrpSpPr>
      <xdr:grpSpPr bwMode="auto">
        <a:xfrm>
          <a:off x="3571875" y="361950"/>
          <a:ext cx="3562350" cy="419100"/>
          <a:chOff x="401" y="40"/>
          <a:chExt cx="374" cy="44"/>
        </a:xfrm>
      </xdr:grpSpPr>
      <xdr:sp macro="" textlink="">
        <xdr:nvSpPr>
          <xdr:cNvPr id="16528" name="Rectangle 1059"/>
          <xdr:cNvSpPr>
            <a:spLocks noChangeArrowheads="1"/>
          </xdr:cNvSpPr>
        </xdr:nvSpPr>
        <xdr:spPr bwMode="auto">
          <a:xfrm>
            <a:off x="401" y="40"/>
            <a:ext cx="374" cy="4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 algn="ctr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5" name="Run1" hidden="1">
                <a:extLst>
                  <a:ext uri="{63B3BB69-23CF-44E3-9099-C40C66FF867C}">
                    <a14:compatExt spid="_x0000_s16385"/>
                  </a:ext>
                </a:extLst>
              </xdr:cNvPr>
              <xdr:cNvSpPr/>
            </xdr:nvSpPr>
            <xdr:spPr>
              <a:xfrm>
                <a:off x="413" y="44"/>
                <a:ext cx="162" cy="34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0" name="Cprint2" hidden="1">
                <a:extLst>
                  <a:ext uri="{63B3BB69-23CF-44E3-9099-C40C66FF867C}">
                    <a14:compatExt spid="_x0000_s16390"/>
                  </a:ext>
                </a:extLst>
              </xdr:cNvPr>
              <xdr:cNvSpPr/>
            </xdr:nvSpPr>
            <xdr:spPr>
              <a:xfrm>
                <a:off x="588" y="44"/>
                <a:ext cx="171" cy="36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</xdr:col>
      <xdr:colOff>0</xdr:colOff>
      <xdr:row>9</xdr:row>
      <xdr:rowOff>0</xdr:rowOff>
    </xdr:from>
    <xdr:to>
      <xdr:col>10</xdr:col>
      <xdr:colOff>409575</xdr:colOff>
      <xdr:row>24</xdr:row>
      <xdr:rowOff>57150</xdr:rowOff>
    </xdr:to>
    <xdr:graphicFrame macro="">
      <xdr:nvGraphicFramePr>
        <xdr:cNvPr id="7" name="Chart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104775</xdr:rowOff>
    </xdr:from>
    <xdr:to>
      <xdr:col>48</xdr:col>
      <xdr:colOff>28575</xdr:colOff>
      <xdr:row>34</xdr:row>
      <xdr:rowOff>9525</xdr:rowOff>
    </xdr:to>
    <xdr:graphicFrame macro="">
      <xdr:nvGraphicFramePr>
        <xdr:cNvPr id="1231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38</xdr:row>
      <xdr:rowOff>152400</xdr:rowOff>
    </xdr:from>
    <xdr:to>
      <xdr:col>48</xdr:col>
      <xdr:colOff>28575</xdr:colOff>
      <xdr:row>72</xdr:row>
      <xdr:rowOff>123825</xdr:rowOff>
    </xdr:to>
    <xdr:graphicFrame macro="">
      <xdr:nvGraphicFramePr>
        <xdr:cNvPr id="123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77</xdr:row>
      <xdr:rowOff>85725</xdr:rowOff>
    </xdr:from>
    <xdr:to>
      <xdr:col>48</xdr:col>
      <xdr:colOff>76200</xdr:colOff>
      <xdr:row>110</xdr:row>
      <xdr:rowOff>152400</xdr:rowOff>
    </xdr:to>
    <xdr:graphicFrame macro="">
      <xdr:nvGraphicFramePr>
        <xdr:cNvPr id="123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155</xdr:row>
      <xdr:rowOff>142875</xdr:rowOff>
    </xdr:from>
    <xdr:to>
      <xdr:col>48</xdr:col>
      <xdr:colOff>95250</xdr:colOff>
      <xdr:row>190</xdr:row>
      <xdr:rowOff>57150</xdr:rowOff>
    </xdr:to>
    <xdr:graphicFrame macro="">
      <xdr:nvGraphicFramePr>
        <xdr:cNvPr id="12318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196</xdr:row>
      <xdr:rowOff>66675</xdr:rowOff>
    </xdr:from>
    <xdr:to>
      <xdr:col>48</xdr:col>
      <xdr:colOff>95250</xdr:colOff>
      <xdr:row>230</xdr:row>
      <xdr:rowOff>95250</xdr:rowOff>
    </xdr:to>
    <xdr:graphicFrame macro="">
      <xdr:nvGraphicFramePr>
        <xdr:cNvPr id="12318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295275</xdr:colOff>
      <xdr:row>238</xdr:row>
      <xdr:rowOff>142875</xdr:rowOff>
    </xdr:from>
    <xdr:to>
      <xdr:col>48</xdr:col>
      <xdr:colOff>95250</xdr:colOff>
      <xdr:row>272</xdr:row>
      <xdr:rowOff>104775</xdr:rowOff>
    </xdr:to>
    <xdr:graphicFrame macro="">
      <xdr:nvGraphicFramePr>
        <xdr:cNvPr id="12318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284</xdr:row>
      <xdr:rowOff>66675</xdr:rowOff>
    </xdr:from>
    <xdr:to>
      <xdr:col>48</xdr:col>
      <xdr:colOff>104775</xdr:colOff>
      <xdr:row>318</xdr:row>
      <xdr:rowOff>28575</xdr:rowOff>
    </xdr:to>
    <xdr:graphicFrame macro="">
      <xdr:nvGraphicFramePr>
        <xdr:cNvPr id="12319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238125</xdr:colOff>
      <xdr:row>325</xdr:row>
      <xdr:rowOff>66675</xdr:rowOff>
    </xdr:from>
    <xdr:to>
      <xdr:col>48</xdr:col>
      <xdr:colOff>133350</xdr:colOff>
      <xdr:row>359</xdr:row>
      <xdr:rowOff>38100</xdr:rowOff>
    </xdr:to>
    <xdr:graphicFrame macro="">
      <xdr:nvGraphicFramePr>
        <xdr:cNvPr id="12319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368</xdr:row>
      <xdr:rowOff>19050</xdr:rowOff>
    </xdr:from>
    <xdr:to>
      <xdr:col>48</xdr:col>
      <xdr:colOff>152400</xdr:colOff>
      <xdr:row>402</xdr:row>
      <xdr:rowOff>28575</xdr:rowOff>
    </xdr:to>
    <xdr:graphicFrame macro="">
      <xdr:nvGraphicFramePr>
        <xdr:cNvPr id="1231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257175</xdr:colOff>
      <xdr:row>411</xdr:row>
      <xdr:rowOff>152400</xdr:rowOff>
    </xdr:from>
    <xdr:to>
      <xdr:col>48</xdr:col>
      <xdr:colOff>104775</xdr:colOff>
      <xdr:row>446</xdr:row>
      <xdr:rowOff>142875</xdr:rowOff>
    </xdr:to>
    <xdr:graphicFrame macro="">
      <xdr:nvGraphicFramePr>
        <xdr:cNvPr id="1231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295275</xdr:colOff>
      <xdr:row>454</xdr:row>
      <xdr:rowOff>133350</xdr:rowOff>
    </xdr:from>
    <xdr:to>
      <xdr:col>48</xdr:col>
      <xdr:colOff>123825</xdr:colOff>
      <xdr:row>488</xdr:row>
      <xdr:rowOff>9525</xdr:rowOff>
    </xdr:to>
    <xdr:graphicFrame macro="">
      <xdr:nvGraphicFramePr>
        <xdr:cNvPr id="12319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238125</xdr:colOff>
      <xdr:row>116</xdr:row>
      <xdr:rowOff>76200</xdr:rowOff>
    </xdr:from>
    <xdr:to>
      <xdr:col>48</xdr:col>
      <xdr:colOff>104775</xdr:colOff>
      <xdr:row>149</xdr:row>
      <xdr:rowOff>123825</xdr:rowOff>
    </xdr:to>
    <xdr:graphicFrame macro="">
      <xdr:nvGraphicFramePr>
        <xdr:cNvPr id="12319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0.02282</cdr:x>
      <cdr:y>0.03802</cdr:y>
    </cdr:from>
    <cdr:to>
      <cdr:x>0.9717</cdr:x>
      <cdr:y>0.95682</cdr:y>
    </cdr:to>
    <cdr:grpSp>
      <cdr:nvGrpSpPr>
        <cdr:cNvPr id="58" name="Group 6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62515" y="199539"/>
          <a:ext cx="27548074" cy="4822115"/>
          <a:chOff x="609850" y="109771"/>
          <a:chExt cx="27299757" cy="5269001"/>
        </a:xfrm>
      </cdr:grpSpPr>
      <cdr:grpSp>
        <cdr:nvGrpSpPr>
          <cdr:cNvPr id="60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24645" y="109771"/>
            <a:ext cx="6686827" cy="422195"/>
            <a:chOff x="728974" y="106809"/>
            <a:chExt cx="6777298" cy="405091"/>
          </a:xfrm>
        </cdr:grpSpPr>
      </cdr:grpSp>
      <cdr:grpSp>
        <cdr:nvGrpSpPr>
          <cdr:cNvPr id="745475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24645" y="109771"/>
            <a:ext cx="6686827" cy="422195"/>
            <a:chOff x="728974" y="106809"/>
            <a:chExt cx="6777298" cy="405091"/>
          </a:xfrm>
        </cdr:grpSpPr>
        <cdr:sp macro="" textlink="'HourGH-APR'!$G$5">
          <cdr:nvSpPr>
            <cdr:cNvPr id="128001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941526" y="166726"/>
              <a:ext cx="2179706" cy="2761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9D35AF45-BBD5-4831-AAE3-0010708851CF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APR'!$G$7">
          <cdr:nvSpPr>
            <cdr:cNvPr id="128003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925624" y="106809"/>
              <a:ext cx="1580648" cy="40509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B8C243E6-9A73-4AB4-8105-43ADCDB62926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APR'!$F$5">
          <cdr:nvSpPr>
            <cdr:cNvPr id="128004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728974" y="166726"/>
              <a:ext cx="1811610" cy="28786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C8A2D6DC-74C3-47CF-A716-6E095152A777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BI$1">
          <cdr:nvSpPr>
            <cdr:cNvPr id="128005" name="Text Box 5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4258366" y="166726"/>
              <a:ext cx="1530124" cy="27874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B1B52D79-D77A-49FC-936D-6E9E5415C81B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Apr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62" name="Group 6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09850" y="5076199"/>
            <a:ext cx="27299757" cy="302573"/>
            <a:chOff x="609850" y="5076199"/>
            <a:chExt cx="27299757" cy="302573"/>
          </a:xfrm>
        </cdr:grpSpPr>
      </cdr:grpSp>
      <cdr:grpSp>
        <cdr:nvGrpSpPr>
          <cdr:cNvPr id="745477" name="Group 6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09850" y="5076199"/>
            <a:ext cx="27299757" cy="302573"/>
            <a:chOff x="609850" y="5076199"/>
            <a:chExt cx="27299757" cy="302573"/>
          </a:xfrm>
        </cdr:grpSpPr>
        <cdr:sp macro="" textlink="">
          <cdr:nvSpPr>
            <cdr:cNvPr id="128008" name="Text Box 8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609850" y="5095901"/>
              <a:ext cx="444832" cy="27161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</a:t>
              </a:r>
            </a:p>
          </cdr:txBody>
        </cdr:sp>
        <cdr:sp macro="" textlink="">
          <cdr:nvSpPr>
            <cdr:cNvPr id="128009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413417" y="5095901"/>
              <a:ext cx="559627" cy="27302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</a:t>
              </a:r>
            </a:p>
          </cdr:txBody>
        </cdr:sp>
        <cdr:sp macro="" textlink="">
          <cdr:nvSpPr>
            <cdr:cNvPr id="128013" name="Text Box 13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525497" y="5095901"/>
              <a:ext cx="444831" cy="27302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3</a:t>
              </a:r>
            </a:p>
          </cdr:txBody>
        </cdr:sp>
        <cdr:sp macro="" textlink="">
          <cdr:nvSpPr>
            <cdr:cNvPr id="128014" name="Text Box 14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472558" y="5095901"/>
              <a:ext cx="552452" cy="2519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4</a:t>
              </a:r>
            </a:p>
          </cdr:txBody>
        </cdr:sp>
        <cdr:sp macro="" textlink="">
          <cdr:nvSpPr>
            <cdr:cNvPr id="128015" name="Text Box 15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4218727" y="5095901"/>
              <a:ext cx="717471" cy="24487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5</a:t>
              </a:r>
            </a:p>
          </cdr:txBody>
        </cdr:sp>
        <cdr:sp macro="" textlink="">
          <cdr:nvSpPr>
            <cdr:cNvPr id="128016" name="Text Box 16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137090" y="5095901"/>
              <a:ext cx="660073" cy="2519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6</a:t>
              </a:r>
            </a:p>
          </cdr:txBody>
        </cdr:sp>
        <cdr:grpSp>
          <cdr:nvGrpSpPr>
            <cdr:cNvPr id="64" name="Group 6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6048277" y="5076199"/>
              <a:ext cx="21861330" cy="302573"/>
              <a:chOff x="6048277" y="5076199"/>
              <a:chExt cx="21861330" cy="302573"/>
            </a:xfrm>
          </cdr:grpSpPr>
        </cdr:grpSp>
        <cdr:grpSp>
          <cdr:nvGrpSpPr>
            <cdr:cNvPr id="745485" name="Group 6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6048277" y="5076199"/>
              <a:ext cx="21861330" cy="302573"/>
              <a:chOff x="6048277" y="5076199"/>
              <a:chExt cx="21861330" cy="302573"/>
            </a:xfrm>
          </cdr:grpSpPr>
          <cdr:sp macro="" textlink="">
            <cdr:nvSpPr>
              <cdr:cNvPr id="128021" name="Text Box 2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36076" y="5095901"/>
                <a:ext cx="559627" cy="27161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128022" name="Text Box 2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625740" y="5105752"/>
                <a:ext cx="530928" cy="24487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12</a:t>
                </a:r>
              </a:p>
            </cdr:txBody>
          </cdr:sp>
          <cdr:sp macro="" textlink="">
            <cdr:nvSpPr>
              <cdr:cNvPr id="128023" name="Text Box 2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572801" y="5095901"/>
                <a:ext cx="495055" cy="25331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13</a:t>
                </a:r>
              </a:p>
            </cdr:txBody>
          </cdr:sp>
          <cdr:sp macro="" textlink="">
            <cdr:nvSpPr>
              <cdr:cNvPr id="128020" name="Text Box 2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824889" y="5095901"/>
                <a:ext cx="552452" cy="2547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128017" name="Text Box 1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048277" y="5095901"/>
                <a:ext cx="581152" cy="25191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128018" name="Text Box 1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966640" y="5095901"/>
                <a:ext cx="523753" cy="27302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128019" name="Text Box 1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021322" y="5095901"/>
                <a:ext cx="358735" cy="25191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  <cdr:sp macro="" textlink="">
            <cdr:nvSpPr>
              <cdr:cNvPr id="128024" name="Text Box 2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483989" y="5095901"/>
                <a:ext cx="559627" cy="25331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grpSp>
            <cdr:nvGrpSpPr>
              <cdr:cNvPr id="66" name="Group 59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3373652" y="5076199"/>
                <a:ext cx="14535955" cy="302573"/>
                <a:chOff x="13373652" y="5076199"/>
                <a:chExt cx="14535955" cy="302573"/>
              </a:xfrm>
            </cdr:grpSpPr>
          </cdr:grpSp>
          <cdr:grpSp>
            <cdr:nvGrpSpPr>
              <cdr:cNvPr id="745495" name="Group 59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3373652" y="5076199"/>
                <a:ext cx="14535955" cy="302573"/>
                <a:chOff x="13373652" y="5076199"/>
                <a:chExt cx="14535955" cy="302573"/>
              </a:xfrm>
            </cdr:grpSpPr>
            <cdr:sp macro="" textlink="">
              <cdr:nvSpPr>
                <cdr:cNvPr id="128030" name="Text Box 3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7922416" y="5076199"/>
                  <a:ext cx="609850" cy="253317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20</a:t>
                  </a:r>
                </a:p>
              </cdr:txBody>
            </cdr:sp>
            <cdr:sp macro="" textlink="">
              <cdr:nvSpPr>
                <cdr:cNvPr id="128027" name="Text Box 2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5174504" y="5095901"/>
                  <a:ext cx="530928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17</a:t>
                  </a:r>
                </a:p>
              </cdr:txBody>
            </cdr:sp>
            <cdr:sp macro="" textlink="">
              <cdr:nvSpPr>
                <cdr:cNvPr id="128028" name="Text Box 2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6035468" y="5095901"/>
                  <a:ext cx="609851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18</a:t>
                  </a:r>
                </a:p>
              </cdr:txBody>
            </cdr:sp>
            <cdr:sp macro="" textlink="">
              <cdr:nvSpPr>
                <cdr:cNvPr id="128029" name="Text Box 2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7061451" y="5076199"/>
                  <a:ext cx="588326" cy="271612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19</a:t>
                  </a:r>
                </a:p>
              </cdr:txBody>
            </cdr:sp>
            <cdr:sp macro="" textlink="">
              <cdr:nvSpPr>
                <cdr:cNvPr id="128025" name="Text Box 2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3373652" y="5095901"/>
                  <a:ext cx="552453" cy="27161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15</a:t>
                  </a:r>
                </a:p>
              </cdr:txBody>
            </cdr:sp>
            <cdr:sp macro="" textlink="">
              <cdr:nvSpPr>
                <cdr:cNvPr id="128026" name="Text Box 2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4292015" y="5105752"/>
                  <a:ext cx="581151" cy="27302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16</a:t>
                  </a:r>
                </a:p>
              </cdr:txBody>
            </cdr:sp>
            <cdr:sp macro="" textlink="">
              <cdr:nvSpPr>
                <cdr:cNvPr id="128034" name="Text Box 3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8840779" y="5095901"/>
                  <a:ext cx="552452" cy="27161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21</a:t>
                  </a:r>
                </a:p>
              </cdr:txBody>
            </cdr:sp>
            <cdr:sp macro="" textlink="">
              <cdr:nvSpPr>
                <cdr:cNvPr id="128035" name="Text Box 3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673045" y="5105752"/>
                  <a:ext cx="638548" cy="27302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grpSp>
              <cdr:nvGrpSpPr>
                <cdr:cNvPr id="68" name="Group 53"/>
                <cdr:cNvGrpSpPr>
                  <a:grpSpLocks xmlns:a="http://schemas.openxmlformats.org/drawingml/2006/main"/>
                </cdr:cNvGrpSpPr>
              </cdr:nvGrpSpPr>
              <cdr:grpSpPr bwMode="auto">
                <a:xfrm xmlns:a="http://schemas.openxmlformats.org/drawingml/2006/main">
                  <a:off x="20612931" y="5076199"/>
                  <a:ext cx="7296676" cy="292722"/>
                  <a:chOff x="20641630" y="5142343"/>
                  <a:chExt cx="7311026" cy="292722"/>
                </a:xfrm>
              </cdr:grpSpPr>
            </cdr:grpSp>
            <cdr:grpSp>
              <cdr:nvGrpSpPr>
                <cdr:cNvPr id="745505" name="Group 53"/>
                <cdr:cNvGrpSpPr>
                  <a:grpSpLocks xmlns:a="http://schemas.openxmlformats.org/drawingml/2006/main"/>
                </cdr:cNvGrpSpPr>
              </cdr:nvGrpSpPr>
              <cdr:grpSpPr bwMode="auto">
                <a:xfrm xmlns:a="http://schemas.openxmlformats.org/drawingml/2006/main">
                  <a:off x="20612931" y="5076199"/>
                  <a:ext cx="7296676" cy="292722"/>
                  <a:chOff x="20641630" y="5142343"/>
                  <a:chExt cx="7311026" cy="292722"/>
                </a:xfrm>
              </cdr:grpSpPr>
              <cdr:sp macro="" textlink="">
                <cdr:nvSpPr>
                  <cdr:cNvPr id="128036" name="Text Box 36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0641630" y="5162045"/>
                    <a:ext cx="638549" cy="253318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23</a:t>
                    </a:r>
                  </a:p>
                </cdr:txBody>
              </cdr:sp>
              <cdr:sp macro="" textlink="">
                <cdr:nvSpPr>
                  <cdr:cNvPr id="128037" name="Text Box 37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1559992" y="5160638"/>
                    <a:ext cx="552453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24</a:t>
                    </a:r>
                  </a:p>
                </cdr:txBody>
              </cdr:sp>
              <cdr:sp macro="" textlink="">
                <cdr:nvSpPr>
                  <cdr:cNvPr id="128038" name="Text Box 38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2420957" y="5160638"/>
                    <a:ext cx="552452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25</a:t>
                    </a:r>
                  </a:p>
                </cdr:txBody>
              </cdr:sp>
              <cdr:sp macro="" textlink="">
                <cdr:nvSpPr>
                  <cdr:cNvPr id="128039" name="Text Box 39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3303446" y="5160638"/>
                    <a:ext cx="753344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26</a:t>
                    </a:r>
                  </a:p>
                </cdr:txBody>
              </cdr:sp>
              <cdr:sp macro="" textlink="">
                <cdr:nvSpPr>
                  <cdr:cNvPr id="128040" name="Text Box 40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4279206" y="5142343"/>
                    <a:ext cx="667248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27</a:t>
                    </a:r>
                  </a:p>
                </cdr:txBody>
              </cdr:sp>
              <cdr:sp macro="" textlink="">
                <cdr:nvSpPr>
                  <cdr:cNvPr id="128041" name="Text Box 41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5190394" y="5160638"/>
                    <a:ext cx="695946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28</a:t>
                    </a:r>
                  </a:p>
                </cdr:txBody>
              </cdr:sp>
              <cdr:sp macro="" textlink="">
                <cdr:nvSpPr>
                  <cdr:cNvPr id="128044" name="Text Box 44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6897974" y="5162045"/>
                    <a:ext cx="1054682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30</a:t>
                    </a:r>
                  </a:p>
                </cdr:txBody>
              </cdr:sp>
              <cdr:sp macro="" textlink="">
                <cdr:nvSpPr>
                  <cdr:cNvPr id="128042" name="Text Box 42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5757195" y="5162045"/>
                    <a:ext cx="1549737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29</a:t>
                    </a:r>
                  </a:p>
                </cdr:txBody>
              </cdr:sp>
            </cdr:grpSp>
          </cdr:grpSp>
        </cdr:grp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0.01435</cdr:x>
      <cdr:y>0.03447</cdr:y>
    </cdr:from>
    <cdr:to>
      <cdr:x>0.98042</cdr:x>
      <cdr:y>0.97216</cdr:y>
    </cdr:to>
    <cdr:grpSp>
      <cdr:nvGrpSpPr>
        <cdr:cNvPr id="59" name="Group 6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16612" y="188788"/>
          <a:ext cx="28047138" cy="5135611"/>
          <a:chOff x="369068" y="141518"/>
          <a:chExt cx="28056370" cy="5140461"/>
        </a:xfrm>
      </cdr:grpSpPr>
      <cdr:grpSp>
        <cdr:nvGrpSpPr>
          <cdr:cNvPr id="61" name="Group 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068" y="141518"/>
            <a:ext cx="7395824" cy="273601"/>
            <a:chOff x="368703" y="152955"/>
            <a:chExt cx="7388524" cy="286300"/>
          </a:xfrm>
        </cdr:grpSpPr>
      </cdr:grpSp>
      <cdr:grpSp>
        <cdr:nvGrpSpPr>
          <cdr:cNvPr id="746499" name="Group 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068" y="141518"/>
            <a:ext cx="7395824" cy="273601"/>
            <a:chOff x="368703" y="152955"/>
            <a:chExt cx="7388524" cy="286300"/>
          </a:xfrm>
        </cdr:grpSpPr>
        <cdr:sp macro="" textlink="'HourGH-MAY'!$G$5">
          <cdr:nvSpPr>
            <cdr:cNvPr id="123920" name="Text Box 16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894122" y="171257"/>
              <a:ext cx="2262826" cy="2679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FED4E502-4F4C-44C1-9BF7-BF5D7583650A}" type="TxLink">
                <a:rPr lang="en-US" sz="1325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325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BM$1">
          <cdr:nvSpPr>
            <cdr:cNvPr id="123921" name="Text Box 17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4207554" y="152955"/>
              <a:ext cx="1330224" cy="28630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E3C8B373-A05B-4D8E-A377-C763226FF428}" type="TxLink">
                <a:rPr lang="en-US" sz="1325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May</a:t>
              </a:fld>
              <a:endParaRPr lang="en-US" sz="1325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MAY'!$F$5">
          <cdr:nvSpPr>
            <cdr:cNvPr id="123922" name="Text Box 18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68703" y="162106"/>
              <a:ext cx="2161613" cy="27192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499ACB99-2920-48C0-A1B2-4CA1F19E2771}" type="TxLink">
                <a:rPr lang="th-TH" sz="1325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325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MAY'!$G$7">
          <cdr:nvSpPr>
            <cdr:cNvPr id="123923" name="Text Box 19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935399" y="171257"/>
              <a:ext cx="1821828" cy="2640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A4281FD9-F20B-41DE-8639-F6C68C2C2562}" type="TxLink">
                <a:rPr lang="th-TH" sz="1325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325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63" name="Group 6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59845" y="4922120"/>
            <a:ext cx="27665593" cy="359859"/>
            <a:chOff x="759845" y="5209099"/>
            <a:chExt cx="27665593" cy="382267"/>
          </a:xfrm>
        </cdr:grpSpPr>
      </cdr:grpSp>
      <cdr:grpSp>
        <cdr:nvGrpSpPr>
          <cdr:cNvPr id="746501" name="Group 6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59845" y="4922120"/>
            <a:ext cx="27665593" cy="359859"/>
            <a:chOff x="759845" y="5209099"/>
            <a:chExt cx="27665593" cy="382267"/>
          </a:xfrm>
        </cdr:grpSpPr>
        <cdr:sp macro="" textlink="">
          <cdr:nvSpPr>
            <cdr:cNvPr id="123932" name="Text Box 28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587173" y="5219083"/>
              <a:ext cx="528273" cy="2710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12</a:t>
              </a:r>
            </a:p>
          </cdr:txBody>
        </cdr:sp>
        <cdr:sp macro="" textlink="">
          <cdr:nvSpPr>
            <cdr:cNvPr id="123933" name="Text Box 2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1397675" y="5219083"/>
              <a:ext cx="723661" cy="3095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13</a:t>
              </a:r>
            </a:p>
          </cdr:txBody>
        </cdr:sp>
        <cdr:grpSp>
          <cdr:nvGrpSpPr>
            <cdr:cNvPr id="65" name="Group 5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</cdr:grpSp>
        <cdr:grpSp>
          <cdr:nvGrpSpPr>
            <cdr:cNvPr id="746505" name="Group 5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  <cdr:sp macro="" textlink="">
            <cdr:nvSpPr>
              <cdr:cNvPr id="123931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18779" y="5229068"/>
                <a:ext cx="564456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123926" name="Text Box 2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59845" y="5209099"/>
                <a:ext cx="615113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</a:t>
                </a:r>
              </a:p>
            </cdr:txBody>
          </cdr:sp>
          <cdr:sp macro="" textlink="">
            <cdr:nvSpPr>
              <cdr:cNvPr id="123927" name="Text Box 2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70346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</a:t>
                </a:r>
              </a:p>
            </cdr:txBody>
          </cdr:sp>
          <cdr:sp macro="" textlink="">
            <cdr:nvSpPr>
              <cdr:cNvPr id="123928" name="Text Box 2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547290" y="5209099"/>
                <a:ext cx="499326" cy="35088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</a:t>
                </a:r>
              </a:p>
            </cdr:txBody>
          </cdr:sp>
          <cdr:sp macro="" textlink="">
            <cdr:nvSpPr>
              <cdr:cNvPr id="123929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415684" y="5219083"/>
                <a:ext cx="528273" cy="27956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4</a:t>
                </a:r>
              </a:p>
            </cdr:txBody>
          </cdr:sp>
          <cdr:sp macro="" textlink="">
            <cdr:nvSpPr>
              <cdr:cNvPr id="123934" name="Text Box 3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20126" y="5229068"/>
                <a:ext cx="636822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123935" name="Text Box 3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3681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123936" name="Text Box 3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145236" y="5209099"/>
                <a:ext cx="694715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123937" name="Text Box 3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122179" y="5219083"/>
                <a:ext cx="586167" cy="26958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123938" name="Text Box 3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041230" y="5219083"/>
                <a:ext cx="52827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123939" name="Text Box 3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822785" y="5209099"/>
                <a:ext cx="701952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</cdr:grpSp>
        <cdr:grpSp>
          <cdr:nvGrpSpPr>
            <cdr:cNvPr id="67" name="Group 6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</cdr:grpSp>
        <cdr:grpSp>
          <cdr:nvGrpSpPr>
            <cdr:cNvPr id="746507" name="Group 6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  <cdr:sp macro="" textlink="">
            <cdr:nvSpPr>
              <cdr:cNvPr id="123941" name="Text Box 3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7512617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20</a:t>
                </a:r>
              </a:p>
            </cdr:txBody>
          </cdr:sp>
          <cdr:sp macro="" textlink="">
            <cdr:nvSpPr>
              <cdr:cNvPr id="123942" name="Text Box 3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4885725" y="5231921"/>
                <a:ext cx="50656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17</a:t>
                </a:r>
              </a:p>
            </cdr:txBody>
          </cdr:sp>
          <cdr:sp macro="" textlink="">
            <cdr:nvSpPr>
              <cdr:cNvPr id="123943" name="Text Box 3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696226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18</a:t>
                </a:r>
              </a:p>
            </cdr:txBody>
          </cdr:sp>
          <cdr:sp macro="" textlink="">
            <cdr:nvSpPr>
              <cdr:cNvPr id="123944" name="Text Box 4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6644223" y="5211951"/>
                <a:ext cx="557220" cy="30096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19</a:t>
                </a:r>
              </a:p>
            </cdr:txBody>
          </cdr:sp>
          <cdr:sp macro="" textlink="">
            <cdr:nvSpPr>
              <cdr:cNvPr id="123945" name="Text Box 4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208176" y="5231921"/>
                <a:ext cx="557219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sp macro="" textlink="">
            <cdr:nvSpPr>
              <cdr:cNvPr id="123946" name="Text Box 4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047624" y="5231921"/>
                <a:ext cx="557219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15</a:t>
                </a:r>
              </a:p>
            </cdr:txBody>
          </cdr:sp>
          <cdr:sp macro="" textlink="">
            <cdr:nvSpPr>
              <cdr:cNvPr id="123947" name="Text Box 4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937728" y="5230494"/>
                <a:ext cx="58616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16</a:t>
                </a:r>
              </a:p>
            </cdr:txBody>
          </cdr:sp>
          <cdr:sp macro="" textlink="">
            <cdr:nvSpPr>
              <cdr:cNvPr id="123948" name="Text Box 4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8460614" y="5231921"/>
                <a:ext cx="557220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21</a:t>
                </a:r>
              </a:p>
            </cdr:txBody>
          </cdr:sp>
          <cdr:grpSp>
            <cdr:nvGrpSpPr>
              <cdr:cNvPr id="69" name="Group 59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</cdr:grpSp>
          <cdr:grpSp>
            <cdr:nvGrpSpPr>
              <cdr:cNvPr id="746517" name="Group 59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  <cdr:sp macro="" textlink="">
              <cdr:nvSpPr>
                <cdr:cNvPr id="123949" name="Text Box 4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452031" y="5230494"/>
                  <a:ext cx="62958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sp macro="" textlink="">
              <cdr:nvSpPr>
                <cdr:cNvPr id="123951" name="Text Box 4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0349372" y="5231921"/>
                  <a:ext cx="629586" cy="28099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23</a:t>
                  </a:r>
                </a:p>
              </cdr:txBody>
            </cdr:sp>
            <cdr:sp macro="" textlink="">
              <cdr:nvSpPr>
                <cdr:cNvPr id="123952" name="Text Box 4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1261186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24</a:t>
                  </a:r>
                </a:p>
              </cdr:txBody>
            </cdr:sp>
            <cdr:sp macro="" textlink="">
              <cdr:nvSpPr>
                <cdr:cNvPr id="123953" name="Text Box 4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115107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25</a:t>
                  </a:r>
                </a:p>
              </cdr:txBody>
            </cdr:sp>
            <cdr:sp macro="" textlink="">
              <cdr:nvSpPr>
                <cdr:cNvPr id="123954" name="Text Box 5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983501" y="5230494"/>
                  <a:ext cx="752609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26</a:t>
                  </a:r>
                </a:p>
              </cdr:txBody>
            </cdr:sp>
            <cdr:sp macro="" textlink="">
              <cdr:nvSpPr>
                <cdr:cNvPr id="123955" name="Text Box 5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3786766" y="5210525"/>
                  <a:ext cx="82497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27</a:t>
                  </a:r>
                </a:p>
              </cdr:txBody>
            </cdr:sp>
            <cdr:sp macro="" textlink="">
              <cdr:nvSpPr>
                <cdr:cNvPr id="123956" name="Text Box 5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4691343" y="5230494"/>
                  <a:ext cx="853921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28</a:t>
                  </a:r>
                </a:p>
              </cdr:txBody>
            </cdr:sp>
            <cdr:sp macro="" textlink="">
              <cdr:nvSpPr>
                <cdr:cNvPr id="123957" name="Text Box 5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6551154" y="5231921"/>
                  <a:ext cx="788792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30</a:t>
                  </a:r>
                </a:p>
              </cdr:txBody>
            </cdr:sp>
            <cdr:sp macro="" textlink="">
              <cdr:nvSpPr>
                <cdr:cNvPr id="123958" name="Text Box 5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5595921" y="5229068"/>
                  <a:ext cx="84668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29</a:t>
                  </a:r>
                </a:p>
              </cdr:txBody>
            </cdr:sp>
            <cdr:sp macro="" textlink="">
              <cdr:nvSpPr>
                <cdr:cNvPr id="123962" name="Text Box 5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7448495" y="5229068"/>
                  <a:ext cx="991417" cy="36229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31</a:t>
                  </a:r>
                </a:p>
              </cdr:txBody>
            </cdr:sp>
          </cdr:grpSp>
        </cdr:grpSp>
      </cdr:grp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0.03531</cdr:y>
    </cdr:from>
    <cdr:to>
      <cdr:x>0.97245</cdr:x>
      <cdr:y>0.9389</cdr:y>
    </cdr:to>
    <cdr:grpSp>
      <cdr:nvGrpSpPr>
        <cdr:cNvPr id="66" name="Group 8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17141" y="191034"/>
          <a:ext cx="27870797" cy="4888603"/>
          <a:chOff x="435054" y="139767"/>
          <a:chExt cx="27814477" cy="5040947"/>
        </a:xfrm>
      </cdr:grpSpPr>
      <cdr:grpSp>
        <cdr:nvGrpSpPr>
          <cdr:cNvPr id="68" name="Group 8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5054" y="139767"/>
            <a:ext cx="6605576" cy="428621"/>
            <a:chOff x="435054" y="139767"/>
            <a:chExt cx="6605576" cy="428621"/>
          </a:xfrm>
        </cdr:grpSpPr>
      </cdr:grpSp>
      <cdr:grpSp>
        <cdr:nvGrpSpPr>
          <cdr:cNvPr id="747523" name="Group 8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5054" y="139767"/>
            <a:ext cx="6605576" cy="428621"/>
            <a:chOff x="435054" y="139767"/>
            <a:chExt cx="6605576" cy="428621"/>
          </a:xfrm>
        </cdr:grpSpPr>
        <cdr:sp macro="" textlink="'HourGH-JUN'!$G$5">
          <cdr:nvSpPr>
            <cdr:cNvPr id="155649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993999" y="151748"/>
              <a:ext cx="1595200" cy="33277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98976DEB-1198-4C9C-A79F-F2C98FE31229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JUN'!$F$5">
          <cdr:nvSpPr>
            <cdr:cNvPr id="155650" name="Text Box 2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435054" y="139767"/>
              <a:ext cx="1798225" cy="34342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4864" rIns="27432" bIns="54864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85754CA0-7929-4A75-84C3-B02B59EAC97C}" type="TxLink">
                <a:rPr lang="th-TH" sz="16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6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JUN'!$G$7:$H$7">
          <cdr:nvSpPr>
            <cdr:cNvPr id="155651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670209" y="139767"/>
              <a:ext cx="1370421" cy="4286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DF35409D-97A2-4DEE-9DA0-94ADB62621A2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BQ$1">
          <cdr:nvSpPr>
            <cdr:cNvPr id="155652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523940" y="142430"/>
              <a:ext cx="2146269" cy="34342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B3E1FD1D-F938-4D36-9DAC-3FBA8BFE98CF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Jun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70" name="Group 79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91861" y="4895855"/>
            <a:ext cx="27357670" cy="284859"/>
            <a:chOff x="884611" y="4895855"/>
            <a:chExt cx="27364920" cy="284859"/>
          </a:xfrm>
        </cdr:grpSpPr>
      </cdr:grpSp>
      <cdr:grpSp>
        <cdr:nvGrpSpPr>
          <cdr:cNvPr id="747525" name="Group 79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91861" y="4895855"/>
            <a:ext cx="27357670" cy="284859"/>
            <a:chOff x="884611" y="4895855"/>
            <a:chExt cx="27364920" cy="284859"/>
          </a:xfrm>
        </cdr:grpSpPr>
        <cdr:sp macro="" textlink="">
          <cdr:nvSpPr>
            <cdr:cNvPr id="155657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13352" y="4905173"/>
              <a:ext cx="442305" cy="26223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3</a:t>
              </a:r>
            </a:p>
          </cdr:txBody>
        </cdr:sp>
        <cdr:grpSp>
          <cdr:nvGrpSpPr>
            <cdr:cNvPr id="72" name="Group 45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884611" y="4895855"/>
              <a:ext cx="27364920" cy="284859"/>
              <a:chOff x="891861" y="4886537"/>
              <a:chExt cx="27350419" cy="284859"/>
            </a:xfrm>
          </cdr:grpSpPr>
        </cdr:grpSp>
        <cdr:grpSp>
          <cdr:nvGrpSpPr>
            <cdr:cNvPr id="747528" name="Group 45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884611" y="4895855"/>
              <a:ext cx="27364920" cy="284859"/>
              <a:chOff x="891861" y="4886537"/>
              <a:chExt cx="27350419" cy="284859"/>
            </a:xfrm>
          </cdr:grpSpPr>
          <cdr:grpSp>
            <cdr:nvGrpSpPr>
              <cdr:cNvPr id="74" name="Group 46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21875984" y="4890530"/>
                <a:ext cx="6366296" cy="280866"/>
                <a:chOff x="21868733" y="4890530"/>
                <a:chExt cx="6373547" cy="280866"/>
              </a:xfrm>
            </cdr:grpSpPr>
          </cdr:grpSp>
          <cdr:grpSp>
            <cdr:nvGrpSpPr>
              <cdr:cNvPr id="747530" name="Group 46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21875984" y="4890530"/>
                <a:ext cx="6366296" cy="280866"/>
                <a:chOff x="21868733" y="4890530"/>
                <a:chExt cx="6373547" cy="280866"/>
              </a:xfrm>
            </cdr:grpSpPr>
            <cdr:sp macro="" textlink="">
              <cdr:nvSpPr>
                <cdr:cNvPr id="155695" name="Text Box 4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1868733" y="4907835"/>
                  <a:ext cx="551069" cy="26223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24</a:t>
                  </a:r>
                </a:p>
              </cdr:txBody>
            </cdr:sp>
            <cdr:sp macro="" textlink="">
              <cdr:nvSpPr>
                <cdr:cNvPr id="155696" name="Text Box 4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731591" y="4907835"/>
                  <a:ext cx="551069" cy="26223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25</a:t>
                  </a:r>
                </a:p>
              </cdr:txBody>
            </cdr:sp>
            <cdr:sp macro="" textlink="">
              <cdr:nvSpPr>
                <cdr:cNvPr id="155697" name="Text Box 4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3608951" y="4907835"/>
                  <a:ext cx="746843" cy="26223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26</a:t>
                  </a:r>
                </a:p>
              </cdr:txBody>
            </cdr:sp>
            <cdr:sp macro="" textlink="">
              <cdr:nvSpPr>
                <cdr:cNvPr id="155698" name="Text Box 5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4580572" y="4890530"/>
                  <a:ext cx="667084" cy="26223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27</a:t>
                  </a:r>
                </a:p>
              </cdr:txBody>
            </cdr:sp>
            <cdr:sp macro="" textlink="">
              <cdr:nvSpPr>
                <cdr:cNvPr id="155699" name="Text Box 5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5486935" y="4907835"/>
                  <a:ext cx="696087" cy="26223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28</a:t>
                  </a:r>
                </a:p>
              </cdr:txBody>
            </cdr:sp>
            <cdr:sp macro="" textlink="">
              <cdr:nvSpPr>
                <cdr:cNvPr id="155700" name="Text Box 5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7190898" y="4909166"/>
                  <a:ext cx="1051382" cy="26223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30</a:t>
                  </a:r>
                </a:p>
              </cdr:txBody>
            </cdr:sp>
            <cdr:sp macro="" textlink="">
              <cdr:nvSpPr>
                <cdr:cNvPr id="155701" name="Text Box 5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6052506" y="4909166"/>
                  <a:ext cx="1544443" cy="26223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29</a:t>
                  </a:r>
                </a:p>
              </cdr:txBody>
            </cdr:sp>
          </cdr:grpSp>
          <cdr:grpSp>
            <cdr:nvGrpSpPr>
              <cdr:cNvPr id="76" name="Group 54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891861" y="4886537"/>
                <a:ext cx="20715840" cy="279535"/>
                <a:chOff x="891861" y="4891861"/>
                <a:chExt cx="20715840" cy="279535"/>
              </a:xfrm>
            </cdr:grpSpPr>
          </cdr:grpSp>
          <cdr:grpSp>
            <cdr:nvGrpSpPr>
              <cdr:cNvPr id="747532" name="Group 54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891861" y="4886537"/>
                <a:ext cx="20715840" cy="279535"/>
                <a:chOff x="891861" y="4891861"/>
                <a:chExt cx="20715840" cy="279535"/>
              </a:xfrm>
            </cdr:grpSpPr>
            <cdr:sp macro="" textlink="">
              <cdr:nvSpPr>
                <cdr:cNvPr id="155703" name="Text Box 5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891861" y="4909166"/>
                  <a:ext cx="442306" cy="260899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</a:t>
                  </a:r>
                </a:p>
              </cdr:txBody>
            </cdr:sp>
            <cdr:sp macro="" textlink="">
              <cdr:nvSpPr>
                <cdr:cNvPr id="155704" name="Text Box 5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689461" y="4909166"/>
                  <a:ext cx="580073" cy="26223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</a:t>
                  </a:r>
                </a:p>
              </cdr:txBody>
            </cdr:sp>
            <cdr:sp macro="" textlink="">
              <cdr:nvSpPr>
                <cdr:cNvPr id="155705" name="Text Box 5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3748719" y="4909166"/>
                  <a:ext cx="551068" cy="24226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4</a:t>
                  </a:r>
                </a:p>
              </cdr:txBody>
            </cdr:sp>
            <cdr:sp macro="" textlink="">
              <cdr:nvSpPr>
                <cdr:cNvPr id="155706" name="Text Box 5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655082" y="4909166"/>
                  <a:ext cx="601825" cy="26223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5</a:t>
                  </a:r>
                </a:p>
              </cdr:txBody>
            </cdr:sp>
            <cdr:grpSp>
              <cdr:nvGrpSpPr>
                <cdr:cNvPr id="78" name="Group 59"/>
                <cdr:cNvGrpSpPr>
                  <a:grpSpLocks xmlns:a="http://schemas.openxmlformats.org/drawingml/2006/main"/>
                </cdr:cNvGrpSpPr>
              </cdr:nvGrpSpPr>
              <cdr:grpSpPr bwMode="auto">
                <a:xfrm xmlns:a="http://schemas.openxmlformats.org/drawingml/2006/main">
                  <a:off x="5612201" y="4891861"/>
                  <a:ext cx="15995500" cy="279535"/>
                  <a:chOff x="5612201" y="4891861"/>
                  <a:chExt cx="15995500" cy="279535"/>
                </a:xfrm>
              </cdr:grpSpPr>
            </cdr:grpSp>
            <cdr:grpSp>
              <cdr:nvGrpSpPr>
                <cdr:cNvPr id="747538" name="Group 59"/>
                <cdr:cNvGrpSpPr>
                  <a:grpSpLocks xmlns:a="http://schemas.openxmlformats.org/drawingml/2006/main"/>
                </cdr:cNvGrpSpPr>
              </cdr:nvGrpSpPr>
              <cdr:grpSpPr bwMode="auto">
                <a:xfrm xmlns:a="http://schemas.openxmlformats.org/drawingml/2006/main">
                  <a:off x="5612201" y="4891861"/>
                  <a:ext cx="15995500" cy="279535"/>
                  <a:chOff x="5612201" y="4891861"/>
                  <a:chExt cx="15995500" cy="279535"/>
                </a:xfrm>
              </cdr:grpSpPr>
              <cdr:sp macro="" textlink="">
                <cdr:nvSpPr>
                  <cdr:cNvPr id="155708" name="Text Box 60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10057007" y="4909166"/>
                    <a:ext cx="572822" cy="260899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11</a:t>
                    </a:r>
                  </a:p>
                </cdr:txBody>
              </cdr:sp>
              <cdr:sp macro="" textlink="">
                <cdr:nvSpPr>
                  <cdr:cNvPr id="155709" name="Text Box 61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10905363" y="4909166"/>
                    <a:ext cx="522065" cy="235608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12</a:t>
                    </a:r>
                  </a:p>
                </cdr:txBody>
              </cdr:sp>
              <cdr:sp macro="" textlink="">
                <cdr:nvSpPr>
                  <cdr:cNvPr id="155710" name="Text Box 62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11840730" y="4909166"/>
                    <a:ext cx="464058" cy="243595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13</a:t>
                    </a:r>
                  </a:p>
                </cdr:txBody>
              </cdr:sp>
              <cdr:sp macro="" textlink="">
                <cdr:nvSpPr>
                  <cdr:cNvPr id="155711" name="Text Box 63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9099887" y="4909166"/>
                    <a:ext cx="543818" cy="244926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10</a:t>
                    </a:r>
                  </a:p>
                </cdr:txBody>
              </cdr:sp>
              <cdr:sp macro="" textlink="">
                <cdr:nvSpPr>
                  <cdr:cNvPr id="155712" name="Text Box 64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5612201" y="4909166"/>
                    <a:ext cx="442306" cy="242264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6</a:t>
                    </a:r>
                  </a:p>
                </cdr:txBody>
              </cdr:sp>
              <cdr:sp macro="" textlink="">
                <cdr:nvSpPr>
                  <cdr:cNvPr id="155713" name="Text Box 65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6380798" y="4909166"/>
                    <a:ext cx="580072" cy="242264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7</a:t>
                    </a:r>
                  </a:p>
                </cdr:txBody>
              </cdr:sp>
              <cdr:sp macro="" textlink="">
                <cdr:nvSpPr>
                  <cdr:cNvPr id="155714" name="Text Box 66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7316164" y="4909166"/>
                    <a:ext cx="522066" cy="26223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8</a:t>
                    </a:r>
                  </a:p>
                </cdr:txBody>
              </cdr:sp>
              <cdr:sp macro="" textlink="">
                <cdr:nvSpPr>
                  <cdr:cNvPr id="155715" name="Text Box 67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8273284" y="4909166"/>
                    <a:ext cx="355294" cy="242264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9</a:t>
                    </a:r>
                  </a:p>
                </cdr:txBody>
              </cdr:sp>
              <cdr:sp macro="" textlink="">
                <cdr:nvSpPr>
                  <cdr:cNvPr id="155716" name="Text Box 68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12776097" y="4909166"/>
                    <a:ext cx="543818" cy="243595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14</a:t>
                    </a:r>
                  </a:p>
                </cdr:txBody>
              </cdr:sp>
              <cdr:sp macro="" textlink="">
                <cdr:nvSpPr>
                  <cdr:cNvPr id="155717" name="Text Box 69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13624453" y="4909166"/>
                    <a:ext cx="543818" cy="260899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15</a:t>
                    </a:r>
                  </a:p>
                </cdr:txBody>
              </cdr:sp>
              <cdr:grpSp>
                <cdr:nvGrpSpPr>
                  <cdr:cNvPr id="80" name="Group 70"/>
                  <cdr:cNvGrpSpPr>
                    <a:grpSpLocks xmlns:a="http://schemas.openxmlformats.org/drawingml/2006/main"/>
                  </cdr:cNvGrpSpPr>
                </cdr:nvGrpSpPr>
                <cdr:grpSpPr bwMode="auto">
                  <a:xfrm xmlns:a="http://schemas.openxmlformats.org/drawingml/2006/main">
                    <a:off x="14501813" y="4891861"/>
                    <a:ext cx="7105888" cy="278204"/>
                    <a:chOff x="14501813" y="4891861"/>
                    <a:chExt cx="7105888" cy="278204"/>
                  </a:xfrm>
                </cdr:grpSpPr>
              </cdr:grpSp>
              <cdr:grpSp>
                <cdr:nvGrpSpPr>
                  <cdr:cNvPr id="747550" name="Group 70"/>
                  <cdr:cNvGrpSpPr>
                    <a:grpSpLocks xmlns:a="http://schemas.openxmlformats.org/drawingml/2006/main"/>
                  </cdr:cNvGrpSpPr>
                </cdr:nvGrpSpPr>
                <cdr:grpSpPr bwMode="auto">
                  <a:xfrm xmlns:a="http://schemas.openxmlformats.org/drawingml/2006/main">
                    <a:off x="14501813" y="4891861"/>
                    <a:ext cx="7105888" cy="278204"/>
                    <a:chOff x="14501813" y="4891861"/>
                    <a:chExt cx="7105888" cy="278204"/>
                  </a:xfrm>
                </cdr:grpSpPr>
                <cdr:sp macro="" textlink="">
                  <cdr:nvSpPr>
                    <cdr:cNvPr id="155719" name="Text Box 71"/>
                    <cdr:cNvSpPr txBox="1">
                      <a:spLocks xmlns:a="http://schemas.openxmlformats.org/drawingml/2006/main" noChangeArrowheads="1"/>
                    </cdr:cNvSpPr>
                  </cdr:nvSpPr>
                  <cdr:spPr bwMode="auto">
                    <a:xfrm xmlns:a="http://schemas.openxmlformats.org/drawingml/2006/main">
                      <a:off x="18091011" y="4909166"/>
                      <a:ext cx="630829" cy="243595"/>
                    </a:xfrm>
                    <a:prstGeom xmlns:a="http://schemas.openxmlformats.org/drawingml/2006/main" prst="rect">
                      <a:avLst/>
                    </a:prstGeom>
                    <a:noFill xmlns:a="http://schemas.openxmlformats.org/drawingml/2006/main"/>
                    <a:ln xmlns:a="http://schemas.openxmlformats.org/drawingml/2006/main">
                      <a:noFill/>
                    </a:ln>
                    <a:effectLst xmlns:a="http://schemas.openxmlformats.org/drawingml/2006/main"/>
                    <a:extLst xmlns:a="http://schemas.openxmlformats.org/drawingml/2006/main"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cdr:spPr>
                  <cdr:txBody>
                    <a:bodyPr xmlns:a="http://schemas.openxmlformats.org/drawingml/2006/main" vertOverflow="clip" wrap="square" lIns="27432" tIns="32004" rIns="27432" bIns="0" anchor="t" upright="1"/>
                    <a:lstStyle xmlns:a="http://schemas.openxmlformats.org/drawingml/2006/main"/>
                    <a:p xmlns:a="http://schemas.openxmlformats.org/drawingml/2006/main">
                      <a:pPr algn="ctr" rtl="0">
                        <a:defRPr sz="1000"/>
                      </a:pPr>
                      <a:r>
                        <a:rPr lang="th-TH" sz="1000" b="1" i="0" u="none" strike="noStrike" baseline="0">
                          <a:solidFill>
                            <a:srgbClr val="000000"/>
                          </a:solidFill>
                          <a:latin typeface="CordiaUPC"/>
                          <a:cs typeface="CordiaUPC"/>
                        </a:rPr>
                        <a:t>20</a:t>
                      </a:r>
                    </a:p>
                  </cdr:txBody>
                </cdr:sp>
                <cdr:sp macro="" textlink="">
                  <cdr:nvSpPr>
                    <cdr:cNvPr id="155720" name="Text Box 72"/>
                    <cdr:cNvSpPr txBox="1">
                      <a:spLocks xmlns:a="http://schemas.openxmlformats.org/drawingml/2006/main" noChangeArrowheads="1"/>
                    </cdr:cNvSpPr>
                  </cdr:nvSpPr>
                  <cdr:spPr bwMode="auto">
                    <a:xfrm xmlns:a="http://schemas.openxmlformats.org/drawingml/2006/main">
                      <a:off x="15429929" y="4909166"/>
                      <a:ext cx="551068" cy="243595"/>
                    </a:xfrm>
                    <a:prstGeom xmlns:a="http://schemas.openxmlformats.org/drawingml/2006/main" prst="rect">
                      <a:avLst/>
                    </a:prstGeom>
                    <a:noFill xmlns:a="http://schemas.openxmlformats.org/drawingml/2006/main"/>
                    <a:ln xmlns:a="http://schemas.openxmlformats.org/drawingml/2006/main">
                      <a:noFill/>
                    </a:ln>
                    <a:effectLst xmlns:a="http://schemas.openxmlformats.org/drawingml/2006/main"/>
                    <a:extLst xmlns:a="http://schemas.openxmlformats.org/drawingml/2006/main"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cdr:spPr>
                  <cdr:txBody>
                    <a:bodyPr xmlns:a="http://schemas.openxmlformats.org/drawingml/2006/main" vertOverflow="clip" wrap="square" lIns="27432" tIns="32004" rIns="27432" bIns="0" anchor="t" upright="1"/>
                    <a:lstStyle xmlns:a="http://schemas.openxmlformats.org/drawingml/2006/main"/>
                    <a:p xmlns:a="http://schemas.openxmlformats.org/drawingml/2006/main">
                      <a:pPr algn="ctr" rtl="0">
                        <a:defRPr sz="1000"/>
                      </a:pPr>
                      <a:r>
                        <a:rPr lang="th-TH" sz="1000" b="1" i="0" u="none" strike="noStrike" baseline="0">
                          <a:solidFill>
                            <a:srgbClr val="000000"/>
                          </a:solidFill>
                          <a:latin typeface="CordiaUPC"/>
                          <a:cs typeface="CordiaUPC"/>
                        </a:rPr>
                        <a:t>17</a:t>
                      </a:r>
                    </a:p>
                  </cdr:txBody>
                </cdr:sp>
                <cdr:sp macro="" textlink="">
                  <cdr:nvSpPr>
                    <cdr:cNvPr id="155721" name="Text Box 73"/>
                    <cdr:cNvSpPr txBox="1">
                      <a:spLocks xmlns:a="http://schemas.openxmlformats.org/drawingml/2006/main" noChangeArrowheads="1"/>
                    </cdr:cNvSpPr>
                  </cdr:nvSpPr>
                  <cdr:spPr bwMode="auto">
                    <a:xfrm xmlns:a="http://schemas.openxmlformats.org/drawingml/2006/main">
                      <a:off x="16285535" y="4909166"/>
                      <a:ext cx="601826" cy="243595"/>
                    </a:xfrm>
                    <a:prstGeom xmlns:a="http://schemas.openxmlformats.org/drawingml/2006/main" prst="rect">
                      <a:avLst/>
                    </a:prstGeom>
                    <a:noFill xmlns:a="http://schemas.openxmlformats.org/drawingml/2006/main"/>
                    <a:ln xmlns:a="http://schemas.openxmlformats.org/drawingml/2006/main">
                      <a:noFill/>
                    </a:ln>
                    <a:effectLst xmlns:a="http://schemas.openxmlformats.org/drawingml/2006/main"/>
                    <a:extLst xmlns:a="http://schemas.openxmlformats.org/drawingml/2006/main"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cdr:spPr>
                  <cdr:txBody>
                    <a:bodyPr xmlns:a="http://schemas.openxmlformats.org/drawingml/2006/main" vertOverflow="clip" wrap="square" lIns="27432" tIns="32004" rIns="27432" bIns="0" anchor="t" upright="1"/>
                    <a:lstStyle xmlns:a="http://schemas.openxmlformats.org/drawingml/2006/main"/>
                    <a:p xmlns:a="http://schemas.openxmlformats.org/drawingml/2006/main">
                      <a:pPr algn="ctr" rtl="0">
                        <a:defRPr sz="1000"/>
                      </a:pPr>
                      <a:r>
                        <a:rPr lang="th-TH" sz="1000" b="1" i="0" u="none" strike="noStrike" baseline="0">
                          <a:solidFill>
                            <a:srgbClr val="000000"/>
                          </a:solidFill>
                          <a:latin typeface="CordiaUPC"/>
                          <a:cs typeface="CordiaUPC"/>
                        </a:rPr>
                        <a:t>18</a:t>
                      </a:r>
                    </a:p>
                  </cdr:txBody>
                </cdr:sp>
                <cdr:sp macro="" textlink="">
                  <cdr:nvSpPr>
                    <cdr:cNvPr id="155722" name="Text Box 74"/>
                    <cdr:cNvSpPr txBox="1">
                      <a:spLocks xmlns:a="http://schemas.openxmlformats.org/drawingml/2006/main" noChangeArrowheads="1"/>
                    </cdr:cNvSpPr>
                  </cdr:nvSpPr>
                  <cdr:spPr bwMode="auto">
                    <a:xfrm xmlns:a="http://schemas.openxmlformats.org/drawingml/2006/main">
                      <a:off x="17213651" y="4891861"/>
                      <a:ext cx="580073" cy="260900"/>
                    </a:xfrm>
                    <a:prstGeom xmlns:a="http://schemas.openxmlformats.org/drawingml/2006/main" prst="rect">
                      <a:avLst/>
                    </a:prstGeom>
                    <a:noFill xmlns:a="http://schemas.openxmlformats.org/drawingml/2006/main"/>
                    <a:ln xmlns:a="http://schemas.openxmlformats.org/drawingml/2006/main">
                      <a:noFill/>
                    </a:ln>
                    <a:effectLst xmlns:a="http://schemas.openxmlformats.org/drawingml/2006/main"/>
                    <a:extLst xmlns:a="http://schemas.openxmlformats.org/drawingml/2006/main"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cdr:spPr>
                  <cdr:txBody>
                    <a:bodyPr xmlns:a="http://schemas.openxmlformats.org/drawingml/2006/main" vertOverflow="clip" wrap="square" lIns="27432" tIns="32004" rIns="27432" bIns="0" anchor="t" upright="1"/>
                    <a:lstStyle xmlns:a="http://schemas.openxmlformats.org/drawingml/2006/main"/>
                    <a:p xmlns:a="http://schemas.openxmlformats.org/drawingml/2006/main">
                      <a:pPr algn="ctr" rtl="0">
                        <a:defRPr sz="1000"/>
                      </a:pPr>
                      <a:r>
                        <a:rPr lang="th-TH" sz="1000" b="1" i="0" u="none" strike="noStrike" baseline="0">
                          <a:solidFill>
                            <a:srgbClr val="000000"/>
                          </a:solidFill>
                          <a:latin typeface="CordiaUPC"/>
                          <a:cs typeface="CordiaUPC"/>
                        </a:rPr>
                        <a:t>19</a:t>
                      </a:r>
                    </a:p>
                  </cdr:txBody>
                </cdr:sp>
                <cdr:sp macro="" textlink="">
                  <cdr:nvSpPr>
                    <cdr:cNvPr id="155723" name="Text Box 75"/>
                    <cdr:cNvSpPr txBox="1">
                      <a:spLocks xmlns:a="http://schemas.openxmlformats.org/drawingml/2006/main" noChangeArrowheads="1"/>
                    </cdr:cNvSpPr>
                  </cdr:nvSpPr>
                  <cdr:spPr bwMode="auto">
                    <a:xfrm xmlns:a="http://schemas.openxmlformats.org/drawingml/2006/main">
                      <a:off x="14501813" y="4907835"/>
                      <a:ext cx="572821" cy="262230"/>
                    </a:xfrm>
                    <a:prstGeom xmlns:a="http://schemas.openxmlformats.org/drawingml/2006/main" prst="rect">
                      <a:avLst/>
                    </a:prstGeom>
                    <a:noFill xmlns:a="http://schemas.openxmlformats.org/drawingml/2006/main"/>
                    <a:ln xmlns:a="http://schemas.openxmlformats.org/drawingml/2006/main">
                      <a:noFill/>
                    </a:ln>
                    <a:effectLst xmlns:a="http://schemas.openxmlformats.org/drawingml/2006/main"/>
                    <a:extLst xmlns:a="http://schemas.openxmlformats.org/drawingml/2006/main"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cdr:spPr>
                  <cdr:txBody>
                    <a:bodyPr xmlns:a="http://schemas.openxmlformats.org/drawingml/2006/main" vertOverflow="clip" wrap="square" lIns="27432" tIns="32004" rIns="27432" bIns="0" anchor="t" upright="1"/>
                    <a:lstStyle xmlns:a="http://schemas.openxmlformats.org/drawingml/2006/main"/>
                    <a:p xmlns:a="http://schemas.openxmlformats.org/drawingml/2006/main">
                      <a:pPr algn="ctr" rtl="0">
                        <a:defRPr sz="1000"/>
                      </a:pPr>
                      <a:r>
                        <a:rPr lang="th-TH" sz="1000" b="1" i="0" u="none" strike="noStrike" baseline="0">
                          <a:solidFill>
                            <a:srgbClr val="000000"/>
                          </a:solidFill>
                          <a:latin typeface="CordiaUPC"/>
                          <a:cs typeface="CordiaUPC"/>
                        </a:rPr>
                        <a:t>16</a:t>
                      </a:r>
                    </a:p>
                  </cdr:txBody>
                </cdr:sp>
                <cdr:sp macro="" textlink="">
                  <cdr:nvSpPr>
                    <cdr:cNvPr id="155724" name="Text Box 76"/>
                    <cdr:cNvSpPr txBox="1">
                      <a:spLocks xmlns:a="http://schemas.openxmlformats.org/drawingml/2006/main" noChangeArrowheads="1"/>
                    </cdr:cNvSpPr>
                  </cdr:nvSpPr>
                  <cdr:spPr bwMode="auto">
                    <a:xfrm xmlns:a="http://schemas.openxmlformats.org/drawingml/2006/main">
                      <a:off x="19055382" y="4909166"/>
                      <a:ext cx="543818" cy="260899"/>
                    </a:xfrm>
                    <a:prstGeom xmlns:a="http://schemas.openxmlformats.org/drawingml/2006/main" prst="rect">
                      <a:avLst/>
                    </a:prstGeom>
                    <a:noFill xmlns:a="http://schemas.openxmlformats.org/drawingml/2006/main"/>
                    <a:ln xmlns:a="http://schemas.openxmlformats.org/drawingml/2006/main">
                      <a:noFill/>
                    </a:ln>
                    <a:effectLst xmlns:a="http://schemas.openxmlformats.org/drawingml/2006/main"/>
                    <a:extLst xmlns:a="http://schemas.openxmlformats.org/drawingml/2006/main"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cdr:spPr>
                  <cdr:txBody>
                    <a:bodyPr xmlns:a="http://schemas.openxmlformats.org/drawingml/2006/main" vertOverflow="clip" wrap="square" lIns="27432" tIns="32004" rIns="27432" bIns="0" anchor="t" upright="1"/>
                    <a:lstStyle xmlns:a="http://schemas.openxmlformats.org/drawingml/2006/main"/>
                    <a:p xmlns:a="http://schemas.openxmlformats.org/drawingml/2006/main">
                      <a:pPr algn="ctr" rtl="0">
                        <a:defRPr sz="1000"/>
                      </a:pPr>
                      <a:r>
                        <a:rPr lang="th-TH" sz="1000" b="1" i="0" u="none" strike="noStrike" baseline="0">
                          <a:solidFill>
                            <a:srgbClr val="000000"/>
                          </a:solidFill>
                          <a:latin typeface="CordiaUPC"/>
                          <a:cs typeface="CordiaUPC"/>
                        </a:rPr>
                        <a:t>21</a:t>
                      </a:r>
                    </a:p>
                  </cdr:txBody>
                </cdr:sp>
                <cdr:sp macro="" textlink="">
                  <cdr:nvSpPr>
                    <cdr:cNvPr id="155725" name="Text Box 77"/>
                    <cdr:cNvSpPr txBox="1">
                      <a:spLocks xmlns:a="http://schemas.openxmlformats.org/drawingml/2006/main" noChangeArrowheads="1"/>
                    </cdr:cNvSpPr>
                  </cdr:nvSpPr>
                  <cdr:spPr bwMode="auto">
                    <a:xfrm xmlns:a="http://schemas.openxmlformats.org/drawingml/2006/main">
                      <a:off x="20041505" y="4907835"/>
                      <a:ext cx="659832" cy="262230"/>
                    </a:xfrm>
                    <a:prstGeom xmlns:a="http://schemas.openxmlformats.org/drawingml/2006/main" prst="rect">
                      <a:avLst/>
                    </a:prstGeom>
                    <a:noFill xmlns:a="http://schemas.openxmlformats.org/drawingml/2006/main"/>
                    <a:ln xmlns:a="http://schemas.openxmlformats.org/drawingml/2006/main">
                      <a:noFill/>
                    </a:ln>
                    <a:effectLst xmlns:a="http://schemas.openxmlformats.org/drawingml/2006/main"/>
                    <a:extLst xmlns:a="http://schemas.openxmlformats.org/drawingml/2006/main"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cdr:spPr>
                  <cdr:txBody>
                    <a:bodyPr xmlns:a="http://schemas.openxmlformats.org/drawingml/2006/main" vertOverflow="clip" wrap="square" lIns="27432" tIns="32004" rIns="27432" bIns="0" anchor="t" upright="1"/>
                    <a:lstStyle xmlns:a="http://schemas.openxmlformats.org/drawingml/2006/main"/>
                    <a:p xmlns:a="http://schemas.openxmlformats.org/drawingml/2006/main">
                      <a:pPr algn="ctr" rtl="0">
                        <a:defRPr sz="1000"/>
                      </a:pPr>
                      <a:r>
                        <a:rPr lang="th-TH" sz="1000" b="1" i="0" u="none" strike="noStrike" baseline="0">
                          <a:solidFill>
                            <a:srgbClr val="000000"/>
                          </a:solidFill>
                          <a:latin typeface="CordiaUPC"/>
                          <a:cs typeface="CordiaUPC"/>
                        </a:rPr>
                        <a:t>22</a:t>
                      </a:r>
                    </a:p>
                  </cdr:txBody>
                </cdr:sp>
                <cdr:sp macro="" textlink="">
                  <cdr:nvSpPr>
                    <cdr:cNvPr id="155726" name="Text Box 78"/>
                    <cdr:cNvSpPr txBox="1">
                      <a:spLocks xmlns:a="http://schemas.openxmlformats.org/drawingml/2006/main" noChangeArrowheads="1"/>
                    </cdr:cNvSpPr>
                  </cdr:nvSpPr>
                  <cdr:spPr bwMode="auto">
                    <a:xfrm xmlns:a="http://schemas.openxmlformats.org/drawingml/2006/main">
                      <a:off x="20947868" y="4909166"/>
                      <a:ext cx="659833" cy="243595"/>
                    </a:xfrm>
                    <a:prstGeom xmlns:a="http://schemas.openxmlformats.org/drawingml/2006/main" prst="rect">
                      <a:avLst/>
                    </a:prstGeom>
                    <a:noFill xmlns:a="http://schemas.openxmlformats.org/drawingml/2006/main"/>
                    <a:ln xmlns:a="http://schemas.openxmlformats.org/drawingml/2006/main">
                      <a:noFill/>
                    </a:ln>
                    <a:effectLst xmlns:a="http://schemas.openxmlformats.org/drawingml/2006/main"/>
                    <a:extLst xmlns:a="http://schemas.openxmlformats.org/drawingml/2006/main"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cdr:spPr>
                  <cdr:txBody>
                    <a:bodyPr xmlns:a="http://schemas.openxmlformats.org/drawingml/2006/main" vertOverflow="clip" wrap="square" lIns="27432" tIns="32004" rIns="27432" bIns="0" anchor="t" upright="1"/>
                    <a:lstStyle xmlns:a="http://schemas.openxmlformats.org/drawingml/2006/main"/>
                    <a:p xmlns:a="http://schemas.openxmlformats.org/drawingml/2006/main">
                      <a:pPr algn="ctr" rtl="0">
                        <a:defRPr sz="1000"/>
                      </a:pPr>
                      <a:r>
                        <a:rPr lang="th-TH" sz="1000" b="1" i="0" u="none" strike="noStrike" baseline="0">
                          <a:solidFill>
                            <a:srgbClr val="000000"/>
                          </a:solidFill>
                          <a:latin typeface="CordiaUPC"/>
                          <a:cs typeface="CordiaUPC"/>
                        </a:rPr>
                        <a:t>23</a:t>
                      </a:r>
                    </a:p>
                  </cdr:txBody>
                </cdr:sp>
              </cdr:grpSp>
            </cdr:grpSp>
          </cdr:grpSp>
        </cdr:grpSp>
      </cdr:grp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0.03079</cdr:x>
      <cdr:y>0.04096</cdr:y>
    </cdr:from>
    <cdr:to>
      <cdr:x>0.97818</cdr:x>
      <cdr:y>0.97821</cdr:y>
    </cdr:to>
    <cdr:grpSp>
      <cdr:nvGrpSpPr>
        <cdr:cNvPr id="59" name="Group 4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97127" y="228624"/>
          <a:ext cx="27604079" cy="5231402"/>
          <a:chOff x="849749" y="190983"/>
          <a:chExt cx="27613213" cy="5232121"/>
        </a:xfrm>
      </cdr:grpSpPr>
      <cdr:grpSp>
        <cdr:nvGrpSpPr>
          <cdr:cNvPr id="61" name="Group 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38582" y="190983"/>
            <a:ext cx="6485692" cy="465780"/>
            <a:chOff x="225147" y="123658"/>
            <a:chExt cx="6434852" cy="464406"/>
          </a:xfrm>
        </cdr:grpSpPr>
      </cdr:grpSp>
      <cdr:grpSp>
        <cdr:nvGrpSpPr>
          <cdr:cNvPr id="748547" name="Group 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38582" y="190983"/>
            <a:ext cx="6485692" cy="465780"/>
            <a:chOff x="225147" y="123658"/>
            <a:chExt cx="6434852" cy="464406"/>
          </a:xfrm>
        </cdr:grpSpPr>
        <cdr:sp macro="" textlink="'Graph-Hou'!$BY$1">
          <cdr:nvSpPr>
            <cdr:cNvPr id="162817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522464" y="123658"/>
              <a:ext cx="1488877" cy="46440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0C1527C0-2F91-4CB9-B064-5A6E1236B8F3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Aug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SEP'!$F$5">
          <cdr:nvSpPr>
            <cdr:cNvPr id="162818" name="Text Box 2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225147" y="190983"/>
              <a:ext cx="1488877" cy="3421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9C6B9EE4-52F3-4A83-893E-5EA86C611BE0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SEP'!$G$5:$H$5">
          <cdr:nvSpPr>
            <cdr:cNvPr id="162819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946434" y="190983"/>
              <a:ext cx="1241941" cy="3270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C5D682DD-F197-4603-98EF-C78D8E1EAE56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SEP'!$G$7:$H$7">
          <cdr:nvSpPr>
            <cdr:cNvPr id="162820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076706" y="190983"/>
              <a:ext cx="1583293" cy="3270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DCED9541-5D84-4058-BB7E-3350156820FA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63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49749" y="5046633"/>
            <a:ext cx="27613213" cy="376471"/>
            <a:chOff x="759845" y="5209099"/>
            <a:chExt cx="27665593" cy="382267"/>
          </a:xfrm>
        </cdr:grpSpPr>
      </cdr:grpSp>
      <cdr:grpSp>
        <cdr:nvGrpSpPr>
          <cdr:cNvPr id="748549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49749" y="5046633"/>
            <a:ext cx="27613213" cy="376471"/>
            <a:chOff x="759845" y="5209099"/>
            <a:chExt cx="27665593" cy="382267"/>
          </a:xfrm>
        </cdr:grpSpPr>
        <cdr:sp macro="" textlink="">
          <cdr:nvSpPr>
            <cdr:cNvPr id="162823" name="Text Box 7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587173" y="5219083"/>
              <a:ext cx="528273" cy="2710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12</a:t>
              </a:r>
            </a:p>
          </cdr:txBody>
        </cdr:sp>
        <cdr:sp macro="" textlink="">
          <cdr:nvSpPr>
            <cdr:cNvPr id="162824" name="Text Box 8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1397675" y="5219083"/>
              <a:ext cx="723661" cy="3095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13</a:t>
              </a:r>
            </a:p>
          </cdr:txBody>
        </cdr:sp>
        <cdr:grpSp>
          <cdr:nvGrpSpPr>
            <cdr:cNvPr id="65" name="Group 9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</cdr:grpSp>
        <cdr:grpSp>
          <cdr:nvGrpSpPr>
            <cdr:cNvPr id="748553" name="Group 9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  <cdr:sp macro="" textlink="">
            <cdr:nvSpPr>
              <cdr:cNvPr id="162826" name="Text Box 1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18779" y="5229068"/>
                <a:ext cx="564456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162827" name="Text Box 1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59845" y="5209099"/>
                <a:ext cx="615113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</a:t>
                </a:r>
              </a:p>
            </cdr:txBody>
          </cdr:sp>
          <cdr:sp macro="" textlink="">
            <cdr:nvSpPr>
              <cdr:cNvPr id="162828" name="Text Box 1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70346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</a:t>
                </a:r>
              </a:p>
            </cdr:txBody>
          </cdr:sp>
          <cdr:sp macro="" textlink="">
            <cdr:nvSpPr>
              <cdr:cNvPr id="162829" name="Text Box 1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547290" y="5209099"/>
                <a:ext cx="499326" cy="35088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</a:t>
                </a:r>
              </a:p>
            </cdr:txBody>
          </cdr:sp>
          <cdr:sp macro="" textlink="">
            <cdr:nvSpPr>
              <cdr:cNvPr id="162830" name="Text Box 1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415684" y="5219083"/>
                <a:ext cx="528273" cy="27956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4</a:t>
                </a:r>
              </a:p>
            </cdr:txBody>
          </cdr:sp>
          <cdr:sp macro="" textlink="">
            <cdr:nvSpPr>
              <cdr:cNvPr id="162831" name="Text Box 1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20126" y="5229068"/>
                <a:ext cx="636822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162832" name="Text Box 1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3681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162833" name="Text Box 1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145236" y="5209099"/>
                <a:ext cx="694715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162834" name="Text Box 1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122179" y="5219083"/>
                <a:ext cx="586167" cy="26958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162835" name="Text Box 1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041230" y="5219083"/>
                <a:ext cx="52827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162836" name="Text Box 2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822785" y="5209099"/>
                <a:ext cx="701952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</cdr:grpSp>
        <cdr:grpSp>
          <cdr:nvGrpSpPr>
            <cdr:cNvPr id="67" name="Group 2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</cdr:grpSp>
        <cdr:grpSp>
          <cdr:nvGrpSpPr>
            <cdr:cNvPr id="748555" name="Group 2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  <cdr:sp macro="" textlink="">
            <cdr:nvSpPr>
              <cdr:cNvPr id="162838" name="Text Box 2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7512617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20</a:t>
                </a:r>
              </a:p>
            </cdr:txBody>
          </cdr:sp>
          <cdr:sp macro="" textlink="">
            <cdr:nvSpPr>
              <cdr:cNvPr id="162839" name="Text Box 2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4885725" y="5231921"/>
                <a:ext cx="50656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17</a:t>
                </a:r>
              </a:p>
            </cdr:txBody>
          </cdr:sp>
          <cdr:sp macro="" textlink="">
            <cdr:nvSpPr>
              <cdr:cNvPr id="162840" name="Text Box 2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696226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18</a:t>
                </a:r>
              </a:p>
            </cdr:txBody>
          </cdr:sp>
          <cdr:sp macro="" textlink="">
            <cdr:nvSpPr>
              <cdr:cNvPr id="162841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6644223" y="5211951"/>
                <a:ext cx="557220" cy="30096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19</a:t>
                </a:r>
              </a:p>
            </cdr:txBody>
          </cdr:sp>
          <cdr:sp macro="" textlink="">
            <cdr:nvSpPr>
              <cdr:cNvPr id="162842" name="Text Box 2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208176" y="5231921"/>
                <a:ext cx="557219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sp macro="" textlink="">
            <cdr:nvSpPr>
              <cdr:cNvPr id="162843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047624" y="5231921"/>
                <a:ext cx="557219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15</a:t>
                </a:r>
              </a:p>
            </cdr:txBody>
          </cdr:sp>
          <cdr:sp macro="" textlink="">
            <cdr:nvSpPr>
              <cdr:cNvPr id="162844" name="Text Box 2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937728" y="5230494"/>
                <a:ext cx="58616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16</a:t>
                </a:r>
              </a:p>
            </cdr:txBody>
          </cdr:sp>
          <cdr:sp macro="" textlink="">
            <cdr:nvSpPr>
              <cdr:cNvPr id="162845" name="Text Box 2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8460614" y="5231921"/>
                <a:ext cx="557220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21</a:t>
                </a:r>
              </a:p>
            </cdr:txBody>
          </cdr:sp>
          <cdr:grpSp>
            <cdr:nvGrpSpPr>
              <cdr:cNvPr id="69" name="Group 30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</cdr:grpSp>
          <cdr:grpSp>
            <cdr:nvGrpSpPr>
              <cdr:cNvPr id="748565" name="Group 30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  <cdr:sp macro="" textlink="">
              <cdr:nvSpPr>
                <cdr:cNvPr id="162847" name="Text Box 3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452031" y="5230494"/>
                  <a:ext cx="62958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sp macro="" textlink="">
              <cdr:nvSpPr>
                <cdr:cNvPr id="162848" name="Text Box 3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0349372" y="5231921"/>
                  <a:ext cx="629586" cy="28099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23</a:t>
                  </a:r>
                </a:p>
              </cdr:txBody>
            </cdr:sp>
            <cdr:sp macro="" textlink="">
              <cdr:nvSpPr>
                <cdr:cNvPr id="162849" name="Text Box 3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1261186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24</a:t>
                  </a:r>
                </a:p>
              </cdr:txBody>
            </cdr:sp>
            <cdr:sp macro="" textlink="">
              <cdr:nvSpPr>
                <cdr:cNvPr id="162850" name="Text Box 3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115107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25</a:t>
                  </a:r>
                </a:p>
              </cdr:txBody>
            </cdr:sp>
            <cdr:sp macro="" textlink="">
              <cdr:nvSpPr>
                <cdr:cNvPr id="162851" name="Text Box 3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983501" y="5230494"/>
                  <a:ext cx="752609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26</a:t>
                  </a:r>
                </a:p>
              </cdr:txBody>
            </cdr:sp>
            <cdr:sp macro="" textlink="">
              <cdr:nvSpPr>
                <cdr:cNvPr id="162852" name="Text Box 3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3786766" y="5210525"/>
                  <a:ext cx="82497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27</a:t>
                  </a:r>
                </a:p>
              </cdr:txBody>
            </cdr:sp>
            <cdr:sp macro="" textlink="">
              <cdr:nvSpPr>
                <cdr:cNvPr id="162853" name="Text Box 3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4691343" y="5230494"/>
                  <a:ext cx="853921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28</a:t>
                  </a:r>
                </a:p>
              </cdr:txBody>
            </cdr:sp>
            <cdr:sp macro="" textlink="">
              <cdr:nvSpPr>
                <cdr:cNvPr id="162854" name="Text Box 3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6551154" y="5231921"/>
                  <a:ext cx="788792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30</a:t>
                  </a:r>
                </a:p>
              </cdr:txBody>
            </cdr:sp>
            <cdr:sp macro="" textlink="">
              <cdr:nvSpPr>
                <cdr:cNvPr id="162855" name="Text Box 3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5595921" y="5229068"/>
                  <a:ext cx="84668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29</a:t>
                  </a:r>
                </a:p>
              </cdr:txBody>
            </cdr:sp>
            <cdr:sp macro="" textlink="">
              <cdr:nvSpPr>
                <cdr:cNvPr id="162856" name="Text Box 4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7448495" y="5229068"/>
                  <a:ext cx="991417" cy="36229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31</a:t>
                  </a:r>
                </a:p>
              </cdr:txBody>
            </cdr:sp>
          </cdr:grpSp>
        </cdr:grpSp>
      </cdr:grpSp>
    </cdr:grp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0.00712</cdr:x>
      <cdr:y>0.03488</cdr:y>
    </cdr:from>
    <cdr:to>
      <cdr:x>0.9732</cdr:x>
      <cdr:y>0.96168</cdr:y>
    </cdr:to>
    <cdr:grpSp>
      <cdr:nvGrpSpPr>
        <cdr:cNvPr id="58" name="Group 4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07252" y="193027"/>
          <a:ext cx="28121043" cy="5128934"/>
          <a:chOff x="159625" y="155277"/>
          <a:chExt cx="28130227" cy="5130936"/>
        </a:xfrm>
      </cdr:grpSpPr>
      <cdr:grpSp>
        <cdr:nvGrpSpPr>
          <cdr:cNvPr id="60" name="Group 8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9625" y="155277"/>
            <a:ext cx="6972697" cy="339156"/>
            <a:chOff x="145352" y="152290"/>
            <a:chExt cx="6969604" cy="352359"/>
          </a:xfrm>
        </cdr:grpSpPr>
      </cdr:grpSp>
      <cdr:grpSp>
        <cdr:nvGrpSpPr>
          <cdr:cNvPr id="749571" name="Group 8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9625" y="155277"/>
            <a:ext cx="6972697" cy="339156"/>
            <a:chOff x="145352" y="152290"/>
            <a:chExt cx="6969604" cy="352359"/>
          </a:xfrm>
        </cdr:grpSpPr>
        <cdr:sp macro="" textlink="'HourGH-SEP'!$F$5">
          <cdr:nvSpPr>
            <cdr:cNvPr id="163844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45352" y="164235"/>
              <a:ext cx="1642471" cy="34041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656550EE-B86D-4AAF-8018-751BE19437FD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SEP'!$G$5">
          <cdr:nvSpPr>
            <cdr:cNvPr id="163845" name="Text Box 5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875034" y="164235"/>
              <a:ext cx="1533459" cy="33145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2A8A5488-9160-482F-8229-3F80593B8838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SEP'!$G$7">
          <cdr:nvSpPr>
            <cdr:cNvPr id="163846" name="Text Box 6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530625" y="152290"/>
              <a:ext cx="1584331" cy="33593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82B08FCA-A112-4208-A0B4-B5A9C0D1123A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CC$1">
          <cdr:nvSpPr>
            <cdr:cNvPr id="163847" name="Text Box 7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408493" y="152290"/>
              <a:ext cx="2122132" cy="34041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545560A7-A3C3-49D7-AB0F-1DED5B4C3059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Sep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62" name="Group 9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21470" y="5019246"/>
            <a:ext cx="27368382" cy="266967"/>
            <a:chOff x="552452" y="5142343"/>
            <a:chExt cx="27385854" cy="292722"/>
          </a:xfrm>
        </cdr:grpSpPr>
      </cdr:grpSp>
      <cdr:grpSp>
        <cdr:nvGrpSpPr>
          <cdr:cNvPr id="749573" name="Group 9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21470" y="5019246"/>
            <a:ext cx="27368382" cy="266967"/>
            <a:chOff x="552452" y="5142343"/>
            <a:chExt cx="27385854" cy="292722"/>
          </a:xfrm>
        </cdr:grpSpPr>
        <cdr:sp macro="" textlink="">
          <cdr:nvSpPr>
            <cdr:cNvPr id="163850" name="Text Box 10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52452" y="5162045"/>
              <a:ext cx="444832" cy="27161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</a:t>
              </a:r>
            </a:p>
          </cdr:txBody>
        </cdr:sp>
        <cdr:sp macro="" textlink="">
          <cdr:nvSpPr>
            <cdr:cNvPr id="163851" name="Text Box 1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363194" y="5162045"/>
              <a:ext cx="552453" cy="27302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</a:t>
              </a:r>
            </a:p>
          </cdr:txBody>
        </cdr:sp>
        <cdr:sp macro="" textlink="">
          <cdr:nvSpPr>
            <cdr:cNvPr id="163852" name="Text Box 12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468099" y="5162045"/>
              <a:ext cx="444832" cy="27302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3</a:t>
              </a:r>
            </a:p>
          </cdr:txBody>
        </cdr:sp>
        <cdr:sp macro="" textlink="">
          <cdr:nvSpPr>
            <cdr:cNvPr id="163853" name="Text Box 13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415160" y="5162045"/>
              <a:ext cx="552453" cy="2519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4</a:t>
              </a:r>
            </a:p>
          </cdr:txBody>
        </cdr:sp>
        <cdr:grpSp>
          <cdr:nvGrpSpPr>
            <cdr:cNvPr id="64" name="Group 14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4304824" y="5142343"/>
              <a:ext cx="23633482" cy="292722"/>
              <a:chOff x="4304824" y="5142343"/>
              <a:chExt cx="23633482" cy="292722"/>
            </a:xfrm>
          </cdr:grpSpPr>
        </cdr:grpSp>
        <cdr:grpSp>
          <cdr:nvGrpSpPr>
            <cdr:cNvPr id="749579" name="Group 14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4304824" y="5142343"/>
              <a:ext cx="23633482" cy="292722"/>
              <a:chOff x="4304824" y="5142343"/>
              <a:chExt cx="23633482" cy="292722"/>
            </a:xfrm>
          </cdr:grpSpPr>
          <cdr:sp macro="" textlink="">
            <cdr:nvSpPr>
              <cdr:cNvPr id="163855" name="Text Box 1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36076" y="5162045"/>
                <a:ext cx="559627" cy="27161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163856" name="Text Box 1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568342" y="5162045"/>
                <a:ext cx="530929" cy="24487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12</a:t>
                </a:r>
              </a:p>
            </cdr:txBody>
          </cdr:sp>
          <cdr:sp macro="" textlink="">
            <cdr:nvSpPr>
              <cdr:cNvPr id="163857" name="Text Box 1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515404" y="5162045"/>
                <a:ext cx="473530" cy="25331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13</a:t>
                </a:r>
              </a:p>
            </cdr:txBody>
          </cdr:sp>
          <cdr:sp macro="" textlink="">
            <cdr:nvSpPr>
              <cdr:cNvPr id="163858" name="Text Box 1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67491" y="5162045"/>
                <a:ext cx="552452" cy="2547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163859" name="Text Box 1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04824" y="5162045"/>
                <a:ext cx="609850" cy="27302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163860" name="Text Box 2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273409" y="5162045"/>
                <a:ext cx="444832" cy="25191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163861" name="Text Box 2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048277" y="5162045"/>
                <a:ext cx="581152" cy="25191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163862" name="Text Box 2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966640" y="5162045"/>
                <a:ext cx="523753" cy="27302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163863" name="Text Box 2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935225" y="5162045"/>
                <a:ext cx="358735" cy="25191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  <cdr:grpSp>
            <cdr:nvGrpSpPr>
              <cdr:cNvPr id="66" name="Group 24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2433766" y="5142343"/>
                <a:ext cx="15504540" cy="292722"/>
                <a:chOff x="12433766" y="5142343"/>
                <a:chExt cx="15504540" cy="292722"/>
              </a:xfrm>
            </cdr:grpSpPr>
          </cdr:grpSp>
          <cdr:grpSp>
            <cdr:nvGrpSpPr>
              <cdr:cNvPr id="749590" name="Group 24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2433766" y="5142343"/>
                <a:ext cx="15504540" cy="292722"/>
                <a:chOff x="12433766" y="5142343"/>
                <a:chExt cx="15504540" cy="292722"/>
              </a:xfrm>
            </cdr:grpSpPr>
            <cdr:sp macro="" textlink="">
              <cdr:nvSpPr>
                <cdr:cNvPr id="163865" name="Text Box 2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7786097" y="5162045"/>
                  <a:ext cx="609850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20</a:t>
                  </a:r>
                </a:p>
              </cdr:txBody>
            </cdr:sp>
            <cdr:sp macro="" textlink="">
              <cdr:nvSpPr>
                <cdr:cNvPr id="163866" name="Text Box 2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5124281" y="5162045"/>
                  <a:ext cx="523753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17</a:t>
                  </a:r>
                </a:p>
              </cdr:txBody>
            </cdr:sp>
            <cdr:sp macro="" textlink="">
              <cdr:nvSpPr>
                <cdr:cNvPr id="163867" name="Text Box 2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5956547" y="5162045"/>
                  <a:ext cx="609850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18</a:t>
                  </a:r>
                </a:p>
              </cdr:txBody>
            </cdr:sp>
            <cdr:sp macro="" textlink="">
              <cdr:nvSpPr>
                <cdr:cNvPr id="163868" name="Text Box 2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6896433" y="5143750"/>
                  <a:ext cx="581151" cy="27161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19</a:t>
                  </a:r>
                </a:p>
              </cdr:txBody>
            </cdr:sp>
            <cdr:sp macro="" textlink="">
              <cdr:nvSpPr>
                <cdr:cNvPr id="163869" name="Text Box 2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2433766" y="5162045"/>
                  <a:ext cx="552452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14</a:t>
                  </a:r>
                </a:p>
              </cdr:txBody>
            </cdr:sp>
            <cdr:sp macro="" textlink="">
              <cdr:nvSpPr>
                <cdr:cNvPr id="163870" name="Text Box 3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3287556" y="5162045"/>
                  <a:ext cx="559627" cy="27161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15</a:t>
                  </a:r>
                </a:p>
              </cdr:txBody>
            </cdr:sp>
            <cdr:sp macro="" textlink="">
              <cdr:nvSpPr>
                <cdr:cNvPr id="163871" name="Text Box 3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4177220" y="5160638"/>
                  <a:ext cx="581151" cy="27302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16</a:t>
                  </a:r>
                </a:p>
              </cdr:txBody>
            </cdr:sp>
            <cdr:sp macro="" textlink="">
              <cdr:nvSpPr>
                <cdr:cNvPr id="163872" name="Text Box 3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8725983" y="5162045"/>
                  <a:ext cx="559627" cy="27161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21</a:t>
                  </a:r>
                </a:p>
              </cdr:txBody>
            </cdr:sp>
            <cdr:sp macro="" textlink="">
              <cdr:nvSpPr>
                <cdr:cNvPr id="163873" name="Text Box 3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730442" y="5160638"/>
                  <a:ext cx="638549" cy="27302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grpSp>
              <cdr:nvGrpSpPr>
                <cdr:cNvPr id="68" name="Group 34"/>
                <cdr:cNvGrpSpPr>
                  <a:grpSpLocks xmlns:a="http://schemas.openxmlformats.org/drawingml/2006/main"/>
                </cdr:cNvGrpSpPr>
              </cdr:nvGrpSpPr>
              <cdr:grpSpPr bwMode="auto">
                <a:xfrm xmlns:a="http://schemas.openxmlformats.org/drawingml/2006/main">
                  <a:off x="20641630" y="5142343"/>
                  <a:ext cx="7296676" cy="292722"/>
                  <a:chOff x="20641630" y="5142343"/>
                  <a:chExt cx="7311026" cy="292722"/>
                </a:xfrm>
              </cdr:grpSpPr>
            </cdr:grpSp>
            <cdr:grpSp>
              <cdr:nvGrpSpPr>
                <cdr:cNvPr id="749601" name="Group 34"/>
                <cdr:cNvGrpSpPr>
                  <a:grpSpLocks xmlns:a="http://schemas.openxmlformats.org/drawingml/2006/main"/>
                </cdr:cNvGrpSpPr>
              </cdr:nvGrpSpPr>
              <cdr:grpSpPr bwMode="auto">
                <a:xfrm xmlns:a="http://schemas.openxmlformats.org/drawingml/2006/main">
                  <a:off x="20641630" y="5142343"/>
                  <a:ext cx="7296676" cy="292722"/>
                  <a:chOff x="20641630" y="5142343"/>
                  <a:chExt cx="7311026" cy="292722"/>
                </a:xfrm>
              </cdr:grpSpPr>
              <cdr:sp macro="" textlink="">
                <cdr:nvSpPr>
                  <cdr:cNvPr id="163875" name="Text Box 35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0641630" y="5162045"/>
                    <a:ext cx="638549" cy="253318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23</a:t>
                    </a:r>
                  </a:p>
                </cdr:txBody>
              </cdr:sp>
              <cdr:sp macro="" textlink="">
                <cdr:nvSpPr>
                  <cdr:cNvPr id="163876" name="Text Box 36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1559992" y="5160638"/>
                    <a:ext cx="552453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24</a:t>
                    </a:r>
                  </a:p>
                </cdr:txBody>
              </cdr:sp>
              <cdr:sp macro="" textlink="">
                <cdr:nvSpPr>
                  <cdr:cNvPr id="163877" name="Text Box 37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2420957" y="5160638"/>
                    <a:ext cx="552452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25</a:t>
                    </a:r>
                  </a:p>
                </cdr:txBody>
              </cdr:sp>
              <cdr:sp macro="" textlink="">
                <cdr:nvSpPr>
                  <cdr:cNvPr id="163878" name="Text Box 38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3303446" y="5160638"/>
                    <a:ext cx="753344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26</a:t>
                    </a:r>
                  </a:p>
                </cdr:txBody>
              </cdr:sp>
              <cdr:sp macro="" textlink="">
                <cdr:nvSpPr>
                  <cdr:cNvPr id="163879" name="Text Box 39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4279206" y="5142343"/>
                    <a:ext cx="667248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27</a:t>
                    </a:r>
                  </a:p>
                </cdr:txBody>
              </cdr:sp>
              <cdr:sp macro="" textlink="">
                <cdr:nvSpPr>
                  <cdr:cNvPr id="163880" name="Text Box 40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5190394" y="5160638"/>
                    <a:ext cx="695946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28</a:t>
                    </a:r>
                  </a:p>
                </cdr:txBody>
              </cdr:sp>
              <cdr:sp macro="" textlink="">
                <cdr:nvSpPr>
                  <cdr:cNvPr id="163881" name="Text Box 41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6897974" y="5162045"/>
                    <a:ext cx="1054682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30</a:t>
                    </a:r>
                  </a:p>
                </cdr:txBody>
              </cdr:sp>
              <cdr:sp macro="" textlink="">
                <cdr:nvSpPr>
                  <cdr:cNvPr id="163882" name="Text Box 42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5757195" y="5162045"/>
                    <a:ext cx="1549737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29</a:t>
                    </a:r>
                  </a:p>
                </cdr:txBody>
              </cdr:sp>
            </cdr:grpSp>
          </cdr:grpSp>
        </cdr:grpSp>
      </cdr:grpSp>
    </cdr:grp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0.03029</cdr:x>
      <cdr:y>0.0087</cdr:y>
    </cdr:from>
    <cdr:to>
      <cdr:x>0.9854</cdr:x>
      <cdr:y>0.97042</cdr:y>
    </cdr:to>
    <cdr:grpSp>
      <cdr:nvGrpSpPr>
        <cdr:cNvPr id="59" name="Group 4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80251" y="47566"/>
          <a:ext cx="27756237" cy="5258060"/>
          <a:chOff x="775083" y="0"/>
          <a:chExt cx="27823291" cy="5267265"/>
        </a:xfrm>
      </cdr:grpSpPr>
      <cdr:grpSp>
        <cdr:nvGrpSpPr>
          <cdr:cNvPr id="61" name="Group 42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75083" y="0"/>
            <a:ext cx="6693236" cy="495110"/>
            <a:chOff x="775083" y="0"/>
            <a:chExt cx="6693236" cy="495110"/>
          </a:xfrm>
        </cdr:grpSpPr>
      </cdr:grpSp>
      <cdr:grpSp>
        <cdr:nvGrpSpPr>
          <cdr:cNvPr id="750595" name="Group 42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75083" y="0"/>
            <a:ext cx="6693236" cy="495110"/>
            <a:chOff x="775083" y="0"/>
            <a:chExt cx="6693236" cy="495110"/>
          </a:xfrm>
        </cdr:grpSpPr>
        <cdr:sp macro="" textlink="'HourGH-OCT'!$F$5">
          <cdr:nvSpPr>
            <cdr:cNvPr id="271361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775083" y="67270"/>
              <a:ext cx="1267658" cy="33635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7D2E99FB-AC1C-41DF-9FC7-3B4BA1BCC12F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OCT'!$G$5">
          <cdr:nvSpPr>
            <cdr:cNvPr id="271362" name="Text Box 2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2035497" y="76688"/>
              <a:ext cx="1600872" cy="33769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912CE65E-2C68-4D64-BAD9-B8399C6ECD1D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OCT'!$G$7">
          <cdr:nvSpPr>
            <cdr:cNvPr id="271363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092365" y="76688"/>
              <a:ext cx="2375954" cy="37133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83A8770C-0178-44BC-BA35-78D6E3F84A08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CG$1">
          <cdr:nvSpPr>
            <cdr:cNvPr id="271364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694319" y="0"/>
              <a:ext cx="1716772" cy="4951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3C418DFF-F32D-4759-A843-F6241376124E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Oct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63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85152" y="4917460"/>
            <a:ext cx="27613222" cy="349805"/>
            <a:chOff x="759845" y="5209099"/>
            <a:chExt cx="27665593" cy="382267"/>
          </a:xfrm>
        </cdr:grpSpPr>
      </cdr:grpSp>
      <cdr:grpSp>
        <cdr:nvGrpSpPr>
          <cdr:cNvPr id="750597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85152" y="4917460"/>
            <a:ext cx="27613222" cy="349805"/>
            <a:chOff x="759845" y="5209099"/>
            <a:chExt cx="27665593" cy="382267"/>
          </a:xfrm>
        </cdr:grpSpPr>
        <cdr:sp macro="" textlink="">
          <cdr:nvSpPr>
            <cdr:cNvPr id="271367" name="Text Box 7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587173" y="5219083"/>
              <a:ext cx="528273" cy="2710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12</a:t>
              </a:r>
            </a:p>
          </cdr:txBody>
        </cdr:sp>
        <cdr:sp macro="" textlink="">
          <cdr:nvSpPr>
            <cdr:cNvPr id="271368" name="Text Box 8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1397675" y="5219083"/>
              <a:ext cx="723661" cy="3095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13</a:t>
              </a:r>
            </a:p>
          </cdr:txBody>
        </cdr:sp>
        <cdr:grpSp>
          <cdr:nvGrpSpPr>
            <cdr:cNvPr id="65" name="Group 9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</cdr:grpSp>
        <cdr:grpSp>
          <cdr:nvGrpSpPr>
            <cdr:cNvPr id="750601" name="Group 9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  <cdr:sp macro="" textlink="">
            <cdr:nvSpPr>
              <cdr:cNvPr id="271370" name="Text Box 1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18779" y="5229068"/>
                <a:ext cx="564456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271371" name="Text Box 1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59845" y="5209099"/>
                <a:ext cx="615113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</a:t>
                </a:r>
              </a:p>
            </cdr:txBody>
          </cdr:sp>
          <cdr:sp macro="" textlink="">
            <cdr:nvSpPr>
              <cdr:cNvPr id="271372" name="Text Box 1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70346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</a:t>
                </a:r>
              </a:p>
            </cdr:txBody>
          </cdr:sp>
          <cdr:sp macro="" textlink="">
            <cdr:nvSpPr>
              <cdr:cNvPr id="271373" name="Text Box 1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547290" y="5209099"/>
                <a:ext cx="499326" cy="35088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</a:t>
                </a:r>
              </a:p>
            </cdr:txBody>
          </cdr:sp>
          <cdr:sp macro="" textlink="">
            <cdr:nvSpPr>
              <cdr:cNvPr id="271374" name="Text Box 1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415684" y="5219083"/>
                <a:ext cx="528273" cy="27956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4</a:t>
                </a:r>
              </a:p>
            </cdr:txBody>
          </cdr:sp>
          <cdr:sp macro="" textlink="">
            <cdr:nvSpPr>
              <cdr:cNvPr id="271375" name="Text Box 1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20126" y="5229068"/>
                <a:ext cx="636822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271376" name="Text Box 1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3681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271377" name="Text Box 1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145236" y="5209099"/>
                <a:ext cx="694715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271378" name="Text Box 1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122179" y="5219083"/>
                <a:ext cx="586167" cy="26958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271379" name="Text Box 1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041230" y="5219083"/>
                <a:ext cx="52827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271380" name="Text Box 2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822785" y="5209099"/>
                <a:ext cx="701952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</cdr:grpSp>
        <cdr:grpSp>
          <cdr:nvGrpSpPr>
            <cdr:cNvPr id="67" name="Group 2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</cdr:grpSp>
        <cdr:grpSp>
          <cdr:nvGrpSpPr>
            <cdr:cNvPr id="750603" name="Group 2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  <cdr:sp macro="" textlink="">
            <cdr:nvSpPr>
              <cdr:cNvPr id="271382" name="Text Box 2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7512617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20</a:t>
                </a:r>
              </a:p>
            </cdr:txBody>
          </cdr:sp>
          <cdr:sp macro="" textlink="">
            <cdr:nvSpPr>
              <cdr:cNvPr id="271383" name="Text Box 2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4885725" y="5231921"/>
                <a:ext cx="50656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17</a:t>
                </a:r>
              </a:p>
            </cdr:txBody>
          </cdr:sp>
          <cdr:sp macro="" textlink="">
            <cdr:nvSpPr>
              <cdr:cNvPr id="271384" name="Text Box 2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696226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18</a:t>
                </a:r>
              </a:p>
            </cdr:txBody>
          </cdr:sp>
          <cdr:sp macro="" textlink="">
            <cdr:nvSpPr>
              <cdr:cNvPr id="271385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6644223" y="5211951"/>
                <a:ext cx="557220" cy="30096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19</a:t>
                </a:r>
              </a:p>
            </cdr:txBody>
          </cdr:sp>
          <cdr:sp macro="" textlink="">
            <cdr:nvSpPr>
              <cdr:cNvPr id="271386" name="Text Box 2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208176" y="5231921"/>
                <a:ext cx="557219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sp macro="" textlink="">
            <cdr:nvSpPr>
              <cdr:cNvPr id="271387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047624" y="5231921"/>
                <a:ext cx="557219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15</a:t>
                </a:r>
              </a:p>
            </cdr:txBody>
          </cdr:sp>
          <cdr:sp macro="" textlink="">
            <cdr:nvSpPr>
              <cdr:cNvPr id="271388" name="Text Box 2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937728" y="5230494"/>
                <a:ext cx="58616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16</a:t>
                </a:r>
              </a:p>
            </cdr:txBody>
          </cdr:sp>
          <cdr:sp macro="" textlink="">
            <cdr:nvSpPr>
              <cdr:cNvPr id="271389" name="Text Box 2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8460614" y="5231921"/>
                <a:ext cx="557220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21</a:t>
                </a:r>
              </a:p>
            </cdr:txBody>
          </cdr:sp>
          <cdr:grpSp>
            <cdr:nvGrpSpPr>
              <cdr:cNvPr id="69" name="Group 30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</cdr:grpSp>
          <cdr:grpSp>
            <cdr:nvGrpSpPr>
              <cdr:cNvPr id="750613" name="Group 30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  <cdr:sp macro="" textlink="">
              <cdr:nvSpPr>
                <cdr:cNvPr id="271391" name="Text Box 3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452031" y="5230494"/>
                  <a:ext cx="62958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sp macro="" textlink="">
              <cdr:nvSpPr>
                <cdr:cNvPr id="271392" name="Text Box 3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0349372" y="5231921"/>
                  <a:ext cx="629586" cy="28099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23</a:t>
                  </a:r>
                </a:p>
              </cdr:txBody>
            </cdr:sp>
            <cdr:sp macro="" textlink="">
              <cdr:nvSpPr>
                <cdr:cNvPr id="271393" name="Text Box 3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1261186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24</a:t>
                  </a:r>
                </a:p>
              </cdr:txBody>
            </cdr:sp>
            <cdr:sp macro="" textlink="">
              <cdr:nvSpPr>
                <cdr:cNvPr id="271394" name="Text Box 3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115107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25</a:t>
                  </a:r>
                </a:p>
              </cdr:txBody>
            </cdr:sp>
            <cdr:sp macro="" textlink="">
              <cdr:nvSpPr>
                <cdr:cNvPr id="271395" name="Text Box 3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983501" y="5230494"/>
                  <a:ext cx="752609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26</a:t>
                  </a:r>
                </a:p>
              </cdr:txBody>
            </cdr:sp>
            <cdr:sp macro="" textlink="">
              <cdr:nvSpPr>
                <cdr:cNvPr id="271396" name="Text Box 3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3786766" y="5210525"/>
                  <a:ext cx="82497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27</a:t>
                  </a:r>
                </a:p>
              </cdr:txBody>
            </cdr:sp>
            <cdr:sp macro="" textlink="">
              <cdr:nvSpPr>
                <cdr:cNvPr id="271397" name="Text Box 3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4691343" y="5230494"/>
                  <a:ext cx="853921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28</a:t>
                  </a:r>
                </a:p>
              </cdr:txBody>
            </cdr:sp>
            <cdr:sp macro="" textlink="">
              <cdr:nvSpPr>
                <cdr:cNvPr id="271398" name="Text Box 3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6551154" y="5231921"/>
                  <a:ext cx="788792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30</a:t>
                  </a:r>
                </a:p>
              </cdr:txBody>
            </cdr:sp>
            <cdr:sp macro="" textlink="">
              <cdr:nvSpPr>
                <cdr:cNvPr id="271399" name="Text Box 3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5595921" y="5229068"/>
                  <a:ext cx="84668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29</a:t>
                  </a:r>
                </a:p>
              </cdr:txBody>
            </cdr:sp>
            <cdr:sp macro="" textlink="">
              <cdr:nvSpPr>
                <cdr:cNvPr id="271400" name="Text Box 4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7448495" y="5229068"/>
                  <a:ext cx="991417" cy="36229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31</a:t>
                  </a:r>
                </a:p>
              </cdr:txBody>
            </cdr:sp>
          </cdr:grpSp>
        </cdr:grpSp>
      </cdr:grpSp>
    </cdr:grp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0.01932</cdr:x>
      <cdr:y>0.03867</cdr:y>
    </cdr:from>
    <cdr:to>
      <cdr:x>0.97445</cdr:x>
      <cdr:y>0.95003</cdr:y>
    </cdr:to>
    <cdr:grpSp>
      <cdr:nvGrpSpPr>
        <cdr:cNvPr id="58" name="Group 4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63478" y="211422"/>
          <a:ext cx="27856892" cy="4982725"/>
          <a:chOff x="588866" y="169521"/>
          <a:chExt cx="27785773" cy="4990112"/>
        </a:xfrm>
      </cdr:grpSpPr>
      <cdr:grpSp>
        <cdr:nvGrpSpPr>
          <cdr:cNvPr id="60" name="Group 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88866" y="169521"/>
            <a:ext cx="6833759" cy="414385"/>
            <a:chOff x="531054" y="190881"/>
            <a:chExt cx="6816412" cy="466068"/>
          </a:xfrm>
        </cdr:grpSpPr>
      </cdr:grpSp>
      <cdr:grpSp>
        <cdr:nvGrpSpPr>
          <cdr:cNvPr id="751619" name="Group 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88866" y="169521"/>
            <a:ext cx="6833759" cy="414385"/>
            <a:chOff x="531054" y="190881"/>
            <a:chExt cx="6816412" cy="466068"/>
          </a:xfrm>
        </cdr:grpSpPr>
        <cdr:sp macro="" textlink="'HourGH-NOV'!$F$5">
          <cdr:nvSpPr>
            <cdr:cNvPr id="274433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31054" y="238601"/>
              <a:ext cx="1513142" cy="34040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4ABEEC2F-DFB4-4B30-BD34-3CDA224879DB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NOV'!$G$5">
          <cdr:nvSpPr>
            <cdr:cNvPr id="274434" name="Text Box 2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2051471" y="238601"/>
              <a:ext cx="2378833" cy="38812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EDC7D7F0-6BE9-41C8-85CA-2AB5B08C5678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NOV'!$G$7">
          <cdr:nvSpPr>
            <cdr:cNvPr id="274435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754303" y="238601"/>
              <a:ext cx="1593163" cy="34040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76421DE0-51DE-4328-A74B-A4E803E3D9DD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CK$1">
          <cdr:nvSpPr>
            <cdr:cNvPr id="274436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4066568" y="190881"/>
              <a:ext cx="1600438" cy="46606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18558FAF-58DE-4944-8B65-1A00845C92F0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Nov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62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97763" y="4883825"/>
            <a:ext cx="27276876" cy="275808"/>
            <a:chOff x="552452" y="5142343"/>
            <a:chExt cx="27385854" cy="292722"/>
          </a:xfrm>
        </cdr:grpSpPr>
      </cdr:grpSp>
      <cdr:grpSp>
        <cdr:nvGrpSpPr>
          <cdr:cNvPr id="751621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97763" y="4883825"/>
            <a:ext cx="27276876" cy="275808"/>
            <a:chOff x="552452" y="5142343"/>
            <a:chExt cx="27385854" cy="292722"/>
          </a:xfrm>
        </cdr:grpSpPr>
        <cdr:sp macro="" textlink="">
          <cdr:nvSpPr>
            <cdr:cNvPr id="274439" name="Text Box 7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52452" y="5162045"/>
              <a:ext cx="444832" cy="27161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</a:t>
              </a:r>
            </a:p>
          </cdr:txBody>
        </cdr:sp>
        <cdr:sp macro="" textlink="">
          <cdr:nvSpPr>
            <cdr:cNvPr id="274440" name="Text Box 8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363194" y="5162045"/>
              <a:ext cx="552453" cy="27302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</a:t>
              </a:r>
            </a:p>
          </cdr:txBody>
        </cdr:sp>
        <cdr:sp macro="" textlink="">
          <cdr:nvSpPr>
            <cdr:cNvPr id="274441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468099" y="5162045"/>
              <a:ext cx="444832" cy="27302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3</a:t>
              </a:r>
            </a:p>
          </cdr:txBody>
        </cdr:sp>
        <cdr:sp macro="" textlink="">
          <cdr:nvSpPr>
            <cdr:cNvPr id="274442" name="Text Box 10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415160" y="5162045"/>
              <a:ext cx="552453" cy="2519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4</a:t>
              </a:r>
            </a:p>
          </cdr:txBody>
        </cdr:sp>
        <cdr:grpSp>
          <cdr:nvGrpSpPr>
            <cdr:cNvPr id="64" name="Group 1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4304824" y="5142343"/>
              <a:ext cx="23633482" cy="292722"/>
              <a:chOff x="4304824" y="5142343"/>
              <a:chExt cx="23633482" cy="292722"/>
            </a:xfrm>
          </cdr:grpSpPr>
        </cdr:grpSp>
        <cdr:grpSp>
          <cdr:nvGrpSpPr>
            <cdr:cNvPr id="751627" name="Group 1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4304824" y="5142343"/>
              <a:ext cx="23633482" cy="292722"/>
              <a:chOff x="4304824" y="5142343"/>
              <a:chExt cx="23633482" cy="292722"/>
            </a:xfrm>
          </cdr:grpSpPr>
          <cdr:sp macro="" textlink="">
            <cdr:nvSpPr>
              <cdr:cNvPr id="274444" name="Text Box 1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36076" y="5162045"/>
                <a:ext cx="559627" cy="27161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274445" name="Text Box 1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568342" y="5162045"/>
                <a:ext cx="530929" cy="24487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12</a:t>
                </a:r>
              </a:p>
            </cdr:txBody>
          </cdr:sp>
          <cdr:sp macro="" textlink="">
            <cdr:nvSpPr>
              <cdr:cNvPr id="274446" name="Text Box 1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515404" y="5162045"/>
                <a:ext cx="473530" cy="25331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13</a:t>
                </a:r>
              </a:p>
            </cdr:txBody>
          </cdr:sp>
          <cdr:sp macro="" textlink="">
            <cdr:nvSpPr>
              <cdr:cNvPr id="274447" name="Text Box 1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67491" y="5162045"/>
                <a:ext cx="552452" cy="2547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274448" name="Text Box 1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04824" y="5162045"/>
                <a:ext cx="609850" cy="27302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274449" name="Text Box 1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273409" y="5162045"/>
                <a:ext cx="444832" cy="25191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274450" name="Text Box 1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048277" y="5162045"/>
                <a:ext cx="581152" cy="25191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274451" name="Text Box 1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966640" y="5162045"/>
                <a:ext cx="523753" cy="27302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274452" name="Text Box 2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935225" y="5162045"/>
                <a:ext cx="358735" cy="25191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  <cdr:grpSp>
            <cdr:nvGrpSpPr>
              <cdr:cNvPr id="66" name="Group 21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2433766" y="5142343"/>
                <a:ext cx="15504540" cy="292722"/>
                <a:chOff x="12433766" y="5142343"/>
                <a:chExt cx="15504540" cy="292722"/>
              </a:xfrm>
            </cdr:grpSpPr>
          </cdr:grpSp>
          <cdr:grpSp>
            <cdr:nvGrpSpPr>
              <cdr:cNvPr id="751638" name="Group 21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2433766" y="5142343"/>
                <a:ext cx="15504540" cy="292722"/>
                <a:chOff x="12433766" y="5142343"/>
                <a:chExt cx="15504540" cy="292722"/>
              </a:xfrm>
            </cdr:grpSpPr>
            <cdr:sp macro="" textlink="">
              <cdr:nvSpPr>
                <cdr:cNvPr id="274454" name="Text Box 2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7786097" y="5162045"/>
                  <a:ext cx="609850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20</a:t>
                  </a:r>
                </a:p>
              </cdr:txBody>
            </cdr:sp>
            <cdr:sp macro="" textlink="">
              <cdr:nvSpPr>
                <cdr:cNvPr id="274455" name="Text Box 2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5124281" y="5162045"/>
                  <a:ext cx="523753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17</a:t>
                  </a:r>
                </a:p>
              </cdr:txBody>
            </cdr:sp>
            <cdr:sp macro="" textlink="">
              <cdr:nvSpPr>
                <cdr:cNvPr id="274456" name="Text Box 2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5956547" y="5162045"/>
                  <a:ext cx="609850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18</a:t>
                  </a:r>
                </a:p>
              </cdr:txBody>
            </cdr:sp>
            <cdr:sp macro="" textlink="">
              <cdr:nvSpPr>
                <cdr:cNvPr id="274457" name="Text Box 2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6896433" y="5143750"/>
                  <a:ext cx="581151" cy="27161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19</a:t>
                  </a:r>
                </a:p>
              </cdr:txBody>
            </cdr:sp>
            <cdr:sp macro="" textlink="">
              <cdr:nvSpPr>
                <cdr:cNvPr id="274458" name="Text Box 2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2433766" y="5162045"/>
                  <a:ext cx="552452" cy="25331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14</a:t>
                  </a:r>
                </a:p>
              </cdr:txBody>
            </cdr:sp>
            <cdr:sp macro="" textlink="">
              <cdr:nvSpPr>
                <cdr:cNvPr id="274459" name="Text Box 2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3287556" y="5162045"/>
                  <a:ext cx="559627" cy="27161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15</a:t>
                  </a:r>
                </a:p>
              </cdr:txBody>
            </cdr:sp>
            <cdr:sp macro="" textlink="">
              <cdr:nvSpPr>
                <cdr:cNvPr id="274460" name="Text Box 2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4177220" y="5160638"/>
                  <a:ext cx="581151" cy="27302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16</a:t>
                  </a:r>
                </a:p>
              </cdr:txBody>
            </cdr:sp>
            <cdr:sp macro="" textlink="">
              <cdr:nvSpPr>
                <cdr:cNvPr id="274461" name="Text Box 2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8725983" y="5162045"/>
                  <a:ext cx="559627" cy="27161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21</a:t>
                  </a:r>
                </a:p>
              </cdr:txBody>
            </cdr:sp>
            <cdr:sp macro="" textlink="">
              <cdr:nvSpPr>
                <cdr:cNvPr id="274462" name="Text Box 3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730442" y="5160638"/>
                  <a:ext cx="638549" cy="27302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grpSp>
              <cdr:nvGrpSpPr>
                <cdr:cNvPr id="68" name="Group 31"/>
                <cdr:cNvGrpSpPr>
                  <a:grpSpLocks xmlns:a="http://schemas.openxmlformats.org/drawingml/2006/main"/>
                </cdr:cNvGrpSpPr>
              </cdr:nvGrpSpPr>
              <cdr:grpSpPr bwMode="auto">
                <a:xfrm xmlns:a="http://schemas.openxmlformats.org/drawingml/2006/main">
                  <a:off x="20641630" y="5142343"/>
                  <a:ext cx="7296676" cy="292722"/>
                  <a:chOff x="20641630" y="5142343"/>
                  <a:chExt cx="7311026" cy="292722"/>
                </a:xfrm>
              </cdr:grpSpPr>
            </cdr:grpSp>
            <cdr:grpSp>
              <cdr:nvGrpSpPr>
                <cdr:cNvPr id="751649" name="Group 31"/>
                <cdr:cNvGrpSpPr>
                  <a:grpSpLocks xmlns:a="http://schemas.openxmlformats.org/drawingml/2006/main"/>
                </cdr:cNvGrpSpPr>
              </cdr:nvGrpSpPr>
              <cdr:grpSpPr bwMode="auto">
                <a:xfrm xmlns:a="http://schemas.openxmlformats.org/drawingml/2006/main">
                  <a:off x="20641630" y="5142343"/>
                  <a:ext cx="7296676" cy="292722"/>
                  <a:chOff x="20641630" y="5142343"/>
                  <a:chExt cx="7311026" cy="292722"/>
                </a:xfrm>
              </cdr:grpSpPr>
              <cdr:sp macro="" textlink="">
                <cdr:nvSpPr>
                  <cdr:cNvPr id="274464" name="Text Box 32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0641630" y="5162045"/>
                    <a:ext cx="638549" cy="253318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23</a:t>
                    </a:r>
                  </a:p>
                </cdr:txBody>
              </cdr:sp>
              <cdr:sp macro="" textlink="">
                <cdr:nvSpPr>
                  <cdr:cNvPr id="274465" name="Text Box 33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1559992" y="5160638"/>
                    <a:ext cx="552453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24</a:t>
                    </a:r>
                  </a:p>
                </cdr:txBody>
              </cdr:sp>
              <cdr:sp macro="" textlink="">
                <cdr:nvSpPr>
                  <cdr:cNvPr id="274466" name="Text Box 34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2420957" y="5160638"/>
                    <a:ext cx="552452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25</a:t>
                    </a:r>
                  </a:p>
                </cdr:txBody>
              </cdr:sp>
              <cdr:sp macro="" textlink="">
                <cdr:nvSpPr>
                  <cdr:cNvPr id="274467" name="Text Box 35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3303446" y="5160638"/>
                    <a:ext cx="753344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26</a:t>
                    </a:r>
                  </a:p>
                </cdr:txBody>
              </cdr:sp>
              <cdr:sp macro="" textlink="">
                <cdr:nvSpPr>
                  <cdr:cNvPr id="274468" name="Text Box 36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4279206" y="5142343"/>
                    <a:ext cx="667248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27</a:t>
                    </a:r>
                  </a:p>
                </cdr:txBody>
              </cdr:sp>
              <cdr:sp macro="" textlink="">
                <cdr:nvSpPr>
                  <cdr:cNvPr id="274469" name="Text Box 37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5190394" y="5160638"/>
                    <a:ext cx="695946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28</a:t>
                    </a:r>
                  </a:p>
                </cdr:txBody>
              </cdr:sp>
              <cdr:sp macro="" textlink="">
                <cdr:nvSpPr>
                  <cdr:cNvPr id="274470" name="Text Box 38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6897974" y="5162045"/>
                    <a:ext cx="1054682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30</a:t>
                    </a:r>
                  </a:p>
                </cdr:txBody>
              </cdr:sp>
              <cdr:sp macro="" textlink="">
                <cdr:nvSpPr>
                  <cdr:cNvPr id="274471" name="Text Box 39"/>
                  <cdr:cNvSpPr txBox="1">
                    <a:spLocks xmlns:a="http://schemas.openxmlformats.org/drawingml/2006/main" noChangeArrowheads="1"/>
                  </cdr:cNvSpPr>
                </cdr:nvSpPr>
                <cdr:spPr bwMode="auto">
                  <a:xfrm xmlns:a="http://schemas.openxmlformats.org/drawingml/2006/main">
                    <a:off x="25757195" y="5162045"/>
                    <a:ext cx="1549737" cy="273020"/>
                  </a:xfrm>
                  <a:prstGeom xmlns:a="http://schemas.openxmlformats.org/drawingml/2006/main" prst="rect">
                    <a:avLst/>
                  </a:prstGeom>
                  <a:noFill xmlns:a="http://schemas.openxmlformats.org/drawingml/2006/main"/>
                  <a:ln xmlns:a="http://schemas.openxmlformats.org/drawingml/2006/main">
                    <a:noFill/>
                  </a:ln>
                  <a:effectLst xmlns:a="http://schemas.openxmlformats.org/drawingml/2006/main"/>
                  <a:extLst xmlns:a="http://schemas.openxmlformats.org/drawingml/2006/main"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 algn="ctr">
                        <a:solidFill>
                          <a:srgbClr xmlns:mc="http://schemas.openxmlformats.org/markup-compatibility/2006"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cdr:spPr>
                <cdr:txBody>
                  <a:bodyPr xmlns:a="http://schemas.openxmlformats.org/drawingml/2006/main" vertOverflow="clip" wrap="square" lIns="27432" tIns="32004" rIns="27432" bIns="0" anchor="t" upright="1"/>
                  <a:lstStyle xmlns:a="http://schemas.openxmlformats.org/drawingml/2006/main"/>
                  <a:p xmlns:a="http://schemas.openxmlformats.org/drawingml/2006/main">
                    <a:pPr algn="ctr" rtl="0">
                      <a:defRPr sz="1000"/>
                    </a:pPr>
                    <a:r>
                      <a:rPr lang="th-TH" sz="1000" b="1" i="0" u="none" strike="noStrike" baseline="0">
                        <a:solidFill>
                          <a:srgbClr val="000000"/>
                        </a:solidFill>
                        <a:latin typeface="CordiaUPC"/>
                        <a:cs typeface="CordiaUPC"/>
                      </a:rPr>
                      <a:t>29</a:t>
                    </a:r>
                  </a:p>
                </cdr:txBody>
              </cdr:sp>
            </cdr:grpSp>
          </cdr:grpSp>
        </cdr:grpSp>
      </cdr:grpSp>
    </cdr:grp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0.02854</cdr:x>
      <cdr:y>0.03816</cdr:y>
    </cdr:from>
    <cdr:to>
      <cdr:x>0.98043</cdr:x>
      <cdr:y>0.99058</cdr:y>
    </cdr:to>
    <cdr:grpSp>
      <cdr:nvGrpSpPr>
        <cdr:cNvPr id="59" name="Group 7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32113" y="208998"/>
          <a:ext cx="27753329" cy="5216285"/>
          <a:chOff x="784898" y="161735"/>
          <a:chExt cx="27762137" cy="5225372"/>
        </a:xfrm>
      </cdr:grpSpPr>
      <cdr:grpSp>
        <cdr:nvGrpSpPr>
          <cdr:cNvPr id="61" name="Group 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84898" y="161735"/>
            <a:ext cx="6671634" cy="338294"/>
            <a:chOff x="559603" y="190760"/>
            <a:chExt cx="6119298" cy="380040"/>
          </a:xfrm>
        </cdr:grpSpPr>
      </cdr:grpSp>
      <cdr:grpSp>
        <cdr:nvGrpSpPr>
          <cdr:cNvPr id="752643" name="Group 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84898" y="161735"/>
            <a:ext cx="6671634" cy="338294"/>
            <a:chOff x="559603" y="190760"/>
            <a:chExt cx="6119298" cy="380040"/>
          </a:xfrm>
        </cdr:grpSpPr>
        <cdr:sp macro="" textlink="'HourGH-DEC'!$F$5">
          <cdr:nvSpPr>
            <cdr:cNvPr id="275457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59603" y="190760"/>
              <a:ext cx="1569796" cy="34011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4864" rIns="27432" bIns="54864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4992DF7C-058C-4711-8A01-050DE6787FB3}" type="TxLink">
                <a:rPr lang="th-TH" sz="16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6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DEC'!$G$5">
          <cdr:nvSpPr>
            <cdr:cNvPr id="275458" name="Text Box 2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940443" y="199632"/>
              <a:ext cx="1933174" cy="33124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529ABE2A-CBD5-4CFB-AFB1-AB58ED213498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DEC'!$G$7">
          <cdr:nvSpPr>
            <cdr:cNvPr id="275459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159978" y="199632"/>
              <a:ext cx="1518923" cy="36968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24E5A46D-D97A-4469-BF62-3B972805722C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CO$1">
          <cdr:nvSpPr>
            <cdr:cNvPr id="275460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393958" y="199632"/>
              <a:ext cx="1933174" cy="37116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22860" rIns="27432" bIns="22860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0582D311-C2DA-4966-ADCA-C2FE99546AD5}" type="TxLink">
                <a:rPr lang="en-US" sz="1000" b="0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pPr algn="ctr" rtl="0">
                  <a:defRPr sz="1000"/>
                </a:pPr>
                <a:t>Dec</a:t>
              </a:fld>
              <a:endParaRPr lang="en-US" sz="1000" b="0" i="0" u="none" strike="noStrike" baseline="0">
                <a:solidFill>
                  <a:srgbClr val="00008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63" name="Group 8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43039" y="5028595"/>
            <a:ext cx="27703996" cy="358512"/>
            <a:chOff x="759845" y="5209099"/>
            <a:chExt cx="27665593" cy="382267"/>
          </a:xfrm>
        </cdr:grpSpPr>
      </cdr:grpSp>
      <cdr:grpSp>
        <cdr:nvGrpSpPr>
          <cdr:cNvPr id="752645" name="Group 8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43039" y="5028595"/>
            <a:ext cx="27703996" cy="358512"/>
            <a:chOff x="759845" y="5209099"/>
            <a:chExt cx="27665593" cy="382267"/>
          </a:xfrm>
        </cdr:grpSpPr>
        <cdr:sp macro="" textlink="">
          <cdr:nvSpPr>
            <cdr:cNvPr id="275465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587173" y="5219083"/>
              <a:ext cx="528273" cy="2710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12</a:t>
              </a:r>
            </a:p>
          </cdr:txBody>
        </cdr:sp>
        <cdr:sp macro="" textlink="">
          <cdr:nvSpPr>
            <cdr:cNvPr id="275466" name="Text Box 10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1397675" y="5219083"/>
              <a:ext cx="723661" cy="3095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13</a:t>
              </a:r>
            </a:p>
          </cdr:txBody>
        </cdr:sp>
        <cdr:grpSp>
          <cdr:nvGrpSpPr>
            <cdr:cNvPr id="65" name="Group 1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</cdr:grpSp>
        <cdr:grpSp>
          <cdr:nvGrpSpPr>
            <cdr:cNvPr id="752649" name="Group 1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  <cdr:sp macro="" textlink="">
            <cdr:nvSpPr>
              <cdr:cNvPr id="275468" name="Text Box 1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18779" y="5229068"/>
                <a:ext cx="564456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275469" name="Text Box 1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59845" y="5209099"/>
                <a:ext cx="615113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</a:t>
                </a:r>
              </a:p>
            </cdr:txBody>
          </cdr:sp>
          <cdr:sp macro="" textlink="">
            <cdr:nvSpPr>
              <cdr:cNvPr id="275470" name="Text Box 1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70346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</a:t>
                </a:r>
              </a:p>
            </cdr:txBody>
          </cdr:sp>
          <cdr:sp macro="" textlink="">
            <cdr:nvSpPr>
              <cdr:cNvPr id="275471" name="Text Box 1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547290" y="5209099"/>
                <a:ext cx="499326" cy="35088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</a:t>
                </a:r>
              </a:p>
            </cdr:txBody>
          </cdr:sp>
          <cdr:sp macro="" textlink="">
            <cdr:nvSpPr>
              <cdr:cNvPr id="275472" name="Text Box 1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415684" y="5219083"/>
                <a:ext cx="528273" cy="27956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4</a:t>
                </a:r>
              </a:p>
            </cdr:txBody>
          </cdr:sp>
          <cdr:sp macro="" textlink="">
            <cdr:nvSpPr>
              <cdr:cNvPr id="275473" name="Text Box 1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20126" y="5229068"/>
                <a:ext cx="636822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275474" name="Text Box 1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3681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275475" name="Text Box 1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145236" y="5209099"/>
                <a:ext cx="694715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275476" name="Text Box 2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122179" y="5219083"/>
                <a:ext cx="586167" cy="26958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275477" name="Text Box 2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041230" y="5219083"/>
                <a:ext cx="52827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275478" name="Text Box 2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822785" y="5209099"/>
                <a:ext cx="701952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</cdr:grpSp>
        <cdr:grpSp>
          <cdr:nvGrpSpPr>
            <cdr:cNvPr id="67" name="Group 23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</cdr:grpSp>
        <cdr:grpSp>
          <cdr:nvGrpSpPr>
            <cdr:cNvPr id="752651" name="Group 23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  <cdr:sp macro="" textlink="">
            <cdr:nvSpPr>
              <cdr:cNvPr id="275480" name="Text Box 2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7512617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20</a:t>
                </a:r>
              </a:p>
            </cdr:txBody>
          </cdr:sp>
          <cdr:sp macro="" textlink="">
            <cdr:nvSpPr>
              <cdr:cNvPr id="275481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4885725" y="5231921"/>
                <a:ext cx="50656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17</a:t>
                </a:r>
              </a:p>
            </cdr:txBody>
          </cdr:sp>
          <cdr:sp macro="" textlink="">
            <cdr:nvSpPr>
              <cdr:cNvPr id="275482" name="Text Box 2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696226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18</a:t>
                </a:r>
              </a:p>
            </cdr:txBody>
          </cdr:sp>
          <cdr:sp macro="" textlink="">
            <cdr:nvSpPr>
              <cdr:cNvPr id="275483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6644223" y="5211951"/>
                <a:ext cx="557220" cy="30096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19</a:t>
                </a:r>
              </a:p>
            </cdr:txBody>
          </cdr:sp>
          <cdr:sp macro="" textlink="">
            <cdr:nvSpPr>
              <cdr:cNvPr id="275484" name="Text Box 2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208176" y="5231921"/>
                <a:ext cx="557219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sp macro="" textlink="">
            <cdr:nvSpPr>
              <cdr:cNvPr id="275485" name="Text Box 2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047624" y="5231921"/>
                <a:ext cx="557219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15</a:t>
                </a:r>
              </a:p>
            </cdr:txBody>
          </cdr:sp>
          <cdr:sp macro="" textlink="">
            <cdr:nvSpPr>
              <cdr:cNvPr id="275486" name="Text Box 3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937728" y="5230494"/>
                <a:ext cx="58616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16</a:t>
                </a:r>
              </a:p>
            </cdr:txBody>
          </cdr:sp>
          <cdr:sp macro="" textlink="">
            <cdr:nvSpPr>
              <cdr:cNvPr id="275487" name="Text Box 3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8460614" y="5231921"/>
                <a:ext cx="557220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21</a:t>
                </a:r>
              </a:p>
            </cdr:txBody>
          </cdr:sp>
          <cdr:grpSp>
            <cdr:nvGrpSpPr>
              <cdr:cNvPr id="69" name="Group 32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</cdr:grpSp>
          <cdr:grpSp>
            <cdr:nvGrpSpPr>
              <cdr:cNvPr id="752661" name="Group 32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  <cdr:sp macro="" textlink="">
              <cdr:nvSpPr>
                <cdr:cNvPr id="275489" name="Text Box 3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452031" y="5230494"/>
                  <a:ext cx="62958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sp macro="" textlink="">
              <cdr:nvSpPr>
                <cdr:cNvPr id="275490" name="Text Box 3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0349372" y="5231921"/>
                  <a:ext cx="629586" cy="28099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23</a:t>
                  </a:r>
                </a:p>
              </cdr:txBody>
            </cdr:sp>
            <cdr:sp macro="" textlink="">
              <cdr:nvSpPr>
                <cdr:cNvPr id="275491" name="Text Box 3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1261186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24</a:t>
                  </a:r>
                </a:p>
              </cdr:txBody>
            </cdr:sp>
            <cdr:sp macro="" textlink="">
              <cdr:nvSpPr>
                <cdr:cNvPr id="275492" name="Text Box 3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115107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25</a:t>
                  </a:r>
                </a:p>
              </cdr:txBody>
            </cdr:sp>
            <cdr:sp macro="" textlink="">
              <cdr:nvSpPr>
                <cdr:cNvPr id="275493" name="Text Box 3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983501" y="5230494"/>
                  <a:ext cx="752609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26</a:t>
                  </a:r>
                </a:p>
              </cdr:txBody>
            </cdr:sp>
            <cdr:sp macro="" textlink="">
              <cdr:nvSpPr>
                <cdr:cNvPr id="275494" name="Text Box 3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3786766" y="5210525"/>
                  <a:ext cx="82497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27</a:t>
                  </a:r>
                </a:p>
              </cdr:txBody>
            </cdr:sp>
            <cdr:sp macro="" textlink="">
              <cdr:nvSpPr>
                <cdr:cNvPr id="275495" name="Text Box 3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4691343" y="5230494"/>
                  <a:ext cx="853921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28</a:t>
                  </a:r>
                </a:p>
              </cdr:txBody>
            </cdr:sp>
            <cdr:sp macro="" textlink="">
              <cdr:nvSpPr>
                <cdr:cNvPr id="275496" name="Text Box 4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6551154" y="5231921"/>
                  <a:ext cx="788792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30</a:t>
                  </a:r>
                </a:p>
              </cdr:txBody>
            </cdr:sp>
            <cdr:sp macro="" textlink="">
              <cdr:nvSpPr>
                <cdr:cNvPr id="275497" name="Text Box 4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5595921" y="5229068"/>
                  <a:ext cx="84668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29</a:t>
                  </a:r>
                </a:p>
              </cdr:txBody>
            </cdr:sp>
            <cdr:sp macro="" textlink="">
              <cdr:nvSpPr>
                <cdr:cNvPr id="275498" name="Text Box 4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7448495" y="5229068"/>
                  <a:ext cx="991417" cy="36229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31</a:t>
                  </a:r>
                </a:p>
              </cdr:txBody>
            </cdr:sp>
          </cdr:grpSp>
        </cdr:grpSp>
      </cdr:grpSp>
    </cdr:grp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0.02555</cdr:x>
      <cdr:y>0.03294</cdr:y>
    </cdr:from>
    <cdr:to>
      <cdr:x>0.23362</cdr:x>
      <cdr:y>0.1354</cdr:y>
    </cdr:to>
    <cdr:grpSp>
      <cdr:nvGrpSpPr>
        <cdr:cNvPr id="110" name="Group 8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45180" y="181663"/>
          <a:ext cx="6068476" cy="565065"/>
          <a:chOff x="697916" y="133017"/>
          <a:chExt cx="6070413" cy="567356"/>
        </a:xfrm>
      </cdr:grpSpPr>
      <cdr:sp macro="" textlink="'HourGH-JAN'!$F$5">
        <cdr:nvSpPr>
          <cdr:cNvPr id="283649" name="Text Box 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697916" y="223957"/>
            <a:ext cx="1264972" cy="29182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27432" tIns="50292" rIns="27432" bIns="50292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DA05CE96-511A-4249-98F8-CB5C6A927A7F}" type="TxLink">
              <a: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rPr>
              <a:pPr algn="ctr" rtl="0">
                <a:defRPr sz="1000"/>
              </a:pPr>
              <a:t>สถานี</a:t>
            </a:fld>
            <a:endParaRPr lang="th-TH" sz="1400" b="0" i="0" u="none" strike="noStrike" baseline="0">
              <a:solidFill>
                <a:srgbClr val="000080"/>
              </a:solidFill>
              <a:latin typeface="Cordia New"/>
              <a:cs typeface="Cordia New"/>
            </a:endParaRPr>
          </a:p>
        </cdr:txBody>
      </cdr:sp>
      <cdr:sp macro="" textlink="'HourGH-JAN'!$G$5">
        <cdr:nvSpPr>
          <cdr:cNvPr id="283650" name="Text Box 2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1962888" y="232100"/>
            <a:ext cx="1643010" cy="2836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27432" tIns="50292" rIns="27432" bIns="50292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41BBD859-333F-4573-865C-222A562B95A2}" type="TxLink">
              <a: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rPr>
              <a:pPr algn="ctr" rtl="0">
                <a:defRPr sz="1000"/>
              </a:pPr>
              <a:t>P.75</a:t>
            </a:fld>
            <a:endParaRPr lang="en-US" sz="1400" b="0" i="0" u="none" strike="noStrike" baseline="0">
              <a:solidFill>
                <a:srgbClr val="000080"/>
              </a:solidFill>
              <a:latin typeface="Cordia New"/>
              <a:cs typeface="Cordia New"/>
            </a:endParaRPr>
          </a:p>
        </cdr:txBody>
      </cdr:sp>
      <cdr:sp macro="" textlink="'HourGH-JAN'!$G$7">
        <cdr:nvSpPr>
          <cdr:cNvPr id="283651" name="Text Box 3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5125319" y="133017"/>
            <a:ext cx="1643010" cy="5673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27432" tIns="50292" rIns="27432" bIns="50292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B3577E98-559A-4D1D-A23B-CC30C84C3BD9}" type="TxLink">
              <a: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rPr>
              <a:pPr algn="ctr" rtl="0">
                <a:defRPr sz="1000"/>
              </a:pPr>
              <a:t>2557</a:t>
            </a:fld>
            <a:endParaRPr lang="th-TH" sz="1400" b="0" i="0" u="none" strike="noStrike" baseline="0">
              <a:solidFill>
                <a:srgbClr val="000080"/>
              </a:solidFill>
              <a:latin typeface="Cordia New"/>
              <a:cs typeface="Cordia New"/>
            </a:endParaRPr>
          </a:p>
        </cdr:txBody>
      </cdr:sp>
      <cdr:sp macro="" textlink="'Graph-Hou'!$CS$1">
        <cdr:nvSpPr>
          <cdr:cNvPr id="283652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3409609" y="177808"/>
            <a:ext cx="1715710" cy="4655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27432" tIns="50292" rIns="27432" bIns="50292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2A0F86B0-809D-42F1-BB37-B000146AEBE4}" type="TxLink">
              <a: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rPr>
              <a:pPr algn="ctr" rtl="0">
                <a:defRPr sz="1000"/>
              </a:pPr>
              <a:t>Jan</a:t>
            </a:fld>
            <a:endParaRPr lang="en-US" sz="1400" b="0" i="0" u="none" strike="noStrike" baseline="0">
              <a:solidFill>
                <a:srgbClr val="000080"/>
              </a:solidFill>
              <a:latin typeface="Cordia New"/>
              <a:cs typeface="Cordia New"/>
            </a:endParaRPr>
          </a:p>
        </cdr:txBody>
      </cdr:sp>
    </cdr:grpSp>
  </cdr:relSizeAnchor>
  <cdr:relSizeAnchor xmlns:cdr="http://schemas.openxmlformats.org/drawingml/2006/chartDrawing">
    <cdr:from>
      <cdr:x>0.03577</cdr:x>
      <cdr:y>0.92529</cdr:y>
    </cdr:from>
    <cdr:to>
      <cdr:x>0.98516</cdr:x>
      <cdr:y>0.98769</cdr:y>
    </cdr:to>
    <cdr:grpSp>
      <cdr:nvGrpSpPr>
        <cdr:cNvPr id="111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043252" y="5102951"/>
          <a:ext cx="27689481" cy="344135"/>
          <a:chOff x="759845" y="5209099"/>
          <a:chExt cx="27665593" cy="382267"/>
        </a:xfrm>
      </cdr:grpSpPr>
      <cdr:sp macro="" textlink="">
        <cdr:nvSpPr>
          <cdr:cNvPr id="283655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587173" y="5219083"/>
            <a:ext cx="528273" cy="2710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27432" tIns="32004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10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12</a:t>
            </a:r>
          </a:p>
        </cdr:txBody>
      </cdr:sp>
      <cdr:sp macro="" textlink="">
        <cdr:nvSpPr>
          <cdr:cNvPr id="283656" name="Text Box 8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1397675" y="5219083"/>
            <a:ext cx="723661" cy="30952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27432" tIns="32004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th-TH" sz="10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13</a:t>
            </a:r>
          </a:p>
        </cdr:txBody>
      </cdr:sp>
      <cdr:grpSp>
        <cdr:nvGrpSpPr>
          <cdr:cNvPr id="124" name="Group 9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59845" y="5209099"/>
            <a:ext cx="9523390" cy="363724"/>
            <a:chOff x="759845" y="5209099"/>
            <a:chExt cx="9523390" cy="363724"/>
          </a:xfrm>
        </cdr:grpSpPr>
      </cdr:grpSp>
      <cdr:grpSp>
        <cdr:nvGrpSpPr>
          <cdr:cNvPr id="753716" name="Group 9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59845" y="5209099"/>
            <a:ext cx="9523390" cy="363724"/>
            <a:chOff x="759845" y="5209099"/>
            <a:chExt cx="9523390" cy="363724"/>
          </a:xfrm>
        </cdr:grpSpPr>
        <cdr:sp macro="" textlink="">
          <cdr:nvSpPr>
            <cdr:cNvPr id="283658" name="Text Box 10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9718779" y="5229068"/>
              <a:ext cx="564456" cy="34375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11</a:t>
              </a:r>
            </a:p>
          </cdr:txBody>
        </cdr:sp>
        <cdr:sp macro="" textlink="">
          <cdr:nvSpPr>
            <cdr:cNvPr id="283659" name="Text Box 1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59845" y="5209099"/>
              <a:ext cx="615113" cy="30096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</a:t>
              </a:r>
            </a:p>
          </cdr:txBody>
        </cdr:sp>
        <cdr:sp macro="" textlink="">
          <cdr:nvSpPr>
            <cdr:cNvPr id="283660" name="Text Box 12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570346" y="5209099"/>
              <a:ext cx="615113" cy="30239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</a:t>
              </a:r>
            </a:p>
          </cdr:txBody>
        </cdr:sp>
        <cdr:sp macro="" textlink="">
          <cdr:nvSpPr>
            <cdr:cNvPr id="283661" name="Text Box 13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547290" y="5209099"/>
              <a:ext cx="499326" cy="35088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3</a:t>
              </a:r>
            </a:p>
          </cdr:txBody>
        </cdr:sp>
        <cdr:sp macro="" textlink="">
          <cdr:nvSpPr>
            <cdr:cNvPr id="283662" name="Text Box 14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415684" y="5219083"/>
              <a:ext cx="528273" cy="27956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4</a:t>
              </a:r>
            </a:p>
          </cdr:txBody>
        </cdr:sp>
        <cdr:sp macro="" textlink="">
          <cdr:nvSpPr>
            <cdr:cNvPr id="283663" name="Text Box 15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8720126" y="5229068"/>
              <a:ext cx="636822" cy="34375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10</a:t>
              </a:r>
            </a:p>
          </cdr:txBody>
        </cdr:sp>
        <cdr:sp macro="" textlink="">
          <cdr:nvSpPr>
            <cdr:cNvPr id="283664" name="Text Box 16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4363681" y="5209099"/>
              <a:ext cx="615113" cy="30239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5</a:t>
              </a:r>
            </a:p>
          </cdr:txBody>
        </cdr:sp>
        <cdr:sp macro="" textlink="">
          <cdr:nvSpPr>
            <cdr:cNvPr id="283665" name="Text Box 17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145236" y="5209099"/>
              <a:ext cx="694715" cy="27956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6</a:t>
              </a:r>
            </a:p>
          </cdr:txBody>
        </cdr:sp>
        <cdr:sp macro="" textlink="">
          <cdr:nvSpPr>
            <cdr:cNvPr id="283666" name="Text Box 18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6122179" y="5219083"/>
              <a:ext cx="586167" cy="2695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7</a:t>
              </a:r>
            </a:p>
          </cdr:txBody>
        </cdr:sp>
        <cdr:sp macro="" textlink="">
          <cdr:nvSpPr>
            <cdr:cNvPr id="283667" name="Text Box 1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041230" y="5219083"/>
              <a:ext cx="528273" cy="30239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8</a:t>
              </a:r>
            </a:p>
          </cdr:txBody>
        </cdr:sp>
        <cdr:sp macro="" textlink="">
          <cdr:nvSpPr>
            <cdr:cNvPr id="283668" name="Text Box 20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822785" y="5209099"/>
              <a:ext cx="701952" cy="27956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9</a:t>
              </a:r>
            </a:p>
          </cdr:txBody>
        </cdr:sp>
      </cdr:grpSp>
      <cdr:grpSp>
        <cdr:nvGrpSpPr>
          <cdr:cNvPr id="126" name="Group 2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2208176" y="5210525"/>
            <a:ext cx="16217262" cy="380841"/>
            <a:chOff x="12208176" y="5210525"/>
            <a:chExt cx="16217262" cy="380841"/>
          </a:xfrm>
        </cdr:grpSpPr>
      </cdr:grpSp>
      <cdr:grpSp>
        <cdr:nvGrpSpPr>
          <cdr:cNvPr id="753718" name="Group 2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2208176" y="5210525"/>
            <a:ext cx="16217262" cy="380841"/>
            <a:chOff x="12208176" y="5210525"/>
            <a:chExt cx="16217262" cy="380841"/>
          </a:xfrm>
        </cdr:grpSpPr>
        <cdr:sp macro="" textlink="">
          <cdr:nvSpPr>
            <cdr:cNvPr id="283670" name="Text Box 22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7512617" y="5231921"/>
              <a:ext cx="615113" cy="28099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20</a:t>
              </a:r>
            </a:p>
          </cdr:txBody>
        </cdr:sp>
        <cdr:sp macro="" textlink="">
          <cdr:nvSpPr>
            <cdr:cNvPr id="283671" name="Text Box 23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4885725" y="5231921"/>
              <a:ext cx="506563" cy="28099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17</a:t>
              </a:r>
            </a:p>
          </cdr:txBody>
        </cdr:sp>
        <cdr:sp macro="" textlink="">
          <cdr:nvSpPr>
            <cdr:cNvPr id="283672" name="Text Box 24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5696226" y="5231921"/>
              <a:ext cx="615113" cy="28099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18</a:t>
              </a:r>
            </a:p>
          </cdr:txBody>
        </cdr:sp>
        <cdr:sp macro="" textlink="">
          <cdr:nvSpPr>
            <cdr:cNvPr id="283673" name="Text Box 25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6644223" y="5211951"/>
              <a:ext cx="557220" cy="30096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19</a:t>
              </a:r>
            </a:p>
          </cdr:txBody>
        </cdr:sp>
        <cdr:sp macro="" textlink="">
          <cdr:nvSpPr>
            <cdr:cNvPr id="283674" name="Text Box 26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2208176" y="5231921"/>
              <a:ext cx="557219" cy="28099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14</a:t>
              </a:r>
            </a:p>
          </cdr:txBody>
        </cdr:sp>
        <cdr:sp macro="" textlink="">
          <cdr:nvSpPr>
            <cdr:cNvPr id="283675" name="Text Box 27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3047624" y="5231921"/>
              <a:ext cx="557219" cy="30096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15</a:t>
              </a:r>
            </a:p>
          </cdr:txBody>
        </cdr:sp>
        <cdr:sp macro="" textlink="">
          <cdr:nvSpPr>
            <cdr:cNvPr id="283676" name="Text Box 28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3937728" y="5230494"/>
              <a:ext cx="586166" cy="30239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16</a:t>
              </a:r>
            </a:p>
          </cdr:txBody>
        </cdr:sp>
        <cdr:sp macro="" textlink="">
          <cdr:nvSpPr>
            <cdr:cNvPr id="283677" name="Text Box 2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8460614" y="5231921"/>
              <a:ext cx="557220" cy="30096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21</a:t>
              </a:r>
            </a:p>
          </cdr:txBody>
        </cdr:sp>
        <cdr:grpSp>
          <cdr:nvGrpSpPr>
            <cdr:cNvPr id="128" name="Group 3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466504" y="5210525"/>
              <a:ext cx="8958934" cy="380841"/>
              <a:chOff x="19452031" y="5210525"/>
              <a:chExt cx="8987881" cy="380841"/>
            </a:xfrm>
          </cdr:grpSpPr>
        </cdr:grpSp>
        <cdr:grpSp>
          <cdr:nvGrpSpPr>
            <cdr:cNvPr id="753728" name="Group 3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466504" y="5210525"/>
              <a:ext cx="8958934" cy="380841"/>
              <a:chOff x="19452031" y="5210525"/>
              <a:chExt cx="8987881" cy="380841"/>
            </a:xfrm>
          </cdr:grpSpPr>
          <cdr:sp macro="" textlink="">
            <cdr:nvSpPr>
              <cdr:cNvPr id="283679" name="Text Box 3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9452031" y="5230494"/>
                <a:ext cx="62958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22</a:t>
                </a:r>
              </a:p>
            </cdr:txBody>
          </cdr:sp>
          <cdr:sp macro="" textlink="">
            <cdr:nvSpPr>
              <cdr:cNvPr id="283680" name="Text Box 3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0349372" y="5231921"/>
                <a:ext cx="629586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23</a:t>
                </a:r>
              </a:p>
            </cdr:txBody>
          </cdr:sp>
          <cdr:sp macro="" textlink="">
            <cdr:nvSpPr>
              <cdr:cNvPr id="283681" name="Text Box 3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1261186" y="5230494"/>
                <a:ext cx="54274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24</a:t>
                </a:r>
              </a:p>
            </cdr:txBody>
          </cdr:sp>
          <cdr:sp macro="" textlink="">
            <cdr:nvSpPr>
              <cdr:cNvPr id="283682" name="Text Box 3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2115107" y="5230494"/>
                <a:ext cx="54274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25</a:t>
                </a:r>
              </a:p>
            </cdr:txBody>
          </cdr:sp>
          <cdr:sp macro="" textlink="">
            <cdr:nvSpPr>
              <cdr:cNvPr id="283683" name="Text Box 3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2983501" y="5230494"/>
                <a:ext cx="752609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26</a:t>
                </a:r>
              </a:p>
            </cdr:txBody>
          </cdr:sp>
          <cdr:sp macro="" textlink="">
            <cdr:nvSpPr>
              <cdr:cNvPr id="283684" name="Text Box 3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786766" y="5210525"/>
                <a:ext cx="824974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27</a:t>
                </a:r>
              </a:p>
            </cdr:txBody>
          </cdr:sp>
          <cdr:sp macro="" textlink="">
            <cdr:nvSpPr>
              <cdr:cNvPr id="283685" name="Text Box 3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4691343" y="5230494"/>
                <a:ext cx="853921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28</a:t>
                </a:r>
              </a:p>
            </cdr:txBody>
          </cdr:sp>
          <cdr:sp macro="" textlink="">
            <cdr:nvSpPr>
              <cdr:cNvPr id="283686" name="Text Box 3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6551154" y="5231921"/>
                <a:ext cx="788792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30</a:t>
                </a:r>
              </a:p>
            </cdr:txBody>
          </cdr:sp>
          <cdr:sp macro="" textlink="">
            <cdr:nvSpPr>
              <cdr:cNvPr id="283687" name="Text Box 3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5595921" y="5229068"/>
                <a:ext cx="846684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29</a:t>
                </a:r>
              </a:p>
            </cdr:txBody>
          </cdr:sp>
          <cdr:sp macro="" textlink="">
            <cdr:nvSpPr>
              <cdr:cNvPr id="283688" name="Text Box 4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7448495" y="5229068"/>
                <a:ext cx="991417" cy="36229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31</a:t>
                </a:r>
              </a:p>
            </cdr:txBody>
          </cdr:sp>
        </cdr:grpSp>
      </cdr:grpSp>
    </cdr:grpSp>
  </cdr:relSizeAnchor>
  <cdr:relSizeAnchor xmlns:cdr="http://schemas.openxmlformats.org/drawingml/2006/chartDrawing">
    <cdr:from>
      <cdr:x>0.02555</cdr:x>
      <cdr:y>0.03294</cdr:y>
    </cdr:from>
    <cdr:to>
      <cdr:x>0.98491</cdr:x>
      <cdr:y>0.98819</cdr:y>
    </cdr:to>
    <cdr:grpSp>
      <cdr:nvGrpSpPr>
        <cdr:cNvPr id="112" name="Group 1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45180" y="181663"/>
          <a:ext cx="27980262" cy="5268180"/>
          <a:chOff x="697916" y="133017"/>
          <a:chExt cx="27989331" cy="5278588"/>
        </a:xfrm>
      </cdr:grpSpPr>
      <cdr:grpSp>
        <cdr:nvGrpSpPr>
          <cdr:cNvPr id="114" name="Group 8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97916" y="133017"/>
            <a:ext cx="6070413" cy="567356"/>
            <a:chOff x="697916" y="133017"/>
            <a:chExt cx="6070413" cy="567356"/>
          </a:xfrm>
        </cdr:grpSpPr>
      </cdr:grpSp>
      <cdr:grpSp>
        <cdr:nvGrpSpPr>
          <cdr:cNvPr id="753669" name="Group 8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97916" y="133017"/>
            <a:ext cx="6070413" cy="567356"/>
            <a:chOff x="697916" y="133017"/>
            <a:chExt cx="6070413" cy="567356"/>
          </a:xfrm>
        </cdr:grpSpPr>
        <cdr:sp macro="" textlink="'HourGH-JAN'!$F$5">
          <cdr:nvSpPr>
            <cdr:cNvPr id="283732" name="Text Box 8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697916" y="223957"/>
              <a:ext cx="1264972" cy="2918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F322EC76-4429-4662-9215-70FA769E3F23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JAN'!$G$5">
          <cdr:nvSpPr>
            <cdr:cNvPr id="283733" name="Text Box 85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962888" y="232100"/>
              <a:ext cx="1643010" cy="28367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DBA09BA8-6BD0-4421-B3FF-DC2DA1A161C7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JAN'!$G$7">
          <cdr:nvSpPr>
            <cdr:cNvPr id="283734" name="Text Box 86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125319" y="133017"/>
              <a:ext cx="1643010" cy="56735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9BECC59E-82C5-45F3-B697-984369E5F62C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2557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CS$1">
          <cdr:nvSpPr>
            <cdr:cNvPr id="283735" name="Text Box 87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409609" y="177808"/>
              <a:ext cx="1715710" cy="46555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2FC5D907-6F0B-49A2-B36C-01460A8088DD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Jan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116" name="Group 88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88714" y="5066848"/>
            <a:ext cx="27698533" cy="344757"/>
            <a:chOff x="759845" y="5209099"/>
            <a:chExt cx="27665593" cy="382267"/>
          </a:xfrm>
        </cdr:grpSpPr>
      </cdr:grpSp>
      <cdr:grpSp>
        <cdr:nvGrpSpPr>
          <cdr:cNvPr id="753671" name="Group 88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88714" y="5066848"/>
            <a:ext cx="27698533" cy="344757"/>
            <a:chOff x="759845" y="5209099"/>
            <a:chExt cx="27665593" cy="382267"/>
          </a:xfrm>
        </cdr:grpSpPr>
        <cdr:sp macro="" textlink="">
          <cdr:nvSpPr>
            <cdr:cNvPr id="283737" name="Text Box 8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587173" y="5219083"/>
              <a:ext cx="528273" cy="2710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12</a:t>
              </a:r>
            </a:p>
          </cdr:txBody>
        </cdr:sp>
        <cdr:sp macro="" textlink="">
          <cdr:nvSpPr>
            <cdr:cNvPr id="283738" name="Text Box 90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1397675" y="5219083"/>
              <a:ext cx="723661" cy="3095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13</a:t>
              </a:r>
            </a:p>
          </cdr:txBody>
        </cdr:sp>
        <cdr:grpSp>
          <cdr:nvGrpSpPr>
            <cdr:cNvPr id="118" name="Group 9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</cdr:grpSp>
        <cdr:grpSp>
          <cdr:nvGrpSpPr>
            <cdr:cNvPr id="753675" name="Group 9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  <cdr:sp macro="" textlink="">
            <cdr:nvSpPr>
              <cdr:cNvPr id="283740" name="Text Box 9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18779" y="5229068"/>
                <a:ext cx="564456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283741" name="Text Box 9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59845" y="5209099"/>
                <a:ext cx="615113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</a:t>
                </a:r>
              </a:p>
            </cdr:txBody>
          </cdr:sp>
          <cdr:sp macro="" textlink="">
            <cdr:nvSpPr>
              <cdr:cNvPr id="283742" name="Text Box 9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70346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</a:t>
                </a:r>
              </a:p>
            </cdr:txBody>
          </cdr:sp>
          <cdr:sp macro="" textlink="">
            <cdr:nvSpPr>
              <cdr:cNvPr id="283743" name="Text Box 9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547290" y="5209099"/>
                <a:ext cx="499326" cy="35088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</a:t>
                </a:r>
              </a:p>
            </cdr:txBody>
          </cdr:sp>
          <cdr:sp macro="" textlink="">
            <cdr:nvSpPr>
              <cdr:cNvPr id="283744" name="Text Box 9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415684" y="5219083"/>
                <a:ext cx="528273" cy="27956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4</a:t>
                </a:r>
              </a:p>
            </cdr:txBody>
          </cdr:sp>
          <cdr:sp macro="" textlink="">
            <cdr:nvSpPr>
              <cdr:cNvPr id="283745" name="Text Box 9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20126" y="5229068"/>
                <a:ext cx="636822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283746" name="Text Box 9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3681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283747" name="Text Box 9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145236" y="5209099"/>
                <a:ext cx="694715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283748" name="Text Box 10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122179" y="5219083"/>
                <a:ext cx="586167" cy="26958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283749" name="Text Box 10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041230" y="5219083"/>
                <a:ext cx="52827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283750" name="Text Box 10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822785" y="5209099"/>
                <a:ext cx="701952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</cdr:grpSp>
        <cdr:grpSp>
          <cdr:nvGrpSpPr>
            <cdr:cNvPr id="120" name="Group 103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</cdr:grpSp>
        <cdr:grpSp>
          <cdr:nvGrpSpPr>
            <cdr:cNvPr id="753677" name="Group 103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  <cdr:sp macro="" textlink="">
            <cdr:nvSpPr>
              <cdr:cNvPr id="283752" name="Text Box 10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7512617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20</a:t>
                </a:r>
              </a:p>
            </cdr:txBody>
          </cdr:sp>
          <cdr:sp macro="" textlink="">
            <cdr:nvSpPr>
              <cdr:cNvPr id="283753" name="Text Box 10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4885725" y="5231921"/>
                <a:ext cx="50656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17</a:t>
                </a:r>
              </a:p>
            </cdr:txBody>
          </cdr:sp>
          <cdr:sp macro="" textlink="">
            <cdr:nvSpPr>
              <cdr:cNvPr id="283754" name="Text Box 10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696226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18</a:t>
                </a:r>
              </a:p>
            </cdr:txBody>
          </cdr:sp>
          <cdr:sp macro="" textlink="">
            <cdr:nvSpPr>
              <cdr:cNvPr id="283755" name="Text Box 10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6644223" y="5211951"/>
                <a:ext cx="557220" cy="30096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19</a:t>
                </a:r>
              </a:p>
            </cdr:txBody>
          </cdr:sp>
          <cdr:sp macro="" textlink="">
            <cdr:nvSpPr>
              <cdr:cNvPr id="283756" name="Text Box 10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208176" y="5231921"/>
                <a:ext cx="557219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sp macro="" textlink="">
            <cdr:nvSpPr>
              <cdr:cNvPr id="283757" name="Text Box 10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047624" y="5231921"/>
                <a:ext cx="557219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15</a:t>
                </a:r>
              </a:p>
            </cdr:txBody>
          </cdr:sp>
          <cdr:sp macro="" textlink="">
            <cdr:nvSpPr>
              <cdr:cNvPr id="283758" name="Text Box 11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937728" y="5230494"/>
                <a:ext cx="58616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16</a:t>
                </a:r>
              </a:p>
            </cdr:txBody>
          </cdr:sp>
          <cdr:sp macro="" textlink="">
            <cdr:nvSpPr>
              <cdr:cNvPr id="283759" name="Text Box 11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8460614" y="5231921"/>
                <a:ext cx="557220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21</a:t>
                </a:r>
              </a:p>
            </cdr:txBody>
          </cdr:sp>
          <cdr:grpSp>
            <cdr:nvGrpSpPr>
              <cdr:cNvPr id="122" name="Group 112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</cdr:grpSp>
          <cdr:grpSp>
            <cdr:nvGrpSpPr>
              <cdr:cNvPr id="753687" name="Group 112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  <cdr:sp macro="" textlink="">
              <cdr:nvSpPr>
                <cdr:cNvPr id="283761" name="Text Box 11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452031" y="5230494"/>
                  <a:ext cx="62958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sp macro="" textlink="">
              <cdr:nvSpPr>
                <cdr:cNvPr id="283762" name="Text Box 11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0349372" y="5231921"/>
                  <a:ext cx="629586" cy="28099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23</a:t>
                  </a:r>
                </a:p>
              </cdr:txBody>
            </cdr:sp>
            <cdr:sp macro="" textlink="">
              <cdr:nvSpPr>
                <cdr:cNvPr id="283763" name="Text Box 11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1261186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24</a:t>
                  </a:r>
                </a:p>
              </cdr:txBody>
            </cdr:sp>
            <cdr:sp macro="" textlink="">
              <cdr:nvSpPr>
                <cdr:cNvPr id="283764" name="Text Box 11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115107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25</a:t>
                  </a:r>
                </a:p>
              </cdr:txBody>
            </cdr:sp>
            <cdr:sp macro="" textlink="">
              <cdr:nvSpPr>
                <cdr:cNvPr id="283765" name="Text Box 11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983501" y="5230494"/>
                  <a:ext cx="752609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26</a:t>
                  </a:r>
                </a:p>
              </cdr:txBody>
            </cdr:sp>
            <cdr:sp macro="" textlink="">
              <cdr:nvSpPr>
                <cdr:cNvPr id="283766" name="Text Box 11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3786766" y="5210525"/>
                  <a:ext cx="82497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27</a:t>
                  </a:r>
                </a:p>
              </cdr:txBody>
            </cdr:sp>
            <cdr:sp macro="" textlink="">
              <cdr:nvSpPr>
                <cdr:cNvPr id="283767" name="Text Box 11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4691343" y="5230494"/>
                  <a:ext cx="853921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28</a:t>
                  </a:r>
                </a:p>
              </cdr:txBody>
            </cdr:sp>
            <cdr:sp macro="" textlink="">
              <cdr:nvSpPr>
                <cdr:cNvPr id="283768" name="Text Box 12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6551154" y="5231921"/>
                  <a:ext cx="788792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30</a:t>
                  </a:r>
                </a:p>
              </cdr:txBody>
            </cdr:sp>
            <cdr:sp macro="" textlink="">
              <cdr:nvSpPr>
                <cdr:cNvPr id="283769" name="Text Box 12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5595921" y="5229068"/>
                  <a:ext cx="84668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29</a:t>
                  </a:r>
                </a:p>
              </cdr:txBody>
            </cdr:sp>
            <cdr:sp macro="" textlink="">
              <cdr:nvSpPr>
                <cdr:cNvPr id="283770" name="Text Box 12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7448495" y="5229068"/>
                  <a:ext cx="991417" cy="36229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31</a:t>
                  </a:r>
                </a:p>
              </cdr:txBody>
            </cdr:sp>
          </cdr:grpSp>
        </cdr:grpSp>
      </cdr:grpSp>
    </cdr:grp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0.92984</cdr:x>
      <cdr:y>0.90188</cdr:y>
    </cdr:from>
    <cdr:to>
      <cdr:x>0.95376</cdr:x>
      <cdr:y>0.94686</cdr:y>
    </cdr:to>
    <cdr:sp macro="" textlink="">
      <cdr:nvSpPr>
        <cdr:cNvPr id="28470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78166" y="5114469"/>
          <a:ext cx="696544" cy="25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1000" b="1" i="0" u="none" strike="noStrike" baseline="0">
              <a:solidFill>
                <a:srgbClr val="000000"/>
              </a:solidFill>
              <a:latin typeface="CordiaUPC"/>
              <a:cs typeface="CordiaUPC"/>
            </a:rPr>
            <a:t>28</a:t>
          </a:r>
        </a:p>
      </cdr:txBody>
    </cdr:sp>
  </cdr:relSizeAnchor>
  <cdr:relSizeAnchor xmlns:cdr="http://schemas.openxmlformats.org/drawingml/2006/chartDrawing">
    <cdr:from>
      <cdr:x>0.96323</cdr:x>
      <cdr:y>0.89868</cdr:y>
    </cdr:from>
    <cdr:to>
      <cdr:x>0.9889</cdr:x>
      <cdr:y>0.94317</cdr:y>
    </cdr:to>
    <cdr:sp macro="" textlink="">
      <cdr:nvSpPr>
        <cdr:cNvPr id="284711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50426" y="5096359"/>
          <a:ext cx="747334" cy="252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1000" b="1" i="0" u="none" strike="noStrike" baseline="0">
              <a:solidFill>
                <a:srgbClr val="000000"/>
              </a:solidFill>
              <a:latin typeface="CordiaUPC"/>
              <a:cs typeface="CordiaUPC"/>
            </a:rPr>
            <a:t>29</a:t>
          </a:r>
        </a:p>
      </cdr:txBody>
    </cdr:sp>
  </cdr:relSizeAnchor>
  <cdr:relSizeAnchor xmlns:cdr="http://schemas.openxmlformats.org/drawingml/2006/chartDrawing">
    <cdr:from>
      <cdr:x>0.01559</cdr:x>
      <cdr:y>0.03642</cdr:y>
    </cdr:from>
    <cdr:to>
      <cdr:x>0.91065</cdr:x>
      <cdr:y>0.98324</cdr:y>
    </cdr:to>
    <cdr:grpSp>
      <cdr:nvGrpSpPr>
        <cdr:cNvPr id="53" name="Group 4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53800" y="206059"/>
          <a:ext cx="26053764" cy="5356965"/>
          <a:chOff x="399062" y="158806"/>
          <a:chExt cx="26076873" cy="5364563"/>
        </a:xfrm>
      </cdr:grpSpPr>
      <cdr:grpSp>
        <cdr:nvGrpSpPr>
          <cdr:cNvPr id="55" name="Group 4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68163" y="5133320"/>
            <a:ext cx="25307772" cy="390049"/>
            <a:chOff x="1153651" y="5162574"/>
            <a:chExt cx="25322284" cy="380297"/>
          </a:xfrm>
        </cdr:grpSpPr>
      </cdr:grpSp>
      <cdr:grpSp>
        <cdr:nvGrpSpPr>
          <cdr:cNvPr id="754693" name="Group 4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68163" y="5133320"/>
            <a:ext cx="25307772" cy="390049"/>
            <a:chOff x="1153651" y="5162574"/>
            <a:chExt cx="25322284" cy="380297"/>
          </a:xfrm>
        </cdr:grpSpPr>
        <cdr:sp macro="" textlink="">
          <cdr:nvSpPr>
            <cdr:cNvPr id="284694" name="Text Box 22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9162221" y="5182076"/>
              <a:ext cx="609476" cy="30368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20</a:t>
              </a:r>
            </a:p>
          </cdr:txBody>
        </cdr:sp>
        <cdr:sp macro="" textlink="">
          <cdr:nvSpPr>
            <cdr:cNvPr id="284697" name="Text Box 25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8240751" y="5172325"/>
              <a:ext cx="587709" cy="370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19</a:t>
              </a:r>
            </a:p>
          </cdr:txBody>
        </cdr:sp>
        <cdr:grpSp>
          <cdr:nvGrpSpPr>
            <cdr:cNvPr id="59" name="Group 42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153651" y="5162574"/>
              <a:ext cx="16724317" cy="323183"/>
              <a:chOff x="1153651" y="5162574"/>
              <a:chExt cx="16724317" cy="323183"/>
            </a:xfrm>
          </cdr:grpSpPr>
        </cdr:grpSp>
        <cdr:grpSp>
          <cdr:nvGrpSpPr>
            <cdr:cNvPr id="754703" name="Group 42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153651" y="5162574"/>
              <a:ext cx="16724317" cy="323183"/>
              <a:chOff x="1153651" y="5162574"/>
              <a:chExt cx="16724317" cy="323183"/>
            </a:xfrm>
          </cdr:grpSpPr>
          <cdr:sp macro="" textlink="">
            <cdr:nvSpPr>
              <cdr:cNvPr id="284684" name="Text Box 1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615043" y="5173718"/>
                <a:ext cx="558687" cy="2507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284685" name="Text Box 1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645348" y="5173718"/>
                <a:ext cx="529664" cy="22567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12</a:t>
                </a:r>
              </a:p>
            </cdr:txBody>
          </cdr:sp>
          <cdr:sp macro="" textlink="">
            <cdr:nvSpPr>
              <cdr:cNvPr id="284686" name="Text Box 1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414449" y="5173718"/>
                <a:ext cx="783612" cy="23402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13</a:t>
                </a:r>
              </a:p>
            </cdr:txBody>
          </cdr:sp>
          <cdr:sp macro="" textlink="">
            <cdr:nvSpPr>
              <cdr:cNvPr id="284687" name="Text Box 1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613761" y="5182076"/>
                <a:ext cx="558687" cy="21731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grpSp>
            <cdr:nvGrpSpPr>
              <cdr:cNvPr id="61" name="Group 41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153651" y="5172325"/>
                <a:ext cx="7959469" cy="313432"/>
                <a:chOff x="1153651" y="5172325"/>
                <a:chExt cx="7959469" cy="313432"/>
              </a:xfrm>
            </cdr:grpSpPr>
          </cdr:grpSp>
          <cdr:grpSp>
            <cdr:nvGrpSpPr>
              <cdr:cNvPr id="754716" name="Group 41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153651" y="5172325"/>
                <a:ext cx="7959469" cy="313432"/>
                <a:chOff x="1153651" y="5172325"/>
                <a:chExt cx="7959469" cy="313432"/>
              </a:xfrm>
            </cdr:grpSpPr>
            <cdr:sp macro="" textlink="">
              <cdr:nvSpPr>
                <cdr:cNvPr id="284679" name="Text Box 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153651" y="5182076"/>
                  <a:ext cx="449852" cy="250746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1</a:t>
                  </a:r>
                </a:p>
              </cdr:txBody>
            </cdr:sp>
            <cdr:sp macro="" textlink="">
              <cdr:nvSpPr>
                <cdr:cNvPr id="284680" name="Text Box 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017076" y="5182076"/>
                  <a:ext cx="558686" cy="252139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</a:t>
                  </a:r>
                </a:p>
              </cdr:txBody>
            </cdr:sp>
            <cdr:sp macro="" textlink="">
              <cdr:nvSpPr>
                <cdr:cNvPr id="284681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3054637" y="5182076"/>
                  <a:ext cx="442595" cy="24238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</a:t>
                  </a:r>
                </a:p>
              </cdr:txBody>
            </cdr:sp>
            <cdr:sp macro="" textlink="">
              <cdr:nvSpPr>
                <cdr:cNvPr id="284682" name="Text Box 1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3983362" y="5190434"/>
                  <a:ext cx="558687" cy="29532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4</a:t>
                  </a:r>
                </a:p>
              </cdr:txBody>
            </cdr:sp>
            <cdr:sp macro="" textlink="">
              <cdr:nvSpPr>
                <cdr:cNvPr id="284688" name="Text Box 1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846787" y="5190434"/>
                  <a:ext cx="609476" cy="29532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5</a:t>
                  </a:r>
                </a:p>
              </cdr:txBody>
            </cdr:sp>
            <cdr:sp macro="" textlink="">
              <cdr:nvSpPr>
                <cdr:cNvPr id="284689" name="Text Box 1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5746490" y="5190434"/>
                  <a:ext cx="740078" cy="24796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6</a:t>
                  </a:r>
                </a:p>
              </cdr:txBody>
            </cdr:sp>
            <cdr:sp macro="" textlink="">
              <cdr:nvSpPr>
                <cdr:cNvPr id="284690" name="Text Box 1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6726005" y="5173718"/>
                  <a:ext cx="689288" cy="234029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7</a:t>
                  </a:r>
                </a:p>
              </cdr:txBody>
            </cdr:sp>
            <cdr:sp macro="" textlink="">
              <cdr:nvSpPr>
                <cdr:cNvPr id="284691" name="Text Box 1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7734543" y="5182076"/>
                  <a:ext cx="602220" cy="252139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8</a:t>
                  </a:r>
                </a:p>
              </cdr:txBody>
            </cdr:sp>
            <cdr:sp macro="" textlink="">
              <cdr:nvSpPr>
                <cdr:cNvPr id="284692" name="Text Box 2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8750337" y="5172325"/>
                  <a:ext cx="362783" cy="24099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9</a:t>
                  </a:r>
                </a:p>
              </cdr:txBody>
            </cdr:sp>
          </cdr:grpSp>
          <cdr:sp macro="" textlink="">
            <cdr:nvSpPr>
              <cdr:cNvPr id="284695" name="Text Box 2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6405067" y="5162574"/>
                <a:ext cx="529664" cy="22567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17</a:t>
                </a:r>
              </a:p>
            </cdr:txBody>
          </cdr:sp>
          <cdr:sp macro="" textlink="">
            <cdr:nvSpPr>
              <cdr:cNvPr id="284696" name="Text Box 2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7268492" y="5172325"/>
                <a:ext cx="609476" cy="21592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18</a:t>
                </a:r>
              </a:p>
            </cdr:txBody>
          </cdr:sp>
          <cdr:sp macro="" textlink="">
            <cdr:nvSpPr>
              <cdr:cNvPr id="284698" name="Text Box 2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481033" y="5172325"/>
                <a:ext cx="558686" cy="21731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sp macro="" textlink="">
            <cdr:nvSpPr>
              <cdr:cNvPr id="284699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4453292" y="5165360"/>
                <a:ext cx="616732" cy="2507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15</a:t>
                </a:r>
              </a:p>
            </cdr:txBody>
          </cdr:sp>
          <cdr:sp macro="" textlink="">
            <cdr:nvSpPr>
              <cdr:cNvPr id="284700" name="Text Box 2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403785" y="5172325"/>
                <a:ext cx="558686" cy="235422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16</a:t>
                </a:r>
              </a:p>
            </cdr:txBody>
          </cdr:sp>
        </cdr:grpSp>
        <cdr:sp macro="" textlink="">
          <cdr:nvSpPr>
            <cdr:cNvPr id="284701" name="Text Box 2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0163503" y="5190434"/>
              <a:ext cx="551431" cy="29532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21</a:t>
              </a:r>
            </a:p>
          </cdr:txBody>
        </cdr:sp>
        <cdr:sp macro="" textlink="">
          <cdr:nvSpPr>
            <cdr:cNvPr id="284702" name="Text Box 30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1026928" y="5172325"/>
              <a:ext cx="638499" cy="31343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22</a:t>
              </a:r>
            </a:p>
          </cdr:txBody>
        </cdr:sp>
        <cdr:sp macro="" textlink="">
          <cdr:nvSpPr>
            <cdr:cNvPr id="284704" name="Text Box 32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1999188" y="5190434"/>
              <a:ext cx="638499" cy="29532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23</a:t>
              </a:r>
            </a:p>
          </cdr:txBody>
        </cdr:sp>
        <cdr:sp macro="" textlink="">
          <cdr:nvSpPr>
            <cdr:cNvPr id="284705" name="Text Box 33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3000470" y="5190434"/>
              <a:ext cx="558686" cy="35243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24</a:t>
              </a:r>
            </a:p>
          </cdr:txBody>
        </cdr:sp>
        <cdr:sp macro="" textlink="">
          <cdr:nvSpPr>
            <cdr:cNvPr id="284706" name="Text Box 34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4001752" y="5184862"/>
              <a:ext cx="558687" cy="2507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25</a:t>
              </a:r>
            </a:p>
          </cdr:txBody>
        </cdr:sp>
        <cdr:sp macro="" textlink="">
          <cdr:nvSpPr>
            <cdr:cNvPr id="284707" name="Text Box 35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4807131" y="5184862"/>
              <a:ext cx="754590" cy="2507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26</a:t>
              </a:r>
            </a:p>
          </cdr:txBody>
        </cdr:sp>
        <cdr:sp macro="" textlink="">
          <cdr:nvSpPr>
            <cdr:cNvPr id="284708" name="Text Box 36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5837436" y="5184862"/>
              <a:ext cx="638499" cy="2507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27</a:t>
              </a:r>
            </a:p>
          </cdr:txBody>
        </cdr:sp>
      </cdr:grpSp>
      <cdr:grpSp>
        <cdr:nvGrpSpPr>
          <cdr:cNvPr id="57" name="Group 4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99062" y="158806"/>
            <a:ext cx="6798561" cy="466665"/>
            <a:chOff x="399062" y="158806"/>
            <a:chExt cx="6798561" cy="466665"/>
          </a:xfrm>
        </cdr:grpSpPr>
      </cdr:grpSp>
      <cdr:grpSp>
        <cdr:nvGrpSpPr>
          <cdr:cNvPr id="754695" name="Group 4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99062" y="158806"/>
            <a:ext cx="6798561" cy="466665"/>
            <a:chOff x="399062" y="158806"/>
            <a:chExt cx="6798561" cy="466665"/>
          </a:xfrm>
        </cdr:grpSpPr>
        <cdr:sp macro="" textlink="'HourGH-FEB'!$F$5">
          <cdr:nvSpPr>
            <cdr:cNvPr id="284673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99062" y="208955"/>
              <a:ext cx="1734105" cy="35522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84C70420-9CD2-41F4-AA9C-493E8B70AE7C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FEB'!$G$5">
          <cdr:nvSpPr>
            <cdr:cNvPr id="284674" name="Text Box 2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2466927" y="208955"/>
              <a:ext cx="1501924" cy="3398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DE32975E-5883-4CE3-BE5B-8A6E64AACC96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FEB'!$G$7">
          <cdr:nvSpPr>
            <cdr:cNvPr id="284675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833558" y="158806"/>
              <a:ext cx="1364065" cy="46527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08998722-B999-4702-BFB6-52003472FB0E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2557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CW$1">
          <cdr:nvSpPr>
            <cdr:cNvPr id="284676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968851" y="158806"/>
              <a:ext cx="1864707" cy="46666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4B8C3CC0-117D-40DC-8811-30141708C591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Feb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</cdr:grp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0.03254</cdr:x>
      <cdr:y>0.0248</cdr:y>
    </cdr:from>
    <cdr:to>
      <cdr:x>0.98366</cdr:x>
      <cdr:y>0.98503</cdr:y>
    </cdr:to>
    <cdr:grpSp>
      <cdr:nvGrpSpPr>
        <cdr:cNvPr id="59" name="Group 9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946567" y="133464"/>
          <a:ext cx="27667463" cy="5167598"/>
          <a:chOff x="891861" y="86058"/>
          <a:chExt cx="27683961" cy="5178067"/>
        </a:xfrm>
      </cdr:grpSpPr>
      <cdr:grpSp>
        <cdr:nvGrpSpPr>
          <cdr:cNvPr id="61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91861" y="4934455"/>
            <a:ext cx="27683961" cy="329670"/>
            <a:chOff x="759845" y="5209099"/>
            <a:chExt cx="27665593" cy="382267"/>
          </a:xfrm>
        </cdr:grpSpPr>
      </cdr:grpSp>
      <cdr:grpSp>
        <cdr:nvGrpSpPr>
          <cdr:cNvPr id="755715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91861" y="4934455"/>
            <a:ext cx="27683961" cy="329670"/>
            <a:chOff x="759845" y="5209099"/>
            <a:chExt cx="27665593" cy="382267"/>
          </a:xfrm>
        </cdr:grpSpPr>
        <cdr:sp macro="" textlink="">
          <cdr:nvSpPr>
            <cdr:cNvPr id="286735" name="Text Box 15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587173" y="5219083"/>
              <a:ext cx="528273" cy="2710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12</a:t>
              </a:r>
            </a:p>
          </cdr:txBody>
        </cdr:sp>
        <cdr:sp macro="" textlink="">
          <cdr:nvSpPr>
            <cdr:cNvPr id="286736" name="Text Box 16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1397675" y="5219083"/>
              <a:ext cx="723661" cy="3095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13</a:t>
              </a:r>
            </a:p>
          </cdr:txBody>
        </cdr:sp>
        <cdr:grpSp>
          <cdr:nvGrpSpPr>
            <cdr:cNvPr id="65" name="Group 17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</cdr:grpSp>
        <cdr:grpSp>
          <cdr:nvGrpSpPr>
            <cdr:cNvPr id="755725" name="Group 17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  <cdr:sp macro="" textlink="">
            <cdr:nvSpPr>
              <cdr:cNvPr id="286738" name="Text Box 1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18779" y="5229068"/>
                <a:ext cx="564456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286739" name="Text Box 1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59845" y="5209099"/>
                <a:ext cx="615113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</a:t>
                </a:r>
              </a:p>
            </cdr:txBody>
          </cdr:sp>
          <cdr:sp macro="" textlink="">
            <cdr:nvSpPr>
              <cdr:cNvPr id="286740" name="Text Box 2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70346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</a:t>
                </a:r>
              </a:p>
            </cdr:txBody>
          </cdr:sp>
          <cdr:sp macro="" textlink="">
            <cdr:nvSpPr>
              <cdr:cNvPr id="286741" name="Text Box 2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547290" y="5209099"/>
                <a:ext cx="499326" cy="35088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</a:t>
                </a:r>
              </a:p>
            </cdr:txBody>
          </cdr:sp>
          <cdr:sp macro="" textlink="">
            <cdr:nvSpPr>
              <cdr:cNvPr id="286742" name="Text Box 2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415684" y="5219083"/>
                <a:ext cx="528273" cy="27956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4</a:t>
                </a:r>
              </a:p>
            </cdr:txBody>
          </cdr:sp>
          <cdr:sp macro="" textlink="">
            <cdr:nvSpPr>
              <cdr:cNvPr id="286743" name="Text Box 2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20126" y="5229068"/>
                <a:ext cx="636822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286744" name="Text Box 2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3681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286745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145236" y="5209099"/>
                <a:ext cx="694715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286746" name="Text Box 2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122179" y="5219083"/>
                <a:ext cx="586167" cy="26958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286747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041230" y="5219083"/>
                <a:ext cx="52827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286748" name="Text Box 2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822785" y="5209099"/>
                <a:ext cx="701952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</cdr:grpSp>
        <cdr:grpSp>
          <cdr:nvGrpSpPr>
            <cdr:cNvPr id="67" name="Group 29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</cdr:grpSp>
        <cdr:grpSp>
          <cdr:nvGrpSpPr>
            <cdr:cNvPr id="755727" name="Group 29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  <cdr:sp macro="" textlink="">
            <cdr:nvSpPr>
              <cdr:cNvPr id="286750" name="Text Box 3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7512617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20</a:t>
                </a:r>
              </a:p>
            </cdr:txBody>
          </cdr:sp>
          <cdr:sp macro="" textlink="">
            <cdr:nvSpPr>
              <cdr:cNvPr id="286751" name="Text Box 3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4885725" y="5231921"/>
                <a:ext cx="50656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17</a:t>
                </a:r>
              </a:p>
            </cdr:txBody>
          </cdr:sp>
          <cdr:sp macro="" textlink="">
            <cdr:nvSpPr>
              <cdr:cNvPr id="286752" name="Text Box 3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696226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18</a:t>
                </a:r>
              </a:p>
            </cdr:txBody>
          </cdr:sp>
          <cdr:sp macro="" textlink="">
            <cdr:nvSpPr>
              <cdr:cNvPr id="286753" name="Text Box 3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6644223" y="5211951"/>
                <a:ext cx="557220" cy="30096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19</a:t>
                </a:r>
              </a:p>
            </cdr:txBody>
          </cdr:sp>
          <cdr:sp macro="" textlink="">
            <cdr:nvSpPr>
              <cdr:cNvPr id="286754" name="Text Box 3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208176" y="5231921"/>
                <a:ext cx="557219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sp macro="" textlink="">
            <cdr:nvSpPr>
              <cdr:cNvPr id="286755" name="Text Box 3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047624" y="5231921"/>
                <a:ext cx="557219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15</a:t>
                </a:r>
              </a:p>
            </cdr:txBody>
          </cdr:sp>
          <cdr:sp macro="" textlink="">
            <cdr:nvSpPr>
              <cdr:cNvPr id="286756" name="Text Box 3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937728" y="5230494"/>
                <a:ext cx="58616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16</a:t>
                </a:r>
              </a:p>
            </cdr:txBody>
          </cdr:sp>
          <cdr:sp macro="" textlink="">
            <cdr:nvSpPr>
              <cdr:cNvPr id="286757" name="Text Box 3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8460614" y="5231921"/>
                <a:ext cx="557220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21</a:t>
                </a:r>
              </a:p>
            </cdr:txBody>
          </cdr:sp>
          <cdr:grpSp>
            <cdr:nvGrpSpPr>
              <cdr:cNvPr id="69" name="Group 38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</cdr:grpSp>
          <cdr:grpSp>
            <cdr:nvGrpSpPr>
              <cdr:cNvPr id="755737" name="Group 38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  <cdr:sp macro="" textlink="">
              <cdr:nvSpPr>
                <cdr:cNvPr id="286759" name="Text Box 3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452031" y="5230494"/>
                  <a:ext cx="62958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sp macro="" textlink="">
              <cdr:nvSpPr>
                <cdr:cNvPr id="286760" name="Text Box 4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0349372" y="5231921"/>
                  <a:ext cx="629586" cy="28099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23</a:t>
                  </a:r>
                </a:p>
              </cdr:txBody>
            </cdr:sp>
            <cdr:sp macro="" textlink="">
              <cdr:nvSpPr>
                <cdr:cNvPr id="286761" name="Text Box 4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1261186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24</a:t>
                  </a:r>
                </a:p>
              </cdr:txBody>
            </cdr:sp>
            <cdr:sp macro="" textlink="">
              <cdr:nvSpPr>
                <cdr:cNvPr id="286762" name="Text Box 4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115107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25</a:t>
                  </a:r>
                </a:p>
              </cdr:txBody>
            </cdr:sp>
            <cdr:sp macro="" textlink="">
              <cdr:nvSpPr>
                <cdr:cNvPr id="286763" name="Text Box 4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983501" y="5230494"/>
                  <a:ext cx="752609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26</a:t>
                  </a:r>
                </a:p>
              </cdr:txBody>
            </cdr:sp>
            <cdr:sp macro="" textlink="">
              <cdr:nvSpPr>
                <cdr:cNvPr id="286764" name="Text Box 4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3786766" y="5210525"/>
                  <a:ext cx="82497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27</a:t>
                  </a:r>
                </a:p>
              </cdr:txBody>
            </cdr:sp>
            <cdr:sp macro="" textlink="">
              <cdr:nvSpPr>
                <cdr:cNvPr id="286765" name="Text Box 4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4691343" y="5230494"/>
                  <a:ext cx="853921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28</a:t>
                  </a:r>
                </a:p>
              </cdr:txBody>
            </cdr:sp>
            <cdr:sp macro="" textlink="">
              <cdr:nvSpPr>
                <cdr:cNvPr id="286766" name="Text Box 4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6551154" y="5231921"/>
                  <a:ext cx="788792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30</a:t>
                  </a:r>
                </a:p>
              </cdr:txBody>
            </cdr:sp>
            <cdr:sp macro="" textlink="">
              <cdr:nvSpPr>
                <cdr:cNvPr id="286767" name="Text Box 4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5595921" y="5229068"/>
                  <a:ext cx="84668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29</a:t>
                  </a:r>
                </a:p>
              </cdr:txBody>
            </cdr:sp>
            <cdr:sp macro="" textlink="">
              <cdr:nvSpPr>
                <cdr:cNvPr id="286768" name="Text Box 4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7448495" y="5229068"/>
                  <a:ext cx="991417" cy="36229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31</a:t>
                  </a:r>
                </a:p>
              </cdr:txBody>
            </cdr:sp>
          </cdr:grpSp>
        </cdr:grpSp>
      </cdr:grpSp>
      <cdr:grpSp>
        <cdr:nvGrpSpPr>
          <cdr:cNvPr id="63" name="Group 9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99112" y="86058"/>
            <a:ext cx="6134267" cy="393221"/>
            <a:chOff x="899112" y="86058"/>
            <a:chExt cx="6134267" cy="393221"/>
          </a:xfrm>
        </cdr:grpSpPr>
      </cdr:grpSp>
      <cdr:grpSp>
        <cdr:nvGrpSpPr>
          <cdr:cNvPr id="755717" name="Group 9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899112" y="86058"/>
            <a:ext cx="6134267" cy="393221"/>
            <a:chOff x="899112" y="86058"/>
            <a:chExt cx="6134267" cy="393221"/>
          </a:xfrm>
        </cdr:grpSpPr>
        <cdr:sp macro="" textlink="'Graph-Hou'!$DA$1">
          <cdr:nvSpPr>
            <cdr:cNvPr id="286721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893737" y="86058"/>
              <a:ext cx="1863483" cy="39057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82A6855C-A36C-4CB3-8FB2-A65B0C4ADEA9}" type="TxLink">
                <a:rPr lang="en-US" sz="1400" b="0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Mar</a:t>
              </a:fld>
              <a:endParaRPr lang="en-US" sz="1400" b="0" i="0" u="none" strike="noStrike" baseline="0">
                <a:solidFill>
                  <a:srgbClr val="0000FF"/>
                </a:solidFill>
                <a:latin typeface="Cordia New"/>
                <a:cs typeface="Cordia New"/>
              </a:endParaRPr>
            </a:p>
          </cdr:txBody>
        </cdr:sp>
        <cdr:sp macro="" textlink="'HourGH-MAR'!$G$5">
          <cdr:nvSpPr>
            <cdr:cNvPr id="286723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928741" y="86058"/>
              <a:ext cx="2414552" cy="39057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18DFCC0B-294F-4868-8888-B6FF425D5F03}" type="TxLink">
                <a:rPr lang="en-US" sz="1400" b="0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FF"/>
                </a:solidFill>
                <a:latin typeface="Cordia New"/>
                <a:cs typeface="Cordia New"/>
              </a:endParaRPr>
            </a:p>
          </cdr:txBody>
        </cdr:sp>
        <cdr:sp macro="" textlink="'HourGH-MAR'!$F$5">
          <cdr:nvSpPr>
            <cdr:cNvPr id="286730" name="Text Box 10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899112" y="86058"/>
              <a:ext cx="1334167" cy="39057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EFA94CD8-24E0-40B7-A7F8-0BDC2FD68D78}" type="TxLink">
                <a:rPr lang="th-TH" sz="1400" b="0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FF"/>
                </a:solidFill>
                <a:latin typeface="Cordia New"/>
                <a:cs typeface="Cordia New"/>
              </a:endParaRPr>
            </a:p>
          </cdr:txBody>
        </cdr:sp>
        <cdr:sp macro="" textlink="'HourGH-MAR'!$G$7">
          <cdr:nvSpPr>
            <cdr:cNvPr id="286732" name="Text Box 12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619452" y="86058"/>
              <a:ext cx="1413927" cy="3932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F0B72C53-5529-4ED0-BCBC-16E8A460D602}" type="TxLink">
                <a:rPr lang="th-TH" sz="1400" b="0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2557</a:t>
              </a:fld>
              <a:endParaRPr lang="th-TH" sz="1400" b="0" i="0" u="none" strike="noStrike" baseline="0">
                <a:solidFill>
                  <a:srgbClr val="0000FF"/>
                </a:solidFill>
                <a:latin typeface="Cordia New"/>
                <a:cs typeface="Cordia New"/>
              </a:endParaRPr>
            </a:p>
          </cdr:txBody>
        </cdr:sp>
      </cdr:grpSp>
    </cdr:grp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0.03853</cdr:y>
    </cdr:from>
    <cdr:to>
      <cdr:x>0.98117</cdr:x>
      <cdr:y>0.98971</cdr:y>
    </cdr:to>
    <cdr:grpSp>
      <cdr:nvGrpSpPr>
        <cdr:cNvPr id="59" name="Group 4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24" y="207721"/>
          <a:ext cx="28095756" cy="5127954"/>
          <a:chOff x="500970" y="175079"/>
          <a:chExt cx="28039785" cy="5126367"/>
        </a:xfrm>
      </cdr:grpSpPr>
      <cdr:grpSp>
        <cdr:nvGrpSpPr>
          <cdr:cNvPr id="61" name="Group 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00970" y="175079"/>
            <a:ext cx="7020837" cy="348832"/>
            <a:chOff x="464668" y="172426"/>
            <a:chExt cx="6991795" cy="352811"/>
          </a:xfrm>
        </cdr:grpSpPr>
      </cdr:grpSp>
      <cdr:grpSp>
        <cdr:nvGrpSpPr>
          <cdr:cNvPr id="756739" name="Group 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500970" y="175079"/>
            <a:ext cx="7020837" cy="348832"/>
            <a:chOff x="464668" y="172426"/>
            <a:chExt cx="6991795" cy="352811"/>
          </a:xfrm>
        </cdr:grpSpPr>
        <cdr:sp macro="" textlink="'HourGH-JUL'!$F$5">
          <cdr:nvSpPr>
            <cdr:cNvPr id="157697" name="Text Box 1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464668" y="181711"/>
              <a:ext cx="1263315" cy="34352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40992CEF-AE6D-4F2A-878C-739EEC5682B4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สถานี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JUL'!$G$5:$H$5">
          <cdr:nvSpPr>
            <cdr:cNvPr id="157698" name="Text Box 2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1836889" y="181711"/>
              <a:ext cx="1815108" cy="33424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12AF4D55-E74E-4786-AE4C-FB48933F666A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P.75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HourGH-JUL'!$G$7:$H$7">
          <cdr:nvSpPr>
            <cdr:cNvPr id="157699" name="Text Box 3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5445323" y="172426"/>
              <a:ext cx="2011140" cy="33026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450AC0F0-172E-4FBA-9488-AA16D3F8E5A0}" type="TxLink">
                <a:rPr lang="th-TH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2556</a:t>
              </a:fld>
              <a:endParaRPr lang="th-TH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  <cdr:sp macro="" textlink="'Graph-Hou'!$BU$1">
          <cdr:nvSpPr>
            <cdr:cNvPr id="157700" name="Text Box 4"/>
            <cdr:cNvSpPr txBox="1">
              <a:spLocks xmlns:a="http://schemas.openxmlformats.org/drawingml/2006/main" noChangeArrowheads="1" noTextEdit="1"/>
            </cdr:cNvSpPr>
          </cdr:nvSpPr>
          <cdr:spPr bwMode="auto">
            <a:xfrm xmlns:a="http://schemas.openxmlformats.org/drawingml/2006/main">
              <a:off x="3651997" y="181711"/>
              <a:ext cx="1902233" cy="2772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50292" rIns="27432" bIns="50292" anchor="ctr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fld id="{8AF9E168-1BCE-443B-9B8A-A5FCE533E05F}" type="TxLink">
                <a:rPr lang="en-US" sz="1400" b="0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pPr algn="ctr" rtl="0">
                  <a:defRPr sz="1000"/>
                </a:pPr>
                <a:t>Jul</a:t>
              </a:fld>
              <a:endParaRPr lang="en-US" sz="1400" b="0" i="0" u="none" strike="noStrike" baseline="0">
                <a:solidFill>
                  <a:srgbClr val="000080"/>
                </a:solidFill>
                <a:latin typeface="Cordia New"/>
                <a:cs typeface="Cordia New"/>
              </a:endParaRPr>
            </a:p>
          </cdr:txBody>
        </cdr:sp>
      </cdr:grpSp>
      <cdr:grpSp>
        <cdr:nvGrpSpPr>
          <cdr:cNvPr id="63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00293" y="4938024"/>
            <a:ext cx="27640462" cy="363422"/>
            <a:chOff x="759845" y="5209099"/>
            <a:chExt cx="27665593" cy="382267"/>
          </a:xfrm>
        </cdr:grpSpPr>
      </cdr:grpSp>
      <cdr:grpSp>
        <cdr:nvGrpSpPr>
          <cdr:cNvPr id="756741" name="Group 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00293" y="4938024"/>
            <a:ext cx="27640462" cy="363422"/>
            <a:chOff x="759845" y="5209099"/>
            <a:chExt cx="27665593" cy="382267"/>
          </a:xfrm>
        </cdr:grpSpPr>
        <cdr:sp macro="" textlink="">
          <cdr:nvSpPr>
            <cdr:cNvPr id="157703" name="Text Box 7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587173" y="5219083"/>
              <a:ext cx="528273" cy="27101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12</a:t>
              </a:r>
            </a:p>
          </cdr:txBody>
        </cdr:sp>
        <cdr:sp macro="" textlink="">
          <cdr:nvSpPr>
            <cdr:cNvPr id="157704" name="Text Box 8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1397675" y="5219083"/>
              <a:ext cx="723661" cy="3095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 vertOverflow="clip" wrap="square" lIns="27432" tIns="32004" rIns="27432" bIns="0" anchor="t" upright="1"/>
            <a:lstStyle xmlns:a="http://schemas.openxmlformats.org/drawingml/2006/main"/>
            <a:p xmlns:a="http://schemas.openxmlformats.org/drawingml/2006/main">
              <a:pPr algn="ctr" rtl="0">
                <a:defRPr sz="1000"/>
              </a:pPr>
              <a:r>
                <a:rPr lang="th-TH" sz="1000" b="1" i="0" u="none" strike="noStrike" baseline="0">
                  <a:solidFill>
                    <a:srgbClr val="000000"/>
                  </a:solidFill>
                  <a:latin typeface="CordiaUPC"/>
                  <a:cs typeface="CordiaUPC"/>
                </a:rPr>
                <a:t>13</a:t>
              </a:r>
            </a:p>
          </cdr:txBody>
        </cdr:sp>
        <cdr:grpSp>
          <cdr:nvGrpSpPr>
            <cdr:cNvPr id="65" name="Group 9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</cdr:grpSp>
        <cdr:grpSp>
          <cdr:nvGrpSpPr>
            <cdr:cNvPr id="756745" name="Group 9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59845" y="5209099"/>
              <a:ext cx="9523390" cy="363724"/>
              <a:chOff x="759845" y="5209099"/>
              <a:chExt cx="9523390" cy="363724"/>
            </a:xfrm>
          </cdr:grpSpPr>
          <cdr:sp macro="" textlink="">
            <cdr:nvSpPr>
              <cdr:cNvPr id="157706" name="Text Box 1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9718779" y="5229068"/>
                <a:ext cx="564456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11</a:t>
                </a:r>
              </a:p>
            </cdr:txBody>
          </cdr:sp>
          <cdr:sp macro="" textlink="">
            <cdr:nvSpPr>
              <cdr:cNvPr id="157707" name="Text Box 1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59845" y="5209099"/>
                <a:ext cx="615113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</a:t>
                </a:r>
              </a:p>
            </cdr:txBody>
          </cdr:sp>
          <cdr:sp macro="" textlink="">
            <cdr:nvSpPr>
              <cdr:cNvPr id="157708" name="Text Box 1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70346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</a:t>
                </a:r>
              </a:p>
            </cdr:txBody>
          </cdr:sp>
          <cdr:sp macro="" textlink="">
            <cdr:nvSpPr>
              <cdr:cNvPr id="157709" name="Text Box 1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547290" y="5209099"/>
                <a:ext cx="499326" cy="35088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3</a:t>
                </a:r>
              </a:p>
            </cdr:txBody>
          </cdr:sp>
          <cdr:sp macro="" textlink="">
            <cdr:nvSpPr>
              <cdr:cNvPr id="157710" name="Text Box 1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415684" y="5219083"/>
                <a:ext cx="528273" cy="27956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4</a:t>
                </a:r>
              </a:p>
            </cdr:txBody>
          </cdr:sp>
          <cdr:sp macro="" textlink="">
            <cdr:nvSpPr>
              <cdr:cNvPr id="157711" name="Text Box 1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8720126" y="5229068"/>
                <a:ext cx="636822" cy="3437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10</a:t>
                </a:r>
              </a:p>
            </cdr:txBody>
          </cdr:sp>
          <cdr:sp macro="" textlink="">
            <cdr:nvSpPr>
              <cdr:cNvPr id="157712" name="Text Box 1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4363681" y="5209099"/>
                <a:ext cx="61511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5</a:t>
                </a:r>
              </a:p>
            </cdr:txBody>
          </cdr:sp>
          <cdr:sp macro="" textlink="">
            <cdr:nvSpPr>
              <cdr:cNvPr id="157713" name="Text Box 1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5145236" y="5209099"/>
                <a:ext cx="694715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6</a:t>
                </a:r>
              </a:p>
            </cdr:txBody>
          </cdr:sp>
          <cdr:sp macro="" textlink="">
            <cdr:nvSpPr>
              <cdr:cNvPr id="157714" name="Text Box 1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6122179" y="5219083"/>
                <a:ext cx="586167" cy="26958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7</a:t>
                </a:r>
              </a:p>
            </cdr:txBody>
          </cdr:sp>
          <cdr:sp macro="" textlink="">
            <cdr:nvSpPr>
              <cdr:cNvPr id="157715" name="Text Box 1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041230" y="5219083"/>
                <a:ext cx="528273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8</a:t>
                </a:r>
              </a:p>
            </cdr:txBody>
          </cdr:sp>
          <cdr:sp macro="" textlink="">
            <cdr:nvSpPr>
              <cdr:cNvPr id="157716" name="Text Box 2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7822785" y="5209099"/>
                <a:ext cx="701952" cy="27956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9</a:t>
                </a:r>
              </a:p>
            </cdr:txBody>
          </cdr:sp>
        </cdr:grpSp>
        <cdr:grpSp>
          <cdr:nvGrpSpPr>
            <cdr:cNvPr id="67" name="Group 2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</cdr:grpSp>
        <cdr:grpSp>
          <cdr:nvGrpSpPr>
            <cdr:cNvPr id="756747" name="Group 21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208176" y="5210525"/>
              <a:ext cx="16217262" cy="380841"/>
              <a:chOff x="12208176" y="5210525"/>
              <a:chExt cx="16217262" cy="380841"/>
            </a:xfrm>
          </cdr:grpSpPr>
          <cdr:sp macro="" textlink="">
            <cdr:nvSpPr>
              <cdr:cNvPr id="157718" name="Text Box 2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7512617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20</a:t>
                </a:r>
              </a:p>
            </cdr:txBody>
          </cdr:sp>
          <cdr:sp macro="" textlink="">
            <cdr:nvSpPr>
              <cdr:cNvPr id="157719" name="Text Box 2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4885725" y="5231921"/>
                <a:ext cx="50656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17</a:t>
                </a:r>
              </a:p>
            </cdr:txBody>
          </cdr:sp>
          <cdr:sp macro="" textlink="">
            <cdr:nvSpPr>
              <cdr:cNvPr id="157720" name="Text Box 2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5696226" y="5231921"/>
                <a:ext cx="615113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18</a:t>
                </a:r>
              </a:p>
            </cdr:txBody>
          </cdr:sp>
          <cdr:sp macro="" textlink="">
            <cdr:nvSpPr>
              <cdr:cNvPr id="157721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6644223" y="5211951"/>
                <a:ext cx="557220" cy="30096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19</a:t>
                </a:r>
              </a:p>
            </cdr:txBody>
          </cdr:sp>
          <cdr:sp macro="" textlink="">
            <cdr:nvSpPr>
              <cdr:cNvPr id="157722" name="Text Box 2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2208176" y="5231921"/>
                <a:ext cx="557219" cy="2809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14</a:t>
                </a:r>
              </a:p>
            </cdr:txBody>
          </cdr:sp>
          <cdr:sp macro="" textlink="">
            <cdr:nvSpPr>
              <cdr:cNvPr id="157723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047624" y="5231921"/>
                <a:ext cx="557219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15</a:t>
                </a:r>
              </a:p>
            </cdr:txBody>
          </cdr:sp>
          <cdr:sp macro="" textlink="">
            <cdr:nvSpPr>
              <cdr:cNvPr id="157724" name="Text Box 2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937728" y="5230494"/>
                <a:ext cx="586166" cy="30239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16</a:t>
                </a:r>
              </a:p>
            </cdr:txBody>
          </cdr:sp>
          <cdr:sp macro="" textlink="">
            <cdr:nvSpPr>
              <cdr:cNvPr id="157725" name="Text Box 2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8460614" y="5231921"/>
                <a:ext cx="557220" cy="3009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32004" rIns="27432" bIns="0" anchor="t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1000" b="1" i="0" u="none" strike="noStrike" baseline="0">
                    <a:solidFill>
                      <a:srgbClr val="000000"/>
                    </a:solidFill>
                    <a:latin typeface="CordiaUPC"/>
                    <a:cs typeface="CordiaUPC"/>
                  </a:rPr>
                  <a:t>21</a:t>
                </a:r>
              </a:p>
            </cdr:txBody>
          </cdr:sp>
          <cdr:grpSp>
            <cdr:nvGrpSpPr>
              <cdr:cNvPr id="69" name="Group 30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</cdr:grpSp>
          <cdr:grpSp>
            <cdr:nvGrpSpPr>
              <cdr:cNvPr id="756757" name="Group 30"/>
              <cdr:cNvGrpSpPr>
                <a:grpSpLocks xmlns:a="http://schemas.openxmlformats.org/drawingml/2006/main"/>
              </cdr:cNvGrpSpPr>
            </cdr:nvGrpSpPr>
            <cdr:grpSpPr bwMode="auto">
              <a:xfrm xmlns:a="http://schemas.openxmlformats.org/drawingml/2006/main">
                <a:off x="19466504" y="5210525"/>
                <a:ext cx="8958934" cy="380841"/>
                <a:chOff x="19452031" y="5210525"/>
                <a:chExt cx="8987881" cy="380841"/>
              </a:xfrm>
            </cdr:grpSpPr>
            <cdr:sp macro="" textlink="">
              <cdr:nvSpPr>
                <cdr:cNvPr id="157727" name="Text Box 31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19452031" y="5230494"/>
                  <a:ext cx="62958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22</a:t>
                  </a:r>
                </a:p>
              </cdr:txBody>
            </cdr:sp>
            <cdr:sp macro="" textlink="">
              <cdr:nvSpPr>
                <cdr:cNvPr id="157728" name="Text Box 32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0349372" y="5231921"/>
                  <a:ext cx="629586" cy="280994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23</a:t>
                  </a:r>
                </a:p>
              </cdr:txBody>
            </cdr:sp>
            <cdr:sp macro="" textlink="">
              <cdr:nvSpPr>
                <cdr:cNvPr id="157729" name="Text Box 33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1261186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24</a:t>
                  </a:r>
                </a:p>
              </cdr:txBody>
            </cdr:sp>
            <cdr:sp macro="" textlink="">
              <cdr:nvSpPr>
                <cdr:cNvPr id="157730" name="Text Box 34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115107" y="5230494"/>
                  <a:ext cx="542746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25</a:t>
                  </a:r>
                </a:p>
              </cdr:txBody>
            </cdr:sp>
            <cdr:sp macro="" textlink="">
              <cdr:nvSpPr>
                <cdr:cNvPr id="157731" name="Text Box 35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2983501" y="5230494"/>
                  <a:ext cx="752609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26</a:t>
                  </a:r>
                </a:p>
              </cdr:txBody>
            </cdr:sp>
            <cdr:sp macro="" textlink="">
              <cdr:nvSpPr>
                <cdr:cNvPr id="157732" name="Text Box 36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3786766" y="5210525"/>
                  <a:ext cx="82497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27</a:t>
                  </a:r>
                </a:p>
              </cdr:txBody>
            </cdr:sp>
            <cdr:sp macro="" textlink="">
              <cdr:nvSpPr>
                <cdr:cNvPr id="157733" name="Text Box 37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4691343" y="5230494"/>
                  <a:ext cx="853921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28</a:t>
                  </a:r>
                </a:p>
              </cdr:txBody>
            </cdr:sp>
            <cdr:sp macro="" textlink="">
              <cdr:nvSpPr>
                <cdr:cNvPr id="157734" name="Text Box 38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6551154" y="5231921"/>
                  <a:ext cx="788792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30</a:t>
                  </a:r>
                </a:p>
              </cdr:txBody>
            </cdr:sp>
            <cdr:sp macro="" textlink="">
              <cdr:nvSpPr>
                <cdr:cNvPr id="157735" name="Text Box 3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5595921" y="5229068"/>
                  <a:ext cx="846684" cy="302390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29</a:t>
                  </a:r>
                </a:p>
              </cdr:txBody>
            </cdr:sp>
            <cdr:sp macro="" textlink="">
              <cdr:nvSpPr>
                <cdr:cNvPr id="157736" name="Text Box 40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27448495" y="5229068"/>
                  <a:ext cx="991417" cy="362298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>
                  <a:noFill/>
                </a:ln>
                <a:effectLst xmlns:a="http://schemas.openxmlformats.org/drawingml/2006/main"/>
                <a:extLst xmlns:a="http://schemas.openxmlformats.org/drawingml/2006/main"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algn="ctr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cdr:spPr>
              <cdr:txBody>
                <a:bodyPr xmlns:a="http://schemas.openxmlformats.org/drawingml/2006/main" vertOverflow="clip" wrap="square" lIns="27432" tIns="32004" rIns="27432" bIns="0" anchor="t" upright="1"/>
                <a:lstStyle xmlns:a="http://schemas.openxmlformats.org/drawingml/2006/main"/>
                <a:p xmlns:a="http://schemas.openxmlformats.org/drawingml/2006/main">
                  <a:pPr algn="ctr" rtl="0">
                    <a:defRPr sz="1000"/>
                  </a:pPr>
                  <a:r>
                    <a:rPr lang="th-TH" sz="1000" b="1" i="0" u="none" strike="noStrike" baseline="0">
                      <a:solidFill>
                        <a:srgbClr val="000000"/>
                      </a:solidFill>
                      <a:latin typeface="CordiaUPC"/>
                      <a:cs typeface="CordiaUPC"/>
                    </a:rPr>
                    <a:t>31</a:t>
                  </a:r>
                </a:p>
              </cdr:txBody>
            </cdr:sp>
          </cdr:grpSp>
        </cdr:grpSp>
      </cdr:grp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46</xdr:row>
      <xdr:rowOff>66675</xdr:rowOff>
    </xdr:from>
    <xdr:to>
      <xdr:col>16</xdr:col>
      <xdr:colOff>3714750</xdr:colOff>
      <xdr:row>83</xdr:row>
      <xdr:rowOff>123825</xdr:rowOff>
    </xdr:to>
    <xdr:graphicFrame macro="">
      <xdr:nvGraphicFramePr>
        <xdr:cNvPr id="1857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86</xdr:row>
      <xdr:rowOff>123825</xdr:rowOff>
    </xdr:from>
    <xdr:to>
      <xdr:col>16</xdr:col>
      <xdr:colOff>3724275</xdr:colOff>
      <xdr:row>120</xdr:row>
      <xdr:rowOff>47625</xdr:rowOff>
    </xdr:to>
    <xdr:graphicFrame macro="">
      <xdr:nvGraphicFramePr>
        <xdr:cNvPr id="1857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123</xdr:row>
      <xdr:rowOff>47625</xdr:rowOff>
    </xdr:from>
    <xdr:to>
      <xdr:col>16</xdr:col>
      <xdr:colOff>3733800</xdr:colOff>
      <xdr:row>171</xdr:row>
      <xdr:rowOff>38100</xdr:rowOff>
    </xdr:to>
    <xdr:graphicFrame macro="">
      <xdr:nvGraphicFramePr>
        <xdr:cNvPr id="18575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176</xdr:row>
      <xdr:rowOff>133350</xdr:rowOff>
    </xdr:from>
    <xdr:to>
      <xdr:col>16</xdr:col>
      <xdr:colOff>3667125</xdr:colOff>
      <xdr:row>224</xdr:row>
      <xdr:rowOff>133350</xdr:rowOff>
    </xdr:to>
    <xdr:graphicFrame macro="">
      <xdr:nvGraphicFramePr>
        <xdr:cNvPr id="1857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2</xdr:row>
      <xdr:rowOff>28575</xdr:rowOff>
    </xdr:from>
    <xdr:to>
      <xdr:col>16</xdr:col>
      <xdr:colOff>3714750</xdr:colOff>
      <xdr:row>43</xdr:row>
      <xdr:rowOff>95250</xdr:rowOff>
    </xdr:to>
    <xdr:graphicFrame macro="">
      <xdr:nvGraphicFramePr>
        <xdr:cNvPr id="1857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0.71273</cdr:x>
      <cdr:y>0.01081</cdr:y>
    </cdr:from>
    <cdr:to>
      <cdr:x>0.90709</cdr:x>
      <cdr:y>0.14295</cdr:y>
    </cdr:to>
    <cdr:sp macro="" textlink="Discharge!$C$1">
      <cdr:nvSpPr>
        <cdr:cNvPr id="120833" name="Text Box 102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582127" y="68688"/>
          <a:ext cx="2612191" cy="800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D7111700-29F2-4438-A22C-8AAB0F076C4F}" type="TxLink">
            <a:rPr lang="en-US" sz="700" b="0" i="0" u="none" strike="noStrike" baseline="0">
              <a:solidFill>
                <a:srgbClr val="800080"/>
              </a:solidFill>
              <a:latin typeface="Arial"/>
              <a:cs typeface="Arial"/>
            </a:rPr>
            <a:pPr algn="ctr" rtl="0">
              <a:defRPr sz="1000"/>
            </a:pPr>
            <a:t>Ban Cho Lae,  Mae Taeng, Chiang Mai,P.75</a:t>
          </a:fld>
          <a:endParaRPr lang="en-US" sz="700" b="0" i="0" u="none" strike="noStrike" baseline="0">
            <a:solidFill>
              <a:srgbClr val="8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0.44936</cdr:x>
      <cdr:y>0.91832</cdr:y>
    </cdr:from>
    <cdr:to>
      <cdr:x>0.66135</cdr:x>
      <cdr:y>0.97319</cdr:y>
    </cdr:to>
    <cdr:sp macro="" textlink="Discharge!$H$4">
      <cdr:nvSpPr>
        <cdr:cNvPr id="120834" name="Text Box 102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042492" y="5566251"/>
          <a:ext cx="2849056" cy="332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C5D3EE50-1C81-4FC8-96A5-BD5419BD133D}" type="TxLink">
            <a:rPr lang="en-US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pPr algn="ctr" rtl="0">
              <a:defRPr sz="1000"/>
            </a:pPr>
            <a:t>Water  Year   2013</a:t>
          </a:fld>
          <a:endParaRPr lang="en-US" sz="1000" b="1" i="0" u="none" strike="noStrike" baseline="0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0.66755</cdr:x>
      <cdr:y>0.00876</cdr:y>
    </cdr:from>
    <cdr:to>
      <cdr:x>0.93515</cdr:x>
      <cdr:y>0.16817</cdr:y>
    </cdr:to>
    <cdr:sp macro="" textlink="Discharge!$C$1">
      <cdr:nvSpPr>
        <cdr:cNvPr id="12185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981321" y="50800"/>
          <a:ext cx="3598916" cy="866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28654FF-5DC1-4963-9573-0C5F6708F135}" type="TxLink">
            <a:rPr lang="en-US" sz="700" b="0" i="0" u="none" strike="noStrike" baseline="0">
              <a:solidFill>
                <a:srgbClr val="800080"/>
              </a:solidFill>
              <a:latin typeface="Arial"/>
              <a:cs typeface="Arial"/>
            </a:rPr>
            <a:pPr algn="ctr" rtl="0">
              <a:defRPr sz="1000"/>
            </a:pPr>
            <a:t>Ban Cho Lae,  Mae Taeng, Chiang Mai,P.75</a:t>
          </a:fld>
          <a:endParaRPr lang="en-US" sz="700" b="0" i="0" u="none" strike="noStrike" baseline="0">
            <a:solidFill>
              <a:srgbClr val="8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0.43769</cdr:x>
      <cdr:y>0.91043</cdr:y>
    </cdr:from>
    <cdr:to>
      <cdr:x>0.63479</cdr:x>
      <cdr:y>0.98633</cdr:y>
    </cdr:to>
    <cdr:sp macro="" textlink="Discharge!$H$4">
      <cdr:nvSpPr>
        <cdr:cNvPr id="12185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89858" y="4954820"/>
          <a:ext cx="2650779" cy="412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906B508-6ABE-4D9A-A24A-293F0A414EF1}" type="TxLink">
            <a:rPr lang="en-US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pPr algn="ctr" rtl="0">
              <a:defRPr sz="1000"/>
            </a:pPr>
            <a:t>Water  Year   2013</a:t>
          </a:fld>
          <a:endParaRPr lang="en-US" sz="1000" b="1" i="0" u="none" strike="noStrike" baseline="0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0.37614</cdr:x>
      <cdr:y>0.06366</cdr:y>
    </cdr:from>
    <cdr:to>
      <cdr:x>0.55114</cdr:x>
      <cdr:y>0.11972</cdr:y>
    </cdr:to>
    <cdr:sp macro="" textlink="Discharge!$H$4">
      <cdr:nvSpPr>
        <cdr:cNvPr id="73761" name="Text Box 3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943495" y="497994"/>
          <a:ext cx="2365079" cy="43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5C42834F-2EB0-4770-A7EE-BF0D20CDF0C7}" type="TxLink">
            <a:rPr lang="en-US" sz="900" b="1" i="0" u="none" strike="noStrike" baseline="0">
              <a:solidFill>
                <a:srgbClr val="000080"/>
              </a:solidFill>
              <a:latin typeface="Arial"/>
              <a:cs typeface="Arial"/>
            </a:rPr>
            <a:pPr algn="ctr" rtl="0">
              <a:defRPr sz="1000"/>
            </a:pPr>
            <a:t>Water  Year   2013</a:t>
          </a:fld>
          <a:endParaRPr lang="en-US" sz="900" b="1" i="0" u="none" strike="noStrike" baseline="0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0.01821</cdr:x>
      <cdr:y>0.0086</cdr:y>
    </cdr:from>
    <cdr:to>
      <cdr:x>0.94183</cdr:x>
      <cdr:y>0.15256</cdr:y>
    </cdr:to>
    <cdr:grpSp>
      <cdr:nvGrpSpPr>
        <cdr:cNvPr id="34" name="Group 1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3177" y="66761"/>
          <a:ext cx="12334068" cy="1117543"/>
          <a:chOff x="577172" y="19193"/>
          <a:chExt cx="11961395" cy="1117025"/>
        </a:xfrm>
      </cdr:grpSpPr>
      <cdr:sp macro="" textlink="Discharge!$C$1">
        <cdr:nvSpPr>
          <cdr:cNvPr id="73733" name="Text Box 5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577172" y="86368"/>
            <a:ext cx="3366838" cy="82145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27432" tIns="22860" rIns="27432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7FD4ADFB-68D9-492C-95DA-3EF98B03D306}" type="TxLink">
              <a:rPr lang="en-US" sz="700" b="0" i="0" u="none" strike="noStrike" baseline="0">
                <a:solidFill>
                  <a:srgbClr val="800080"/>
                </a:solidFill>
                <a:latin typeface="Arial"/>
                <a:cs typeface="Arial"/>
              </a:rPr>
              <a:pPr algn="ctr" rtl="0">
                <a:defRPr sz="1000"/>
              </a:pPr>
              <a:t>Ban Cho Lae,  Mae Taeng, Chiang Mai,P.75</a:t>
            </a:fld>
            <a:endParaRPr lang="en-US" sz="700" b="0" i="0" u="none" strike="noStrike" baseline="0">
              <a:solidFill>
                <a:srgbClr val="800080"/>
              </a:solidFill>
              <a:latin typeface="Arial"/>
              <a:cs typeface="Arial"/>
            </a:endParaRPr>
          </a:p>
        </cdr:txBody>
      </cdr:sp>
      <cdr:grpSp>
        <cdr:nvGrpSpPr>
          <cdr:cNvPr id="36" name="Group 15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097195" y="19193"/>
            <a:ext cx="2441372" cy="1117025"/>
            <a:chOff x="7821678" y="0"/>
            <a:chExt cx="2441371" cy="1117025"/>
          </a:xfrm>
        </cdr:grpSpPr>
      </cdr:grpSp>
      <cdr:grpSp>
        <cdr:nvGrpSpPr>
          <cdr:cNvPr id="759813" name="Group 15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097195" y="19193"/>
            <a:ext cx="2441372" cy="1117025"/>
            <a:chOff x="7821678" y="0"/>
            <a:chExt cx="2441371" cy="1117025"/>
          </a:xfrm>
        </cdr:grpSpPr>
        <cdr:sp macro="" textlink="">
          <cdr:nvSpPr>
            <cdr:cNvPr id="73857" name="Rectangle 129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821678" y="19193"/>
              <a:ext cx="2441371" cy="109783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xmlns:a="http://schemas.openxmlformats.org/drawingml/2006/main"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 xmlns:a="http://schemas.openxmlformats.org/drawingml/2006/main"/>
            <a:extLst xmlns:a="http://schemas.openxmlformats.org/drawingml/2006/main"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th-TH"/>
            </a:p>
          </cdr:txBody>
        </cdr:sp>
        <cdr:grpSp>
          <cdr:nvGrpSpPr>
            <cdr:cNvPr id="38" name="Group 13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904605" y="0"/>
              <a:ext cx="2351810" cy="1093994"/>
              <a:chOff x="10057390" y="19193"/>
              <a:chExt cx="2355128" cy="1093994"/>
            </a:xfrm>
          </cdr:grpSpPr>
        </cdr:grpSp>
        <cdr:grpSp>
          <cdr:nvGrpSpPr>
            <cdr:cNvPr id="759816" name="Group 13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7904605" y="0"/>
              <a:ext cx="2351810" cy="1093994"/>
              <a:chOff x="10057390" y="19193"/>
              <a:chExt cx="2355128" cy="1093994"/>
            </a:xfrm>
          </cdr:grpSpPr>
          <cdr:sp macro="" textlink="">
            <cdr:nvSpPr>
              <cdr:cNvPr id="73859" name="Text Box 131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060707" y="932774"/>
                <a:ext cx="879027" cy="14202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2286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Annual  Runoff</a:t>
                </a:r>
              </a:p>
            </cdr:txBody>
          </cdr:sp>
          <cdr:sp macro="" textlink="Discharge!$O$46">
            <cdr:nvSpPr>
              <cdr:cNvPr id="73860" name="Text Box 132"/>
              <cdr:cNvSpPr txBox="1">
                <a:spLocks xmlns:a="http://schemas.openxmlformats.org/drawingml/2006/main" noChangeArrowheads="1" noTextEdit="1"/>
              </cdr:cNvSpPr>
            </cdr:nvSpPr>
            <cdr:spPr bwMode="auto">
              <a:xfrm xmlns:a="http://schemas.openxmlformats.org/drawingml/2006/main">
                <a:off x="11450564" y="190009"/>
                <a:ext cx="434538" cy="1784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00" mc:Ignorable="a14" a14:legacySpreadsheetColorIndex="64"/>
                    </a:solidFill>
                  </a14:hiddenFill>
                </a:ext>
                <a:ext uri="{91240B29-F687-4F45-9708-019B960494DF}">
                  <a14:hiddenLine xmlns:a14="http://schemas.microsoft.com/office/drawing/2010/main" w="1">
                    <a:solidFill>
                      <a:srgbClr xmlns:mc="http://schemas.openxmlformats.org/markup-compatibility/2006" val="FFFFFF" mc:Ignorable="a14" a14:legacySpreadsheetColorIndex="65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18288" bIns="18288" anchor="ctr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6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1.25</a:t>
                </a:r>
              </a:p>
            </cdr:txBody>
          </cdr:sp>
          <cdr:sp macro="" textlink="">
            <cdr:nvSpPr>
              <cdr:cNvPr id="73861" name="Text Box 133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057390" y="333956"/>
                <a:ext cx="1151028" cy="2015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2286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Maximum Water Level</a:t>
                </a:r>
              </a:p>
            </cdr:txBody>
          </cdr:sp>
          <cdr:sp macro="" textlink="'Graph-GH'!$BB$154">
            <cdr:nvSpPr>
              <cdr:cNvPr id="73862" name="Text Box 134"/>
              <cdr:cNvSpPr txBox="1">
                <a:spLocks xmlns:a="http://schemas.openxmlformats.org/drawingml/2006/main" noChangeArrowheads="1" noTextEdit="1"/>
              </cdr:cNvSpPr>
            </cdr:nvSpPr>
            <cdr:spPr bwMode="auto">
              <a:xfrm xmlns:a="http://schemas.openxmlformats.org/drawingml/2006/main">
                <a:off x="11450564" y="389615"/>
                <a:ext cx="384782" cy="13243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00" mc:Ignorable="a14" a14:legacySpreadsheetColorIndex="64"/>
                    </a:solidFill>
                  </a14:hiddenFill>
                </a:ext>
                <a:ext uri="{91240B29-F687-4F45-9708-019B960494DF}">
                  <a14:hiddenLine xmlns:a14="http://schemas.microsoft.com/office/drawing/2010/main" w="1">
                    <a:solidFill>
                      <a:srgbClr xmlns:mc="http://schemas.openxmlformats.org/markup-compatibility/2006" val="FFFFFF" mc:Ignorable="a14" a14:legacySpreadsheetColorIndex="65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18288" bIns="18288" anchor="ctr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fld id="{208E03AE-A45B-4817-8D0F-4EB75E09D1B9}" type="TxLink">
                  <a:rPr lang="th-TH" sz="600" b="0" i="0" u="none" strike="noStrike" baseline="0">
                    <a:solidFill>
                      <a:srgbClr val="000000"/>
                    </a:solidFill>
                    <a:latin typeface="Arial"/>
                  </a:rPr>
                  <a:pPr algn="ctr" rtl="0">
                    <a:defRPr sz="1000"/>
                  </a:pPr>
                  <a:t>340.23</a:t>
                </a:fld>
                <a:endParaRPr lang="th-TH" sz="600" b="0" i="0" u="none" strike="noStrike" baseline="0">
                  <a:solidFill>
                    <a:srgbClr val="000000"/>
                  </a:solidFill>
                  <a:latin typeface="Arial"/>
                </a:endParaRPr>
              </a:p>
            </cdr:txBody>
          </cdr:sp>
          <cdr:sp macro="" textlink="">
            <cdr:nvSpPr>
              <cdr:cNvPr id="73863" name="Text Box 13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057390" y="543158"/>
                <a:ext cx="1015027" cy="17849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2286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Maximum Discharge</a:t>
                </a:r>
              </a:p>
            </cdr:txBody>
          </cdr:sp>
          <cdr:sp macro="" textlink="Discharge!$O$45">
            <cdr:nvSpPr>
              <cdr:cNvPr id="73864" name="Text Box 136"/>
              <cdr:cNvSpPr txBox="1">
                <a:spLocks xmlns:a="http://schemas.openxmlformats.org/drawingml/2006/main" noChangeArrowheads="1" noTextEdit="1"/>
              </cdr:cNvSpPr>
            </cdr:nvSpPr>
            <cdr:spPr bwMode="auto">
              <a:xfrm xmlns:a="http://schemas.openxmlformats.org/drawingml/2006/main">
                <a:off x="11374272" y="571948"/>
                <a:ext cx="530733" cy="209202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00" mc:Ignorable="a14" a14:legacySpreadsheetColorIndex="64"/>
                    </a:solidFill>
                  </a14:hiddenFill>
                </a:ext>
                <a:ext uri="{91240B29-F687-4F45-9708-019B960494DF}">
                  <a14:hiddenLine xmlns:a14="http://schemas.microsoft.com/office/drawing/2010/main" w="1">
                    <a:solidFill>
                      <a:srgbClr xmlns:mc="http://schemas.openxmlformats.org/markup-compatibility/2006" val="FFFFFF" mc:Ignorable="a14" a14:legacySpreadsheetColorIndex="65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18288" bIns="18288" anchor="ctr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6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131.00</a:t>
                </a:r>
              </a:p>
            </cdr:txBody>
          </cdr:sp>
          <cdr:sp macro="" textlink="'c-form'!$E$15">
            <cdr:nvSpPr>
              <cdr:cNvPr id="73865" name="Text Box 137"/>
              <cdr:cNvSpPr txBox="1">
                <a:spLocks xmlns:a="http://schemas.openxmlformats.org/drawingml/2006/main" noChangeArrowheads="1" noTextEdit="1"/>
              </cdr:cNvSpPr>
            </cdr:nvSpPr>
            <cdr:spPr bwMode="auto">
              <a:xfrm xmlns:a="http://schemas.openxmlformats.org/drawingml/2006/main">
                <a:off x="12117298" y="67175"/>
                <a:ext cx="295220" cy="13818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00" mc:Ignorable="a14" a14:legacySpreadsheetColorIndex="64"/>
                    </a:solidFill>
                  </a14:hiddenFill>
                </a:ext>
                <a:ext uri="{91240B29-F687-4F45-9708-019B960494DF}">
                  <a14:hiddenLine xmlns:a14="http://schemas.microsoft.com/office/drawing/2010/main" w="1">
                    <a:solidFill>
                      <a:srgbClr xmlns:mc="http://schemas.openxmlformats.org/markup-compatibility/2006" val="FFFFFF" mc:Ignorable="a14" a14:legacySpreadsheetColorIndex="65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18288" bIns="18288" anchor="ctr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fld id="{DE1259AF-DEA5-481D-8CB8-1B28E33944FB}" type="TxLink">
                  <a:rPr lang="en-U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pPr algn="ctr" rtl="0">
                    <a:defRPr sz="1000"/>
                  </a:pPr>
                  <a:t>MSL.</a:t>
                </a:fld>
                <a:endParaRPr lang="en-US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">
            <cdr:nvSpPr>
              <cdr:cNvPr id="73866" name="Text Box 138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905005" y="86368"/>
                <a:ext cx="162537" cy="138189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M.</a:t>
                </a:r>
              </a:p>
            </cdr:txBody>
          </cdr:sp>
          <cdr:sp macro="" textlink="">
            <cdr:nvSpPr>
              <cdr:cNvPr id="73867" name="Text Box 13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905005" y="209202"/>
                <a:ext cx="457757" cy="17273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CMS</a:t>
                </a:r>
              </a:p>
            </cdr:txBody>
          </cdr:sp>
          <cdr:sp macro="" textlink="">
            <cdr:nvSpPr>
              <cdr:cNvPr id="73868" name="Text Box 140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905005" y="381938"/>
                <a:ext cx="136000" cy="157382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M.</a:t>
                </a:r>
              </a:p>
            </cdr:txBody>
          </cdr:sp>
          <cdr:sp macro="" textlink="'c-form'!$E$15">
            <cdr:nvSpPr>
              <cdr:cNvPr id="73869" name="Text Box 141"/>
              <cdr:cNvSpPr txBox="1">
                <a:spLocks xmlns:a="http://schemas.openxmlformats.org/drawingml/2006/main" noChangeArrowheads="1" noTextEdit="1"/>
              </cdr:cNvSpPr>
            </cdr:nvSpPr>
            <cdr:spPr bwMode="auto">
              <a:xfrm xmlns:a="http://schemas.openxmlformats.org/drawingml/2006/main">
                <a:off x="12041005" y="362745"/>
                <a:ext cx="321757" cy="17081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00" mc:Ignorable="a14" a14:legacySpreadsheetColorIndex="64"/>
                    </a:solidFill>
                  </a14:hiddenFill>
                </a:ext>
                <a:ext uri="{91240B29-F687-4F45-9708-019B960494DF}">
                  <a14:hiddenLine xmlns:a14="http://schemas.microsoft.com/office/drawing/2010/main" w="1">
                    <a:solidFill>
                      <a:srgbClr xmlns:mc="http://schemas.openxmlformats.org/markup-compatibility/2006" val="FFFFFF" mc:Ignorable="a14" a14:legacySpreadsheetColorIndex="65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18288" bIns="18288" anchor="ctr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fld id="{1346B1FA-FA41-402B-92E3-A3090CB98AFA}" type="TxLink">
                  <a:rPr lang="en-U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pPr algn="ctr" rtl="0">
                    <a:defRPr sz="1000"/>
                  </a:pPr>
                  <a:t>MSL.</a:t>
                </a:fld>
                <a:endParaRPr lang="en-US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">
            <cdr:nvSpPr>
              <cdr:cNvPr id="73870" name="Text Box 14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057390" y="713975"/>
                <a:ext cx="1015027" cy="21304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2286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Annual  Mean</a:t>
                </a:r>
              </a:p>
            </cdr:txBody>
          </cdr:sp>
          <cdr:sp macro="" textlink="Discharge!$O$44">
            <cdr:nvSpPr>
              <cdr:cNvPr id="73871" name="Text Box 143"/>
              <cdr:cNvSpPr txBox="1">
                <a:spLocks xmlns:a="http://schemas.openxmlformats.org/drawingml/2006/main" noChangeArrowheads="1" noTextEdit="1"/>
              </cdr:cNvSpPr>
            </cdr:nvSpPr>
            <cdr:spPr bwMode="auto">
              <a:xfrm xmlns:a="http://schemas.openxmlformats.org/drawingml/2006/main">
                <a:off x="11440613" y="742764"/>
                <a:ext cx="417952" cy="15546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00" mc:Ignorable="a14" a14:legacySpreadsheetColorIndex="64"/>
                    </a:solidFill>
                  </a14:hiddenFill>
                </a:ext>
                <a:ext uri="{91240B29-F687-4F45-9708-019B960494DF}">
                  <a14:hiddenLine xmlns:a14="http://schemas.microsoft.com/office/drawing/2010/main" w="1">
                    <a:solidFill>
                      <a:srgbClr xmlns:mc="http://schemas.openxmlformats.org/markup-compatibility/2006" val="FFFFFF" mc:Ignorable="a14" a14:legacySpreadsheetColorIndex="65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18288" bIns="18288" anchor="ctr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6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17.28</a:t>
                </a:r>
              </a:p>
            </cdr:txBody>
          </cdr:sp>
          <cdr:sp macro="" textlink="">
            <cdr:nvSpPr>
              <cdr:cNvPr id="73872" name="Text Box 144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905005" y="571948"/>
                <a:ext cx="335025" cy="11515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CMS.</a:t>
                </a:r>
              </a:p>
              <a:p xmlns:a="http://schemas.openxmlformats.org/drawingml/2006/main">
                <a:pPr algn="l" rtl="0">
                  <a:defRPr sz="1000"/>
                </a:pPr>
                <a:endParaRPr lang="en-US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">
            <cdr:nvSpPr>
              <cdr:cNvPr id="73873" name="Text Box 14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1905005" y="742764"/>
                <a:ext cx="285269" cy="10748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CMS.</a:t>
                </a:r>
              </a:p>
              <a:p xmlns:a="http://schemas.openxmlformats.org/drawingml/2006/main">
                <a:pPr algn="l" rtl="0">
                  <a:defRPr sz="1000"/>
                </a:pPr>
                <a:endParaRPr lang="en-US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">
            <cdr:nvSpPr>
              <cdr:cNvPr id="73874" name="Text Box 146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057390" y="19193"/>
                <a:ext cx="1101271" cy="155462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2286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Minimum Water Level</a:t>
                </a:r>
              </a:p>
            </cdr:txBody>
          </cdr:sp>
          <cdr:sp macro="" textlink="">
            <cdr:nvSpPr>
              <cdr:cNvPr id="73875" name="Text Box 14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057390" y="161220"/>
                <a:ext cx="1151028" cy="1746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 algn="ctr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27432" tIns="22860" rIns="0" bIns="0" anchor="t" upright="1"/>
              <a:lstStyle xmlns:a="http://schemas.openxmlformats.org/drawingml/2006/main"/>
              <a:p xmlns:a="http://schemas.openxmlformats.org/drawingml/2006/main"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Minimum Discharge</a:t>
                </a:r>
              </a:p>
            </cdr:txBody>
          </cdr:sp>
          <cdr:sp macro="" textlink="Discharge!$O$47">
            <cdr:nvSpPr>
              <cdr:cNvPr id="73876" name="Text Box 148"/>
              <cdr:cNvSpPr txBox="1">
                <a:spLocks xmlns:a="http://schemas.openxmlformats.org/drawingml/2006/main" noChangeArrowheads="1" noTextEdit="1"/>
              </cdr:cNvSpPr>
            </cdr:nvSpPr>
            <cdr:spPr bwMode="auto">
              <a:xfrm xmlns:a="http://schemas.openxmlformats.org/drawingml/2006/main">
                <a:off x="11374272" y="903984"/>
                <a:ext cx="593757" cy="20920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00" mc:Ignorable="a14" a14:legacySpreadsheetColorIndex="64"/>
                    </a:solidFill>
                  </a14:hiddenFill>
                </a:ext>
                <a:ext uri="{91240B29-F687-4F45-9708-019B960494DF}">
                  <a14:hiddenLine xmlns:a14="http://schemas.microsoft.com/office/drawing/2010/main" w="1">
                    <a:solidFill>
                      <a:srgbClr xmlns:mc="http://schemas.openxmlformats.org/markup-compatibility/2006" val="FFFFFF" mc:Ignorable="a14" a14:legacySpreadsheetColorIndex="65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18288" bIns="18288" anchor="ctr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r>
                  <a:rPr lang="th-TH" sz="6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545.51</a:t>
                </a:r>
              </a:p>
            </cdr:txBody>
          </cdr:sp>
          <cdr:sp macro="" textlink="'Graph-GH'!$BA$154">
            <cdr:nvSpPr>
              <cdr:cNvPr id="73877" name="Text Box 149"/>
              <cdr:cNvSpPr txBox="1">
                <a:spLocks xmlns:a="http://schemas.openxmlformats.org/drawingml/2006/main" noChangeArrowheads="1" noTextEdit="1"/>
              </cdr:cNvSpPr>
            </cdr:nvSpPr>
            <cdr:spPr bwMode="auto">
              <a:xfrm xmlns:a="http://schemas.openxmlformats.org/drawingml/2006/main">
                <a:off x="11533492" y="38386"/>
                <a:ext cx="298537" cy="17465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>
                <a:noFill/>
              </a:ln>
              <a:effectLst xmlns:a="http://schemas.openxmlformats.org/drawingml/2006/main"/>
              <a:extLst xmlns:a="http://schemas.openxmlformats.org/drawingml/2006/main"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00" mc:Ignorable="a14" a14:legacySpreadsheetColorIndex="64"/>
                    </a:solidFill>
                  </a14:hiddenFill>
                </a:ext>
                <a:ext uri="{91240B29-F687-4F45-9708-019B960494DF}">
                  <a14:hiddenLine xmlns:a14="http://schemas.microsoft.com/office/drawing/2010/main" w="1">
                    <a:solidFill>
                      <a:srgbClr xmlns:mc="http://schemas.openxmlformats.org/markup-compatibility/2006" val="FFFFFF" mc:Ignorable="a14" a14:legacySpreadsheetColorIndex="65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 vertOverflow="clip" wrap="square" lIns="18288" tIns="18288" rIns="18288" bIns="18288" anchor="ctr" upright="1"/>
              <a:lstStyle xmlns:a="http://schemas.openxmlformats.org/drawingml/2006/main"/>
              <a:p xmlns:a="http://schemas.openxmlformats.org/drawingml/2006/main">
                <a:pPr algn="ctr" rtl="0">
                  <a:defRPr sz="1000"/>
                </a:pPr>
                <a:fld id="{AA3920CA-1B93-4103-B8DC-022DECCA5634}" type="TxLink">
                  <a:rPr lang="th-TH" sz="600" b="0" i="0" u="none" strike="noStrike" baseline="0">
                    <a:solidFill>
                      <a:srgbClr val="000000"/>
                    </a:solidFill>
                    <a:latin typeface="Arial"/>
                  </a:rPr>
                  <a:pPr algn="ctr" rtl="0">
                    <a:defRPr sz="1000"/>
                  </a:pPr>
                  <a:t>337.73</a:t>
                </a:fld>
                <a:endParaRPr lang="th-TH" sz="600" b="0" i="0" u="none" strike="noStrike" baseline="0">
                  <a:solidFill>
                    <a:srgbClr val="000000"/>
                  </a:solidFill>
                  <a:latin typeface="Arial"/>
                </a:endParaRPr>
              </a:p>
            </cdr:txBody>
          </cdr:sp>
        </cdr:grpSp>
      </cdr:grpSp>
    </cdr:grp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0.70851</cdr:x>
      <cdr:y>0.05748</cdr:y>
    </cdr:from>
    <cdr:to>
      <cdr:x>0.87878</cdr:x>
      <cdr:y>0.1533</cdr:y>
    </cdr:to>
    <cdr:sp macro="" textlink="Discharge!$C$1">
      <cdr:nvSpPr>
        <cdr:cNvPr id="74754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438240" y="450507"/>
          <a:ext cx="2303707" cy="745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252ACEDA-7731-4459-8374-2033E652B79A}" type="TxLink">
            <a:rPr lang="en-US" sz="700" b="0" i="0" u="none" strike="noStrike" baseline="0">
              <a:solidFill>
                <a:srgbClr val="800080"/>
              </a:solidFill>
              <a:latin typeface="Arial"/>
              <a:cs typeface="Arial"/>
            </a:rPr>
            <a:pPr algn="ctr" rtl="0">
              <a:defRPr sz="1000"/>
            </a:pPr>
            <a:t>Ban Cho Lae,  Mae Taeng, Chiang Mai,P.75</a:t>
          </a:fld>
          <a:endParaRPr lang="en-US" sz="700" b="0" i="0" u="none" strike="noStrike" baseline="0">
            <a:solidFill>
              <a:srgbClr val="800080"/>
            </a:solidFill>
            <a:latin typeface="Arial"/>
            <a:cs typeface="Arial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0.68691</cdr:x>
      <cdr:y>0.01005</cdr:y>
    </cdr:from>
    <cdr:to>
      <cdr:x>0.91454</cdr:x>
      <cdr:y>0.13919</cdr:y>
    </cdr:to>
    <cdr:sp macro="" textlink="Discharge!$C$1">
      <cdr:nvSpPr>
        <cdr:cNvPr id="11980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228614" y="70660"/>
          <a:ext cx="3057049" cy="867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64BFAA8-92B2-47E8-802F-F878016176F3}" type="TxLink">
            <a:rPr lang="en-US" sz="700" b="0" i="0" u="none" strike="noStrike" baseline="0">
              <a:solidFill>
                <a:srgbClr val="800080"/>
              </a:solidFill>
              <a:latin typeface="Arial"/>
              <a:cs typeface="Arial"/>
            </a:rPr>
            <a:pPr algn="ctr" rtl="0">
              <a:defRPr sz="1000"/>
            </a:pPr>
            <a:t>Ban Cho Lae,  Mae Taeng, Chiang Mai,P.75</a:t>
          </a:fld>
          <a:endParaRPr lang="en-US" sz="700" b="0" i="0" u="none" strike="noStrike" baseline="0">
            <a:solidFill>
              <a:srgbClr val="8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0.43199</cdr:x>
      <cdr:y>0.92784</cdr:y>
    </cdr:from>
    <cdr:to>
      <cdr:x>0.66135</cdr:x>
      <cdr:y>0.97073</cdr:y>
    </cdr:to>
    <cdr:sp macro="" textlink="Discharge!$H$4">
      <cdr:nvSpPr>
        <cdr:cNvPr id="11981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04853" y="6233763"/>
          <a:ext cx="3080385" cy="287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58AD986-182A-4BE7-ACFE-67ACE8C67FDD}" type="TxLink">
            <a:rPr lang="en-US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pPr algn="ctr" rtl="0">
              <a:defRPr sz="1000"/>
            </a:pPr>
            <a:t>Water  Year   2013</a:t>
          </a:fld>
          <a:endParaRPr lang="en-US" sz="1000" b="1" i="0" u="none" strike="noStrike" baseline="0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13395" name="AutoShape 1"/>
        <xdr:cNvSpPr>
          <a:spLocks/>
        </xdr:cNvSpPr>
      </xdr:nvSpPr>
      <xdr:spPr bwMode="auto">
        <a:xfrm>
          <a:off x="14658975" y="771525"/>
          <a:ext cx="104775" cy="790575"/>
        </a:xfrm>
        <a:prstGeom prst="leftBrace">
          <a:avLst>
            <a:gd name="adj1" fmla="val 62879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171450</xdr:rowOff>
    </xdr:from>
    <xdr:to>
      <xdr:col>31</xdr:col>
      <xdr:colOff>276225</xdr:colOff>
      <xdr:row>3</xdr:row>
      <xdr:rowOff>171450</xdr:rowOff>
    </xdr:to>
    <xdr:sp macro="" textlink="">
      <xdr:nvSpPr>
        <xdr:cNvPr id="13396" name="Line 2"/>
        <xdr:cNvSpPr>
          <a:spLocks noChangeShapeType="1"/>
        </xdr:cNvSpPr>
      </xdr:nvSpPr>
      <xdr:spPr bwMode="auto">
        <a:xfrm>
          <a:off x="15506700" y="866775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209550</xdr:rowOff>
    </xdr:from>
    <xdr:to>
      <xdr:col>31</xdr:col>
      <xdr:colOff>276225</xdr:colOff>
      <xdr:row>6</xdr:row>
      <xdr:rowOff>209550</xdr:rowOff>
    </xdr:to>
    <xdr:sp macro="" textlink="">
      <xdr:nvSpPr>
        <xdr:cNvPr id="13397" name="Line 3"/>
        <xdr:cNvSpPr>
          <a:spLocks noChangeShapeType="1"/>
        </xdr:cNvSpPr>
      </xdr:nvSpPr>
      <xdr:spPr bwMode="auto">
        <a:xfrm>
          <a:off x="15535275" y="164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12371" name="AutoShape 1"/>
        <xdr:cNvSpPr>
          <a:spLocks/>
        </xdr:cNvSpPr>
      </xdr:nvSpPr>
      <xdr:spPr bwMode="auto">
        <a:xfrm>
          <a:off x="14658975" y="685800"/>
          <a:ext cx="104775" cy="723900"/>
        </a:xfrm>
        <a:prstGeom prst="leftBrace">
          <a:avLst>
            <a:gd name="adj1" fmla="val 57576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190500</xdr:rowOff>
    </xdr:from>
    <xdr:to>
      <xdr:col>31</xdr:col>
      <xdr:colOff>257175</xdr:colOff>
      <xdr:row>3</xdr:row>
      <xdr:rowOff>190500</xdr:rowOff>
    </xdr:to>
    <xdr:sp macro="" textlink="">
      <xdr:nvSpPr>
        <xdr:cNvPr id="12372" name="Line 2"/>
        <xdr:cNvSpPr>
          <a:spLocks noChangeShapeType="1"/>
        </xdr:cNvSpPr>
      </xdr:nvSpPr>
      <xdr:spPr bwMode="auto">
        <a:xfrm>
          <a:off x="15506700" y="80010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209550</xdr:rowOff>
    </xdr:from>
    <xdr:to>
      <xdr:col>31</xdr:col>
      <xdr:colOff>276225</xdr:colOff>
      <xdr:row>6</xdr:row>
      <xdr:rowOff>219075</xdr:rowOff>
    </xdr:to>
    <xdr:sp macro="" textlink="">
      <xdr:nvSpPr>
        <xdr:cNvPr id="12373" name="Line 3"/>
        <xdr:cNvSpPr>
          <a:spLocks noChangeShapeType="1"/>
        </xdr:cNvSpPr>
      </xdr:nvSpPr>
      <xdr:spPr bwMode="auto">
        <a:xfrm>
          <a:off x="15535275" y="1495425"/>
          <a:ext cx="6000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11347" name="AutoShape 1"/>
        <xdr:cNvSpPr>
          <a:spLocks/>
        </xdr:cNvSpPr>
      </xdr:nvSpPr>
      <xdr:spPr bwMode="auto">
        <a:xfrm>
          <a:off x="14658975" y="657225"/>
          <a:ext cx="104775" cy="714375"/>
        </a:xfrm>
        <a:prstGeom prst="leftBrace">
          <a:avLst>
            <a:gd name="adj1" fmla="val 56818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219075</xdr:rowOff>
    </xdr:from>
    <xdr:to>
      <xdr:col>31</xdr:col>
      <xdr:colOff>295275</xdr:colOff>
      <xdr:row>3</xdr:row>
      <xdr:rowOff>219075</xdr:rowOff>
    </xdr:to>
    <xdr:sp macro="" textlink="">
      <xdr:nvSpPr>
        <xdr:cNvPr id="11348" name="Line 2"/>
        <xdr:cNvSpPr>
          <a:spLocks noChangeShapeType="1"/>
        </xdr:cNvSpPr>
      </xdr:nvSpPr>
      <xdr:spPr bwMode="auto">
        <a:xfrm>
          <a:off x="15506700" y="8001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228600</xdr:colOff>
      <xdr:row>6</xdr:row>
      <xdr:rowOff>219075</xdr:rowOff>
    </xdr:from>
    <xdr:to>
      <xdr:col>31</xdr:col>
      <xdr:colOff>342900</xdr:colOff>
      <xdr:row>6</xdr:row>
      <xdr:rowOff>228600</xdr:rowOff>
    </xdr:to>
    <xdr:sp macro="" textlink="">
      <xdr:nvSpPr>
        <xdr:cNvPr id="11349" name="Line 3"/>
        <xdr:cNvSpPr>
          <a:spLocks noChangeShapeType="1"/>
        </xdr:cNvSpPr>
      </xdr:nvSpPr>
      <xdr:spPr bwMode="auto">
        <a:xfrm>
          <a:off x="15544800" y="1466850"/>
          <a:ext cx="6572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10323" name="AutoShape 1"/>
        <xdr:cNvSpPr>
          <a:spLocks/>
        </xdr:cNvSpPr>
      </xdr:nvSpPr>
      <xdr:spPr bwMode="auto">
        <a:xfrm>
          <a:off x="14658975" y="685800"/>
          <a:ext cx="104775" cy="733425"/>
        </a:xfrm>
        <a:prstGeom prst="leftBrace">
          <a:avLst>
            <a:gd name="adj1" fmla="val 58333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200025</xdr:colOff>
      <xdr:row>3</xdr:row>
      <xdr:rowOff>200025</xdr:rowOff>
    </xdr:from>
    <xdr:to>
      <xdr:col>31</xdr:col>
      <xdr:colOff>314325</xdr:colOff>
      <xdr:row>3</xdr:row>
      <xdr:rowOff>200025</xdr:rowOff>
    </xdr:to>
    <xdr:sp macro="" textlink="">
      <xdr:nvSpPr>
        <xdr:cNvPr id="10324" name="Line 2"/>
        <xdr:cNvSpPr>
          <a:spLocks noChangeShapeType="1"/>
        </xdr:cNvSpPr>
      </xdr:nvSpPr>
      <xdr:spPr bwMode="auto">
        <a:xfrm>
          <a:off x="15516225" y="809625"/>
          <a:ext cx="657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190500</xdr:rowOff>
    </xdr:from>
    <xdr:to>
      <xdr:col>31</xdr:col>
      <xdr:colOff>314325</xdr:colOff>
      <xdr:row>6</xdr:row>
      <xdr:rowOff>200025</xdr:rowOff>
    </xdr:to>
    <xdr:sp macro="" textlink="">
      <xdr:nvSpPr>
        <xdr:cNvPr id="10325" name="Line 3"/>
        <xdr:cNvSpPr>
          <a:spLocks noChangeShapeType="1"/>
        </xdr:cNvSpPr>
      </xdr:nvSpPr>
      <xdr:spPr bwMode="auto">
        <a:xfrm>
          <a:off x="15535275" y="1485900"/>
          <a:ext cx="6381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9299" name="AutoShape 1"/>
        <xdr:cNvSpPr>
          <a:spLocks/>
        </xdr:cNvSpPr>
      </xdr:nvSpPr>
      <xdr:spPr bwMode="auto">
        <a:xfrm>
          <a:off x="14658975" y="666750"/>
          <a:ext cx="104775" cy="666750"/>
        </a:xfrm>
        <a:prstGeom prst="leftBrace">
          <a:avLst>
            <a:gd name="adj1" fmla="val 53030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171450</xdr:rowOff>
    </xdr:from>
    <xdr:to>
      <xdr:col>31</xdr:col>
      <xdr:colOff>247650</xdr:colOff>
      <xdr:row>3</xdr:row>
      <xdr:rowOff>171450</xdr:rowOff>
    </xdr:to>
    <xdr:sp macro="" textlink="">
      <xdr:nvSpPr>
        <xdr:cNvPr id="9300" name="Line 2"/>
        <xdr:cNvSpPr>
          <a:spLocks noChangeShapeType="1"/>
        </xdr:cNvSpPr>
      </xdr:nvSpPr>
      <xdr:spPr bwMode="auto">
        <a:xfrm>
          <a:off x="15506700" y="7620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228600</xdr:rowOff>
    </xdr:from>
    <xdr:to>
      <xdr:col>31</xdr:col>
      <xdr:colOff>285750</xdr:colOff>
      <xdr:row>6</xdr:row>
      <xdr:rowOff>238125</xdr:rowOff>
    </xdr:to>
    <xdr:sp macro="" textlink="">
      <xdr:nvSpPr>
        <xdr:cNvPr id="9301" name="Line 3"/>
        <xdr:cNvSpPr>
          <a:spLocks noChangeShapeType="1"/>
        </xdr:cNvSpPr>
      </xdr:nvSpPr>
      <xdr:spPr bwMode="auto">
        <a:xfrm>
          <a:off x="15535275" y="1438275"/>
          <a:ext cx="6096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8275" name="AutoShape 1"/>
        <xdr:cNvSpPr>
          <a:spLocks/>
        </xdr:cNvSpPr>
      </xdr:nvSpPr>
      <xdr:spPr bwMode="auto">
        <a:xfrm>
          <a:off x="14658975" y="676275"/>
          <a:ext cx="104775" cy="733425"/>
        </a:xfrm>
        <a:prstGeom prst="leftBrace">
          <a:avLst>
            <a:gd name="adj1" fmla="val 58333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190500</xdr:rowOff>
    </xdr:from>
    <xdr:to>
      <xdr:col>31</xdr:col>
      <xdr:colOff>238125</xdr:colOff>
      <xdr:row>3</xdr:row>
      <xdr:rowOff>190500</xdr:rowOff>
    </xdr:to>
    <xdr:sp macro="" textlink="">
      <xdr:nvSpPr>
        <xdr:cNvPr id="8276" name="Line 2"/>
        <xdr:cNvSpPr>
          <a:spLocks noChangeShapeType="1"/>
        </xdr:cNvSpPr>
      </xdr:nvSpPr>
      <xdr:spPr bwMode="auto">
        <a:xfrm>
          <a:off x="15506700" y="79057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161925</xdr:rowOff>
    </xdr:from>
    <xdr:to>
      <xdr:col>31</xdr:col>
      <xdr:colOff>247650</xdr:colOff>
      <xdr:row>6</xdr:row>
      <xdr:rowOff>171450</xdr:rowOff>
    </xdr:to>
    <xdr:sp macro="" textlink="">
      <xdr:nvSpPr>
        <xdr:cNvPr id="8277" name="Line 3"/>
        <xdr:cNvSpPr>
          <a:spLocks noChangeShapeType="1"/>
        </xdr:cNvSpPr>
      </xdr:nvSpPr>
      <xdr:spPr bwMode="auto">
        <a:xfrm>
          <a:off x="15535275" y="1447800"/>
          <a:ext cx="5715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7251" name="AutoShape 1"/>
        <xdr:cNvSpPr>
          <a:spLocks/>
        </xdr:cNvSpPr>
      </xdr:nvSpPr>
      <xdr:spPr bwMode="auto">
        <a:xfrm>
          <a:off x="14658975" y="676275"/>
          <a:ext cx="104775" cy="714375"/>
        </a:xfrm>
        <a:prstGeom prst="leftBrace">
          <a:avLst>
            <a:gd name="adj1" fmla="val 56818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219075</xdr:rowOff>
    </xdr:from>
    <xdr:to>
      <xdr:col>31</xdr:col>
      <xdr:colOff>180975</xdr:colOff>
      <xdr:row>3</xdr:row>
      <xdr:rowOff>219075</xdr:rowOff>
    </xdr:to>
    <xdr:sp macro="" textlink="">
      <xdr:nvSpPr>
        <xdr:cNvPr id="7252" name="Line 2"/>
        <xdr:cNvSpPr>
          <a:spLocks noChangeShapeType="1"/>
        </xdr:cNvSpPr>
      </xdr:nvSpPr>
      <xdr:spPr bwMode="auto">
        <a:xfrm>
          <a:off x="15506700" y="8191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200025</xdr:rowOff>
    </xdr:from>
    <xdr:to>
      <xdr:col>31</xdr:col>
      <xdr:colOff>161925</xdr:colOff>
      <xdr:row>6</xdr:row>
      <xdr:rowOff>209550</xdr:rowOff>
    </xdr:to>
    <xdr:sp macro="" textlink="">
      <xdr:nvSpPr>
        <xdr:cNvPr id="7253" name="Line 3"/>
        <xdr:cNvSpPr>
          <a:spLocks noChangeShapeType="1"/>
        </xdr:cNvSpPr>
      </xdr:nvSpPr>
      <xdr:spPr bwMode="auto">
        <a:xfrm>
          <a:off x="15535275" y="1466850"/>
          <a:ext cx="485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6227" name="AutoShape 1"/>
        <xdr:cNvSpPr>
          <a:spLocks/>
        </xdr:cNvSpPr>
      </xdr:nvSpPr>
      <xdr:spPr bwMode="auto">
        <a:xfrm>
          <a:off x="14658975" y="685800"/>
          <a:ext cx="104775" cy="714375"/>
        </a:xfrm>
        <a:prstGeom prst="leftBrace">
          <a:avLst>
            <a:gd name="adj1" fmla="val 56818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180975</xdr:colOff>
      <xdr:row>3</xdr:row>
      <xdr:rowOff>238125</xdr:rowOff>
    </xdr:from>
    <xdr:to>
      <xdr:col>31</xdr:col>
      <xdr:colOff>171450</xdr:colOff>
      <xdr:row>3</xdr:row>
      <xdr:rowOff>238125</xdr:rowOff>
    </xdr:to>
    <xdr:sp macro="" textlink="">
      <xdr:nvSpPr>
        <xdr:cNvPr id="6228" name="Line 2"/>
        <xdr:cNvSpPr>
          <a:spLocks noChangeShapeType="1"/>
        </xdr:cNvSpPr>
      </xdr:nvSpPr>
      <xdr:spPr bwMode="auto">
        <a:xfrm>
          <a:off x="15497175" y="84772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161925</xdr:rowOff>
    </xdr:from>
    <xdr:to>
      <xdr:col>31</xdr:col>
      <xdr:colOff>161925</xdr:colOff>
      <xdr:row>6</xdr:row>
      <xdr:rowOff>171450</xdr:rowOff>
    </xdr:to>
    <xdr:sp macro="" textlink="">
      <xdr:nvSpPr>
        <xdr:cNvPr id="6229" name="Line 3"/>
        <xdr:cNvSpPr>
          <a:spLocks noChangeShapeType="1"/>
        </xdr:cNvSpPr>
      </xdr:nvSpPr>
      <xdr:spPr bwMode="auto">
        <a:xfrm>
          <a:off x="15535275" y="1438275"/>
          <a:ext cx="485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5204" name="AutoShape 1"/>
        <xdr:cNvSpPr>
          <a:spLocks/>
        </xdr:cNvSpPr>
      </xdr:nvSpPr>
      <xdr:spPr bwMode="auto">
        <a:xfrm>
          <a:off x="14658975" y="704850"/>
          <a:ext cx="104775" cy="714375"/>
        </a:xfrm>
        <a:prstGeom prst="leftBrace">
          <a:avLst>
            <a:gd name="adj1" fmla="val 56818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171450</xdr:rowOff>
    </xdr:from>
    <xdr:to>
      <xdr:col>31</xdr:col>
      <xdr:colOff>180975</xdr:colOff>
      <xdr:row>3</xdr:row>
      <xdr:rowOff>171450</xdr:rowOff>
    </xdr:to>
    <xdr:sp macro="" textlink="">
      <xdr:nvSpPr>
        <xdr:cNvPr id="5205" name="Line 2"/>
        <xdr:cNvSpPr>
          <a:spLocks noChangeShapeType="1"/>
        </xdr:cNvSpPr>
      </xdr:nvSpPr>
      <xdr:spPr bwMode="auto">
        <a:xfrm>
          <a:off x="15506700" y="8001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161925</xdr:rowOff>
    </xdr:from>
    <xdr:to>
      <xdr:col>31</xdr:col>
      <xdr:colOff>161925</xdr:colOff>
      <xdr:row>6</xdr:row>
      <xdr:rowOff>171450</xdr:rowOff>
    </xdr:to>
    <xdr:sp macro="" textlink="">
      <xdr:nvSpPr>
        <xdr:cNvPr id="5206" name="Line 3"/>
        <xdr:cNvSpPr>
          <a:spLocks noChangeShapeType="1"/>
        </xdr:cNvSpPr>
      </xdr:nvSpPr>
      <xdr:spPr bwMode="auto">
        <a:xfrm>
          <a:off x="15535275" y="1457325"/>
          <a:ext cx="485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4179" name="AutoShape 1"/>
        <xdr:cNvSpPr>
          <a:spLocks/>
        </xdr:cNvSpPr>
      </xdr:nvSpPr>
      <xdr:spPr bwMode="auto">
        <a:xfrm>
          <a:off x="14658975" y="685800"/>
          <a:ext cx="104775" cy="676275"/>
        </a:xfrm>
        <a:prstGeom prst="leftBrace">
          <a:avLst>
            <a:gd name="adj1" fmla="val 53788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180975</xdr:colOff>
      <xdr:row>3</xdr:row>
      <xdr:rowOff>209550</xdr:rowOff>
    </xdr:from>
    <xdr:to>
      <xdr:col>31</xdr:col>
      <xdr:colOff>228600</xdr:colOff>
      <xdr:row>3</xdr:row>
      <xdr:rowOff>209550</xdr:rowOff>
    </xdr:to>
    <xdr:sp macro="" textlink="">
      <xdr:nvSpPr>
        <xdr:cNvPr id="4180" name="Line 2"/>
        <xdr:cNvSpPr>
          <a:spLocks noChangeShapeType="1"/>
        </xdr:cNvSpPr>
      </xdr:nvSpPr>
      <xdr:spPr bwMode="auto">
        <a:xfrm>
          <a:off x="15497175" y="81915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161925</xdr:rowOff>
    </xdr:from>
    <xdr:to>
      <xdr:col>31</xdr:col>
      <xdr:colOff>238125</xdr:colOff>
      <xdr:row>6</xdr:row>
      <xdr:rowOff>171450</xdr:rowOff>
    </xdr:to>
    <xdr:sp macro="" textlink="">
      <xdr:nvSpPr>
        <xdr:cNvPr id="4181" name="Line 3"/>
        <xdr:cNvSpPr>
          <a:spLocks noChangeShapeType="1"/>
        </xdr:cNvSpPr>
      </xdr:nvSpPr>
      <xdr:spPr bwMode="auto">
        <a:xfrm>
          <a:off x="15535275" y="1400175"/>
          <a:ext cx="5619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3155" name="AutoShape 1"/>
        <xdr:cNvSpPr>
          <a:spLocks/>
        </xdr:cNvSpPr>
      </xdr:nvSpPr>
      <xdr:spPr bwMode="auto">
        <a:xfrm>
          <a:off x="14658975" y="714375"/>
          <a:ext cx="104775" cy="733425"/>
        </a:xfrm>
        <a:prstGeom prst="leftBrace">
          <a:avLst>
            <a:gd name="adj1" fmla="val 58333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200025</xdr:rowOff>
    </xdr:from>
    <xdr:to>
      <xdr:col>31</xdr:col>
      <xdr:colOff>295275</xdr:colOff>
      <xdr:row>3</xdr:row>
      <xdr:rowOff>200025</xdr:rowOff>
    </xdr:to>
    <xdr:sp macro="" textlink="">
      <xdr:nvSpPr>
        <xdr:cNvPr id="3156" name="Line 2"/>
        <xdr:cNvSpPr>
          <a:spLocks noChangeShapeType="1"/>
        </xdr:cNvSpPr>
      </xdr:nvSpPr>
      <xdr:spPr bwMode="auto">
        <a:xfrm>
          <a:off x="15506700" y="8382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200025</xdr:rowOff>
    </xdr:from>
    <xdr:to>
      <xdr:col>31</xdr:col>
      <xdr:colOff>361950</xdr:colOff>
      <xdr:row>6</xdr:row>
      <xdr:rowOff>209550</xdr:rowOff>
    </xdr:to>
    <xdr:sp macro="" textlink="">
      <xdr:nvSpPr>
        <xdr:cNvPr id="3157" name="Line 3"/>
        <xdr:cNvSpPr>
          <a:spLocks noChangeShapeType="1"/>
        </xdr:cNvSpPr>
      </xdr:nvSpPr>
      <xdr:spPr bwMode="auto">
        <a:xfrm>
          <a:off x="15535275" y="1524000"/>
          <a:ext cx="6858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361950</xdr:colOff>
      <xdr:row>3</xdr:row>
      <xdr:rowOff>76200</xdr:rowOff>
    </xdr:from>
    <xdr:to>
      <xdr:col>28</xdr:col>
      <xdr:colOff>466725</xdr:colOff>
      <xdr:row>6</xdr:row>
      <xdr:rowOff>123825</xdr:rowOff>
    </xdr:to>
    <xdr:sp macro="" textlink="">
      <xdr:nvSpPr>
        <xdr:cNvPr id="2138" name="AutoShape 2"/>
        <xdr:cNvSpPr>
          <a:spLocks/>
        </xdr:cNvSpPr>
      </xdr:nvSpPr>
      <xdr:spPr bwMode="auto">
        <a:xfrm>
          <a:off x="14658975" y="714375"/>
          <a:ext cx="104775" cy="638175"/>
        </a:xfrm>
        <a:prstGeom prst="leftBrace">
          <a:avLst>
            <a:gd name="adj1" fmla="val 50758"/>
            <a:gd name="adj2" fmla="val 50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3</xdr:row>
      <xdr:rowOff>209550</xdr:rowOff>
    </xdr:from>
    <xdr:to>
      <xdr:col>31</xdr:col>
      <xdr:colOff>180975</xdr:colOff>
      <xdr:row>3</xdr:row>
      <xdr:rowOff>209550</xdr:rowOff>
    </xdr:to>
    <xdr:sp macro="" textlink="">
      <xdr:nvSpPr>
        <xdr:cNvPr id="2139" name="Line 3"/>
        <xdr:cNvSpPr>
          <a:spLocks noChangeShapeType="1"/>
        </xdr:cNvSpPr>
      </xdr:nvSpPr>
      <xdr:spPr bwMode="auto">
        <a:xfrm>
          <a:off x="15506700" y="84772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219075</xdr:colOff>
      <xdr:row>6</xdr:row>
      <xdr:rowOff>190500</xdr:rowOff>
    </xdr:from>
    <xdr:to>
      <xdr:col>31</xdr:col>
      <xdr:colOff>161925</xdr:colOff>
      <xdr:row>6</xdr:row>
      <xdr:rowOff>200025</xdr:rowOff>
    </xdr:to>
    <xdr:sp macro="" textlink="">
      <xdr:nvSpPr>
        <xdr:cNvPr id="2140" name="Line 4"/>
        <xdr:cNvSpPr>
          <a:spLocks noChangeShapeType="1"/>
        </xdr:cNvSpPr>
      </xdr:nvSpPr>
      <xdr:spPr bwMode="auto">
        <a:xfrm>
          <a:off x="15535275" y="1419225"/>
          <a:ext cx="485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7</xdr:row>
          <xdr:rowOff>76200</xdr:rowOff>
        </xdr:from>
        <xdr:to>
          <xdr:col>12</xdr:col>
          <xdr:colOff>533400</xdr:colOff>
          <xdr:row>27</xdr:row>
          <xdr:rowOff>38100</xdr:rowOff>
        </xdr:to>
        <xdr:grpSp>
          <xdr:nvGrpSpPr>
            <xdr:cNvPr id="17452" name="Group 19"/>
            <xdr:cNvGrpSpPr>
              <a:grpSpLocks/>
            </xdr:cNvGrpSpPr>
          </xdr:nvGrpSpPr>
          <xdr:grpSpPr bwMode="auto">
            <a:xfrm>
              <a:off x="1381125" y="1209675"/>
              <a:ext cx="6115050" cy="3228975"/>
              <a:chOff x="145" y="127"/>
              <a:chExt cx="642" cy="339"/>
            </a:xfrm>
          </xdr:grpSpPr>
          <xdr:sp macro="" textlink="">
            <xdr:nvSpPr>
              <xdr:cNvPr id="17409" name="Csav30" hidden="1">
                <a:extLst>
                  <a:ext uri="{63B3BB69-23CF-44E3-9099-C40C66FF867C}">
                    <a14:compatExt spid="_x0000_s17409"/>
                  </a:ext>
                </a:extLst>
              </xdr:cNvPr>
              <xdr:cNvSpPr/>
            </xdr:nvSpPr>
            <xdr:spPr>
              <a:xfrm>
                <a:off x="221" y="127"/>
                <a:ext cx="212" cy="43"/>
              </a:xfrm>
              <a:prstGeom prst="rect">
                <a:avLst/>
              </a:prstGeom>
            </xdr:spPr>
          </xdr:sp>
          <xdr:sp macro="" textlink="">
            <xdr:nvSpPr>
              <xdr:cNvPr id="17411" name="CBApr" hidden="1">
                <a:extLst>
                  <a:ext uri="{63B3BB69-23CF-44E3-9099-C40C66FF867C}">
                    <a14:compatExt spid="_x0000_s17411"/>
                  </a:ext>
                </a:extLst>
              </xdr:cNvPr>
              <xdr:cNvSpPr/>
            </xdr:nvSpPr>
            <xdr:spPr>
              <a:xfrm>
                <a:off x="145" y="198"/>
                <a:ext cx="204" cy="39"/>
              </a:xfrm>
              <a:prstGeom prst="rect">
                <a:avLst/>
              </a:prstGeom>
            </xdr:spPr>
          </xdr:sp>
          <xdr:sp macro="" textlink="">
            <xdr:nvSpPr>
              <xdr:cNvPr id="17412" name="CBMay" hidden="1">
                <a:extLst>
                  <a:ext uri="{63B3BB69-23CF-44E3-9099-C40C66FF867C}">
                    <a14:compatExt spid="_x0000_s17412"/>
                  </a:ext>
                </a:extLst>
              </xdr:cNvPr>
              <xdr:cNvSpPr/>
            </xdr:nvSpPr>
            <xdr:spPr>
              <a:xfrm>
                <a:off x="369" y="199"/>
                <a:ext cx="206" cy="38"/>
              </a:xfrm>
              <a:prstGeom prst="rect">
                <a:avLst/>
              </a:prstGeom>
            </xdr:spPr>
          </xdr:sp>
          <xdr:sp macro="" textlink="">
            <xdr:nvSpPr>
              <xdr:cNvPr id="17413" name="CBJun" hidden="1">
                <a:extLst>
                  <a:ext uri="{63B3BB69-23CF-44E3-9099-C40C66FF867C}">
                    <a14:compatExt spid="_x0000_s17413"/>
                  </a:ext>
                </a:extLst>
              </xdr:cNvPr>
              <xdr:cNvSpPr/>
            </xdr:nvSpPr>
            <xdr:spPr>
              <a:xfrm>
                <a:off x="592" y="199"/>
                <a:ext cx="194" cy="39"/>
              </a:xfrm>
              <a:prstGeom prst="rect">
                <a:avLst/>
              </a:prstGeom>
            </xdr:spPr>
          </xdr:sp>
          <xdr:sp macro="" textlink="">
            <xdr:nvSpPr>
              <xdr:cNvPr id="17414" name="CBJul" hidden="1">
                <a:extLst>
                  <a:ext uri="{63B3BB69-23CF-44E3-9099-C40C66FF867C}">
                    <a14:compatExt spid="_x0000_s17414"/>
                  </a:ext>
                </a:extLst>
              </xdr:cNvPr>
              <xdr:cNvSpPr/>
            </xdr:nvSpPr>
            <xdr:spPr>
              <a:xfrm>
                <a:off x="146" y="259"/>
                <a:ext cx="202" cy="37"/>
              </a:xfrm>
              <a:prstGeom prst="rect">
                <a:avLst/>
              </a:prstGeom>
            </xdr:spPr>
          </xdr:sp>
          <xdr:sp macro="" textlink="">
            <xdr:nvSpPr>
              <xdr:cNvPr id="17415" name="CBAug" hidden="1">
                <a:extLst>
                  <a:ext uri="{63B3BB69-23CF-44E3-9099-C40C66FF867C}">
                    <a14:compatExt spid="_x0000_s17415"/>
                  </a:ext>
                </a:extLst>
              </xdr:cNvPr>
              <xdr:cNvSpPr/>
            </xdr:nvSpPr>
            <xdr:spPr>
              <a:xfrm>
                <a:off x="370" y="259"/>
                <a:ext cx="209" cy="38"/>
              </a:xfrm>
              <a:prstGeom prst="rect">
                <a:avLst/>
              </a:prstGeom>
            </xdr:spPr>
          </xdr:sp>
          <xdr:sp macro="" textlink="">
            <xdr:nvSpPr>
              <xdr:cNvPr id="17416" name="CBSep" hidden="1">
                <a:extLst>
                  <a:ext uri="{63B3BB69-23CF-44E3-9099-C40C66FF867C}">
                    <a14:compatExt spid="_x0000_s17416"/>
                  </a:ext>
                </a:extLst>
              </xdr:cNvPr>
              <xdr:cNvSpPr/>
            </xdr:nvSpPr>
            <xdr:spPr>
              <a:xfrm>
                <a:off x="594" y="260"/>
                <a:ext cx="193" cy="39"/>
              </a:xfrm>
              <a:prstGeom prst="rect">
                <a:avLst/>
              </a:prstGeom>
            </xdr:spPr>
          </xdr:sp>
          <xdr:sp macro="" textlink="">
            <xdr:nvSpPr>
              <xdr:cNvPr id="17417" name="CBOct" hidden="1">
                <a:extLst>
                  <a:ext uri="{63B3BB69-23CF-44E3-9099-C40C66FF867C}">
                    <a14:compatExt spid="_x0000_s17417"/>
                  </a:ext>
                </a:extLst>
              </xdr:cNvPr>
              <xdr:cNvSpPr/>
            </xdr:nvSpPr>
            <xdr:spPr>
              <a:xfrm>
                <a:off x="146" y="316"/>
                <a:ext cx="200" cy="39"/>
              </a:xfrm>
              <a:prstGeom prst="rect">
                <a:avLst/>
              </a:prstGeom>
            </xdr:spPr>
          </xdr:sp>
          <xdr:sp macro="" textlink="">
            <xdr:nvSpPr>
              <xdr:cNvPr id="17418" name="CBNov" hidden="1">
                <a:extLst>
                  <a:ext uri="{63B3BB69-23CF-44E3-9099-C40C66FF867C}">
                    <a14:compatExt spid="_x0000_s17418"/>
                  </a:ext>
                </a:extLst>
              </xdr:cNvPr>
              <xdr:cNvSpPr/>
            </xdr:nvSpPr>
            <xdr:spPr>
              <a:xfrm>
                <a:off x="373" y="318"/>
                <a:ext cx="207" cy="39"/>
              </a:xfrm>
              <a:prstGeom prst="rect">
                <a:avLst/>
              </a:prstGeom>
            </xdr:spPr>
          </xdr:sp>
          <xdr:sp macro="" textlink="">
            <xdr:nvSpPr>
              <xdr:cNvPr id="17419" name="CBDec" hidden="1">
                <a:extLst>
                  <a:ext uri="{63B3BB69-23CF-44E3-9099-C40C66FF867C}">
                    <a14:compatExt spid="_x0000_s17419"/>
                  </a:ext>
                </a:extLst>
              </xdr:cNvPr>
              <xdr:cNvSpPr/>
            </xdr:nvSpPr>
            <xdr:spPr>
              <a:xfrm>
                <a:off x="594" y="318"/>
                <a:ext cx="192" cy="39"/>
              </a:xfrm>
              <a:prstGeom prst="rect">
                <a:avLst/>
              </a:prstGeom>
            </xdr:spPr>
          </xdr:sp>
          <xdr:sp macro="" textlink="">
            <xdr:nvSpPr>
              <xdr:cNvPr id="17420" name="CBJan" hidden="1">
                <a:extLst>
                  <a:ext uri="{63B3BB69-23CF-44E3-9099-C40C66FF867C}">
                    <a14:compatExt spid="_x0000_s17420"/>
                  </a:ext>
                </a:extLst>
              </xdr:cNvPr>
              <xdr:cNvSpPr/>
            </xdr:nvSpPr>
            <xdr:spPr>
              <a:xfrm>
                <a:off x="148" y="377"/>
                <a:ext cx="194" cy="38"/>
              </a:xfrm>
              <a:prstGeom prst="rect">
                <a:avLst/>
              </a:prstGeom>
            </xdr:spPr>
          </xdr:sp>
          <xdr:sp macro="" textlink="">
            <xdr:nvSpPr>
              <xdr:cNvPr id="17421" name="CBFeb" hidden="1">
                <a:extLst>
                  <a:ext uri="{63B3BB69-23CF-44E3-9099-C40C66FF867C}">
                    <a14:compatExt spid="_x0000_s17421"/>
                  </a:ext>
                </a:extLst>
              </xdr:cNvPr>
              <xdr:cNvSpPr/>
            </xdr:nvSpPr>
            <xdr:spPr>
              <a:xfrm>
                <a:off x="374" y="379"/>
                <a:ext cx="203" cy="36"/>
              </a:xfrm>
              <a:prstGeom prst="rect">
                <a:avLst/>
              </a:prstGeom>
            </xdr:spPr>
          </xdr:sp>
          <xdr:sp macro="" textlink="">
            <xdr:nvSpPr>
              <xdr:cNvPr id="17422" name="CBMar" hidden="1">
                <a:extLst>
                  <a:ext uri="{63B3BB69-23CF-44E3-9099-C40C66FF867C}">
                    <a14:compatExt spid="_x0000_s17422"/>
                  </a:ext>
                </a:extLst>
              </xdr:cNvPr>
              <xdr:cNvSpPr/>
            </xdr:nvSpPr>
            <xdr:spPr>
              <a:xfrm>
                <a:off x="592" y="379"/>
                <a:ext cx="192" cy="35"/>
              </a:xfrm>
              <a:prstGeom prst="rect">
                <a:avLst/>
              </a:prstGeom>
            </xdr:spPr>
          </xdr:sp>
          <xdr:sp macro="" textlink="">
            <xdr:nvSpPr>
              <xdr:cNvPr id="17424" name="CSavSedi" hidden="1">
                <a:extLst>
                  <a:ext uri="{63B3BB69-23CF-44E3-9099-C40C66FF867C}">
                    <a14:compatExt spid="_x0000_s17424"/>
                  </a:ext>
                </a:extLst>
              </xdr:cNvPr>
              <xdr:cNvSpPr/>
            </xdr:nvSpPr>
            <xdr:spPr>
              <a:xfrm>
                <a:off x="151" y="430"/>
                <a:ext cx="191" cy="36"/>
              </a:xfrm>
              <a:prstGeom prst="rect">
                <a:avLst/>
              </a:prstGeom>
            </xdr:spPr>
          </xdr:sp>
          <xdr:sp macro="" textlink="">
            <xdr:nvSpPr>
              <xdr:cNvPr id="17425" name="SavDisc_Exc" hidden="1">
                <a:extLst>
                  <a:ext uri="{63B3BB69-23CF-44E3-9099-C40C66FF867C}">
                    <a14:compatExt spid="_x0000_s17425"/>
                  </a:ext>
                </a:extLst>
              </xdr:cNvPr>
              <xdr:cNvSpPr/>
            </xdr:nvSpPr>
            <xdr:spPr>
              <a:xfrm>
                <a:off x="375" y="428"/>
                <a:ext cx="202" cy="38"/>
              </a:xfrm>
              <a:prstGeom prst="rect">
                <a:avLst/>
              </a:prstGeom>
            </xdr:spPr>
          </xdr:sp>
          <xdr:sp macro="" textlink="">
            <xdr:nvSpPr>
              <xdr:cNvPr id="17426" name="SavSedi_Exc" hidden="1">
                <a:extLst>
                  <a:ext uri="{63B3BB69-23CF-44E3-9099-C40C66FF867C}">
                    <a14:compatExt spid="_x0000_s17426"/>
                  </a:ext>
                </a:extLst>
              </xdr:cNvPr>
              <xdr:cNvSpPr/>
            </xdr:nvSpPr>
            <xdr:spPr>
              <a:xfrm>
                <a:off x="595" y="426"/>
                <a:ext cx="189" cy="3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REAMGH1-%20P.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ngCurve-R2"/>
      <sheetName val="RatingCurve-R1"/>
      <sheetName val="Graph-Hou"/>
      <sheetName val="Graph-GH"/>
      <sheetName val="Sediment"/>
      <sheetName val="Discharge"/>
      <sheetName val="DailyMeanGH"/>
      <sheetName val="HourGH-MAR"/>
      <sheetName val="HourGH-FEB"/>
      <sheetName val="HourGH-JAN"/>
      <sheetName val="HourGH-DEC"/>
      <sheetName val="HourGH-NOV"/>
      <sheetName val="HourGH-OCT"/>
      <sheetName val="HourGH-SEP"/>
      <sheetName val="HourGH-AUG"/>
      <sheetName val="HourGH-JUL"/>
      <sheetName val="HourGH-JUN"/>
      <sheetName val="HourGH-MAY"/>
      <sheetName val="HourGH-APR"/>
      <sheetName val="c-form"/>
      <sheetName val="HText-Apr"/>
      <sheetName val="HText-May"/>
      <sheetName val="HText-Jun"/>
      <sheetName val="HText-Jul"/>
      <sheetName val="HText-Aug"/>
      <sheetName val="HText-Sep"/>
      <sheetName val="HText-Oct"/>
      <sheetName val="HText-Nov"/>
      <sheetName val="HText-Dec"/>
      <sheetName val="HText-Jan"/>
      <sheetName val="HText-Feb"/>
      <sheetName val="HText-Mar"/>
      <sheetName val="fText-Sed"/>
      <sheetName val="fText-R1"/>
      <sheetName val="save-text"/>
    </sheetNames>
    <sheetDataSet>
      <sheetData sheetId="0">
        <row r="9">
          <cell r="Q9">
            <v>0</v>
          </cell>
        </row>
        <row r="10">
          <cell r="Q10">
            <v>2</v>
          </cell>
        </row>
        <row r="11">
          <cell r="Q11">
            <v>5</v>
          </cell>
        </row>
        <row r="12">
          <cell r="Q12">
            <v>8.5</v>
          </cell>
        </row>
        <row r="13">
          <cell r="Q13">
            <v>13.9</v>
          </cell>
        </row>
        <row r="14">
          <cell r="Q14">
            <v>24</v>
          </cell>
        </row>
        <row r="15">
          <cell r="Q15">
            <v>30.5</v>
          </cell>
        </row>
        <row r="16">
          <cell r="Q16">
            <v>50</v>
          </cell>
        </row>
        <row r="17">
          <cell r="Q17">
            <v>70</v>
          </cell>
        </row>
        <row r="18">
          <cell r="Q18">
            <v>95</v>
          </cell>
        </row>
        <row r="19">
          <cell r="Q19">
            <v>155</v>
          </cell>
        </row>
        <row r="20">
          <cell r="Q20">
            <v>186</v>
          </cell>
        </row>
        <row r="21">
          <cell r="Q21">
            <v>220</v>
          </cell>
        </row>
        <row r="22">
          <cell r="Q22">
            <v>257</v>
          </cell>
        </row>
        <row r="23">
          <cell r="Q23">
            <v>295</v>
          </cell>
        </row>
        <row r="24">
          <cell r="Q24">
            <v>335</v>
          </cell>
        </row>
        <row r="25">
          <cell r="Q25">
            <v>425</v>
          </cell>
        </row>
        <row r="26">
          <cell r="Q26">
            <v>472</v>
          </cell>
        </row>
        <row r="27">
          <cell r="Q27">
            <v>572</v>
          </cell>
        </row>
        <row r="28">
          <cell r="Q28">
            <v>728</v>
          </cell>
        </row>
        <row r="29">
          <cell r="Q29">
            <v>782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image" Target="../media/image8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5.xml"/><Relationship Id="rId3" Type="http://schemas.openxmlformats.org/officeDocument/2006/relationships/printerSettings" Target="../printerSettings/printerSettings24.bin"/><Relationship Id="rId21" Type="http://schemas.openxmlformats.org/officeDocument/2006/relationships/image" Target="../media/image12.emf"/><Relationship Id="rId34" Type="http://schemas.openxmlformats.org/officeDocument/2006/relationships/control" Target="../activeX/activeX19.xml"/><Relationship Id="rId7" Type="http://schemas.openxmlformats.org/officeDocument/2006/relationships/image" Target="../media/image5.emf"/><Relationship Id="rId12" Type="http://schemas.openxmlformats.org/officeDocument/2006/relationships/control" Target="../activeX/activeX8.xml"/><Relationship Id="rId17" Type="http://schemas.openxmlformats.org/officeDocument/2006/relationships/image" Target="../media/image10.emf"/><Relationship Id="rId25" Type="http://schemas.openxmlformats.org/officeDocument/2006/relationships/image" Target="../media/image14.emf"/><Relationship Id="rId33" Type="http://schemas.openxmlformats.org/officeDocument/2006/relationships/image" Target="../media/image18.emf"/><Relationship Id="rId2" Type="http://schemas.openxmlformats.org/officeDocument/2006/relationships/hyperlink" Target="http://www.kromchol.com/hydroweb/UploadD/UpLoadData.asp" TargetMode="Externa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2.xml"/><Relationship Id="rId29" Type="http://schemas.openxmlformats.org/officeDocument/2006/relationships/image" Target="../media/image16.emf"/><Relationship Id="rId1" Type="http://schemas.openxmlformats.org/officeDocument/2006/relationships/hyperlink" Target="http://www.kromchol.com/hydroweb/UpLoadData.asp" TargetMode="External"/><Relationship Id="rId6" Type="http://schemas.openxmlformats.org/officeDocument/2006/relationships/control" Target="../activeX/activeX5.xml"/><Relationship Id="rId11" Type="http://schemas.openxmlformats.org/officeDocument/2006/relationships/image" Target="../media/image7.emf"/><Relationship Id="rId24" Type="http://schemas.openxmlformats.org/officeDocument/2006/relationships/control" Target="../activeX/activeX14.xml"/><Relationship Id="rId32" Type="http://schemas.openxmlformats.org/officeDocument/2006/relationships/control" Target="../activeX/activeX18.xml"/><Relationship Id="rId37" Type="http://schemas.openxmlformats.org/officeDocument/2006/relationships/image" Target="../media/image20.emf"/><Relationship Id="rId5" Type="http://schemas.openxmlformats.org/officeDocument/2006/relationships/vmlDrawing" Target="../drawings/vmlDrawing17.vml"/><Relationship Id="rId15" Type="http://schemas.openxmlformats.org/officeDocument/2006/relationships/image" Target="../media/image9.emf"/><Relationship Id="rId23" Type="http://schemas.openxmlformats.org/officeDocument/2006/relationships/image" Target="../media/image13.emf"/><Relationship Id="rId28" Type="http://schemas.openxmlformats.org/officeDocument/2006/relationships/control" Target="../activeX/activeX16.xml"/><Relationship Id="rId36" Type="http://schemas.openxmlformats.org/officeDocument/2006/relationships/control" Target="../activeX/activeX20.xml"/><Relationship Id="rId10" Type="http://schemas.openxmlformats.org/officeDocument/2006/relationships/control" Target="../activeX/activeX7.xml"/><Relationship Id="rId19" Type="http://schemas.openxmlformats.org/officeDocument/2006/relationships/image" Target="../media/image11.emf"/><Relationship Id="rId31" Type="http://schemas.openxmlformats.org/officeDocument/2006/relationships/image" Target="../media/image17.emf"/><Relationship Id="rId4" Type="http://schemas.openxmlformats.org/officeDocument/2006/relationships/drawing" Target="../drawings/drawing34.xml"/><Relationship Id="rId9" Type="http://schemas.openxmlformats.org/officeDocument/2006/relationships/image" Target="../media/image6.emf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3.xml"/><Relationship Id="rId27" Type="http://schemas.openxmlformats.org/officeDocument/2006/relationships/image" Target="../media/image15.emf"/><Relationship Id="rId30" Type="http://schemas.openxmlformats.org/officeDocument/2006/relationships/control" Target="../activeX/activeX17.xml"/><Relationship Id="rId35" Type="http://schemas.openxmlformats.org/officeDocument/2006/relationships/image" Target="../media/image1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O59"/>
  <sheetViews>
    <sheetView showOutlineSymbols="0" topLeftCell="A4" workbookViewId="0">
      <selection activeCell="Q9" sqref="Q9:R58"/>
    </sheetView>
  </sheetViews>
  <sheetFormatPr defaultRowHeight="23.25"/>
  <cols>
    <col min="1" max="1" width="7.28515625" style="108" customWidth="1"/>
    <col min="2" max="2" width="16.140625" style="108" customWidth="1"/>
    <col min="3" max="3" width="9.140625" style="108"/>
    <col min="4" max="4" width="12.85546875" style="108" customWidth="1"/>
    <col min="5" max="5" width="10.140625" style="108" customWidth="1"/>
    <col min="6" max="6" width="15.42578125" style="108" bestFit="1" customWidth="1"/>
    <col min="7" max="7" width="9.140625" style="108"/>
    <col min="8" max="8" width="13.28515625" style="108" customWidth="1"/>
    <col min="9" max="9" width="9.140625" style="108"/>
    <col min="10" max="10" width="10.5703125" style="108" customWidth="1"/>
    <col min="11" max="11" width="6.42578125" style="108" customWidth="1"/>
    <col min="12" max="12" width="5.7109375" style="108" customWidth="1"/>
    <col min="13" max="13" width="13.7109375" style="108" customWidth="1"/>
    <col min="14" max="14" width="12.42578125" style="108" customWidth="1"/>
    <col min="15" max="15" width="3.28515625" style="108" hidden="1" customWidth="1"/>
    <col min="16" max="16" width="9.5703125" style="108" customWidth="1"/>
    <col min="17" max="21" width="9.140625" style="108"/>
    <col min="22" max="22" width="9.28515625" style="108" bestFit="1" customWidth="1"/>
    <col min="23" max="16384" width="9.140625" style="108"/>
  </cols>
  <sheetData>
    <row r="1" spans="1:67">
      <c r="A1" s="267" t="s">
        <v>112</v>
      </c>
      <c r="B1" s="111" t="s">
        <v>66</v>
      </c>
      <c r="C1" s="64"/>
      <c r="D1" s="112" t="s">
        <v>142</v>
      </c>
      <c r="E1" s="64"/>
      <c r="F1" s="111" t="s">
        <v>67</v>
      </c>
      <c r="G1" s="64"/>
      <c r="H1" s="112" t="s">
        <v>143</v>
      </c>
      <c r="I1" s="64"/>
    </row>
    <row r="2" spans="1:67" ht="51.75" customHeight="1">
      <c r="A2" s="268"/>
    </row>
    <row r="3" spans="1:67" ht="20.25" customHeight="1">
      <c r="B3" s="271" t="s">
        <v>91</v>
      </c>
      <c r="C3" s="271"/>
      <c r="D3" s="271"/>
      <c r="E3" s="273">
        <f ca="1">NOW()</f>
        <v>41773.585035763892</v>
      </c>
      <c r="F3" s="274"/>
      <c r="K3" s="259" t="s">
        <v>92</v>
      </c>
      <c r="M3" s="259"/>
      <c r="N3" s="164"/>
    </row>
    <row r="4" spans="1:67">
      <c r="B4" s="109" t="s">
        <v>136</v>
      </c>
      <c r="C4" s="275" t="str">
        <f>'c-form'!C10</f>
        <v>Ban Cho Lae,  Mae Taeng, Chiang Mai,P.75</v>
      </c>
      <c r="D4" s="270"/>
      <c r="E4" s="270"/>
      <c r="F4" s="270"/>
      <c r="G4" s="270"/>
      <c r="H4" s="270"/>
      <c r="I4" s="270"/>
      <c r="K4" s="259" t="s">
        <v>93</v>
      </c>
      <c r="M4" s="259"/>
      <c r="N4" s="164"/>
    </row>
    <row r="5" spans="1:67">
      <c r="B5" s="109" t="s">
        <v>137</v>
      </c>
      <c r="C5" s="272" t="str">
        <f>'c-form'!C12</f>
        <v>Nam  Ping</v>
      </c>
      <c r="D5" s="270"/>
      <c r="E5" s="270"/>
      <c r="F5" s="270"/>
      <c r="K5" s="259" t="s">
        <v>94</v>
      </c>
    </row>
    <row r="6" spans="1:67">
      <c r="B6" s="109" t="s">
        <v>138</v>
      </c>
      <c r="C6" s="272" t="str">
        <f>'c-form'!N12</f>
        <v>Ping</v>
      </c>
      <c r="D6" s="270"/>
      <c r="E6" s="270"/>
      <c r="F6" s="270"/>
      <c r="K6" s="259" t="s">
        <v>95</v>
      </c>
    </row>
    <row r="7" spans="1:67">
      <c r="B7" s="109" t="s">
        <v>135</v>
      </c>
      <c r="C7" s="276" t="str">
        <f>'c-form'!T12</f>
        <v>Ping</v>
      </c>
      <c r="D7" s="277"/>
      <c r="E7" s="277"/>
      <c r="F7" s="277"/>
      <c r="K7" s="271" t="s">
        <v>96</v>
      </c>
      <c r="L7" s="270"/>
      <c r="M7" s="272" t="str">
        <f>[0]!rating</f>
        <v>HC.1/2424</v>
      </c>
      <c r="N7" s="270"/>
      <c r="O7" s="164"/>
    </row>
    <row r="8" spans="1:67">
      <c r="M8" s="260" t="s">
        <v>97</v>
      </c>
      <c r="N8" s="260" t="s">
        <v>98</v>
      </c>
      <c r="Q8" s="66" t="s">
        <v>98</v>
      </c>
      <c r="R8" s="67" t="s">
        <v>97</v>
      </c>
      <c r="S8" s="256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</row>
    <row r="9" spans="1:67">
      <c r="M9" s="255" t="str">
        <f>IF(TRIM('c-form'!D63)="","",'c-form'!D63)</f>
        <v/>
      </c>
      <c r="N9" s="108" t="str">
        <f>IF(TRIM('c-form'!F63)="","",'c-form'!F63)</f>
        <v/>
      </c>
      <c r="Q9" s="65" t="s">
        <v>99</v>
      </c>
      <c r="R9" s="65" t="s">
        <v>99</v>
      </c>
      <c r="S9" s="255"/>
      <c r="T9" s="111">
        <f>IF(TRIM(C1)="",MAX(Q9:Q58),C1)</f>
        <v>0</v>
      </c>
      <c r="U9" s="256">
        <f>IF(TRIM(G1)="",MIN(Q9:Q58),G1)</f>
        <v>0</v>
      </c>
      <c r="V9" s="108">
        <f>IF(OR(TRIM(C1)="",TRIM(G1)=""),(T9-U9)/5,(C1-G1)/5)</f>
        <v>0</v>
      </c>
      <c r="W9" s="108">
        <f>MIN(W11:W12)</f>
        <v>0</v>
      </c>
    </row>
    <row r="10" spans="1:67">
      <c r="M10" s="255" t="str">
        <f>IF(TRIM('c-form'!H63)="","",'c-form'!H63)</f>
        <v/>
      </c>
      <c r="N10" s="108" t="str">
        <f>IF(TRIM('c-form'!J63)="","",'c-form'!J63)</f>
        <v/>
      </c>
      <c r="Q10" s="65" t="s">
        <v>99</v>
      </c>
      <c r="R10" s="65" t="s">
        <v>99</v>
      </c>
      <c r="S10" s="255"/>
      <c r="T10" s="257">
        <f>IF(TRIM(E1)="",MAX(R9:R58),E1)</f>
        <v>0</v>
      </c>
      <c r="U10" s="258">
        <f>IF(TRIM(I1)="",MIN(R9:R58),I1)</f>
        <v>0</v>
      </c>
      <c r="V10" s="255">
        <f>IF(OR(TRIM(E1)="",TRIM(I1)=""),(T10-U10)/5,(E1-I1)/5)</f>
        <v>0</v>
      </c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</row>
    <row r="11" spans="1:67">
      <c r="M11" s="255" t="str">
        <f>IF(TRIM('c-form'!M63)="","",'c-form'!M63)</f>
        <v/>
      </c>
      <c r="N11" s="108" t="str">
        <f>IF(TRIM('c-form'!P63)="","",'c-form'!P63)</f>
        <v/>
      </c>
      <c r="Q11" s="65" t="s">
        <v>99</v>
      </c>
      <c r="R11" s="65" t="s">
        <v>99</v>
      </c>
      <c r="S11" s="255"/>
      <c r="W11" s="108">
        <f>COUNT(M9:M58)</f>
        <v>0</v>
      </c>
    </row>
    <row r="12" spans="1:67">
      <c r="M12" s="255" t="str">
        <f>IF(TRIM('c-form'!R63)="","",'c-form'!R63)</f>
        <v/>
      </c>
      <c r="N12" s="108" t="str">
        <f>IF(TRIM('c-form'!T63)="","",'c-form'!T63)</f>
        <v/>
      </c>
      <c r="Q12" s="65" t="s">
        <v>99</v>
      </c>
      <c r="R12" s="65" t="s">
        <v>99</v>
      </c>
      <c r="S12" s="255"/>
      <c r="W12" s="108">
        <f>COUNT(N9:N58)</f>
        <v>0</v>
      </c>
    </row>
    <row r="13" spans="1:67">
      <c r="M13" s="255" t="str">
        <f>IF(TRIM('c-form'!W63)="","",'c-form'!W63)</f>
        <v/>
      </c>
      <c r="N13" s="108" t="str">
        <f>IF(TRIM('c-form'!AA63)="","",'c-form'!AA63)</f>
        <v/>
      </c>
      <c r="Q13" s="65" t="s">
        <v>99</v>
      </c>
      <c r="R13" s="65" t="s">
        <v>99</v>
      </c>
      <c r="S13" s="255"/>
    </row>
    <row r="14" spans="1:67">
      <c r="M14" s="255" t="str">
        <f>IF(TRIM('c-form'!D64)="","",'c-form'!D64)</f>
        <v/>
      </c>
      <c r="N14" s="108" t="str">
        <f>IF(TRIM('c-form'!F64)="","",'c-form'!F64)</f>
        <v/>
      </c>
      <c r="Q14" s="65" t="s">
        <v>99</v>
      </c>
      <c r="R14" s="65" t="s">
        <v>99</v>
      </c>
      <c r="S14" s="255"/>
    </row>
    <row r="15" spans="1:67">
      <c r="M15" s="255" t="str">
        <f>IF(TRIM('c-form'!H64)="","",'c-form'!H64)</f>
        <v/>
      </c>
      <c r="N15" s="108" t="str">
        <f>IF(TRIM('c-form'!J64)="","",'c-form'!J64)</f>
        <v/>
      </c>
      <c r="Q15" s="65" t="s">
        <v>99</v>
      </c>
      <c r="R15" s="65" t="s">
        <v>99</v>
      </c>
      <c r="S15" s="255"/>
    </row>
    <row r="16" spans="1:67">
      <c r="M16" s="255" t="str">
        <f>IF(TRIM('c-form'!M64)="","",'c-form'!M64)</f>
        <v/>
      </c>
      <c r="N16" s="108" t="str">
        <f>IF(TRIM('c-form'!P64)="","",'c-form'!P64)</f>
        <v/>
      </c>
      <c r="Q16" s="65" t="s">
        <v>99</v>
      </c>
      <c r="R16" s="65" t="s">
        <v>99</v>
      </c>
      <c r="S16" s="255"/>
    </row>
    <row r="17" spans="13:19">
      <c r="M17" s="255" t="str">
        <f>IF(TRIM('c-form'!R64)="","",'c-form'!R64)</f>
        <v/>
      </c>
      <c r="N17" s="108" t="str">
        <f>IF(TRIM('c-form'!T64)="","",'c-form'!T64)</f>
        <v/>
      </c>
      <c r="Q17" s="65" t="s">
        <v>99</v>
      </c>
      <c r="R17" s="65" t="s">
        <v>99</v>
      </c>
      <c r="S17" s="255"/>
    </row>
    <row r="18" spans="13:19">
      <c r="M18" s="255" t="str">
        <f>IF(TRIM('c-form'!W64)="","",'c-form'!W64)</f>
        <v/>
      </c>
      <c r="N18" s="108" t="str">
        <f>IF(TRIM('c-form'!AA64)="","",'c-form'!AA64)</f>
        <v/>
      </c>
      <c r="Q18" s="65" t="s">
        <v>99</v>
      </c>
      <c r="R18" s="65" t="s">
        <v>99</v>
      </c>
      <c r="S18" s="255"/>
    </row>
    <row r="19" spans="13:19">
      <c r="M19" s="255" t="str">
        <f>IF(TRIM('c-form'!D65)="","",'c-form'!D65)</f>
        <v/>
      </c>
      <c r="N19" s="108" t="str">
        <f>IF(TRIM('c-form'!F65)="","",'c-form'!F65)</f>
        <v/>
      </c>
      <c r="Q19" s="65" t="s">
        <v>99</v>
      </c>
      <c r="R19" s="65" t="s">
        <v>99</v>
      </c>
      <c r="S19" s="255"/>
    </row>
    <row r="20" spans="13:19">
      <c r="M20" s="255" t="str">
        <f>IF(TRIM('c-form'!H65)="","",'c-form'!H65)</f>
        <v/>
      </c>
      <c r="N20" s="108" t="str">
        <f>IF(TRIM('c-form'!J65)="","",'c-form'!J65)</f>
        <v/>
      </c>
      <c r="Q20" s="65" t="s">
        <v>99</v>
      </c>
      <c r="R20" s="65" t="s">
        <v>99</v>
      </c>
      <c r="S20" s="255"/>
    </row>
    <row r="21" spans="13:19">
      <c r="M21" s="255" t="str">
        <f>IF(TRIM('c-form'!M65)="","",'c-form'!M65)</f>
        <v/>
      </c>
      <c r="N21" s="108" t="str">
        <f>IF(TRIM('c-form'!P65)="","",'c-form'!P65)</f>
        <v/>
      </c>
      <c r="Q21" s="65" t="s">
        <v>99</v>
      </c>
      <c r="R21" s="65" t="s">
        <v>99</v>
      </c>
      <c r="S21" s="255"/>
    </row>
    <row r="22" spans="13:19">
      <c r="M22" s="255" t="str">
        <f>IF(TRIM('c-form'!R65)="","",'c-form'!R65)</f>
        <v/>
      </c>
      <c r="N22" s="108" t="str">
        <f>IF(TRIM('c-form'!T65)="","",'c-form'!T65)</f>
        <v/>
      </c>
      <c r="Q22" s="65" t="s">
        <v>99</v>
      </c>
      <c r="R22" s="65" t="s">
        <v>99</v>
      </c>
      <c r="S22" s="255"/>
    </row>
    <row r="23" spans="13:19">
      <c r="M23" s="255" t="str">
        <f>IF(TRIM('c-form'!W65)="","",'c-form'!W65)</f>
        <v/>
      </c>
      <c r="N23" s="108" t="str">
        <f>IF(TRIM('c-form'!AA65)="","",'c-form'!AA65)</f>
        <v/>
      </c>
      <c r="Q23" s="65" t="s">
        <v>99</v>
      </c>
      <c r="R23" s="65" t="s">
        <v>99</v>
      </c>
      <c r="S23" s="255"/>
    </row>
    <row r="24" spans="13:19">
      <c r="M24" s="255" t="str">
        <f>IF(TRIM('c-form'!D66)="","",'c-form'!D66)</f>
        <v/>
      </c>
      <c r="N24" s="108" t="str">
        <f>IF(TRIM('c-form'!F66)="","",'c-form'!F66)</f>
        <v/>
      </c>
      <c r="Q24" s="65" t="s">
        <v>99</v>
      </c>
      <c r="R24" s="65" t="s">
        <v>99</v>
      </c>
      <c r="S24" s="255"/>
    </row>
    <row r="25" spans="13:19">
      <c r="M25" s="255" t="str">
        <f>IF(TRIM('c-form'!H66)="","",'c-form'!H66)</f>
        <v/>
      </c>
      <c r="N25" s="108" t="str">
        <f>IF(TRIM('c-form'!J66)="","",'c-form'!J66)</f>
        <v/>
      </c>
      <c r="Q25" s="65" t="s">
        <v>99</v>
      </c>
      <c r="R25" s="65" t="s">
        <v>99</v>
      </c>
      <c r="S25" s="255"/>
    </row>
    <row r="26" spans="13:19">
      <c r="M26" s="255" t="str">
        <f>IF(TRIM('c-form'!M66)="","",'c-form'!M66)</f>
        <v/>
      </c>
      <c r="N26" s="108" t="str">
        <f>IF(TRIM('c-form'!P66)="","",'c-form'!P66)</f>
        <v/>
      </c>
      <c r="Q26" s="65" t="s">
        <v>99</v>
      </c>
      <c r="R26" s="65" t="s">
        <v>99</v>
      </c>
      <c r="S26" s="255"/>
    </row>
    <row r="27" spans="13:19">
      <c r="M27" s="255" t="str">
        <f>IF(TRIM('c-form'!R66)="","",'c-form'!R66)</f>
        <v/>
      </c>
      <c r="N27" s="108" t="str">
        <f>IF(TRIM('c-form'!T66)="","",'c-form'!T66)</f>
        <v/>
      </c>
      <c r="Q27" s="65" t="s">
        <v>99</v>
      </c>
      <c r="R27" s="65" t="s">
        <v>99</v>
      </c>
      <c r="S27" s="255"/>
    </row>
    <row r="28" spans="13:19">
      <c r="M28" s="255" t="str">
        <f>IF(TRIM('c-form'!W66)="","",'c-form'!W66)</f>
        <v/>
      </c>
      <c r="N28" s="108" t="str">
        <f>IF(TRIM('c-form'!AA66)="","",'c-form'!AA66)</f>
        <v/>
      </c>
      <c r="Q28" s="65" t="s">
        <v>99</v>
      </c>
      <c r="R28" s="65" t="s">
        <v>99</v>
      </c>
      <c r="S28" s="255"/>
    </row>
    <row r="29" spans="13:19">
      <c r="M29" s="255" t="str">
        <f>IF(TRIM('c-form'!D67)="","",'c-form'!D67)</f>
        <v/>
      </c>
      <c r="N29" s="108" t="str">
        <f>IF(TRIM('c-form'!F67)="","",'c-form'!F67)</f>
        <v/>
      </c>
      <c r="Q29" s="65" t="s">
        <v>99</v>
      </c>
      <c r="R29" s="65" t="s">
        <v>99</v>
      </c>
      <c r="S29" s="255"/>
    </row>
    <row r="30" spans="13:19">
      <c r="M30" s="255" t="str">
        <f>IF(TRIM('c-form'!H67)="","",'c-form'!H67)</f>
        <v/>
      </c>
      <c r="N30" s="108" t="str">
        <f>IF(TRIM('c-form'!J67)="","",'c-form'!J67)</f>
        <v/>
      </c>
      <c r="Q30" s="65" t="s">
        <v>99</v>
      </c>
      <c r="R30" s="65" t="s">
        <v>99</v>
      </c>
      <c r="S30" s="255"/>
    </row>
    <row r="31" spans="13:19">
      <c r="M31" s="255" t="str">
        <f>IF(TRIM('c-form'!M67)="","",'c-form'!M67)</f>
        <v/>
      </c>
      <c r="N31" s="108" t="str">
        <f>IF(TRIM('c-form'!P67)="","",'c-form'!P67)</f>
        <v/>
      </c>
      <c r="Q31" s="65" t="s">
        <v>99</v>
      </c>
      <c r="R31" s="65" t="s">
        <v>99</v>
      </c>
      <c r="S31" s="255"/>
    </row>
    <row r="32" spans="13:19">
      <c r="M32" s="255" t="str">
        <f>IF(TRIM('c-form'!R67)="","",'c-form'!R67)</f>
        <v/>
      </c>
      <c r="N32" s="108" t="str">
        <f>IF(TRIM('c-form'!T67)="","",'c-form'!T67)</f>
        <v/>
      </c>
      <c r="Q32" s="65" t="s">
        <v>99</v>
      </c>
      <c r="R32" s="65" t="s">
        <v>99</v>
      </c>
      <c r="S32" s="108" t="s">
        <v>99</v>
      </c>
    </row>
    <row r="33" spans="13:19">
      <c r="M33" s="255" t="str">
        <f>IF(TRIM('c-form'!W67)="","",'c-form'!W67)</f>
        <v/>
      </c>
      <c r="N33" s="108" t="str">
        <f>IF(TRIM('c-form'!AA67)="","",'c-form'!AA67)</f>
        <v/>
      </c>
      <c r="Q33" s="65" t="s">
        <v>99</v>
      </c>
      <c r="R33" s="65" t="s">
        <v>99</v>
      </c>
      <c r="S33" s="108" t="s">
        <v>99</v>
      </c>
    </row>
    <row r="34" spans="13:19">
      <c r="M34" s="255" t="str">
        <f>IF(TRIM('c-form'!D68)="","",'c-form'!D68)</f>
        <v/>
      </c>
      <c r="N34" s="108" t="str">
        <f>IF(TRIM('c-form'!F68)="","",'c-form'!F68)</f>
        <v/>
      </c>
      <c r="Q34" s="65" t="s">
        <v>99</v>
      </c>
      <c r="R34" s="65" t="s">
        <v>99</v>
      </c>
      <c r="S34" s="108" t="s">
        <v>99</v>
      </c>
    </row>
    <row r="35" spans="13:19">
      <c r="M35" s="255" t="str">
        <f>IF(TRIM('c-form'!H68)="","",'c-form'!H68)</f>
        <v/>
      </c>
      <c r="N35" s="108" t="str">
        <f>IF(TRIM('c-form'!J68)="","",'c-form'!J68)</f>
        <v/>
      </c>
      <c r="Q35" s="65" t="s">
        <v>99</v>
      </c>
      <c r="R35" s="65" t="s">
        <v>99</v>
      </c>
      <c r="S35" s="108" t="s">
        <v>99</v>
      </c>
    </row>
    <row r="36" spans="13:19">
      <c r="M36" s="255" t="str">
        <f>IF(TRIM('c-form'!M68)="","",'c-form'!M68)</f>
        <v/>
      </c>
      <c r="N36" s="108" t="str">
        <f>IF(TRIM('c-form'!P68)="","",'c-form'!P68)</f>
        <v/>
      </c>
      <c r="Q36" s="65" t="s">
        <v>99</v>
      </c>
      <c r="R36" s="65" t="s">
        <v>99</v>
      </c>
      <c r="S36" s="108" t="s">
        <v>99</v>
      </c>
    </row>
    <row r="37" spans="13:19">
      <c r="M37" s="255" t="str">
        <f>IF(TRIM('c-form'!R68)="","",'c-form'!R68)</f>
        <v/>
      </c>
      <c r="N37" s="108" t="str">
        <f>IF(TRIM('c-form'!T68)="","",'c-form'!T68)</f>
        <v/>
      </c>
      <c r="Q37" s="65" t="s">
        <v>99</v>
      </c>
      <c r="R37" s="65" t="s">
        <v>99</v>
      </c>
      <c r="S37" s="108" t="s">
        <v>99</v>
      </c>
    </row>
    <row r="38" spans="13:19">
      <c r="M38" s="255" t="str">
        <f>IF(TRIM('c-form'!W68)="","",'c-form'!W68)</f>
        <v/>
      </c>
      <c r="N38" s="108" t="str">
        <f>IF(TRIM('c-form'!AA68)="","",'c-form'!AA68)</f>
        <v/>
      </c>
      <c r="Q38" s="65" t="s">
        <v>99</v>
      </c>
      <c r="R38" s="65" t="s">
        <v>99</v>
      </c>
      <c r="S38" s="108" t="s">
        <v>99</v>
      </c>
    </row>
    <row r="39" spans="13:19">
      <c r="M39" s="255" t="str">
        <f>IF(TRIM('c-form'!D69)="","",'c-form'!D69)</f>
        <v/>
      </c>
      <c r="N39" s="108" t="str">
        <f>IF(TRIM('c-form'!F69)="","",'c-form'!F6)</f>
        <v/>
      </c>
      <c r="Q39" s="65" t="s">
        <v>99</v>
      </c>
      <c r="R39" s="65" t="s">
        <v>99</v>
      </c>
      <c r="S39" s="108" t="s">
        <v>99</v>
      </c>
    </row>
    <row r="40" spans="13:19">
      <c r="M40" s="255" t="str">
        <f>IF(TRIM('c-form'!H69)="","",'c-form'!H69)</f>
        <v/>
      </c>
      <c r="N40" s="108" t="str">
        <f>IF(TRIM('c-form'!J69)="","",'c-form'!J69)</f>
        <v/>
      </c>
      <c r="Q40" s="65" t="s">
        <v>99</v>
      </c>
      <c r="R40" s="65" t="s">
        <v>99</v>
      </c>
      <c r="S40" s="108" t="s">
        <v>99</v>
      </c>
    </row>
    <row r="41" spans="13:19">
      <c r="M41" s="255" t="str">
        <f>IF(TRIM('c-form'!M69)="","",'c-form'!M69)</f>
        <v/>
      </c>
      <c r="N41" s="108" t="str">
        <f>IF(TRIM('c-form'!P69)="","",'c-form'!P69)</f>
        <v/>
      </c>
      <c r="Q41" s="65" t="s">
        <v>99</v>
      </c>
      <c r="R41" s="65" t="s">
        <v>99</v>
      </c>
      <c r="S41" s="108" t="s">
        <v>99</v>
      </c>
    </row>
    <row r="42" spans="13:19">
      <c r="M42" s="255" t="str">
        <f>IF(TRIM('c-form'!R69)="","",'c-form'!R69)</f>
        <v/>
      </c>
      <c r="N42" s="108" t="str">
        <f>IF(TRIM('c-form'!T69)="","",'c-form'!T69)</f>
        <v/>
      </c>
      <c r="Q42" s="65" t="s">
        <v>99</v>
      </c>
      <c r="R42" s="65" t="s">
        <v>99</v>
      </c>
      <c r="S42" s="108" t="s">
        <v>99</v>
      </c>
    </row>
    <row r="43" spans="13:19">
      <c r="M43" s="255" t="str">
        <f>IF(TRIM('c-form'!R69)="","",'c-form'!W69)</f>
        <v/>
      </c>
      <c r="N43" s="108" t="str">
        <f>IF(TRIM('c-form'!AA69)="","",'c-form'!AA69)</f>
        <v/>
      </c>
      <c r="Q43" s="65" t="s">
        <v>99</v>
      </c>
      <c r="R43" s="65" t="s">
        <v>99</v>
      </c>
      <c r="S43" s="108" t="s">
        <v>99</v>
      </c>
    </row>
    <row r="44" spans="13:19">
      <c r="M44" s="255" t="str">
        <f>IF(TRIM('c-form'!D70)="","",'c-form'!D70)</f>
        <v/>
      </c>
      <c r="N44" s="108" t="str">
        <f>IF(TRIM('c-form'!F70)="","",'c-form'!F70)</f>
        <v/>
      </c>
      <c r="Q44" s="65" t="s">
        <v>99</v>
      </c>
      <c r="R44" s="65" t="s">
        <v>99</v>
      </c>
      <c r="S44" s="108" t="s">
        <v>99</v>
      </c>
    </row>
    <row r="45" spans="13:19">
      <c r="M45" s="255" t="str">
        <f>IF(TRIM('c-form'!H70)="","",'c-form'!H70)</f>
        <v/>
      </c>
      <c r="N45" s="108" t="str">
        <f>IF(TRIM('c-form'!J70)="","",'c-form'!J70)</f>
        <v/>
      </c>
      <c r="Q45" s="65" t="s">
        <v>99</v>
      </c>
      <c r="R45" s="65" t="s">
        <v>99</v>
      </c>
      <c r="S45" s="108" t="s">
        <v>99</v>
      </c>
    </row>
    <row r="46" spans="13:19">
      <c r="M46" s="255" t="str">
        <f>IF(TRIM('c-form'!M70)="","",'c-form'!M29)</f>
        <v/>
      </c>
      <c r="N46" s="108" t="str">
        <f>IF(TRIM('c-form'!P70)="","",'c-form'!P70)</f>
        <v/>
      </c>
      <c r="Q46" s="65" t="s">
        <v>99</v>
      </c>
      <c r="R46" s="65" t="s">
        <v>99</v>
      </c>
      <c r="S46" s="108" t="s">
        <v>99</v>
      </c>
    </row>
    <row r="47" spans="13:19">
      <c r="M47" s="255" t="str">
        <f>IF(TRIM('c-form'!R70)="","",'c-form'!R70)</f>
        <v/>
      </c>
      <c r="N47" s="108" t="str">
        <f>IF(TRIM('c-form'!T70)="","",'c-form'!T70)</f>
        <v/>
      </c>
      <c r="Q47" s="65" t="s">
        <v>99</v>
      </c>
      <c r="R47" s="65" t="s">
        <v>99</v>
      </c>
      <c r="S47" s="108" t="s">
        <v>99</v>
      </c>
    </row>
    <row r="48" spans="13:19">
      <c r="M48" s="255" t="str">
        <f>IF(TRIM('c-form'!W70)="","",'c-form'!W70)</f>
        <v/>
      </c>
      <c r="N48" s="108" t="str">
        <f>IF(TRIM('c-form'!AA70)="","",'c-form'!AA70)</f>
        <v/>
      </c>
      <c r="Q48" s="65" t="s">
        <v>99</v>
      </c>
      <c r="R48" s="65" t="s">
        <v>99</v>
      </c>
      <c r="S48" s="108" t="s">
        <v>99</v>
      </c>
    </row>
    <row r="49" spans="1:19">
      <c r="M49" s="255" t="str">
        <f>IF(TRIM('c-form'!D71)="","",'c-form'!D71)</f>
        <v/>
      </c>
      <c r="N49" s="108" t="str">
        <f>IF(TRIM('c-form'!F71)="","",'c-form'!F71)</f>
        <v/>
      </c>
      <c r="Q49" s="65" t="s">
        <v>99</v>
      </c>
      <c r="R49" s="65" t="s">
        <v>99</v>
      </c>
      <c r="S49" s="108" t="s">
        <v>99</v>
      </c>
    </row>
    <row r="50" spans="1:19">
      <c r="M50" s="255" t="str">
        <f>IF(TRIM('c-form'!H71)="","",'c-form'!H71)</f>
        <v/>
      </c>
      <c r="N50" s="108" t="str">
        <f>IF(TRIM('c-form'!J71)="","",'c-form'!J71)</f>
        <v/>
      </c>
      <c r="Q50" s="65" t="s">
        <v>99</v>
      </c>
      <c r="R50" s="65" t="s">
        <v>99</v>
      </c>
      <c r="S50" s="108" t="s">
        <v>99</v>
      </c>
    </row>
    <row r="51" spans="1:19">
      <c r="M51" s="255" t="str">
        <f>IF(TRIM('c-form'!M71)="","",'c-form'!M71)</f>
        <v/>
      </c>
      <c r="N51" s="108" t="str">
        <f>IF(TRIM('c-form'!P71)="","",'c-form'!P71)</f>
        <v/>
      </c>
      <c r="Q51" s="65" t="s">
        <v>99</v>
      </c>
      <c r="R51" s="65" t="s">
        <v>99</v>
      </c>
      <c r="S51" s="108" t="s">
        <v>99</v>
      </c>
    </row>
    <row r="52" spans="1:19">
      <c r="M52" s="255" t="str">
        <f>IF(TRIM('c-form'!R71)="","",'c-form'!R71)</f>
        <v/>
      </c>
      <c r="N52" s="108" t="str">
        <f>IF(TRIM('c-form'!T71)="","",'c-form'!T71)</f>
        <v/>
      </c>
      <c r="Q52" s="65" t="s">
        <v>99</v>
      </c>
      <c r="R52" s="65" t="s">
        <v>99</v>
      </c>
      <c r="S52" s="108" t="s">
        <v>99</v>
      </c>
    </row>
    <row r="53" spans="1:19">
      <c r="M53" s="255" t="str">
        <f>IF(TRIM('c-form'!W71)="","",'c-form'!W71)</f>
        <v/>
      </c>
      <c r="N53" s="108" t="str">
        <f>IF(TRIM('c-form'!AA71)="","",'c-form'!AA71)</f>
        <v/>
      </c>
      <c r="Q53" s="65" t="s">
        <v>99</v>
      </c>
      <c r="R53" s="65" t="s">
        <v>99</v>
      </c>
      <c r="S53" s="108" t="s">
        <v>99</v>
      </c>
    </row>
    <row r="54" spans="1:19">
      <c r="M54" s="255" t="str">
        <f>IF(TRIM('c-form'!D72)="","",'c-form'!D72)</f>
        <v/>
      </c>
      <c r="N54" s="108" t="str">
        <f>IF(TRIM('c-form'!F72)="","",'c-form'!F72)</f>
        <v/>
      </c>
      <c r="Q54" s="65" t="s">
        <v>99</v>
      </c>
      <c r="R54" s="65" t="s">
        <v>99</v>
      </c>
      <c r="S54" s="108" t="s">
        <v>99</v>
      </c>
    </row>
    <row r="55" spans="1:19">
      <c r="M55" s="255" t="str">
        <f>IF(TRIM('c-form'!H72)="","",'c-form'!H72)</f>
        <v/>
      </c>
      <c r="N55" s="108" t="str">
        <f>IF(TRIM('c-form'!J72)="","",'c-form'!J72)</f>
        <v/>
      </c>
      <c r="Q55" s="65" t="s">
        <v>99</v>
      </c>
      <c r="R55" s="65" t="s">
        <v>99</v>
      </c>
      <c r="S55" s="108" t="s">
        <v>99</v>
      </c>
    </row>
    <row r="56" spans="1:19">
      <c r="M56" s="255" t="str">
        <f>IF(TRIM('c-form'!M72)="","",'c-form'!M72)</f>
        <v/>
      </c>
      <c r="N56" s="108" t="str">
        <f>IF(TRIM('c-form'!P72)="","",'c-form'!P72)</f>
        <v/>
      </c>
      <c r="Q56" s="65" t="s">
        <v>99</v>
      </c>
      <c r="R56" s="65" t="s">
        <v>99</v>
      </c>
      <c r="S56" s="108" t="s">
        <v>99</v>
      </c>
    </row>
    <row r="57" spans="1:19">
      <c r="M57" s="255" t="str">
        <f>IF(TRIM('c-form'!R72)="","",'c-form'!R72)</f>
        <v/>
      </c>
      <c r="N57" s="108" t="str">
        <f>IF(TRIM('c-form'!T72)="","",'c-form'!T72)</f>
        <v/>
      </c>
      <c r="Q57" s="65" t="s">
        <v>99</v>
      </c>
      <c r="R57" s="65" t="s">
        <v>99</v>
      </c>
      <c r="S57" s="108" t="s">
        <v>99</v>
      </c>
    </row>
    <row r="58" spans="1:19">
      <c r="M58" s="255" t="str">
        <f>IF(TRIM('c-form'!W72)="","",'c-form'!W72)</f>
        <v/>
      </c>
      <c r="N58" s="108" t="str">
        <f>IF(TRIM('c-form'!AA72)="","",'c-form'!AA72)</f>
        <v/>
      </c>
      <c r="Q58" s="65" t="s">
        <v>99</v>
      </c>
      <c r="R58" s="65" t="s">
        <v>99</v>
      </c>
      <c r="S58" s="108" t="s">
        <v>99</v>
      </c>
    </row>
    <row r="59" spans="1:19">
      <c r="A59" s="269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Q59" s="65"/>
      <c r="R59" s="65"/>
    </row>
  </sheetData>
  <sheetProtection formatCells="0" formatColumns="0" formatRows="0" insertColumns="0" insertRows="0" insertHyperlinks="0" deleteColumns="0" deleteRows="0" sort="0" autoFilter="0" pivotTables="0"/>
  <mergeCells count="10">
    <mergeCell ref="A1:A2"/>
    <mergeCell ref="A59:N59"/>
    <mergeCell ref="K7:L7"/>
    <mergeCell ref="M7:N7"/>
    <mergeCell ref="B3:D3"/>
    <mergeCell ref="E3:F3"/>
    <mergeCell ref="C4:I4"/>
    <mergeCell ref="C5:F5"/>
    <mergeCell ref="C6:F6"/>
    <mergeCell ref="C7:F7"/>
  </mergeCells>
  <phoneticPr fontId="0" type="noConversion"/>
  <pageMargins left="0.78740157480314998" right="0.196850393700787" top="0.59055118110236204" bottom="0.39370078740157499" header="0.511811023622047" footer="0.511811023622047"/>
  <pageSetup paperSize="9" scale="4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342" r:id="rId4" name="Run2">
          <controlPr defaultSize="0" autoLine="0" r:id="rId5">
            <anchor moveWithCells="1" sizeWithCells="1">
              <from>
                <xdr:col>4</xdr:col>
                <xdr:colOff>123825</xdr:colOff>
                <xdr:row>1</xdr:row>
                <xdr:rowOff>180975</xdr:rowOff>
              </from>
              <to>
                <xdr:col>5</xdr:col>
                <xdr:colOff>838200</xdr:colOff>
                <xdr:row>1</xdr:row>
                <xdr:rowOff>495300</xdr:rowOff>
              </to>
            </anchor>
          </controlPr>
        </control>
      </mc:Choice>
      <mc:Fallback>
        <control shapeId="14342" r:id="rId4" name="Run2"/>
      </mc:Fallback>
    </mc:AlternateContent>
    <mc:AlternateContent xmlns:mc="http://schemas.openxmlformats.org/markup-compatibility/2006">
      <mc:Choice Requires="x14">
        <control shapeId="14389" r:id="rId6" name="cprint">
          <controlPr defaultSize="0" autoLine="0" r:id="rId7">
            <anchor moveWithCells="1" sizeWithCells="1">
              <from>
                <xdr:col>6</xdr:col>
                <xdr:colOff>9525</xdr:colOff>
                <xdr:row>1</xdr:row>
                <xdr:rowOff>180975</xdr:rowOff>
              </from>
              <to>
                <xdr:col>8</xdr:col>
                <xdr:colOff>9525</xdr:colOff>
                <xdr:row>1</xdr:row>
                <xdr:rowOff>504825</xdr:rowOff>
              </to>
            </anchor>
          </controlPr>
        </control>
      </mc:Choice>
      <mc:Fallback>
        <control shapeId="14389" r:id="rId6" name="cprin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BO59"/>
  <sheetViews>
    <sheetView showGridLines="0" tabSelected="1" topLeftCell="A4" workbookViewId="0">
      <selection activeCell="Q6" sqref="Q6"/>
    </sheetView>
  </sheetViews>
  <sheetFormatPr defaultRowHeight="23.25"/>
  <cols>
    <col min="1" max="1" width="7.28515625" style="65" customWidth="1"/>
    <col min="2" max="2" width="16.140625" style="65" customWidth="1"/>
    <col min="3" max="3" width="9.140625" style="65"/>
    <col min="4" max="4" width="12.85546875" style="65" customWidth="1"/>
    <col min="5" max="5" width="10.140625" style="65" customWidth="1"/>
    <col min="6" max="6" width="15.42578125" style="65" bestFit="1" customWidth="1"/>
    <col min="7" max="7" width="9.140625" style="65"/>
    <col min="8" max="8" width="12.42578125" style="65" customWidth="1"/>
    <col min="9" max="9" width="9.140625" style="65"/>
    <col min="10" max="10" width="10.5703125" style="65" customWidth="1"/>
    <col min="11" max="11" width="6.42578125" style="65" customWidth="1"/>
    <col min="12" max="12" width="5.7109375" style="65" customWidth="1"/>
    <col min="13" max="13" width="14.140625" style="65" customWidth="1"/>
    <col min="14" max="14" width="12.42578125" style="65" customWidth="1"/>
    <col min="15" max="15" width="3.28515625" style="65" hidden="1" customWidth="1"/>
    <col min="16" max="16" width="9.5703125" style="65" customWidth="1"/>
    <col min="17" max="21" width="9.140625" style="65"/>
    <col min="22" max="22" width="9.28515625" style="65" bestFit="1" customWidth="1"/>
    <col min="23" max="16384" width="9.140625" style="65"/>
  </cols>
  <sheetData>
    <row r="1" spans="1:67">
      <c r="A1" s="267" t="s">
        <v>112</v>
      </c>
      <c r="B1" s="111" t="s">
        <v>66</v>
      </c>
      <c r="C1" s="64"/>
      <c r="D1" s="112" t="s">
        <v>142</v>
      </c>
      <c r="E1" s="64"/>
      <c r="F1" s="111" t="s">
        <v>67</v>
      </c>
      <c r="G1" s="64"/>
      <c r="H1" s="112" t="s">
        <v>143</v>
      </c>
      <c r="I1" s="64"/>
    </row>
    <row r="2" spans="1:67" ht="49.5" customHeight="1">
      <c r="A2" s="268"/>
    </row>
    <row r="3" spans="1:67" ht="20.25" customHeight="1">
      <c r="B3" s="271" t="s">
        <v>91</v>
      </c>
      <c r="C3" s="271"/>
      <c r="D3" s="271"/>
      <c r="E3" s="273">
        <f ca="1">NOW()</f>
        <v>41773.585035763892</v>
      </c>
      <c r="F3" s="274"/>
      <c r="G3" s="108"/>
      <c r="H3" s="108"/>
      <c r="I3" s="108"/>
      <c r="K3" s="271" t="s">
        <v>92</v>
      </c>
      <c r="L3" s="270"/>
      <c r="M3" s="270"/>
      <c r="N3" s="107"/>
    </row>
    <row r="4" spans="1:67">
      <c r="B4" s="109" t="s">
        <v>85</v>
      </c>
      <c r="C4" s="110" t="s">
        <v>88</v>
      </c>
      <c r="D4" s="275" t="str">
        <f>'c-form'!C52</f>
        <v>Ban Cho Lae,  Mae Taeng, Chiang Mai,P.75</v>
      </c>
      <c r="E4" s="281"/>
      <c r="F4" s="281"/>
      <c r="G4" s="281"/>
      <c r="H4" s="281"/>
      <c r="I4" s="281"/>
      <c r="K4" s="271" t="s">
        <v>93</v>
      </c>
      <c r="L4" s="282"/>
      <c r="M4" s="282"/>
      <c r="N4" s="107"/>
    </row>
    <row r="5" spans="1:67">
      <c r="B5" s="109" t="s">
        <v>86</v>
      </c>
      <c r="C5" s="110" t="s">
        <v>88</v>
      </c>
      <c r="D5" s="272" t="str">
        <f>'c-form'!C54</f>
        <v>Nam  Ping</v>
      </c>
      <c r="E5" s="272"/>
      <c r="F5" s="272"/>
      <c r="G5" s="108"/>
      <c r="H5" s="108"/>
      <c r="I5" s="108"/>
      <c r="K5" s="271" t="s">
        <v>94</v>
      </c>
      <c r="L5" s="270"/>
    </row>
    <row r="6" spans="1:67">
      <c r="B6" s="109" t="s">
        <v>89</v>
      </c>
      <c r="C6" s="110" t="s">
        <v>88</v>
      </c>
      <c r="D6" s="272" t="str">
        <f>'c-form'!N54</f>
        <v>Ping</v>
      </c>
      <c r="E6" s="272"/>
      <c r="F6" s="272"/>
      <c r="G6" s="108"/>
      <c r="H6" s="108"/>
      <c r="I6" s="108"/>
      <c r="K6" s="106" t="s">
        <v>95</v>
      </c>
    </row>
    <row r="7" spans="1:67">
      <c r="B7" s="109" t="s">
        <v>90</v>
      </c>
      <c r="C7" s="110" t="s">
        <v>88</v>
      </c>
      <c r="D7" s="272" t="str">
        <f>'c-form'!T54</f>
        <v>Nam  Ping</v>
      </c>
      <c r="E7" s="272"/>
      <c r="F7" s="272"/>
      <c r="G7" s="108"/>
      <c r="H7" s="108"/>
      <c r="I7" s="108"/>
      <c r="K7" s="271" t="s">
        <v>96</v>
      </c>
      <c r="L7" s="278"/>
      <c r="M7" s="272" t="str">
        <f>'c-form'!C18</f>
        <v>HC.1/2424</v>
      </c>
      <c r="N7" s="278"/>
      <c r="O7" s="107"/>
    </row>
    <row r="8" spans="1:67">
      <c r="M8" s="260" t="s">
        <v>97</v>
      </c>
      <c r="N8" s="260" t="s">
        <v>98</v>
      </c>
      <c r="O8" s="108"/>
      <c r="P8" s="108"/>
      <c r="Q8" s="66" t="s">
        <v>98</v>
      </c>
      <c r="R8" s="67" t="s">
        <v>97</v>
      </c>
      <c r="S8" s="256"/>
      <c r="T8" s="255"/>
      <c r="U8" s="255"/>
      <c r="V8" s="255"/>
      <c r="W8" s="255"/>
      <c r="X8" s="255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</row>
    <row r="9" spans="1:67">
      <c r="M9" s="255">
        <f>IF(TRIM('c-form'!D21)="","",'c-form'!D21)</f>
        <v>337.6</v>
      </c>
      <c r="N9" s="108">
        <f>IF(TRIM('c-form'!F21)="","",'c-form'!F21)</f>
        <v>0</v>
      </c>
      <c r="Q9" s="65">
        <v>0</v>
      </c>
      <c r="R9" s="65">
        <v>337.6</v>
      </c>
      <c r="S9" s="68"/>
      <c r="T9" s="111">
        <f>IF(TRIM(C1)="",MAX(Q9:Q58),C1)</f>
        <v>142</v>
      </c>
      <c r="U9" s="256">
        <f>IF(TRIM(G1)="",MIN(Q9:Q58),G1)</f>
        <v>0</v>
      </c>
      <c r="V9" s="108">
        <f>IF(OR(TRIM(C1)="",TRIM(G1)=""),(T9-U9)/5,(C1-G1)/5)</f>
        <v>28.4</v>
      </c>
      <c r="W9" s="108">
        <f>MIN(W12:W13)</f>
        <v>14</v>
      </c>
      <c r="X9" s="108"/>
    </row>
    <row r="10" spans="1:67">
      <c r="M10" s="255">
        <f>IF(TRIM('c-form'!H21)="","",'c-form'!H21)</f>
        <v>337.7</v>
      </c>
      <c r="N10" s="108">
        <f>IF(TRIM('c-form'!J21)="","",'c-form'!J21)</f>
        <v>0.5</v>
      </c>
      <c r="Q10" s="65">
        <v>0.5</v>
      </c>
      <c r="R10" s="65">
        <v>337.7</v>
      </c>
      <c r="S10" s="68"/>
      <c r="T10" s="257">
        <f>IF(TRIM(E1)="",MAX(R9:R58),E1)</f>
        <v>340.3</v>
      </c>
      <c r="U10" s="258">
        <f>IF(TRIM(I1)="",MIN(R9:R58),I1)</f>
        <v>337.6</v>
      </c>
      <c r="V10" s="255">
        <f>IF(OR(TRIM(E1)="",TRIM(I1)=""),(T10-U10)/5,(E1-I1)/5)</f>
        <v>0.5399999999999977</v>
      </c>
      <c r="W10" s="255"/>
      <c r="X10" s="255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</row>
    <row r="11" spans="1:67">
      <c r="M11" s="255">
        <f>IF(TRIM('c-form'!M21)="","",'c-form'!M21)</f>
        <v>337.8</v>
      </c>
      <c r="N11" s="108">
        <f>IF(TRIM('c-form'!P21)="","",'c-form'!P21)</f>
        <v>2</v>
      </c>
      <c r="Q11" s="65">
        <v>2</v>
      </c>
      <c r="R11" s="65">
        <v>337.8</v>
      </c>
      <c r="S11" s="68"/>
      <c r="T11" s="108"/>
      <c r="U11" s="108"/>
      <c r="V11" s="108"/>
      <c r="W11" s="108"/>
      <c r="X11" s="108"/>
    </row>
    <row r="12" spans="1:67">
      <c r="M12" s="255">
        <f>IF(TRIM('c-form'!R21)="","",'c-form'!R21)</f>
        <v>337.9</v>
      </c>
      <c r="N12" s="108">
        <f>IF(TRIM('c-form'!T21)="","",'c-form'!T21)</f>
        <v>4</v>
      </c>
      <c r="Q12" s="65">
        <v>4</v>
      </c>
      <c r="R12" s="65">
        <v>337.9</v>
      </c>
      <c r="S12" s="68"/>
      <c r="T12" s="108"/>
      <c r="U12" s="108"/>
      <c r="V12" s="108"/>
      <c r="W12" s="108">
        <f>COUNT(N9:N58)</f>
        <v>14</v>
      </c>
      <c r="X12" s="108"/>
    </row>
    <row r="13" spans="1:67">
      <c r="M13" s="255">
        <f>IF(TRIM('c-form'!W21)="","",'c-form'!W21)</f>
        <v>338</v>
      </c>
      <c r="N13" s="108">
        <f>IF(TRIM('c-form'!AA21)="","",'c-form'!AA21)</f>
        <v>6.5</v>
      </c>
      <c r="Q13" s="65">
        <v>6.5</v>
      </c>
      <c r="R13" s="65">
        <v>338</v>
      </c>
      <c r="S13" s="68"/>
      <c r="T13" s="108"/>
      <c r="U13" s="108"/>
      <c r="V13" s="108"/>
      <c r="W13" s="108">
        <f>COUNT(M9:M58)</f>
        <v>14</v>
      </c>
      <c r="X13" s="108"/>
    </row>
    <row r="14" spans="1:67">
      <c r="M14" s="255">
        <f>IF(TRIM('c-form'!D22)="","",'c-form'!D22)</f>
        <v>338.2</v>
      </c>
      <c r="N14" s="108">
        <f>IF(TRIM('c-form'!F22)="","",'c-form'!F22)</f>
        <v>13</v>
      </c>
      <c r="Q14" s="65">
        <v>13</v>
      </c>
      <c r="R14" s="65">
        <v>338.2</v>
      </c>
      <c r="S14" s="68"/>
      <c r="T14" s="108"/>
      <c r="U14" s="108"/>
      <c r="V14" s="108"/>
      <c r="W14" s="108"/>
      <c r="X14" s="108"/>
    </row>
    <row r="15" spans="1:67">
      <c r="M15" s="255">
        <f>IF(TRIM('c-form'!H22)="","",'c-form'!H22)</f>
        <v>338.4</v>
      </c>
      <c r="N15" s="108">
        <f>IF(TRIM('c-form'!J22)="","",'c-form'!J22)</f>
        <v>22</v>
      </c>
      <c r="Q15" s="65">
        <v>22</v>
      </c>
      <c r="R15" s="65">
        <v>338.4</v>
      </c>
      <c r="S15" s="68"/>
    </row>
    <row r="16" spans="1:67">
      <c r="M16" s="255">
        <f>IF(TRIM('c-form'!M22)="","",'c-form'!M22)</f>
        <v>338.8</v>
      </c>
      <c r="N16" s="108">
        <f>IF(TRIM('c-form'!P22)="","",'c-form'!P22)</f>
        <v>42</v>
      </c>
      <c r="Q16" s="65">
        <v>42</v>
      </c>
      <c r="R16" s="65">
        <v>338.8</v>
      </c>
      <c r="S16" s="68"/>
    </row>
    <row r="17" spans="13:19">
      <c r="M17" s="255">
        <f>IF(TRIM('c-form'!R22)="","",'c-form'!R22)</f>
        <v>339</v>
      </c>
      <c r="N17" s="108">
        <f>IF(TRIM('c-form'!T22)="","",'c-form'!T22)</f>
        <v>53.5</v>
      </c>
      <c r="Q17" s="65">
        <v>53.5</v>
      </c>
      <c r="R17" s="65">
        <v>339</v>
      </c>
      <c r="S17" s="68"/>
    </row>
    <row r="18" spans="13:19">
      <c r="M18" s="255">
        <f>IF(TRIM('c-form'!W22)="","",'c-form'!W22)</f>
        <v>339.2</v>
      </c>
      <c r="N18" s="108">
        <f>IF(TRIM('c-form'!AA22)="","",'c-form'!AA22)</f>
        <v>66</v>
      </c>
      <c r="Q18" s="65">
        <v>66</v>
      </c>
      <c r="R18" s="65">
        <v>339.2</v>
      </c>
      <c r="S18" s="68"/>
    </row>
    <row r="19" spans="13:19">
      <c r="M19" s="255">
        <f>IF(TRIM('c-form'!D23)="","",'c-form'!D23)</f>
        <v>339.4</v>
      </c>
      <c r="N19" s="108">
        <f>IF(TRIM('c-form'!F23)="","",'c-form'!F23)</f>
        <v>79</v>
      </c>
      <c r="Q19" s="65">
        <v>79</v>
      </c>
      <c r="R19" s="65">
        <v>339.4</v>
      </c>
      <c r="S19" s="68"/>
    </row>
    <row r="20" spans="13:19">
      <c r="M20" s="255">
        <f>IF(TRIM('c-form'!H23)="","",'c-form'!H23)</f>
        <v>339.6</v>
      </c>
      <c r="N20" s="108">
        <f>IF(TRIM('c-form'!J23)="","",'c-form'!J23)</f>
        <v>92.5</v>
      </c>
      <c r="Q20" s="65">
        <v>92.5</v>
      </c>
      <c r="R20" s="65">
        <v>339.6</v>
      </c>
      <c r="S20" s="68"/>
    </row>
    <row r="21" spans="13:19">
      <c r="M21" s="255">
        <f>IF(TRIM('c-form'!M23)="","",'c-form'!M23)</f>
        <v>340.2</v>
      </c>
      <c r="N21" s="108">
        <f>IF(TRIM('c-form'!P23)="","",'c-form'!P23)</f>
        <v>134.5</v>
      </c>
      <c r="Q21" s="65">
        <v>134.5</v>
      </c>
      <c r="R21" s="65">
        <v>340.2</v>
      </c>
      <c r="S21" s="68"/>
    </row>
    <row r="22" spans="13:19">
      <c r="M22" s="255">
        <f>IF(TRIM('c-form'!R23)="","",'c-form'!R23)</f>
        <v>340.3</v>
      </c>
      <c r="N22" s="108">
        <f>IF(TRIM('c-form'!T23)="","",'c-form'!T23)</f>
        <v>142</v>
      </c>
      <c r="Q22" s="65">
        <v>142</v>
      </c>
      <c r="R22" s="65">
        <v>340.3</v>
      </c>
      <c r="S22" s="68"/>
    </row>
    <row r="23" spans="13:19">
      <c r="M23" s="255" t="str">
        <f>IF(TRIM('c-form'!W23)="","",'c-form'!W23)</f>
        <v/>
      </c>
      <c r="N23" s="108" t="str">
        <f>IF(TRIM('c-form'!AA23)="","",'c-form'!AA23)</f>
        <v/>
      </c>
      <c r="Q23" s="65" t="s">
        <v>99</v>
      </c>
      <c r="R23" s="65" t="s">
        <v>99</v>
      </c>
      <c r="S23" s="68"/>
    </row>
    <row r="24" spans="13:19">
      <c r="M24" s="255" t="str">
        <f>IF(TRIM('c-form'!D24)="","",'c-form'!D24)</f>
        <v/>
      </c>
      <c r="N24" s="108" t="str">
        <f>IF(TRIM('c-form'!F24)="","",'c-form'!F24)</f>
        <v/>
      </c>
      <c r="Q24" s="65" t="s">
        <v>99</v>
      </c>
      <c r="R24" s="65" t="s">
        <v>99</v>
      </c>
      <c r="S24" s="68"/>
    </row>
    <row r="25" spans="13:19">
      <c r="M25" s="255" t="str">
        <f>IF(TRIM('c-form'!H24)="","",'c-form'!H24)</f>
        <v/>
      </c>
      <c r="N25" s="108" t="str">
        <f>IF(TRIM('c-form'!J24)="","",'c-form'!J24)</f>
        <v/>
      </c>
      <c r="Q25" s="65" t="s">
        <v>99</v>
      </c>
      <c r="R25" s="65" t="s">
        <v>99</v>
      </c>
      <c r="S25" s="68"/>
    </row>
    <row r="26" spans="13:19">
      <c r="M26" s="255" t="str">
        <f>IF(TRIM('c-form'!M24)="","",'c-form'!M24)</f>
        <v/>
      </c>
      <c r="N26" s="108" t="str">
        <f>IF(TRIM('c-form'!P24)="","",'c-form'!P24)</f>
        <v/>
      </c>
      <c r="Q26" s="65" t="s">
        <v>99</v>
      </c>
      <c r="R26" s="65" t="s">
        <v>99</v>
      </c>
      <c r="S26" s="68"/>
    </row>
    <row r="27" spans="13:19">
      <c r="M27" s="255" t="str">
        <f>IF(TRIM('c-form'!R24)="","",'c-form'!R24)</f>
        <v/>
      </c>
      <c r="N27" s="108" t="str">
        <f>IF(TRIM('c-form'!T24)="","",'c-form'!T24)</f>
        <v/>
      </c>
      <c r="Q27" s="65" t="s">
        <v>99</v>
      </c>
      <c r="R27" s="65" t="s">
        <v>99</v>
      </c>
      <c r="S27" s="68"/>
    </row>
    <row r="28" spans="13:19">
      <c r="M28" s="255" t="str">
        <f>IF(TRIM('c-form'!W24)="","",'c-form'!W24)</f>
        <v/>
      </c>
      <c r="N28" s="108" t="str">
        <f>IF(TRIM('c-form'!AA24)="","",'c-form'!AA24)</f>
        <v/>
      </c>
      <c r="Q28" s="65" t="s">
        <v>99</v>
      </c>
      <c r="R28" s="65" t="s">
        <v>99</v>
      </c>
      <c r="S28" s="68"/>
    </row>
    <row r="29" spans="13:19">
      <c r="M29" s="255" t="str">
        <f>IF(TRIM('c-form'!D25)="","",'c-form'!D25)</f>
        <v/>
      </c>
      <c r="N29" s="108" t="str">
        <f>IF(TRIM('c-form'!F25)="","",'c-form'!F25)</f>
        <v/>
      </c>
      <c r="Q29" s="65" t="s">
        <v>99</v>
      </c>
      <c r="R29" s="65" t="s">
        <v>99</v>
      </c>
      <c r="S29" s="68"/>
    </row>
    <row r="30" spans="13:19">
      <c r="M30" s="255" t="str">
        <f>IF(TRIM('c-form'!H25)="","",'c-form'!H25)</f>
        <v/>
      </c>
      <c r="N30" s="108" t="str">
        <f>IF(TRIM('c-form'!J25)="","",'c-form'!J25)</f>
        <v/>
      </c>
      <c r="Q30" s="65" t="s">
        <v>99</v>
      </c>
      <c r="R30" s="65" t="s">
        <v>99</v>
      </c>
      <c r="S30" s="68"/>
    </row>
    <row r="31" spans="13:19">
      <c r="M31" s="255" t="str">
        <f>IF(TRIM('c-form'!M25)="","",'c-form'!M25)</f>
        <v/>
      </c>
      <c r="N31" s="108" t="str">
        <f>IF(TRIM('c-form'!P25)="","",'c-form'!P25)</f>
        <v/>
      </c>
      <c r="Q31" s="65" t="s">
        <v>99</v>
      </c>
      <c r="R31" s="65" t="s">
        <v>99</v>
      </c>
      <c r="S31" s="68"/>
    </row>
    <row r="32" spans="13:19">
      <c r="M32" s="255" t="str">
        <f>IF(TRIM('c-form'!R25)="","",'c-form'!R25)</f>
        <v/>
      </c>
      <c r="N32" s="108" t="str">
        <f>IF(TRIM('c-form'!T25)="","",'c-form'!T25)</f>
        <v/>
      </c>
      <c r="Q32" s="65" t="s">
        <v>99</v>
      </c>
      <c r="R32" s="65" t="s">
        <v>99</v>
      </c>
      <c r="S32" s="65" t="s">
        <v>99</v>
      </c>
    </row>
    <row r="33" spans="13:19">
      <c r="M33" s="255" t="str">
        <f>IF(TRIM('c-form'!W25)="","",'c-form'!W25)</f>
        <v/>
      </c>
      <c r="N33" s="108" t="str">
        <f>IF(TRIM('c-form'!AA25)="","",'c-form'!AA25)</f>
        <v/>
      </c>
      <c r="Q33" s="65" t="s">
        <v>99</v>
      </c>
      <c r="R33" s="65" t="s">
        <v>99</v>
      </c>
      <c r="S33" s="65" t="s">
        <v>99</v>
      </c>
    </row>
    <row r="34" spans="13:19">
      <c r="M34" s="255" t="str">
        <f>IF(TRIM('c-form'!D26)="","",'c-form'!D26)</f>
        <v/>
      </c>
      <c r="N34" s="108" t="str">
        <f>IF(TRIM('c-form'!F26)="","",'c-form'!F26)</f>
        <v/>
      </c>
      <c r="Q34" s="65" t="s">
        <v>99</v>
      </c>
      <c r="R34" s="65" t="s">
        <v>99</v>
      </c>
      <c r="S34" s="65" t="s">
        <v>99</v>
      </c>
    </row>
    <row r="35" spans="13:19">
      <c r="M35" s="255" t="str">
        <f>IF(TRIM('c-form'!H26)="","",'c-form'!H26)</f>
        <v/>
      </c>
      <c r="N35" s="108" t="str">
        <f>IF(TRIM('c-form'!J26)="","",'c-form'!J26)</f>
        <v/>
      </c>
      <c r="Q35" s="65" t="s">
        <v>99</v>
      </c>
      <c r="R35" s="65" t="s">
        <v>99</v>
      </c>
      <c r="S35" s="65" t="s">
        <v>99</v>
      </c>
    </row>
    <row r="36" spans="13:19">
      <c r="M36" s="255" t="str">
        <f>IF(TRIM('c-form'!M26)="","",'c-form'!M26)</f>
        <v/>
      </c>
      <c r="N36" s="108" t="str">
        <f>IF(TRIM('c-form'!P26)="","",'c-form'!P26)</f>
        <v/>
      </c>
      <c r="Q36" s="65" t="s">
        <v>99</v>
      </c>
      <c r="R36" s="65" t="s">
        <v>99</v>
      </c>
      <c r="S36" s="65" t="s">
        <v>99</v>
      </c>
    </row>
    <row r="37" spans="13:19">
      <c r="M37" s="255" t="str">
        <f>IF(TRIM('c-form'!R26)="","",'c-form'!R26)</f>
        <v/>
      </c>
      <c r="N37" s="108" t="str">
        <f>IF(TRIM('c-form'!T26)="","",'c-form'!T26)</f>
        <v/>
      </c>
      <c r="Q37" s="65" t="s">
        <v>99</v>
      </c>
      <c r="R37" s="65" t="s">
        <v>99</v>
      </c>
      <c r="S37" s="65" t="s">
        <v>99</v>
      </c>
    </row>
    <row r="38" spans="13:19">
      <c r="M38" s="255" t="str">
        <f>IF(TRIM('c-form'!W26)="","",'c-form'!W26)</f>
        <v/>
      </c>
      <c r="N38" s="108" t="str">
        <f>IF(TRIM('c-form'!AA26)="","",'c-form'!AA26)</f>
        <v/>
      </c>
      <c r="Q38" s="65" t="s">
        <v>99</v>
      </c>
      <c r="R38" s="65" t="s">
        <v>99</v>
      </c>
      <c r="S38" s="65" t="s">
        <v>99</v>
      </c>
    </row>
    <row r="39" spans="13:19">
      <c r="M39" s="255" t="str">
        <f>IF(TRIM('c-form'!D27)="","",'c-form'!D27)</f>
        <v/>
      </c>
      <c r="N39" s="108" t="str">
        <f>IF(TRIM('c-form'!F27)="","",'c-form'!F27)</f>
        <v/>
      </c>
      <c r="Q39" s="65" t="s">
        <v>99</v>
      </c>
      <c r="R39" s="65" t="s">
        <v>99</v>
      </c>
      <c r="S39" s="65" t="s">
        <v>99</v>
      </c>
    </row>
    <row r="40" spans="13:19">
      <c r="M40" s="255" t="str">
        <f>IF(TRIM('c-form'!H27)="","",'c-form'!H27)</f>
        <v/>
      </c>
      <c r="N40" s="108" t="str">
        <f>IF(TRIM('c-form'!J27)="","",'c-form'!J27)</f>
        <v/>
      </c>
      <c r="Q40" s="65" t="s">
        <v>99</v>
      </c>
      <c r="R40" s="65" t="s">
        <v>99</v>
      </c>
      <c r="S40" s="65" t="s">
        <v>99</v>
      </c>
    </row>
    <row r="41" spans="13:19">
      <c r="M41" s="255" t="str">
        <f>IF(TRIM('c-form'!M27)="","",'c-form'!M27)</f>
        <v/>
      </c>
      <c r="N41" s="108" t="str">
        <f>IF(TRIM('c-form'!P27)="","",'c-form'!P27)</f>
        <v/>
      </c>
      <c r="Q41" s="65" t="s">
        <v>99</v>
      </c>
      <c r="R41" s="65" t="s">
        <v>99</v>
      </c>
      <c r="S41" s="65" t="s">
        <v>99</v>
      </c>
    </row>
    <row r="42" spans="13:19">
      <c r="M42" s="255" t="str">
        <f>IF(TRIM('c-form'!R27)="","",'c-form'!R27)</f>
        <v/>
      </c>
      <c r="N42" s="108" t="str">
        <f>IF(TRIM('c-form'!T27)="","",'c-form'!T27)</f>
        <v/>
      </c>
      <c r="Q42" s="65" t="s">
        <v>99</v>
      </c>
      <c r="R42" s="65" t="s">
        <v>99</v>
      </c>
      <c r="S42" s="65" t="s">
        <v>99</v>
      </c>
    </row>
    <row r="43" spans="13:19">
      <c r="M43" s="255" t="str">
        <f>IF(TRIM('c-form'!R27)="","",'c-form'!W27)</f>
        <v/>
      </c>
      <c r="N43" s="108" t="str">
        <f>IF(TRIM('c-form'!AA27)="","",'c-form'!AA27)</f>
        <v/>
      </c>
      <c r="Q43" s="65" t="s">
        <v>99</v>
      </c>
      <c r="R43" s="65" t="s">
        <v>99</v>
      </c>
      <c r="S43" s="65" t="s">
        <v>99</v>
      </c>
    </row>
    <row r="44" spans="13:19">
      <c r="M44" s="255" t="str">
        <f>IF(TRIM('c-form'!D28)="","",'c-form'!D28)</f>
        <v/>
      </c>
      <c r="N44" s="108" t="str">
        <f>IF(TRIM('c-form'!F28)="","",'c-form'!F28)</f>
        <v/>
      </c>
      <c r="Q44" s="65" t="s">
        <v>99</v>
      </c>
      <c r="R44" s="65" t="s">
        <v>99</v>
      </c>
      <c r="S44" s="65" t="s">
        <v>99</v>
      </c>
    </row>
    <row r="45" spans="13:19">
      <c r="M45" s="255" t="str">
        <f>IF(TRIM('c-form'!H28)="","",'c-form'!H28)</f>
        <v/>
      </c>
      <c r="N45" s="108" t="str">
        <f>IF(TRIM('c-form'!J28)="","",'c-form'!J28)</f>
        <v/>
      </c>
      <c r="Q45" s="65" t="s">
        <v>99</v>
      </c>
      <c r="R45" s="65" t="s">
        <v>99</v>
      </c>
      <c r="S45" s="65" t="s">
        <v>99</v>
      </c>
    </row>
    <row r="46" spans="13:19">
      <c r="M46" s="255" t="str">
        <f>IF(TRIM('c-form'!M28)="","",'c-form'!M28)</f>
        <v/>
      </c>
      <c r="N46" s="108" t="str">
        <f>IF(TRIM('c-form'!P28)="","",'c-form'!P28)</f>
        <v/>
      </c>
      <c r="Q46" s="65" t="s">
        <v>99</v>
      </c>
      <c r="R46" s="65" t="s">
        <v>99</v>
      </c>
      <c r="S46" s="65" t="s">
        <v>99</v>
      </c>
    </row>
    <row r="47" spans="13:19">
      <c r="M47" s="255" t="str">
        <f>IF(TRIM('c-form'!R28)="","",'c-form'!R28)</f>
        <v/>
      </c>
      <c r="N47" s="108" t="str">
        <f>IF(TRIM('c-form'!T28)="","",'c-form'!T28)</f>
        <v/>
      </c>
      <c r="Q47" s="65" t="s">
        <v>99</v>
      </c>
      <c r="R47" s="65" t="s">
        <v>99</v>
      </c>
      <c r="S47" s="65" t="s">
        <v>99</v>
      </c>
    </row>
    <row r="48" spans="13:19">
      <c r="M48" s="255" t="str">
        <f>IF(TRIM('c-form'!W28)="","",'c-form'!W28)</f>
        <v/>
      </c>
      <c r="N48" s="108" t="str">
        <f>IF(TRIM('c-form'!AA28)="","",'c-form'!AA28)</f>
        <v/>
      </c>
      <c r="Q48" s="65" t="s">
        <v>99</v>
      </c>
      <c r="R48" s="65" t="s">
        <v>99</v>
      </c>
      <c r="S48" s="65" t="s">
        <v>99</v>
      </c>
    </row>
    <row r="49" spans="1:19">
      <c r="M49" s="255" t="str">
        <f>IF(TRIM('c-form'!D29)="","",'c-form'!D29)</f>
        <v/>
      </c>
      <c r="N49" s="108" t="str">
        <f>IF(TRIM('c-form'!F29)="","",'c-form'!F29)</f>
        <v/>
      </c>
      <c r="Q49" s="65" t="s">
        <v>99</v>
      </c>
      <c r="R49" s="65" t="s">
        <v>99</v>
      </c>
      <c r="S49" s="65" t="s">
        <v>99</v>
      </c>
    </row>
    <row r="50" spans="1:19">
      <c r="M50" s="255" t="str">
        <f>IF(TRIM('c-form'!H29)="","",'c-form'!H29)</f>
        <v/>
      </c>
      <c r="N50" s="108" t="str">
        <f>IF(TRIM('c-form'!J29)="","",'c-form'!J29)</f>
        <v/>
      </c>
      <c r="Q50" s="65" t="s">
        <v>99</v>
      </c>
      <c r="R50" s="65" t="s">
        <v>99</v>
      </c>
      <c r="S50" s="65" t="s">
        <v>99</v>
      </c>
    </row>
    <row r="51" spans="1:19">
      <c r="M51" s="255" t="str">
        <f>IF(TRIM('c-form'!M29)="","",'c-form'!M29)</f>
        <v/>
      </c>
      <c r="N51" s="108" t="str">
        <f>IF(TRIM('c-form'!P29)="","",'c-form'!P29)</f>
        <v/>
      </c>
      <c r="Q51" s="65" t="s">
        <v>99</v>
      </c>
      <c r="R51" s="65" t="s">
        <v>99</v>
      </c>
      <c r="S51" s="65" t="s">
        <v>99</v>
      </c>
    </row>
    <row r="52" spans="1:19">
      <c r="M52" s="255" t="str">
        <f>IF(TRIM('c-form'!R29)="","",'c-form'!R29)</f>
        <v/>
      </c>
      <c r="N52" s="108" t="str">
        <f>IF(TRIM('c-form'!T29)="","",'c-form'!T29)</f>
        <v/>
      </c>
      <c r="Q52" s="65" t="s">
        <v>99</v>
      </c>
      <c r="R52" s="65" t="s">
        <v>99</v>
      </c>
      <c r="S52" s="65" t="s">
        <v>99</v>
      </c>
    </row>
    <row r="53" spans="1:19">
      <c r="M53" s="255" t="str">
        <f>IF(TRIM('c-form'!W29)="","",'c-form'!W29)</f>
        <v/>
      </c>
      <c r="N53" s="108" t="str">
        <f>IF(TRIM('c-form'!AA29)="","",'c-form'!AA29)</f>
        <v/>
      </c>
      <c r="Q53" s="65" t="s">
        <v>99</v>
      </c>
      <c r="R53" s="65" t="s">
        <v>99</v>
      </c>
      <c r="S53" s="65" t="s">
        <v>99</v>
      </c>
    </row>
    <row r="54" spans="1:19">
      <c r="M54" s="255" t="str">
        <f>IF(TRIM('c-form'!D30)="","",'c-form'!D30)</f>
        <v/>
      </c>
      <c r="N54" s="108" t="str">
        <f>IF(TRIM('c-form'!F30)="","",'c-form'!F30)</f>
        <v/>
      </c>
      <c r="Q54" s="65" t="s">
        <v>99</v>
      </c>
      <c r="R54" s="65" t="s">
        <v>99</v>
      </c>
      <c r="S54" s="65" t="s">
        <v>99</v>
      </c>
    </row>
    <row r="55" spans="1:19">
      <c r="M55" s="255" t="str">
        <f>IF(TRIM('c-form'!H30)="","",'c-form'!H30)</f>
        <v/>
      </c>
      <c r="N55" s="108" t="str">
        <f>IF(TRIM('c-form'!J30)="","",'c-form'!J30)</f>
        <v/>
      </c>
      <c r="Q55" s="65" t="s">
        <v>99</v>
      </c>
      <c r="R55" s="65" t="s">
        <v>99</v>
      </c>
      <c r="S55" s="65" t="s">
        <v>99</v>
      </c>
    </row>
    <row r="56" spans="1:19">
      <c r="M56" s="255" t="str">
        <f>IF(TRIM('c-form'!M30)="","",'c-form'!M30)</f>
        <v/>
      </c>
      <c r="N56" s="108" t="str">
        <f>IF(TRIM('c-form'!P30)="","",'c-form'!P30)</f>
        <v/>
      </c>
      <c r="Q56" s="65" t="s">
        <v>99</v>
      </c>
      <c r="R56" s="65" t="s">
        <v>99</v>
      </c>
      <c r="S56" s="65" t="s">
        <v>99</v>
      </c>
    </row>
    <row r="57" spans="1:19">
      <c r="M57" s="255" t="str">
        <f>IF(TRIM('c-form'!R30)="","",'c-form'!R30)</f>
        <v/>
      </c>
      <c r="N57" s="108" t="str">
        <f>IF(TRIM('c-form'!T30)="","",'c-form'!T30)</f>
        <v/>
      </c>
      <c r="Q57" s="65" t="s">
        <v>99</v>
      </c>
      <c r="R57" s="65" t="s">
        <v>99</v>
      </c>
      <c r="S57" s="65" t="s">
        <v>99</v>
      </c>
    </row>
    <row r="58" spans="1:19">
      <c r="M58" s="255" t="str">
        <f>IF(TRIM('c-form'!W30)="","",'c-form'!W30)</f>
        <v/>
      </c>
      <c r="N58" s="108" t="str">
        <f>IF(TRIM('c-form'!AA30)="","",'c-form'!AA30)</f>
        <v/>
      </c>
      <c r="Q58" s="65" t="s">
        <v>99</v>
      </c>
      <c r="R58" s="65" t="s">
        <v>99</v>
      </c>
      <c r="S58" s="65" t="s">
        <v>99</v>
      </c>
    </row>
    <row r="59" spans="1:19">
      <c r="A59" s="279"/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</row>
  </sheetData>
  <sheetProtection formatCells="0" formatColumns="0" formatRows="0" insertColumns="0" insertRows="0" insertHyperlinks="0" deleteColumns="0" deleteRows="0" sort="0" autoFilter="0" pivotTables="0"/>
  <mergeCells count="13">
    <mergeCell ref="A1:A2"/>
    <mergeCell ref="B3:D3"/>
    <mergeCell ref="E3:F3"/>
    <mergeCell ref="D4:I4"/>
    <mergeCell ref="K3:M3"/>
    <mergeCell ref="K4:M4"/>
    <mergeCell ref="K5:L5"/>
    <mergeCell ref="M7:N7"/>
    <mergeCell ref="A59:N59"/>
    <mergeCell ref="D5:F5"/>
    <mergeCell ref="D6:F6"/>
    <mergeCell ref="D7:F7"/>
    <mergeCell ref="K7:L7"/>
  </mergeCells>
  <phoneticPr fontId="0" type="noConversion"/>
  <pageMargins left="0.78740157480314998" right="0.196850393700787" top="0.59055118110236204" bottom="0.39370078740157499" header="0.511811023622047" footer="0.511811023622047"/>
  <pageSetup paperSize="9" scale="4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6385" r:id="rId4" name="Run1">
          <controlPr defaultSize="0" autoLine="0" r:id="rId5">
            <anchor moveWithCells="1" sizeWithCells="1">
              <from>
                <xdr:col>4</xdr:col>
                <xdr:colOff>657225</xdr:colOff>
                <xdr:row>1</xdr:row>
                <xdr:rowOff>104775</xdr:rowOff>
              </from>
              <to>
                <xdr:col>6</xdr:col>
                <xdr:colOff>495300</xdr:colOff>
                <xdr:row>1</xdr:row>
                <xdr:rowOff>428625</xdr:rowOff>
              </to>
            </anchor>
          </controlPr>
        </control>
      </mc:Choice>
      <mc:Fallback>
        <control shapeId="16385" r:id="rId4" name="Run1"/>
      </mc:Fallback>
    </mc:AlternateContent>
    <mc:AlternateContent xmlns:mc="http://schemas.openxmlformats.org/markup-compatibility/2006">
      <mc:Choice Requires="x14">
        <control shapeId="16390" r:id="rId6" name="Cprint2">
          <controlPr defaultSize="0" autoLine="0" r:id="rId7">
            <anchor moveWithCells="1" sizeWithCells="1">
              <from>
                <xdr:col>7</xdr:col>
                <xdr:colOff>9525</xdr:colOff>
                <xdr:row>1</xdr:row>
                <xdr:rowOff>104775</xdr:rowOff>
              </from>
              <to>
                <xdr:col>9</xdr:col>
                <xdr:colOff>200025</xdr:colOff>
                <xdr:row>1</xdr:row>
                <xdr:rowOff>447675</xdr:rowOff>
              </to>
            </anchor>
          </controlPr>
        </control>
      </mc:Choice>
      <mc:Fallback>
        <control shapeId="16390" r:id="rId6" name="Cprint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E1:DM745"/>
  <sheetViews>
    <sheetView showGridLines="0" topLeftCell="A322" workbookViewId="0">
      <selection activeCell="B451" sqref="B451"/>
    </sheetView>
  </sheetViews>
  <sheetFormatPr defaultRowHeight="12.75"/>
  <cols>
    <col min="1" max="56" width="9.140625" style="261"/>
    <col min="57" max="61" width="9.140625" style="9"/>
    <col min="62" max="63" width="9.140625" style="263"/>
    <col min="64" max="69" width="9.140625" style="9"/>
    <col min="70" max="71" width="9.140625" style="263"/>
    <col min="72" max="73" width="9.140625" style="9"/>
    <col min="74" max="75" width="9.140625" style="263"/>
    <col min="76" max="81" width="9.140625" style="9"/>
    <col min="82" max="83" width="9.140625" style="263"/>
    <col min="84" max="89" width="9.140625" style="9"/>
    <col min="90" max="91" width="9.140625" style="263"/>
    <col min="92" max="93" width="9.140625" style="9"/>
    <col min="94" max="95" width="9.140625" style="263"/>
    <col min="96" max="101" width="9.140625" style="9"/>
    <col min="102" max="103" width="9.140625" style="263"/>
    <col min="104" max="117" width="9.140625" style="9"/>
    <col min="118" max="16384" width="9.140625" style="261"/>
  </cols>
  <sheetData>
    <row r="1" spans="58:117">
      <c r="BI1" s="166" t="s">
        <v>253</v>
      </c>
      <c r="BJ1" s="262"/>
      <c r="BK1" s="262"/>
      <c r="BM1" s="166" t="s">
        <v>254</v>
      </c>
      <c r="BQ1" s="166" t="s">
        <v>255</v>
      </c>
      <c r="BR1" s="262"/>
      <c r="BS1" s="262"/>
      <c r="BU1" s="166" t="s">
        <v>256</v>
      </c>
      <c r="BV1" s="262"/>
      <c r="BW1" s="262"/>
      <c r="BY1" s="166" t="s">
        <v>257</v>
      </c>
      <c r="CC1" s="166" t="s">
        <v>247</v>
      </c>
      <c r="CD1" s="262"/>
      <c r="CE1" s="262"/>
      <c r="CG1" s="166" t="s">
        <v>258</v>
      </c>
      <c r="CK1" s="166" t="s">
        <v>259</v>
      </c>
      <c r="CL1" s="262"/>
      <c r="CM1" s="262"/>
      <c r="CO1" s="166" t="s">
        <v>260</v>
      </c>
      <c r="CP1" s="262"/>
      <c r="CQ1" s="262"/>
      <c r="CS1" s="166" t="s">
        <v>261</v>
      </c>
      <c r="CW1" s="166" t="s">
        <v>262</v>
      </c>
      <c r="CX1" s="262"/>
      <c r="CY1" s="262"/>
      <c r="DA1" s="166" t="s">
        <v>263</v>
      </c>
    </row>
    <row r="2" spans="58:117">
      <c r="BF2" s="9">
        <v>1</v>
      </c>
      <c r="BG2" s="9">
        <v>1</v>
      </c>
      <c r="BH2" s="9">
        <v>1</v>
      </c>
      <c r="BI2" s="167">
        <f>'HourGH-APR'!C11</f>
        <v>0.34</v>
      </c>
      <c r="BJ2" s="263">
        <v>1</v>
      </c>
      <c r="BK2" s="9">
        <v>1</v>
      </c>
      <c r="BL2" s="9">
        <v>1</v>
      </c>
      <c r="BM2" s="167">
        <f>'HourGH-MAY'!C11</f>
        <v>0.56999999999999995</v>
      </c>
      <c r="BN2" s="9">
        <v>1</v>
      </c>
      <c r="BO2" s="9">
        <v>1</v>
      </c>
      <c r="BP2" s="9">
        <v>1</v>
      </c>
      <c r="BQ2" s="167">
        <f>'HourGH-JUN'!C11</f>
        <v>0.23</v>
      </c>
      <c r="BR2" s="263">
        <v>1</v>
      </c>
      <c r="BS2" s="9">
        <v>1</v>
      </c>
      <c r="BT2" s="9">
        <v>1</v>
      </c>
      <c r="BU2" s="167">
        <f>'HourGH-JUL'!C11</f>
        <v>0.23</v>
      </c>
      <c r="BV2" s="263">
        <v>1</v>
      </c>
      <c r="BW2" s="9">
        <v>1</v>
      </c>
      <c r="BX2" s="9">
        <v>1</v>
      </c>
      <c r="BY2" s="167">
        <f>'HourGH-AUG'!C11</f>
        <v>0.57999999999999996</v>
      </c>
      <c r="BZ2" s="9">
        <v>1</v>
      </c>
      <c r="CA2" s="9">
        <v>1</v>
      </c>
      <c r="CB2" s="9">
        <v>1</v>
      </c>
      <c r="CC2" s="167">
        <f>'HourGH-SEP'!C11</f>
        <v>0.89</v>
      </c>
      <c r="CD2" s="263">
        <v>1</v>
      </c>
      <c r="CE2" s="9">
        <v>1</v>
      </c>
      <c r="CF2" s="9">
        <v>1</v>
      </c>
      <c r="CG2" s="167">
        <f>'HourGH-OCT'!C11</f>
        <v>1.04</v>
      </c>
      <c r="CH2" s="9">
        <v>1</v>
      </c>
      <c r="CI2" s="9">
        <v>1</v>
      </c>
      <c r="CJ2" s="9">
        <v>1</v>
      </c>
      <c r="CK2" s="167">
        <f>'HourGH-NOV'!C11</f>
        <v>1.05</v>
      </c>
      <c r="CL2" s="263">
        <v>1</v>
      </c>
      <c r="CM2" s="9">
        <v>1</v>
      </c>
      <c r="CN2" s="9">
        <v>1</v>
      </c>
      <c r="CO2" s="167">
        <f>'HourGH-DEC'!C11</f>
        <v>0.56000000000000005</v>
      </c>
      <c r="CP2" s="263">
        <v>1</v>
      </c>
      <c r="CQ2" s="9">
        <v>1</v>
      </c>
      <c r="CR2" s="9">
        <v>1</v>
      </c>
      <c r="CS2" s="167">
        <f>'HourGH-JAN'!C11</f>
        <v>0.44</v>
      </c>
      <c r="CT2" s="9">
        <v>1</v>
      </c>
      <c r="CU2" s="9">
        <v>1</v>
      </c>
      <c r="CV2" s="9">
        <v>1</v>
      </c>
      <c r="CW2" s="167">
        <f>'HourGH-FEB'!C11</f>
        <v>0.6</v>
      </c>
      <c r="CX2" s="263">
        <v>1</v>
      </c>
      <c r="CY2" s="9">
        <v>1</v>
      </c>
      <c r="CZ2" s="9">
        <v>1</v>
      </c>
      <c r="DA2" s="167">
        <f>'HourGH-MAR'!C11</f>
        <v>0.59</v>
      </c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</row>
    <row r="3" spans="58:117">
      <c r="BF3" s="9">
        <v>2</v>
      </c>
      <c r="BG3" s="9">
        <v>1</v>
      </c>
      <c r="BH3" s="9">
        <v>2</v>
      </c>
      <c r="BI3" s="167">
        <f>'HourGH-APR'!D11</f>
        <v>0.36</v>
      </c>
      <c r="BJ3" s="263">
        <v>2</v>
      </c>
      <c r="BK3" s="9">
        <v>1</v>
      </c>
      <c r="BL3" s="9">
        <v>2</v>
      </c>
      <c r="BM3" s="167">
        <f>'HourGH-MAY'!D11</f>
        <v>0.56999999999999995</v>
      </c>
      <c r="BN3" s="9">
        <v>2</v>
      </c>
      <c r="BO3" s="9">
        <v>1</v>
      </c>
      <c r="BP3" s="9">
        <v>2</v>
      </c>
      <c r="BQ3" s="167">
        <f>'HourGH-JUN'!D11</f>
        <v>0.23</v>
      </c>
      <c r="BR3" s="263">
        <v>2</v>
      </c>
      <c r="BS3" s="9">
        <v>1</v>
      </c>
      <c r="BT3" s="9">
        <v>2</v>
      </c>
      <c r="BU3" s="167">
        <f>'HourGH-JUL'!D11</f>
        <v>0.23</v>
      </c>
      <c r="BV3" s="263">
        <v>2</v>
      </c>
      <c r="BW3" s="9">
        <v>1</v>
      </c>
      <c r="BX3" s="9">
        <v>2</v>
      </c>
      <c r="BY3" s="167">
        <f>'HourGH-AUG'!D11</f>
        <v>0.57999999999999996</v>
      </c>
      <c r="BZ3" s="9">
        <v>2</v>
      </c>
      <c r="CA3" s="9">
        <v>1</v>
      </c>
      <c r="CB3" s="9">
        <v>2</v>
      </c>
      <c r="CC3" s="167">
        <f>'HourGH-SEP'!D11</f>
        <v>0.93</v>
      </c>
      <c r="CD3" s="263">
        <v>2</v>
      </c>
      <c r="CE3" s="9">
        <v>1</v>
      </c>
      <c r="CF3" s="9">
        <v>2</v>
      </c>
      <c r="CG3" s="167">
        <f>'HourGH-OCT'!D11</f>
        <v>1.04</v>
      </c>
      <c r="CH3" s="9">
        <v>2</v>
      </c>
      <c r="CI3" s="9">
        <v>1</v>
      </c>
      <c r="CJ3" s="9">
        <v>2</v>
      </c>
      <c r="CK3" s="167">
        <f>'HourGH-NOV'!D11</f>
        <v>1.05</v>
      </c>
      <c r="CL3" s="263">
        <v>2</v>
      </c>
      <c r="CM3" s="9">
        <v>1</v>
      </c>
      <c r="CN3" s="9">
        <v>2</v>
      </c>
      <c r="CO3" s="167">
        <f>'HourGH-DEC'!D11</f>
        <v>0.56000000000000005</v>
      </c>
      <c r="CP3" s="263">
        <v>2</v>
      </c>
      <c r="CQ3" s="9">
        <v>1</v>
      </c>
      <c r="CR3" s="9">
        <v>2</v>
      </c>
      <c r="CS3" s="167">
        <f>'HourGH-JAN'!D11</f>
        <v>0.44</v>
      </c>
      <c r="CT3" s="9">
        <v>2</v>
      </c>
      <c r="CU3" s="9">
        <v>1</v>
      </c>
      <c r="CV3" s="9">
        <v>2</v>
      </c>
      <c r="CW3" s="167">
        <f>'HourGH-FEB'!D11</f>
        <v>0.62</v>
      </c>
      <c r="CX3" s="263">
        <v>2</v>
      </c>
      <c r="CY3" s="9">
        <v>1</v>
      </c>
      <c r="CZ3" s="9">
        <v>2</v>
      </c>
      <c r="DA3" s="167">
        <f>'HourGH-MAR'!D11</f>
        <v>0.61</v>
      </c>
    </row>
    <row r="4" spans="58:117">
      <c r="BF4" s="9">
        <v>3</v>
      </c>
      <c r="BG4" s="9">
        <v>1</v>
      </c>
      <c r="BH4" s="9">
        <v>3</v>
      </c>
      <c r="BI4" s="167">
        <f>'HourGH-APR'!E11</f>
        <v>0.38</v>
      </c>
      <c r="BJ4" s="263">
        <v>3</v>
      </c>
      <c r="BK4" s="9">
        <v>1</v>
      </c>
      <c r="BL4" s="9">
        <v>3</v>
      </c>
      <c r="BM4" s="167">
        <f>'HourGH-MAY'!E11</f>
        <v>0.56999999999999995</v>
      </c>
      <c r="BN4" s="9">
        <v>3</v>
      </c>
      <c r="BO4" s="9">
        <v>1</v>
      </c>
      <c r="BP4" s="9">
        <v>3</v>
      </c>
      <c r="BQ4" s="167">
        <f>'HourGH-JUN'!E11</f>
        <v>0.23</v>
      </c>
      <c r="BR4" s="263">
        <v>3</v>
      </c>
      <c r="BS4" s="9">
        <v>1</v>
      </c>
      <c r="BT4" s="9">
        <v>3</v>
      </c>
      <c r="BU4" s="167">
        <f>'HourGH-JUL'!E11</f>
        <v>0.23</v>
      </c>
      <c r="BV4" s="263">
        <v>3</v>
      </c>
      <c r="BW4" s="9">
        <v>1</v>
      </c>
      <c r="BX4" s="9">
        <v>3</v>
      </c>
      <c r="BY4" s="167">
        <f>'HourGH-AUG'!E11</f>
        <v>0.57999999999999996</v>
      </c>
      <c r="BZ4" s="9">
        <v>3</v>
      </c>
      <c r="CA4" s="9">
        <v>1</v>
      </c>
      <c r="CB4" s="9">
        <v>3</v>
      </c>
      <c r="CC4" s="167">
        <f>'HourGH-SEP'!E11</f>
        <v>0.98</v>
      </c>
      <c r="CD4" s="263">
        <v>3</v>
      </c>
      <c r="CE4" s="9">
        <v>1</v>
      </c>
      <c r="CF4" s="9">
        <v>3</v>
      </c>
      <c r="CG4" s="167">
        <f>'HourGH-OCT'!E11</f>
        <v>1.03</v>
      </c>
      <c r="CH4" s="9">
        <v>3</v>
      </c>
      <c r="CI4" s="9">
        <v>1</v>
      </c>
      <c r="CJ4" s="9">
        <v>3</v>
      </c>
      <c r="CK4" s="167">
        <f>'HourGH-NOV'!E11</f>
        <v>1.05</v>
      </c>
      <c r="CL4" s="263">
        <v>3</v>
      </c>
      <c r="CM4" s="9">
        <v>1</v>
      </c>
      <c r="CN4" s="9">
        <v>3</v>
      </c>
      <c r="CO4" s="167">
        <f>'HourGH-DEC'!E11</f>
        <v>0.56000000000000005</v>
      </c>
      <c r="CP4" s="263">
        <v>3</v>
      </c>
      <c r="CQ4" s="9">
        <v>1</v>
      </c>
      <c r="CR4" s="9">
        <v>3</v>
      </c>
      <c r="CS4" s="167">
        <f>'HourGH-JAN'!E11</f>
        <v>0.44</v>
      </c>
      <c r="CT4" s="9">
        <v>3</v>
      </c>
      <c r="CU4" s="9">
        <v>1</v>
      </c>
      <c r="CV4" s="9">
        <v>3</v>
      </c>
      <c r="CW4" s="167">
        <f>'HourGH-FEB'!E11</f>
        <v>0.64</v>
      </c>
      <c r="CX4" s="263">
        <v>3</v>
      </c>
      <c r="CY4" s="9">
        <v>1</v>
      </c>
      <c r="CZ4" s="9">
        <v>3</v>
      </c>
      <c r="DA4" s="167">
        <f>'HourGH-MAR'!E11</f>
        <v>0.62</v>
      </c>
    </row>
    <row r="5" spans="58:117">
      <c r="BF5" s="9">
        <v>4</v>
      </c>
      <c r="BG5" s="9">
        <v>1</v>
      </c>
      <c r="BH5" s="9">
        <v>4</v>
      </c>
      <c r="BI5" s="167">
        <f>'HourGH-APR'!F11</f>
        <v>0.4</v>
      </c>
      <c r="BJ5" s="263">
        <v>4</v>
      </c>
      <c r="BK5" s="9">
        <v>1</v>
      </c>
      <c r="BL5" s="9">
        <v>4</v>
      </c>
      <c r="BM5" s="167">
        <f>'HourGH-MAY'!F11</f>
        <v>0.56999999999999995</v>
      </c>
      <c r="BN5" s="9">
        <v>4</v>
      </c>
      <c r="BO5" s="9">
        <v>1</v>
      </c>
      <c r="BP5" s="9">
        <v>4</v>
      </c>
      <c r="BQ5" s="167">
        <f>'HourGH-JUN'!F11</f>
        <v>0.23</v>
      </c>
      <c r="BR5" s="263">
        <v>4</v>
      </c>
      <c r="BS5" s="9">
        <v>1</v>
      </c>
      <c r="BT5" s="9">
        <v>4</v>
      </c>
      <c r="BU5" s="167">
        <f>'HourGH-JUL'!F11</f>
        <v>0.23</v>
      </c>
      <c r="BV5" s="263">
        <v>4</v>
      </c>
      <c r="BW5" s="9">
        <v>1</v>
      </c>
      <c r="BX5" s="9">
        <v>4</v>
      </c>
      <c r="BY5" s="167">
        <f>'HourGH-AUG'!F11</f>
        <v>0.57999999999999996</v>
      </c>
      <c r="BZ5" s="9">
        <v>4</v>
      </c>
      <c r="CA5" s="9">
        <v>1</v>
      </c>
      <c r="CB5" s="9">
        <v>4</v>
      </c>
      <c r="CC5" s="167">
        <f>'HourGH-SEP'!F11</f>
        <v>1.02</v>
      </c>
      <c r="CD5" s="263">
        <v>4</v>
      </c>
      <c r="CE5" s="9">
        <v>1</v>
      </c>
      <c r="CF5" s="9">
        <v>4</v>
      </c>
      <c r="CG5" s="167">
        <f>'HourGH-OCT'!F11</f>
        <v>1.03</v>
      </c>
      <c r="CH5" s="9">
        <v>4</v>
      </c>
      <c r="CI5" s="9">
        <v>1</v>
      </c>
      <c r="CJ5" s="9">
        <v>4</v>
      </c>
      <c r="CK5" s="167">
        <f>'HourGH-NOV'!F11</f>
        <v>1.04</v>
      </c>
      <c r="CL5" s="263">
        <v>4</v>
      </c>
      <c r="CM5" s="9">
        <v>1</v>
      </c>
      <c r="CN5" s="9">
        <v>4</v>
      </c>
      <c r="CO5" s="167">
        <f>'HourGH-DEC'!F11</f>
        <v>0.56000000000000005</v>
      </c>
      <c r="CP5" s="263">
        <v>4</v>
      </c>
      <c r="CQ5" s="9">
        <v>1</v>
      </c>
      <c r="CR5" s="9">
        <v>4</v>
      </c>
      <c r="CS5" s="167">
        <f>'HourGH-JAN'!F11</f>
        <v>0.44</v>
      </c>
      <c r="CT5" s="9">
        <v>4</v>
      </c>
      <c r="CU5" s="9">
        <v>1</v>
      </c>
      <c r="CV5" s="9">
        <v>4</v>
      </c>
      <c r="CW5" s="167">
        <f>'HourGH-FEB'!F11</f>
        <v>0.68</v>
      </c>
      <c r="CX5" s="263">
        <v>4</v>
      </c>
      <c r="CY5" s="9">
        <v>1</v>
      </c>
      <c r="CZ5" s="9">
        <v>4</v>
      </c>
      <c r="DA5" s="167">
        <f>'HourGH-MAR'!F11</f>
        <v>0.63</v>
      </c>
    </row>
    <row r="6" spans="58:117">
      <c r="BF6" s="9">
        <v>5</v>
      </c>
      <c r="BG6" s="9">
        <v>1</v>
      </c>
      <c r="BH6" s="9">
        <v>5</v>
      </c>
      <c r="BI6" s="167">
        <f>'HourGH-APR'!G11</f>
        <v>0.42</v>
      </c>
      <c r="BJ6" s="263">
        <v>5</v>
      </c>
      <c r="BK6" s="9">
        <v>1</v>
      </c>
      <c r="BL6" s="9">
        <v>5</v>
      </c>
      <c r="BM6" s="167">
        <f>'HourGH-MAY'!G11</f>
        <v>0.56999999999999995</v>
      </c>
      <c r="BN6" s="9">
        <v>5</v>
      </c>
      <c r="BO6" s="9">
        <v>1</v>
      </c>
      <c r="BP6" s="9">
        <v>5</v>
      </c>
      <c r="BQ6" s="167">
        <f>'HourGH-JUN'!G11</f>
        <v>0.23</v>
      </c>
      <c r="BR6" s="263">
        <v>5</v>
      </c>
      <c r="BS6" s="9">
        <v>1</v>
      </c>
      <c r="BT6" s="9">
        <v>5</v>
      </c>
      <c r="BU6" s="167">
        <f>'HourGH-JUL'!G11</f>
        <v>0.23</v>
      </c>
      <c r="BV6" s="263">
        <v>5</v>
      </c>
      <c r="BW6" s="9">
        <v>1</v>
      </c>
      <c r="BX6" s="9">
        <v>5</v>
      </c>
      <c r="BY6" s="167">
        <f>'HourGH-AUG'!G11</f>
        <v>0.57999999999999996</v>
      </c>
      <c r="BZ6" s="9">
        <v>5</v>
      </c>
      <c r="CA6" s="9">
        <v>1</v>
      </c>
      <c r="CB6" s="9">
        <v>5</v>
      </c>
      <c r="CC6" s="167">
        <f>'HourGH-SEP'!G11</f>
        <v>1.07</v>
      </c>
      <c r="CD6" s="263">
        <v>5</v>
      </c>
      <c r="CE6" s="9">
        <v>1</v>
      </c>
      <c r="CF6" s="9">
        <v>5</v>
      </c>
      <c r="CG6" s="167">
        <f>'HourGH-OCT'!G11</f>
        <v>1.02</v>
      </c>
      <c r="CH6" s="9">
        <v>5</v>
      </c>
      <c r="CI6" s="9">
        <v>1</v>
      </c>
      <c r="CJ6" s="9">
        <v>5</v>
      </c>
      <c r="CK6" s="167">
        <f>'HourGH-NOV'!G11</f>
        <v>1.04</v>
      </c>
      <c r="CL6" s="263">
        <v>5</v>
      </c>
      <c r="CM6" s="9">
        <v>1</v>
      </c>
      <c r="CN6" s="9">
        <v>5</v>
      </c>
      <c r="CO6" s="167">
        <f>'HourGH-DEC'!G11</f>
        <v>0.56000000000000005</v>
      </c>
      <c r="CP6" s="263">
        <v>5</v>
      </c>
      <c r="CQ6" s="9">
        <v>1</v>
      </c>
      <c r="CR6" s="9">
        <v>5</v>
      </c>
      <c r="CS6" s="167">
        <f>'HourGH-JAN'!G11</f>
        <v>0.44</v>
      </c>
      <c r="CT6" s="9">
        <v>5</v>
      </c>
      <c r="CU6" s="9">
        <v>1</v>
      </c>
      <c r="CV6" s="9">
        <v>5</v>
      </c>
      <c r="CW6" s="167">
        <f>'HourGH-FEB'!G11</f>
        <v>0.69</v>
      </c>
      <c r="CX6" s="263">
        <v>5</v>
      </c>
      <c r="CY6" s="9">
        <v>1</v>
      </c>
      <c r="CZ6" s="9">
        <v>5</v>
      </c>
      <c r="DA6" s="167">
        <f>'HourGH-MAR'!G11</f>
        <v>0.64</v>
      </c>
    </row>
    <row r="7" spans="58:117">
      <c r="BF7" s="9">
        <v>6</v>
      </c>
      <c r="BG7" s="9">
        <v>1</v>
      </c>
      <c r="BH7" s="9">
        <v>6</v>
      </c>
      <c r="BI7" s="167">
        <f>'HourGH-APR'!H11</f>
        <v>0.44</v>
      </c>
      <c r="BJ7" s="263">
        <v>6</v>
      </c>
      <c r="BK7" s="9">
        <v>1</v>
      </c>
      <c r="BL7" s="9">
        <v>6</v>
      </c>
      <c r="BM7" s="167">
        <f>'HourGH-MAY'!H11</f>
        <v>0.56999999999999995</v>
      </c>
      <c r="BN7" s="9">
        <v>6</v>
      </c>
      <c r="BO7" s="9">
        <v>1</v>
      </c>
      <c r="BP7" s="9">
        <v>6</v>
      </c>
      <c r="BQ7" s="167">
        <f>'HourGH-JUN'!H11</f>
        <v>0.23</v>
      </c>
      <c r="BR7" s="263">
        <v>6</v>
      </c>
      <c r="BS7" s="9">
        <v>1</v>
      </c>
      <c r="BT7" s="9">
        <v>6</v>
      </c>
      <c r="BU7" s="167">
        <f>'HourGH-JUL'!H11</f>
        <v>0.23</v>
      </c>
      <c r="BV7" s="263">
        <v>6</v>
      </c>
      <c r="BW7" s="9">
        <v>1</v>
      </c>
      <c r="BX7" s="9">
        <v>6</v>
      </c>
      <c r="BY7" s="167">
        <f>'HourGH-AUG'!H11</f>
        <v>0.57999999999999996</v>
      </c>
      <c r="BZ7" s="9">
        <v>6</v>
      </c>
      <c r="CA7" s="9">
        <v>1</v>
      </c>
      <c r="CB7" s="9">
        <v>6</v>
      </c>
      <c r="CC7" s="167">
        <f>'HourGH-SEP'!H11</f>
        <v>1.1200000000000001</v>
      </c>
      <c r="CD7" s="263">
        <v>6</v>
      </c>
      <c r="CE7" s="9">
        <v>1</v>
      </c>
      <c r="CF7" s="9">
        <v>6</v>
      </c>
      <c r="CG7" s="167">
        <f>'HourGH-OCT'!H11</f>
        <v>1.01</v>
      </c>
      <c r="CH7" s="9">
        <v>6</v>
      </c>
      <c r="CI7" s="9">
        <v>1</v>
      </c>
      <c r="CJ7" s="9">
        <v>6</v>
      </c>
      <c r="CK7" s="167">
        <f>'HourGH-NOV'!H11</f>
        <v>1.04</v>
      </c>
      <c r="CL7" s="263">
        <v>6</v>
      </c>
      <c r="CM7" s="9">
        <v>1</v>
      </c>
      <c r="CN7" s="9">
        <v>6</v>
      </c>
      <c r="CO7" s="167">
        <f>'HourGH-DEC'!H11</f>
        <v>0.56000000000000005</v>
      </c>
      <c r="CP7" s="263">
        <v>6</v>
      </c>
      <c r="CQ7" s="9">
        <v>1</v>
      </c>
      <c r="CR7" s="9">
        <v>6</v>
      </c>
      <c r="CS7" s="167">
        <f>'HourGH-JAN'!H11</f>
        <v>0.44</v>
      </c>
      <c r="CT7" s="9">
        <v>6</v>
      </c>
      <c r="CU7" s="9">
        <v>1</v>
      </c>
      <c r="CV7" s="9">
        <v>6</v>
      </c>
      <c r="CW7" s="167">
        <f>'HourGH-FEB'!H11</f>
        <v>0.7</v>
      </c>
      <c r="CX7" s="263">
        <v>6</v>
      </c>
      <c r="CY7" s="9">
        <v>1</v>
      </c>
      <c r="CZ7" s="9">
        <v>6</v>
      </c>
      <c r="DA7" s="167">
        <f>'HourGH-MAR'!H11</f>
        <v>0.65</v>
      </c>
    </row>
    <row r="8" spans="58:117">
      <c r="BF8" s="9">
        <v>7</v>
      </c>
      <c r="BG8" s="9">
        <v>1</v>
      </c>
      <c r="BH8" s="9">
        <v>7</v>
      </c>
      <c r="BI8" s="167">
        <f>'HourGH-APR'!I11</f>
        <v>0.44</v>
      </c>
      <c r="BJ8" s="263">
        <v>7</v>
      </c>
      <c r="BK8" s="9">
        <v>1</v>
      </c>
      <c r="BL8" s="9">
        <v>7</v>
      </c>
      <c r="BM8" s="167">
        <f>'HourGH-MAY'!I11</f>
        <v>0.56999999999999995</v>
      </c>
      <c r="BN8" s="9">
        <v>7</v>
      </c>
      <c r="BO8" s="9">
        <v>1</v>
      </c>
      <c r="BP8" s="9">
        <v>7</v>
      </c>
      <c r="BQ8" s="167">
        <f>'HourGH-JUN'!I11</f>
        <v>0.23</v>
      </c>
      <c r="BR8" s="263">
        <v>7</v>
      </c>
      <c r="BS8" s="9">
        <v>1</v>
      </c>
      <c r="BT8" s="9">
        <v>7</v>
      </c>
      <c r="BU8" s="167">
        <f>'HourGH-JUL'!I11</f>
        <v>0.23</v>
      </c>
      <c r="BV8" s="263">
        <v>7</v>
      </c>
      <c r="BW8" s="9">
        <v>1</v>
      </c>
      <c r="BX8" s="9">
        <v>7</v>
      </c>
      <c r="BY8" s="167">
        <f>'HourGH-AUG'!I11</f>
        <v>0.57999999999999996</v>
      </c>
      <c r="BZ8" s="9">
        <v>7</v>
      </c>
      <c r="CA8" s="9">
        <v>1</v>
      </c>
      <c r="CB8" s="9">
        <v>7</v>
      </c>
      <c r="CC8" s="167">
        <f>'HourGH-SEP'!I11</f>
        <v>1.17</v>
      </c>
      <c r="CD8" s="263">
        <v>7</v>
      </c>
      <c r="CE8" s="9">
        <v>1</v>
      </c>
      <c r="CF8" s="9">
        <v>7</v>
      </c>
      <c r="CG8" s="167">
        <f>'HourGH-OCT'!I11</f>
        <v>1.01</v>
      </c>
      <c r="CH8" s="9">
        <v>7</v>
      </c>
      <c r="CI8" s="9">
        <v>1</v>
      </c>
      <c r="CJ8" s="9">
        <v>7</v>
      </c>
      <c r="CK8" s="167">
        <f>'HourGH-NOV'!I11</f>
        <v>1.03</v>
      </c>
      <c r="CL8" s="263">
        <v>7</v>
      </c>
      <c r="CM8" s="9">
        <v>1</v>
      </c>
      <c r="CN8" s="9">
        <v>7</v>
      </c>
      <c r="CO8" s="167">
        <f>'HourGH-DEC'!I11</f>
        <v>0.56000000000000005</v>
      </c>
      <c r="CP8" s="263">
        <v>7</v>
      </c>
      <c r="CQ8" s="9">
        <v>1</v>
      </c>
      <c r="CR8" s="9">
        <v>7</v>
      </c>
      <c r="CS8" s="167">
        <f>'HourGH-JAN'!I11</f>
        <v>0.44</v>
      </c>
      <c r="CT8" s="9">
        <v>7</v>
      </c>
      <c r="CU8" s="9">
        <v>1</v>
      </c>
      <c r="CV8" s="9">
        <v>7</v>
      </c>
      <c r="CW8" s="167">
        <f>'HourGH-FEB'!I11</f>
        <v>0.71</v>
      </c>
      <c r="CX8" s="263">
        <v>7</v>
      </c>
      <c r="CY8" s="9">
        <v>1</v>
      </c>
      <c r="CZ8" s="9">
        <v>7</v>
      </c>
      <c r="DA8" s="167">
        <f>'HourGH-MAR'!I11</f>
        <v>0.65</v>
      </c>
    </row>
    <row r="9" spans="58:117">
      <c r="BF9" s="9">
        <v>8</v>
      </c>
      <c r="BG9" s="9">
        <v>1</v>
      </c>
      <c r="BH9" s="9">
        <v>8</v>
      </c>
      <c r="BI9" s="167">
        <f>'HourGH-APR'!J11</f>
        <v>0.44</v>
      </c>
      <c r="BJ9" s="263">
        <v>8</v>
      </c>
      <c r="BK9" s="9">
        <v>1</v>
      </c>
      <c r="BL9" s="9">
        <v>8</v>
      </c>
      <c r="BM9" s="167">
        <f>'HourGH-MAY'!J11</f>
        <v>0.56999999999999995</v>
      </c>
      <c r="BN9" s="9">
        <v>8</v>
      </c>
      <c r="BO9" s="9">
        <v>1</v>
      </c>
      <c r="BP9" s="9">
        <v>8</v>
      </c>
      <c r="BQ9" s="167">
        <f>'HourGH-JUN'!J11</f>
        <v>0.23</v>
      </c>
      <c r="BR9" s="263">
        <v>8</v>
      </c>
      <c r="BS9" s="9">
        <v>1</v>
      </c>
      <c r="BT9" s="9">
        <v>8</v>
      </c>
      <c r="BU9" s="167">
        <f>'HourGH-JUL'!J11</f>
        <v>0.23</v>
      </c>
      <c r="BV9" s="263">
        <v>8</v>
      </c>
      <c r="BW9" s="9">
        <v>1</v>
      </c>
      <c r="BX9" s="9">
        <v>8</v>
      </c>
      <c r="BY9" s="167">
        <f>'HourGH-AUG'!J11</f>
        <v>0.57999999999999996</v>
      </c>
      <c r="BZ9" s="9">
        <v>8</v>
      </c>
      <c r="CA9" s="9">
        <v>1</v>
      </c>
      <c r="CB9" s="9">
        <v>8</v>
      </c>
      <c r="CC9" s="167">
        <f>'HourGH-SEP'!J11</f>
        <v>1.22</v>
      </c>
      <c r="CD9" s="263">
        <v>8</v>
      </c>
      <c r="CE9" s="9">
        <v>1</v>
      </c>
      <c r="CF9" s="9">
        <v>8</v>
      </c>
      <c r="CG9" s="167">
        <f>'HourGH-OCT'!J11</f>
        <v>1.01</v>
      </c>
      <c r="CH9" s="9">
        <v>8</v>
      </c>
      <c r="CI9" s="9">
        <v>1</v>
      </c>
      <c r="CJ9" s="9">
        <v>8</v>
      </c>
      <c r="CK9" s="167">
        <f>'HourGH-NOV'!J11</f>
        <v>1.03</v>
      </c>
      <c r="CL9" s="263">
        <v>8</v>
      </c>
      <c r="CM9" s="9">
        <v>1</v>
      </c>
      <c r="CN9" s="9">
        <v>8</v>
      </c>
      <c r="CO9" s="167">
        <f>'HourGH-DEC'!J11</f>
        <v>0.56000000000000005</v>
      </c>
      <c r="CP9" s="263">
        <v>8</v>
      </c>
      <c r="CQ9" s="9">
        <v>1</v>
      </c>
      <c r="CR9" s="9">
        <v>8</v>
      </c>
      <c r="CS9" s="167">
        <f>'HourGH-JAN'!J11</f>
        <v>0.44</v>
      </c>
      <c r="CT9" s="9">
        <v>8</v>
      </c>
      <c r="CU9" s="9">
        <v>1</v>
      </c>
      <c r="CV9" s="9">
        <v>8</v>
      </c>
      <c r="CW9" s="167">
        <f>'HourGH-FEB'!J11</f>
        <v>0.71</v>
      </c>
      <c r="CX9" s="263">
        <v>8</v>
      </c>
      <c r="CY9" s="9">
        <v>1</v>
      </c>
      <c r="CZ9" s="9">
        <v>8</v>
      </c>
      <c r="DA9" s="167">
        <f>'HourGH-MAR'!J11</f>
        <v>0.65</v>
      </c>
    </row>
    <row r="10" spans="58:117">
      <c r="BF10" s="9">
        <v>9</v>
      </c>
      <c r="BG10" s="9">
        <v>1</v>
      </c>
      <c r="BH10" s="9">
        <v>9</v>
      </c>
      <c r="BI10" s="167">
        <f>'HourGH-APR'!K11</f>
        <v>0.44</v>
      </c>
      <c r="BJ10" s="263">
        <v>9</v>
      </c>
      <c r="BK10" s="9">
        <v>1</v>
      </c>
      <c r="BL10" s="9">
        <v>9</v>
      </c>
      <c r="BM10" s="167">
        <f>'HourGH-MAY'!K11</f>
        <v>0.56999999999999995</v>
      </c>
      <c r="BN10" s="9">
        <v>9</v>
      </c>
      <c r="BO10" s="9">
        <v>1</v>
      </c>
      <c r="BP10" s="9">
        <v>9</v>
      </c>
      <c r="BQ10" s="167">
        <f>'HourGH-JUN'!K11</f>
        <v>0.23</v>
      </c>
      <c r="BR10" s="263">
        <v>9</v>
      </c>
      <c r="BS10" s="9">
        <v>1</v>
      </c>
      <c r="BT10" s="9">
        <v>9</v>
      </c>
      <c r="BU10" s="167">
        <f>'HourGH-JUL'!K11</f>
        <v>0.23</v>
      </c>
      <c r="BV10" s="263">
        <v>9</v>
      </c>
      <c r="BW10" s="9">
        <v>1</v>
      </c>
      <c r="BX10" s="9">
        <v>9</v>
      </c>
      <c r="BY10" s="167">
        <f>'HourGH-AUG'!K11</f>
        <v>0.57999999999999996</v>
      </c>
      <c r="BZ10" s="9">
        <v>9</v>
      </c>
      <c r="CA10" s="9">
        <v>1</v>
      </c>
      <c r="CB10" s="9">
        <v>9</v>
      </c>
      <c r="CC10" s="167">
        <f>'HourGH-SEP'!K11</f>
        <v>1.27</v>
      </c>
      <c r="CD10" s="263">
        <v>9</v>
      </c>
      <c r="CE10" s="9">
        <v>1</v>
      </c>
      <c r="CF10" s="9">
        <v>9</v>
      </c>
      <c r="CG10" s="167">
        <f>'HourGH-OCT'!K11</f>
        <v>1.01</v>
      </c>
      <c r="CH10" s="9">
        <v>9</v>
      </c>
      <c r="CI10" s="9">
        <v>1</v>
      </c>
      <c r="CJ10" s="9">
        <v>9</v>
      </c>
      <c r="CK10" s="167">
        <f>'HourGH-NOV'!K11</f>
        <v>1.03</v>
      </c>
      <c r="CL10" s="263">
        <v>9</v>
      </c>
      <c r="CM10" s="9">
        <v>1</v>
      </c>
      <c r="CN10" s="9">
        <v>9</v>
      </c>
      <c r="CO10" s="167">
        <f>'HourGH-DEC'!K11</f>
        <v>0.56000000000000005</v>
      </c>
      <c r="CP10" s="263">
        <v>9</v>
      </c>
      <c r="CQ10" s="9">
        <v>1</v>
      </c>
      <c r="CR10" s="9">
        <v>9</v>
      </c>
      <c r="CS10" s="167">
        <f>'HourGH-JAN'!K11</f>
        <v>0.44</v>
      </c>
      <c r="CT10" s="9">
        <v>9</v>
      </c>
      <c r="CU10" s="9">
        <v>1</v>
      </c>
      <c r="CV10" s="9">
        <v>9</v>
      </c>
      <c r="CW10" s="167">
        <f>'HourGH-FEB'!K11</f>
        <v>0.72</v>
      </c>
      <c r="CX10" s="263">
        <v>9</v>
      </c>
      <c r="CY10" s="9">
        <v>1</v>
      </c>
      <c r="CZ10" s="9">
        <v>9</v>
      </c>
      <c r="DA10" s="167">
        <f>'HourGH-MAR'!K11</f>
        <v>0.65</v>
      </c>
    </row>
    <row r="11" spans="58:117">
      <c r="BF11" s="9">
        <v>10</v>
      </c>
      <c r="BG11" s="9">
        <v>1</v>
      </c>
      <c r="BH11" s="9">
        <v>10</v>
      </c>
      <c r="BI11" s="167">
        <f>'HourGH-APR'!L11</f>
        <v>0.44</v>
      </c>
      <c r="BJ11" s="263">
        <v>10</v>
      </c>
      <c r="BK11" s="9">
        <v>1</v>
      </c>
      <c r="BL11" s="9">
        <v>10</v>
      </c>
      <c r="BM11" s="167">
        <f>'HourGH-MAY'!L11</f>
        <v>0.56999999999999995</v>
      </c>
      <c r="BN11" s="9">
        <v>10</v>
      </c>
      <c r="BO11" s="9">
        <v>1</v>
      </c>
      <c r="BP11" s="9">
        <v>10</v>
      </c>
      <c r="BQ11" s="167">
        <f>'HourGH-JUN'!L11</f>
        <v>0.23</v>
      </c>
      <c r="BR11" s="263">
        <v>10</v>
      </c>
      <c r="BS11" s="9">
        <v>1</v>
      </c>
      <c r="BT11" s="9">
        <v>10</v>
      </c>
      <c r="BU11" s="167">
        <f>'HourGH-JUL'!L11</f>
        <v>0.23</v>
      </c>
      <c r="BV11" s="263">
        <v>10</v>
      </c>
      <c r="BW11" s="9">
        <v>1</v>
      </c>
      <c r="BX11" s="9">
        <v>10</v>
      </c>
      <c r="BY11" s="167">
        <f>'HourGH-AUG'!L11</f>
        <v>0.57999999999999996</v>
      </c>
      <c r="BZ11" s="9">
        <v>10</v>
      </c>
      <c r="CA11" s="9">
        <v>1</v>
      </c>
      <c r="CB11" s="9">
        <v>10</v>
      </c>
      <c r="CC11" s="167">
        <f>'HourGH-SEP'!L11</f>
        <v>1.32</v>
      </c>
      <c r="CD11" s="263">
        <v>10</v>
      </c>
      <c r="CE11" s="9">
        <v>1</v>
      </c>
      <c r="CF11" s="9">
        <v>10</v>
      </c>
      <c r="CG11" s="167">
        <f>'HourGH-OCT'!L11</f>
        <v>1.01</v>
      </c>
      <c r="CH11" s="9">
        <v>10</v>
      </c>
      <c r="CI11" s="9">
        <v>1</v>
      </c>
      <c r="CJ11" s="9">
        <v>10</v>
      </c>
      <c r="CK11" s="167">
        <f>'HourGH-NOV'!L11</f>
        <v>1.02</v>
      </c>
      <c r="CL11" s="263">
        <v>10</v>
      </c>
      <c r="CM11" s="9">
        <v>1</v>
      </c>
      <c r="CN11" s="9">
        <v>10</v>
      </c>
      <c r="CO11" s="167">
        <f>'HourGH-DEC'!L11</f>
        <v>0.56000000000000005</v>
      </c>
      <c r="CP11" s="263">
        <v>10</v>
      </c>
      <c r="CQ11" s="9">
        <v>1</v>
      </c>
      <c r="CR11" s="9">
        <v>10</v>
      </c>
      <c r="CS11" s="167">
        <f>'HourGH-JAN'!L11</f>
        <v>0.44</v>
      </c>
      <c r="CT11" s="9">
        <v>10</v>
      </c>
      <c r="CU11" s="9">
        <v>1</v>
      </c>
      <c r="CV11" s="9">
        <v>10</v>
      </c>
      <c r="CW11" s="167">
        <f>'HourGH-FEB'!L11</f>
        <v>0.72</v>
      </c>
      <c r="CX11" s="263">
        <v>10</v>
      </c>
      <c r="CY11" s="9">
        <v>1</v>
      </c>
      <c r="CZ11" s="9">
        <v>10</v>
      </c>
      <c r="DA11" s="167">
        <f>'HourGH-MAR'!L11</f>
        <v>0.65</v>
      </c>
    </row>
    <row r="12" spans="58:117">
      <c r="BF12" s="9">
        <v>11</v>
      </c>
      <c r="BG12" s="9">
        <v>1</v>
      </c>
      <c r="BH12" s="9">
        <v>11</v>
      </c>
      <c r="BI12" s="167">
        <f>'HourGH-APR'!M11</f>
        <v>0.44</v>
      </c>
      <c r="BJ12" s="263">
        <v>11</v>
      </c>
      <c r="BK12" s="9">
        <v>1</v>
      </c>
      <c r="BL12" s="9">
        <v>11</v>
      </c>
      <c r="BM12" s="167">
        <f>'HourGH-MAY'!M11</f>
        <v>0.56999999999999995</v>
      </c>
      <c r="BN12" s="9">
        <v>11</v>
      </c>
      <c r="BO12" s="9">
        <v>1</v>
      </c>
      <c r="BP12" s="9">
        <v>11</v>
      </c>
      <c r="BQ12" s="167">
        <f>'HourGH-JUN'!M11</f>
        <v>0.23</v>
      </c>
      <c r="BR12" s="263">
        <v>11</v>
      </c>
      <c r="BS12" s="9">
        <v>1</v>
      </c>
      <c r="BT12" s="9">
        <v>11</v>
      </c>
      <c r="BU12" s="167">
        <f>'HourGH-JUL'!M11</f>
        <v>0.23</v>
      </c>
      <c r="BV12" s="263">
        <v>11</v>
      </c>
      <c r="BW12" s="9">
        <v>1</v>
      </c>
      <c r="BX12" s="9">
        <v>11</v>
      </c>
      <c r="BY12" s="167">
        <f>'HourGH-AUG'!M11</f>
        <v>0.57999999999999996</v>
      </c>
      <c r="BZ12" s="9">
        <v>11</v>
      </c>
      <c r="CA12" s="9">
        <v>1</v>
      </c>
      <c r="CB12" s="9">
        <v>11</v>
      </c>
      <c r="CC12" s="167">
        <f>'HourGH-SEP'!M11</f>
        <v>1.35</v>
      </c>
      <c r="CD12" s="263">
        <v>11</v>
      </c>
      <c r="CE12" s="9">
        <v>1</v>
      </c>
      <c r="CF12" s="9">
        <v>11</v>
      </c>
      <c r="CG12" s="167">
        <f>'HourGH-OCT'!M11</f>
        <v>1.01</v>
      </c>
      <c r="CH12" s="9">
        <v>11</v>
      </c>
      <c r="CI12" s="9">
        <v>1</v>
      </c>
      <c r="CJ12" s="9">
        <v>11</v>
      </c>
      <c r="CK12" s="167">
        <f>'HourGH-NOV'!M11</f>
        <v>1.02</v>
      </c>
      <c r="CL12" s="263">
        <v>11</v>
      </c>
      <c r="CM12" s="9">
        <v>1</v>
      </c>
      <c r="CN12" s="9">
        <v>11</v>
      </c>
      <c r="CO12" s="167">
        <f>'HourGH-DEC'!M11</f>
        <v>0.56000000000000005</v>
      </c>
      <c r="CP12" s="263">
        <v>11</v>
      </c>
      <c r="CQ12" s="9">
        <v>1</v>
      </c>
      <c r="CR12" s="9">
        <v>11</v>
      </c>
      <c r="CS12" s="167">
        <f>'HourGH-JAN'!M11</f>
        <v>0.44</v>
      </c>
      <c r="CT12" s="9">
        <v>11</v>
      </c>
      <c r="CU12" s="9">
        <v>1</v>
      </c>
      <c r="CV12" s="9">
        <v>11</v>
      </c>
      <c r="CW12" s="167">
        <f>'HourGH-FEB'!M11</f>
        <v>0.72</v>
      </c>
      <c r="CX12" s="263">
        <v>11</v>
      </c>
      <c r="CY12" s="9">
        <v>1</v>
      </c>
      <c r="CZ12" s="9">
        <v>11</v>
      </c>
      <c r="DA12" s="167">
        <f>'HourGH-MAR'!M11</f>
        <v>0.65</v>
      </c>
    </row>
    <row r="13" spans="58:117">
      <c r="BF13" s="9">
        <v>12</v>
      </c>
      <c r="BG13" s="9">
        <v>1</v>
      </c>
      <c r="BH13" s="9">
        <v>12</v>
      </c>
      <c r="BI13" s="167">
        <f>'HourGH-APR'!N11</f>
        <v>0.44</v>
      </c>
      <c r="BJ13" s="263">
        <v>12</v>
      </c>
      <c r="BK13" s="9">
        <v>1</v>
      </c>
      <c r="BL13" s="9">
        <v>12</v>
      </c>
      <c r="BM13" s="167">
        <f>'HourGH-MAY'!N11</f>
        <v>0.56999999999999995</v>
      </c>
      <c r="BN13" s="9">
        <v>12</v>
      </c>
      <c r="BO13" s="9">
        <v>1</v>
      </c>
      <c r="BP13" s="9">
        <v>12</v>
      </c>
      <c r="BQ13" s="167">
        <f>'HourGH-JUN'!N11</f>
        <v>0.23</v>
      </c>
      <c r="BR13" s="263">
        <v>12</v>
      </c>
      <c r="BS13" s="9">
        <v>1</v>
      </c>
      <c r="BT13" s="9">
        <v>12</v>
      </c>
      <c r="BU13" s="167">
        <f>'HourGH-JUL'!N11</f>
        <v>0.23</v>
      </c>
      <c r="BV13" s="263">
        <v>12</v>
      </c>
      <c r="BW13" s="9">
        <v>1</v>
      </c>
      <c r="BX13" s="9">
        <v>12</v>
      </c>
      <c r="BY13" s="167">
        <f>'HourGH-AUG'!N11</f>
        <v>0.57999999999999996</v>
      </c>
      <c r="BZ13" s="9">
        <v>12</v>
      </c>
      <c r="CA13" s="9">
        <v>1</v>
      </c>
      <c r="CB13" s="9">
        <v>12</v>
      </c>
      <c r="CC13" s="167">
        <f>'HourGH-SEP'!N11</f>
        <v>1.37</v>
      </c>
      <c r="CD13" s="263">
        <v>12</v>
      </c>
      <c r="CE13" s="9">
        <v>1</v>
      </c>
      <c r="CF13" s="9">
        <v>12</v>
      </c>
      <c r="CG13" s="167">
        <f>'HourGH-OCT'!N11</f>
        <v>1.01</v>
      </c>
      <c r="CH13" s="9">
        <v>12</v>
      </c>
      <c r="CI13" s="9">
        <v>1</v>
      </c>
      <c r="CJ13" s="9">
        <v>12</v>
      </c>
      <c r="CK13" s="167">
        <f>'HourGH-NOV'!N11</f>
        <v>1.02</v>
      </c>
      <c r="CL13" s="263">
        <v>12</v>
      </c>
      <c r="CM13" s="9">
        <v>1</v>
      </c>
      <c r="CN13" s="9">
        <v>12</v>
      </c>
      <c r="CO13" s="167">
        <f>'HourGH-DEC'!N11</f>
        <v>0.56000000000000005</v>
      </c>
      <c r="CP13" s="263">
        <v>12</v>
      </c>
      <c r="CQ13" s="9">
        <v>1</v>
      </c>
      <c r="CR13" s="9">
        <v>12</v>
      </c>
      <c r="CS13" s="167">
        <f>'HourGH-JAN'!N11</f>
        <v>0.44</v>
      </c>
      <c r="CT13" s="9">
        <v>12</v>
      </c>
      <c r="CU13" s="9">
        <v>1</v>
      </c>
      <c r="CV13" s="9">
        <v>12</v>
      </c>
      <c r="CW13" s="167">
        <f>'HourGH-FEB'!N11</f>
        <v>0.72</v>
      </c>
      <c r="CX13" s="263">
        <v>12</v>
      </c>
      <c r="CY13" s="9">
        <v>1</v>
      </c>
      <c r="CZ13" s="9">
        <v>12</v>
      </c>
      <c r="DA13" s="167">
        <f>'HourGH-MAR'!N11</f>
        <v>0.65</v>
      </c>
    </row>
    <row r="14" spans="58:117">
      <c r="BF14" s="9">
        <v>13</v>
      </c>
      <c r="BG14" s="9">
        <v>1</v>
      </c>
      <c r="BH14" s="9">
        <v>13</v>
      </c>
      <c r="BI14" s="167">
        <f>'HourGH-APR'!O11</f>
        <v>0.44</v>
      </c>
      <c r="BJ14" s="263">
        <v>13</v>
      </c>
      <c r="BK14" s="9">
        <v>1</v>
      </c>
      <c r="BL14" s="9">
        <v>13</v>
      </c>
      <c r="BM14" s="167">
        <f>'HourGH-MAY'!O11</f>
        <v>0.56999999999999995</v>
      </c>
      <c r="BN14" s="9">
        <v>13</v>
      </c>
      <c r="BO14" s="9">
        <v>1</v>
      </c>
      <c r="BP14" s="9">
        <v>13</v>
      </c>
      <c r="BQ14" s="167">
        <f>'HourGH-JUN'!O11</f>
        <v>0.23</v>
      </c>
      <c r="BR14" s="263">
        <v>13</v>
      </c>
      <c r="BS14" s="9">
        <v>1</v>
      </c>
      <c r="BT14" s="9">
        <v>13</v>
      </c>
      <c r="BU14" s="167">
        <f>'HourGH-JUL'!O11</f>
        <v>0.23</v>
      </c>
      <c r="BV14" s="263">
        <v>13</v>
      </c>
      <c r="BW14" s="9">
        <v>1</v>
      </c>
      <c r="BX14" s="9">
        <v>13</v>
      </c>
      <c r="BY14" s="167">
        <f>'HourGH-AUG'!O11</f>
        <v>0.57999999999999996</v>
      </c>
      <c r="BZ14" s="9">
        <v>13</v>
      </c>
      <c r="CA14" s="9">
        <v>1</v>
      </c>
      <c r="CB14" s="9">
        <v>13</v>
      </c>
      <c r="CC14" s="167">
        <f>'HourGH-SEP'!O11</f>
        <v>1.4</v>
      </c>
      <c r="CD14" s="263">
        <v>13</v>
      </c>
      <c r="CE14" s="9">
        <v>1</v>
      </c>
      <c r="CF14" s="9">
        <v>13</v>
      </c>
      <c r="CG14" s="167">
        <f>'HourGH-OCT'!O11</f>
        <v>1</v>
      </c>
      <c r="CH14" s="9">
        <v>13</v>
      </c>
      <c r="CI14" s="9">
        <v>1</v>
      </c>
      <c r="CJ14" s="9">
        <v>13</v>
      </c>
      <c r="CK14" s="167">
        <f>'HourGH-NOV'!O11</f>
        <v>1.01</v>
      </c>
      <c r="CL14" s="263">
        <v>13</v>
      </c>
      <c r="CM14" s="9">
        <v>1</v>
      </c>
      <c r="CN14" s="9">
        <v>13</v>
      </c>
      <c r="CO14" s="167">
        <f>'HourGH-DEC'!O11</f>
        <v>0.56000000000000005</v>
      </c>
      <c r="CP14" s="263">
        <v>13</v>
      </c>
      <c r="CQ14" s="9">
        <v>1</v>
      </c>
      <c r="CR14" s="9">
        <v>13</v>
      </c>
      <c r="CS14" s="167">
        <f>'HourGH-JAN'!O11</f>
        <v>0.44</v>
      </c>
      <c r="CT14" s="9">
        <v>13</v>
      </c>
      <c r="CU14" s="9">
        <v>1</v>
      </c>
      <c r="CV14" s="9">
        <v>13</v>
      </c>
      <c r="CW14" s="167">
        <f>'HourGH-FEB'!O11</f>
        <v>0.73</v>
      </c>
      <c r="CX14" s="263">
        <v>13</v>
      </c>
      <c r="CY14" s="9">
        <v>1</v>
      </c>
      <c r="CZ14" s="9">
        <v>13</v>
      </c>
      <c r="DA14" s="167">
        <f>'HourGH-MAR'!O11</f>
        <v>0.65</v>
      </c>
    </row>
    <row r="15" spans="58:117">
      <c r="BF15" s="9">
        <v>14</v>
      </c>
      <c r="BG15" s="9">
        <v>1</v>
      </c>
      <c r="BH15" s="9">
        <v>14</v>
      </c>
      <c r="BI15" s="167">
        <f>'HourGH-APR'!P11</f>
        <v>0.45</v>
      </c>
      <c r="BJ15" s="263">
        <v>14</v>
      </c>
      <c r="BK15" s="9">
        <v>1</v>
      </c>
      <c r="BL15" s="9">
        <v>14</v>
      </c>
      <c r="BM15" s="167">
        <f>'HourGH-MAY'!P11</f>
        <v>0.56999999999999995</v>
      </c>
      <c r="BN15" s="9">
        <v>14</v>
      </c>
      <c r="BO15" s="9">
        <v>1</v>
      </c>
      <c r="BP15" s="9">
        <v>14</v>
      </c>
      <c r="BQ15" s="167">
        <f>'HourGH-JUN'!P11</f>
        <v>0.23</v>
      </c>
      <c r="BR15" s="263">
        <v>14</v>
      </c>
      <c r="BS15" s="9">
        <v>1</v>
      </c>
      <c r="BT15" s="9">
        <v>14</v>
      </c>
      <c r="BU15" s="167">
        <f>'HourGH-JUL'!P11</f>
        <v>0.23</v>
      </c>
      <c r="BV15" s="263">
        <v>14</v>
      </c>
      <c r="BW15" s="9">
        <v>1</v>
      </c>
      <c r="BX15" s="9">
        <v>14</v>
      </c>
      <c r="BY15" s="167">
        <f>'HourGH-AUG'!P11</f>
        <v>0.57999999999999996</v>
      </c>
      <c r="BZ15" s="9">
        <v>14</v>
      </c>
      <c r="CA15" s="9">
        <v>1</v>
      </c>
      <c r="CB15" s="9">
        <v>14</v>
      </c>
      <c r="CC15" s="167">
        <f>'HourGH-SEP'!P11</f>
        <v>1.42</v>
      </c>
      <c r="CD15" s="263">
        <v>14</v>
      </c>
      <c r="CE15" s="9">
        <v>1</v>
      </c>
      <c r="CF15" s="9">
        <v>14</v>
      </c>
      <c r="CG15" s="167">
        <f>'HourGH-OCT'!P11</f>
        <v>1</v>
      </c>
      <c r="CH15" s="9">
        <v>14</v>
      </c>
      <c r="CI15" s="9">
        <v>1</v>
      </c>
      <c r="CJ15" s="9">
        <v>14</v>
      </c>
      <c r="CK15" s="167">
        <f>'HourGH-NOV'!P11</f>
        <v>1.01</v>
      </c>
      <c r="CL15" s="263">
        <v>14</v>
      </c>
      <c r="CM15" s="9">
        <v>1</v>
      </c>
      <c r="CN15" s="9">
        <v>14</v>
      </c>
      <c r="CO15" s="167">
        <f>'HourGH-DEC'!P11</f>
        <v>0.56000000000000005</v>
      </c>
      <c r="CP15" s="263">
        <v>14</v>
      </c>
      <c r="CQ15" s="9">
        <v>1</v>
      </c>
      <c r="CR15" s="9">
        <v>14</v>
      </c>
      <c r="CS15" s="167">
        <f>'HourGH-JAN'!P11</f>
        <v>0.44</v>
      </c>
      <c r="CT15" s="9">
        <v>14</v>
      </c>
      <c r="CU15" s="9">
        <v>1</v>
      </c>
      <c r="CV15" s="9">
        <v>14</v>
      </c>
      <c r="CW15" s="167">
        <f>'HourGH-FEB'!P11</f>
        <v>0.73</v>
      </c>
      <c r="CX15" s="263">
        <v>14</v>
      </c>
      <c r="CY15" s="9">
        <v>1</v>
      </c>
      <c r="CZ15" s="9">
        <v>14</v>
      </c>
      <c r="DA15" s="167">
        <f>'HourGH-MAR'!P11</f>
        <v>0.65</v>
      </c>
    </row>
    <row r="16" spans="58:117">
      <c r="BF16" s="9">
        <v>15</v>
      </c>
      <c r="BG16" s="9">
        <v>1</v>
      </c>
      <c r="BH16" s="9">
        <v>15</v>
      </c>
      <c r="BI16" s="167">
        <f>'HourGH-APR'!Q11</f>
        <v>0.45</v>
      </c>
      <c r="BJ16" s="263">
        <v>15</v>
      </c>
      <c r="BK16" s="9">
        <v>1</v>
      </c>
      <c r="BL16" s="9">
        <v>15</v>
      </c>
      <c r="BM16" s="167">
        <f>'HourGH-MAY'!Q11</f>
        <v>0.56999999999999995</v>
      </c>
      <c r="BN16" s="9">
        <v>15</v>
      </c>
      <c r="BO16" s="9">
        <v>1</v>
      </c>
      <c r="BP16" s="9">
        <v>15</v>
      </c>
      <c r="BQ16" s="167">
        <f>'HourGH-JUN'!Q11</f>
        <v>0.23</v>
      </c>
      <c r="BR16" s="263">
        <v>15</v>
      </c>
      <c r="BS16" s="9">
        <v>1</v>
      </c>
      <c r="BT16" s="9">
        <v>15</v>
      </c>
      <c r="BU16" s="167">
        <f>'HourGH-JUL'!Q11</f>
        <v>0.23</v>
      </c>
      <c r="BV16" s="263">
        <v>15</v>
      </c>
      <c r="BW16" s="9">
        <v>1</v>
      </c>
      <c r="BX16" s="9">
        <v>15</v>
      </c>
      <c r="BY16" s="167">
        <f>'HourGH-AUG'!Q11</f>
        <v>0.57999999999999996</v>
      </c>
      <c r="BZ16" s="9">
        <v>15</v>
      </c>
      <c r="CA16" s="9">
        <v>1</v>
      </c>
      <c r="CB16" s="9">
        <v>15</v>
      </c>
      <c r="CC16" s="167">
        <f>'HourGH-SEP'!Q11</f>
        <v>1.43</v>
      </c>
      <c r="CD16" s="263">
        <v>15</v>
      </c>
      <c r="CE16" s="9">
        <v>1</v>
      </c>
      <c r="CF16" s="9">
        <v>15</v>
      </c>
      <c r="CG16" s="167">
        <f>'HourGH-OCT'!Q11</f>
        <v>1</v>
      </c>
      <c r="CH16" s="9">
        <v>15</v>
      </c>
      <c r="CI16" s="9">
        <v>1</v>
      </c>
      <c r="CJ16" s="9">
        <v>15</v>
      </c>
      <c r="CK16" s="167">
        <f>'HourGH-NOV'!Q11</f>
        <v>1.01</v>
      </c>
      <c r="CL16" s="263">
        <v>15</v>
      </c>
      <c r="CM16" s="9">
        <v>1</v>
      </c>
      <c r="CN16" s="9">
        <v>15</v>
      </c>
      <c r="CO16" s="167">
        <f>'HourGH-DEC'!Q11</f>
        <v>0.56000000000000005</v>
      </c>
      <c r="CP16" s="263">
        <v>15</v>
      </c>
      <c r="CQ16" s="9">
        <v>1</v>
      </c>
      <c r="CR16" s="9">
        <v>15</v>
      </c>
      <c r="CS16" s="167">
        <f>'HourGH-JAN'!Q11</f>
        <v>0.44</v>
      </c>
      <c r="CT16" s="9">
        <v>15</v>
      </c>
      <c r="CU16" s="9">
        <v>1</v>
      </c>
      <c r="CV16" s="9">
        <v>15</v>
      </c>
      <c r="CW16" s="167">
        <f>'HourGH-FEB'!Q11</f>
        <v>0.73</v>
      </c>
      <c r="CX16" s="263">
        <v>15</v>
      </c>
      <c r="CY16" s="9">
        <v>1</v>
      </c>
      <c r="CZ16" s="9">
        <v>15</v>
      </c>
      <c r="DA16" s="167">
        <f>'HourGH-MAR'!Q11</f>
        <v>0.65</v>
      </c>
    </row>
    <row r="17" spans="58:105">
      <c r="BF17" s="9">
        <v>16</v>
      </c>
      <c r="BG17" s="9">
        <v>1</v>
      </c>
      <c r="BH17" s="9">
        <v>16</v>
      </c>
      <c r="BI17" s="167">
        <f>'HourGH-APR'!R11</f>
        <v>0.46</v>
      </c>
      <c r="BJ17" s="263">
        <v>16</v>
      </c>
      <c r="BK17" s="9">
        <v>1</v>
      </c>
      <c r="BL17" s="9">
        <v>16</v>
      </c>
      <c r="BM17" s="167">
        <f>'HourGH-MAY'!R11</f>
        <v>0.56999999999999995</v>
      </c>
      <c r="BN17" s="9">
        <v>16</v>
      </c>
      <c r="BO17" s="9">
        <v>1</v>
      </c>
      <c r="BP17" s="9">
        <v>16</v>
      </c>
      <c r="BQ17" s="167">
        <f>'HourGH-JUN'!R11</f>
        <v>0.23</v>
      </c>
      <c r="BR17" s="263">
        <v>16</v>
      </c>
      <c r="BS17" s="9">
        <v>1</v>
      </c>
      <c r="BT17" s="9">
        <v>16</v>
      </c>
      <c r="BU17" s="167">
        <f>'HourGH-JUL'!R11</f>
        <v>0.23</v>
      </c>
      <c r="BV17" s="263">
        <v>16</v>
      </c>
      <c r="BW17" s="9">
        <v>1</v>
      </c>
      <c r="BX17" s="9">
        <v>16</v>
      </c>
      <c r="BY17" s="167">
        <f>'HourGH-AUG'!R11</f>
        <v>0.57999999999999996</v>
      </c>
      <c r="BZ17" s="9">
        <v>16</v>
      </c>
      <c r="CA17" s="9">
        <v>1</v>
      </c>
      <c r="CB17" s="9">
        <v>16</v>
      </c>
      <c r="CC17" s="167">
        <f>'HourGH-SEP'!R11</f>
        <v>1.44</v>
      </c>
      <c r="CD17" s="263">
        <v>16</v>
      </c>
      <c r="CE17" s="9">
        <v>1</v>
      </c>
      <c r="CF17" s="9">
        <v>16</v>
      </c>
      <c r="CG17" s="167">
        <f>'HourGH-OCT'!R11</f>
        <v>1</v>
      </c>
      <c r="CH17" s="9">
        <v>16</v>
      </c>
      <c r="CI17" s="9">
        <v>1</v>
      </c>
      <c r="CJ17" s="9">
        <v>16</v>
      </c>
      <c r="CK17" s="167">
        <f>'HourGH-NOV'!R11</f>
        <v>1</v>
      </c>
      <c r="CL17" s="263">
        <v>16</v>
      </c>
      <c r="CM17" s="9">
        <v>1</v>
      </c>
      <c r="CN17" s="9">
        <v>16</v>
      </c>
      <c r="CO17" s="167">
        <f>'HourGH-DEC'!R11</f>
        <v>0.56000000000000005</v>
      </c>
      <c r="CP17" s="263">
        <v>16</v>
      </c>
      <c r="CQ17" s="9">
        <v>1</v>
      </c>
      <c r="CR17" s="9">
        <v>16</v>
      </c>
      <c r="CS17" s="167">
        <f>'HourGH-JAN'!R11</f>
        <v>0.44</v>
      </c>
      <c r="CT17" s="9">
        <v>16</v>
      </c>
      <c r="CU17" s="9">
        <v>1</v>
      </c>
      <c r="CV17" s="9">
        <v>16</v>
      </c>
      <c r="CW17" s="167">
        <f>'HourGH-FEB'!R11</f>
        <v>0.73</v>
      </c>
      <c r="CX17" s="263">
        <v>16</v>
      </c>
      <c r="CY17" s="9">
        <v>1</v>
      </c>
      <c r="CZ17" s="9">
        <v>16</v>
      </c>
      <c r="DA17" s="167">
        <f>'HourGH-MAR'!R11</f>
        <v>0.65</v>
      </c>
    </row>
    <row r="18" spans="58:105">
      <c r="BF18" s="9">
        <v>17</v>
      </c>
      <c r="BG18" s="9">
        <v>1</v>
      </c>
      <c r="BH18" s="9">
        <v>17</v>
      </c>
      <c r="BI18" s="167">
        <f>'HourGH-APR'!S11</f>
        <v>0.47</v>
      </c>
      <c r="BJ18" s="263">
        <v>17</v>
      </c>
      <c r="BK18" s="9">
        <v>1</v>
      </c>
      <c r="BL18" s="9">
        <v>17</v>
      </c>
      <c r="BM18" s="167">
        <f>'HourGH-MAY'!S11</f>
        <v>0.56999999999999995</v>
      </c>
      <c r="BN18" s="9">
        <v>17</v>
      </c>
      <c r="BO18" s="9">
        <v>1</v>
      </c>
      <c r="BP18" s="9">
        <v>17</v>
      </c>
      <c r="BQ18" s="167">
        <f>'HourGH-JUN'!S11</f>
        <v>0.23</v>
      </c>
      <c r="BR18" s="263">
        <v>17</v>
      </c>
      <c r="BS18" s="9">
        <v>1</v>
      </c>
      <c r="BT18" s="9">
        <v>17</v>
      </c>
      <c r="BU18" s="167">
        <f>'HourGH-JUL'!S11</f>
        <v>0.23</v>
      </c>
      <c r="BV18" s="263">
        <v>17</v>
      </c>
      <c r="BW18" s="9">
        <v>1</v>
      </c>
      <c r="BX18" s="9">
        <v>17</v>
      </c>
      <c r="BY18" s="167">
        <f>'HourGH-AUG'!S11</f>
        <v>0.57999999999999996</v>
      </c>
      <c r="BZ18" s="9">
        <v>17</v>
      </c>
      <c r="CA18" s="9">
        <v>1</v>
      </c>
      <c r="CB18" s="9">
        <v>17</v>
      </c>
      <c r="CC18" s="167">
        <f>'HourGH-SEP'!S11</f>
        <v>1.45</v>
      </c>
      <c r="CD18" s="263">
        <v>17</v>
      </c>
      <c r="CE18" s="9">
        <v>1</v>
      </c>
      <c r="CF18" s="9">
        <v>17</v>
      </c>
      <c r="CG18" s="167">
        <f>'HourGH-OCT'!S11</f>
        <v>1</v>
      </c>
      <c r="CH18" s="9">
        <v>17</v>
      </c>
      <c r="CI18" s="9">
        <v>1</v>
      </c>
      <c r="CJ18" s="9">
        <v>17</v>
      </c>
      <c r="CK18" s="167">
        <f>'HourGH-NOV'!S11</f>
        <v>1</v>
      </c>
      <c r="CL18" s="263">
        <v>17</v>
      </c>
      <c r="CM18" s="9">
        <v>1</v>
      </c>
      <c r="CN18" s="9">
        <v>17</v>
      </c>
      <c r="CO18" s="167">
        <f>'HourGH-DEC'!S11</f>
        <v>0.56000000000000005</v>
      </c>
      <c r="CP18" s="263">
        <v>17</v>
      </c>
      <c r="CQ18" s="9">
        <v>1</v>
      </c>
      <c r="CR18" s="9">
        <v>17</v>
      </c>
      <c r="CS18" s="167">
        <f>'HourGH-JAN'!S11</f>
        <v>0.44</v>
      </c>
      <c r="CT18" s="9">
        <v>17</v>
      </c>
      <c r="CU18" s="9">
        <v>1</v>
      </c>
      <c r="CV18" s="9">
        <v>17</v>
      </c>
      <c r="CW18" s="167">
        <f>'HourGH-FEB'!S11</f>
        <v>0.73</v>
      </c>
      <c r="CX18" s="263">
        <v>17</v>
      </c>
      <c r="CY18" s="9">
        <v>1</v>
      </c>
      <c r="CZ18" s="9">
        <v>17</v>
      </c>
      <c r="DA18" s="167">
        <f>'HourGH-MAR'!S11</f>
        <v>0.65</v>
      </c>
    </row>
    <row r="19" spans="58:105">
      <c r="BF19" s="9">
        <v>18</v>
      </c>
      <c r="BG19" s="9">
        <v>1</v>
      </c>
      <c r="BH19" s="9">
        <v>18</v>
      </c>
      <c r="BI19" s="167">
        <f>'HourGH-APR'!T11</f>
        <v>0.48</v>
      </c>
      <c r="BJ19" s="263">
        <v>18</v>
      </c>
      <c r="BK19" s="9">
        <v>1</v>
      </c>
      <c r="BL19" s="9">
        <v>18</v>
      </c>
      <c r="BM19" s="167">
        <f>'HourGH-MAY'!T11</f>
        <v>0.56999999999999995</v>
      </c>
      <c r="BN19" s="9">
        <v>18</v>
      </c>
      <c r="BO19" s="9">
        <v>1</v>
      </c>
      <c r="BP19" s="9">
        <v>18</v>
      </c>
      <c r="BQ19" s="167">
        <f>'HourGH-JUN'!T11</f>
        <v>0.23</v>
      </c>
      <c r="BR19" s="263">
        <v>18</v>
      </c>
      <c r="BS19" s="9">
        <v>1</v>
      </c>
      <c r="BT19" s="9">
        <v>18</v>
      </c>
      <c r="BU19" s="167">
        <f>'HourGH-JUL'!T11</f>
        <v>0.23</v>
      </c>
      <c r="BV19" s="263">
        <v>18</v>
      </c>
      <c r="BW19" s="9">
        <v>1</v>
      </c>
      <c r="BX19" s="9">
        <v>18</v>
      </c>
      <c r="BY19" s="167">
        <f>'HourGH-AUG'!T11</f>
        <v>0.57999999999999996</v>
      </c>
      <c r="BZ19" s="9">
        <v>18</v>
      </c>
      <c r="CA19" s="9">
        <v>1</v>
      </c>
      <c r="CB19" s="9">
        <v>18</v>
      </c>
      <c r="CC19" s="167">
        <f>'HourGH-SEP'!T11</f>
        <v>1.46</v>
      </c>
      <c r="CD19" s="263">
        <v>18</v>
      </c>
      <c r="CE19" s="9">
        <v>1</v>
      </c>
      <c r="CF19" s="9">
        <v>18</v>
      </c>
      <c r="CG19" s="167">
        <f>'HourGH-OCT'!T11</f>
        <v>1</v>
      </c>
      <c r="CH19" s="9">
        <v>18</v>
      </c>
      <c r="CI19" s="9">
        <v>1</v>
      </c>
      <c r="CJ19" s="9">
        <v>18</v>
      </c>
      <c r="CK19" s="167">
        <f>'HourGH-NOV'!T11</f>
        <v>1</v>
      </c>
      <c r="CL19" s="263">
        <v>18</v>
      </c>
      <c r="CM19" s="9">
        <v>1</v>
      </c>
      <c r="CN19" s="9">
        <v>18</v>
      </c>
      <c r="CO19" s="167">
        <f>'HourGH-DEC'!T11</f>
        <v>0.56000000000000005</v>
      </c>
      <c r="CP19" s="263">
        <v>18</v>
      </c>
      <c r="CQ19" s="9">
        <v>1</v>
      </c>
      <c r="CR19" s="9">
        <v>18</v>
      </c>
      <c r="CS19" s="167">
        <f>'HourGH-JAN'!T11</f>
        <v>0.44</v>
      </c>
      <c r="CT19" s="9">
        <v>18</v>
      </c>
      <c r="CU19" s="9">
        <v>1</v>
      </c>
      <c r="CV19" s="9">
        <v>18</v>
      </c>
      <c r="CW19" s="167">
        <f>'HourGH-FEB'!T11</f>
        <v>0.73</v>
      </c>
      <c r="CX19" s="263">
        <v>18</v>
      </c>
      <c r="CY19" s="9">
        <v>1</v>
      </c>
      <c r="CZ19" s="9">
        <v>18</v>
      </c>
      <c r="DA19" s="167">
        <f>'HourGH-MAR'!T11</f>
        <v>0.65</v>
      </c>
    </row>
    <row r="20" spans="58:105">
      <c r="BF20" s="9">
        <v>19</v>
      </c>
      <c r="BG20" s="9">
        <v>1</v>
      </c>
      <c r="BH20" s="9">
        <v>19</v>
      </c>
      <c r="BI20" s="167">
        <f>'HourGH-APR'!U11</f>
        <v>0.5</v>
      </c>
      <c r="BJ20" s="263">
        <v>19</v>
      </c>
      <c r="BK20" s="9">
        <v>1</v>
      </c>
      <c r="BL20" s="9">
        <v>19</v>
      </c>
      <c r="BM20" s="167">
        <f>'HourGH-MAY'!U11</f>
        <v>0.56999999999999995</v>
      </c>
      <c r="BN20" s="9">
        <v>19</v>
      </c>
      <c r="BO20" s="9">
        <v>1</v>
      </c>
      <c r="BP20" s="9">
        <v>19</v>
      </c>
      <c r="BQ20" s="167">
        <f>'HourGH-JUN'!U11</f>
        <v>0.23</v>
      </c>
      <c r="BR20" s="263">
        <v>19</v>
      </c>
      <c r="BS20" s="9">
        <v>1</v>
      </c>
      <c r="BT20" s="9">
        <v>19</v>
      </c>
      <c r="BU20" s="167">
        <f>'HourGH-JUL'!U11</f>
        <v>0.23</v>
      </c>
      <c r="BV20" s="263">
        <v>19</v>
      </c>
      <c r="BW20" s="9">
        <v>1</v>
      </c>
      <c r="BX20" s="9">
        <v>19</v>
      </c>
      <c r="BY20" s="167">
        <f>'HourGH-AUG'!U11</f>
        <v>0.57999999999999996</v>
      </c>
      <c r="BZ20" s="9">
        <v>19</v>
      </c>
      <c r="CA20" s="9">
        <v>1</v>
      </c>
      <c r="CB20" s="9">
        <v>19</v>
      </c>
      <c r="CC20" s="167">
        <f>'HourGH-SEP'!U11</f>
        <v>1.46</v>
      </c>
      <c r="CD20" s="263">
        <v>19</v>
      </c>
      <c r="CE20" s="9">
        <v>1</v>
      </c>
      <c r="CF20" s="9">
        <v>19</v>
      </c>
      <c r="CG20" s="167">
        <f>'HourGH-OCT'!U11</f>
        <v>0.99</v>
      </c>
      <c r="CH20" s="9">
        <v>19</v>
      </c>
      <c r="CI20" s="9">
        <v>1</v>
      </c>
      <c r="CJ20" s="9">
        <v>19</v>
      </c>
      <c r="CK20" s="167">
        <f>'HourGH-NOV'!U11</f>
        <v>1</v>
      </c>
      <c r="CL20" s="263">
        <v>19</v>
      </c>
      <c r="CM20" s="9">
        <v>1</v>
      </c>
      <c r="CN20" s="9">
        <v>19</v>
      </c>
      <c r="CO20" s="167">
        <f>'HourGH-DEC'!U11</f>
        <v>0.56000000000000005</v>
      </c>
      <c r="CP20" s="263">
        <v>19</v>
      </c>
      <c r="CQ20" s="9">
        <v>1</v>
      </c>
      <c r="CR20" s="9">
        <v>19</v>
      </c>
      <c r="CS20" s="167">
        <f>'HourGH-JAN'!U11</f>
        <v>0.44</v>
      </c>
      <c r="CT20" s="9">
        <v>19</v>
      </c>
      <c r="CU20" s="9">
        <v>1</v>
      </c>
      <c r="CV20" s="9">
        <v>19</v>
      </c>
      <c r="CW20" s="167">
        <f>'HourGH-FEB'!U11</f>
        <v>0.73</v>
      </c>
      <c r="CX20" s="263">
        <v>19</v>
      </c>
      <c r="CY20" s="9">
        <v>1</v>
      </c>
      <c r="CZ20" s="9">
        <v>19</v>
      </c>
      <c r="DA20" s="167">
        <f>'HourGH-MAR'!U11</f>
        <v>0.65</v>
      </c>
    </row>
    <row r="21" spans="58:105">
      <c r="BF21" s="9">
        <v>20</v>
      </c>
      <c r="BG21" s="9">
        <v>1</v>
      </c>
      <c r="BH21" s="9">
        <v>20</v>
      </c>
      <c r="BI21" s="167">
        <f>'HourGH-APR'!V11</f>
        <v>0.51</v>
      </c>
      <c r="BJ21" s="263">
        <v>20</v>
      </c>
      <c r="BK21" s="9">
        <v>1</v>
      </c>
      <c r="BL21" s="9">
        <v>20</v>
      </c>
      <c r="BM21" s="167">
        <f>'HourGH-MAY'!V11</f>
        <v>0.56999999999999995</v>
      </c>
      <c r="BN21" s="9">
        <v>20</v>
      </c>
      <c r="BO21" s="9">
        <v>1</v>
      </c>
      <c r="BP21" s="9">
        <v>20</v>
      </c>
      <c r="BQ21" s="167">
        <f>'HourGH-JUN'!V11</f>
        <v>0.23</v>
      </c>
      <c r="BR21" s="263">
        <v>20</v>
      </c>
      <c r="BS21" s="9">
        <v>1</v>
      </c>
      <c r="BT21" s="9">
        <v>20</v>
      </c>
      <c r="BU21" s="167">
        <f>'HourGH-JUL'!V11</f>
        <v>0.23</v>
      </c>
      <c r="BV21" s="263">
        <v>20</v>
      </c>
      <c r="BW21" s="9">
        <v>1</v>
      </c>
      <c r="BX21" s="9">
        <v>20</v>
      </c>
      <c r="BY21" s="167">
        <f>'HourGH-AUG'!V11</f>
        <v>0.57999999999999996</v>
      </c>
      <c r="BZ21" s="9">
        <v>20</v>
      </c>
      <c r="CA21" s="9">
        <v>1</v>
      </c>
      <c r="CB21" s="9">
        <v>20</v>
      </c>
      <c r="CC21" s="167">
        <f>'HourGH-SEP'!V11</f>
        <v>1.46</v>
      </c>
      <c r="CD21" s="263">
        <v>20</v>
      </c>
      <c r="CE21" s="9">
        <v>1</v>
      </c>
      <c r="CF21" s="9">
        <v>20</v>
      </c>
      <c r="CG21" s="167">
        <f>'HourGH-OCT'!V11</f>
        <v>0.99</v>
      </c>
      <c r="CH21" s="9">
        <v>20</v>
      </c>
      <c r="CI21" s="9">
        <v>1</v>
      </c>
      <c r="CJ21" s="9">
        <v>20</v>
      </c>
      <c r="CK21" s="167">
        <f>'HourGH-NOV'!V11</f>
        <v>0.99</v>
      </c>
      <c r="CL21" s="263">
        <v>20</v>
      </c>
      <c r="CM21" s="9">
        <v>1</v>
      </c>
      <c r="CN21" s="9">
        <v>20</v>
      </c>
      <c r="CO21" s="167">
        <f>'HourGH-DEC'!V11</f>
        <v>0.56000000000000005</v>
      </c>
      <c r="CP21" s="263">
        <v>20</v>
      </c>
      <c r="CQ21" s="9">
        <v>1</v>
      </c>
      <c r="CR21" s="9">
        <v>20</v>
      </c>
      <c r="CS21" s="167">
        <f>'HourGH-JAN'!V11</f>
        <v>0.44</v>
      </c>
      <c r="CT21" s="9">
        <v>20</v>
      </c>
      <c r="CU21" s="9">
        <v>1</v>
      </c>
      <c r="CV21" s="9">
        <v>20</v>
      </c>
      <c r="CW21" s="167">
        <f>'HourGH-FEB'!V11</f>
        <v>0.72</v>
      </c>
      <c r="CX21" s="263">
        <v>20</v>
      </c>
      <c r="CY21" s="9">
        <v>1</v>
      </c>
      <c r="CZ21" s="9">
        <v>20</v>
      </c>
      <c r="DA21" s="167">
        <f>'HourGH-MAR'!V11</f>
        <v>0.65</v>
      </c>
    </row>
    <row r="22" spans="58:105">
      <c r="BF22" s="9">
        <v>21</v>
      </c>
      <c r="BG22" s="9">
        <v>1</v>
      </c>
      <c r="BH22" s="9">
        <v>21</v>
      </c>
      <c r="BI22" s="167">
        <f>'HourGH-APR'!W11</f>
        <v>0.52</v>
      </c>
      <c r="BJ22" s="263">
        <v>21</v>
      </c>
      <c r="BK22" s="9">
        <v>1</v>
      </c>
      <c r="BL22" s="9">
        <v>21</v>
      </c>
      <c r="BM22" s="167">
        <f>'HourGH-MAY'!W11</f>
        <v>0.56999999999999995</v>
      </c>
      <c r="BN22" s="9">
        <v>21</v>
      </c>
      <c r="BO22" s="9">
        <v>1</v>
      </c>
      <c r="BP22" s="9">
        <v>21</v>
      </c>
      <c r="BQ22" s="167">
        <f>'HourGH-JUN'!W11</f>
        <v>0.23</v>
      </c>
      <c r="BR22" s="263">
        <v>21</v>
      </c>
      <c r="BS22" s="9">
        <v>1</v>
      </c>
      <c r="BT22" s="9">
        <v>21</v>
      </c>
      <c r="BU22" s="167">
        <f>'HourGH-JUL'!W11</f>
        <v>0.23</v>
      </c>
      <c r="BV22" s="263">
        <v>21</v>
      </c>
      <c r="BW22" s="9">
        <v>1</v>
      </c>
      <c r="BX22" s="9">
        <v>21</v>
      </c>
      <c r="BY22" s="167">
        <f>'HourGH-AUG'!W11</f>
        <v>0.57999999999999996</v>
      </c>
      <c r="BZ22" s="9">
        <v>21</v>
      </c>
      <c r="CA22" s="9">
        <v>1</v>
      </c>
      <c r="CB22" s="9">
        <v>21</v>
      </c>
      <c r="CC22" s="167">
        <f>'HourGH-SEP'!W11</f>
        <v>1.46</v>
      </c>
      <c r="CD22" s="263">
        <v>21</v>
      </c>
      <c r="CE22" s="9">
        <v>1</v>
      </c>
      <c r="CF22" s="9">
        <v>21</v>
      </c>
      <c r="CG22" s="167">
        <f>'HourGH-OCT'!W11</f>
        <v>0.99</v>
      </c>
      <c r="CH22" s="9">
        <v>21</v>
      </c>
      <c r="CI22" s="9">
        <v>1</v>
      </c>
      <c r="CJ22" s="9">
        <v>21</v>
      </c>
      <c r="CK22" s="167">
        <f>'HourGH-NOV'!W11</f>
        <v>0.99</v>
      </c>
      <c r="CL22" s="263">
        <v>21</v>
      </c>
      <c r="CM22" s="9">
        <v>1</v>
      </c>
      <c r="CN22" s="9">
        <v>21</v>
      </c>
      <c r="CO22" s="167">
        <f>'HourGH-DEC'!W11</f>
        <v>0.56000000000000005</v>
      </c>
      <c r="CP22" s="263">
        <v>21</v>
      </c>
      <c r="CQ22" s="9">
        <v>1</v>
      </c>
      <c r="CR22" s="9">
        <v>21</v>
      </c>
      <c r="CS22" s="167">
        <f>'HourGH-JAN'!W11</f>
        <v>0.44</v>
      </c>
      <c r="CT22" s="9">
        <v>21</v>
      </c>
      <c r="CU22" s="9">
        <v>1</v>
      </c>
      <c r="CV22" s="9">
        <v>21</v>
      </c>
      <c r="CW22" s="167">
        <f>'HourGH-FEB'!W11</f>
        <v>0.72</v>
      </c>
      <c r="CX22" s="263">
        <v>21</v>
      </c>
      <c r="CY22" s="9">
        <v>1</v>
      </c>
      <c r="CZ22" s="9">
        <v>21</v>
      </c>
      <c r="DA22" s="167">
        <f>'HourGH-MAR'!W11</f>
        <v>0.65</v>
      </c>
    </row>
    <row r="23" spans="58:105">
      <c r="BF23" s="9">
        <v>22</v>
      </c>
      <c r="BG23" s="9">
        <v>1</v>
      </c>
      <c r="BH23" s="9">
        <v>22</v>
      </c>
      <c r="BI23" s="167">
        <f>'HourGH-APR'!X11</f>
        <v>0.53</v>
      </c>
      <c r="BJ23" s="263">
        <v>22</v>
      </c>
      <c r="BK23" s="9">
        <v>1</v>
      </c>
      <c r="BL23" s="9">
        <v>22</v>
      </c>
      <c r="BM23" s="167">
        <f>'HourGH-MAY'!X11</f>
        <v>0.56999999999999995</v>
      </c>
      <c r="BN23" s="9">
        <v>22</v>
      </c>
      <c r="BO23" s="9">
        <v>1</v>
      </c>
      <c r="BP23" s="9">
        <v>22</v>
      </c>
      <c r="BQ23" s="167">
        <f>'HourGH-JUN'!X11</f>
        <v>0.23</v>
      </c>
      <c r="BR23" s="263">
        <v>22</v>
      </c>
      <c r="BS23" s="9">
        <v>1</v>
      </c>
      <c r="BT23" s="9">
        <v>22</v>
      </c>
      <c r="BU23" s="167">
        <f>'HourGH-JUL'!X11</f>
        <v>0.23</v>
      </c>
      <c r="BV23" s="263">
        <v>22</v>
      </c>
      <c r="BW23" s="9">
        <v>1</v>
      </c>
      <c r="BX23" s="9">
        <v>22</v>
      </c>
      <c r="BY23" s="167">
        <f>'HourGH-AUG'!X11</f>
        <v>0.57999999999999996</v>
      </c>
      <c r="BZ23" s="9">
        <v>22</v>
      </c>
      <c r="CA23" s="9">
        <v>1</v>
      </c>
      <c r="CB23" s="9">
        <v>22</v>
      </c>
      <c r="CC23" s="167">
        <f>'HourGH-SEP'!X11</f>
        <v>1.45</v>
      </c>
      <c r="CD23" s="263">
        <v>22</v>
      </c>
      <c r="CE23" s="9">
        <v>1</v>
      </c>
      <c r="CF23" s="9">
        <v>22</v>
      </c>
      <c r="CG23" s="167">
        <f>'HourGH-OCT'!X11</f>
        <v>0.99</v>
      </c>
      <c r="CH23" s="9">
        <v>22</v>
      </c>
      <c r="CI23" s="9">
        <v>1</v>
      </c>
      <c r="CJ23" s="9">
        <v>22</v>
      </c>
      <c r="CK23" s="167">
        <f>'HourGH-NOV'!X11</f>
        <v>0.99</v>
      </c>
      <c r="CL23" s="263">
        <v>22</v>
      </c>
      <c r="CM23" s="9">
        <v>1</v>
      </c>
      <c r="CN23" s="9">
        <v>22</v>
      </c>
      <c r="CO23" s="167">
        <f>'HourGH-DEC'!X11</f>
        <v>0.56000000000000005</v>
      </c>
      <c r="CP23" s="263">
        <v>22</v>
      </c>
      <c r="CQ23" s="9">
        <v>1</v>
      </c>
      <c r="CR23" s="9">
        <v>22</v>
      </c>
      <c r="CS23" s="167">
        <f>'HourGH-JAN'!X11</f>
        <v>0.44</v>
      </c>
      <c r="CT23" s="9">
        <v>22</v>
      </c>
      <c r="CU23" s="9">
        <v>1</v>
      </c>
      <c r="CV23" s="9">
        <v>22</v>
      </c>
      <c r="CW23" s="167">
        <f>'HourGH-FEB'!X11</f>
        <v>0.72</v>
      </c>
      <c r="CX23" s="263">
        <v>22</v>
      </c>
      <c r="CY23" s="9">
        <v>1</v>
      </c>
      <c r="CZ23" s="9">
        <v>22</v>
      </c>
      <c r="DA23" s="167">
        <f>'HourGH-MAR'!X11</f>
        <v>0.65</v>
      </c>
    </row>
    <row r="24" spans="58:105">
      <c r="BF24" s="9">
        <v>23</v>
      </c>
      <c r="BG24" s="9">
        <v>1</v>
      </c>
      <c r="BH24" s="9">
        <v>23</v>
      </c>
      <c r="BI24" s="167">
        <f>'HourGH-APR'!Y11</f>
        <v>0.55000000000000004</v>
      </c>
      <c r="BJ24" s="263">
        <v>23</v>
      </c>
      <c r="BK24" s="9">
        <v>1</v>
      </c>
      <c r="BL24" s="9">
        <v>23</v>
      </c>
      <c r="BM24" s="167">
        <f>'HourGH-MAY'!Y11</f>
        <v>0.56999999999999995</v>
      </c>
      <c r="BN24" s="9">
        <v>23</v>
      </c>
      <c r="BO24" s="9">
        <v>1</v>
      </c>
      <c r="BP24" s="9">
        <v>23</v>
      </c>
      <c r="BQ24" s="167">
        <f>'HourGH-JUN'!Y11</f>
        <v>0.23</v>
      </c>
      <c r="BR24" s="263">
        <v>23</v>
      </c>
      <c r="BS24" s="9">
        <v>1</v>
      </c>
      <c r="BT24" s="9">
        <v>23</v>
      </c>
      <c r="BU24" s="167">
        <f>'HourGH-JUL'!Y11</f>
        <v>0.23</v>
      </c>
      <c r="BV24" s="263">
        <v>23</v>
      </c>
      <c r="BW24" s="9">
        <v>1</v>
      </c>
      <c r="BX24" s="9">
        <v>23</v>
      </c>
      <c r="BY24" s="167">
        <f>'HourGH-AUG'!Y11</f>
        <v>0.57999999999999996</v>
      </c>
      <c r="BZ24" s="9">
        <v>23</v>
      </c>
      <c r="CA24" s="9">
        <v>1</v>
      </c>
      <c r="CB24" s="9">
        <v>23</v>
      </c>
      <c r="CC24" s="167">
        <f>'HourGH-SEP'!Y11</f>
        <v>1.44</v>
      </c>
      <c r="CD24" s="263">
        <v>23</v>
      </c>
      <c r="CE24" s="9">
        <v>1</v>
      </c>
      <c r="CF24" s="9">
        <v>23</v>
      </c>
      <c r="CG24" s="167">
        <f>'HourGH-OCT'!Y11</f>
        <v>0.99</v>
      </c>
      <c r="CH24" s="9">
        <v>23</v>
      </c>
      <c r="CI24" s="9">
        <v>1</v>
      </c>
      <c r="CJ24" s="9">
        <v>23</v>
      </c>
      <c r="CK24" s="167">
        <f>'HourGH-NOV'!Y11</f>
        <v>0.99</v>
      </c>
      <c r="CL24" s="263">
        <v>23</v>
      </c>
      <c r="CM24" s="9">
        <v>1</v>
      </c>
      <c r="CN24" s="9">
        <v>23</v>
      </c>
      <c r="CO24" s="167">
        <f>'HourGH-DEC'!Y11</f>
        <v>0.56000000000000005</v>
      </c>
      <c r="CP24" s="263">
        <v>23</v>
      </c>
      <c r="CQ24" s="9">
        <v>1</v>
      </c>
      <c r="CR24" s="9">
        <v>23</v>
      </c>
      <c r="CS24" s="167">
        <f>'HourGH-JAN'!Y11</f>
        <v>0.44</v>
      </c>
      <c r="CT24" s="9">
        <v>23</v>
      </c>
      <c r="CU24" s="9">
        <v>1</v>
      </c>
      <c r="CV24" s="9">
        <v>23</v>
      </c>
      <c r="CW24" s="167">
        <f>'HourGH-FEB'!Y11</f>
        <v>0.72</v>
      </c>
      <c r="CX24" s="263">
        <v>23</v>
      </c>
      <c r="CY24" s="9">
        <v>1</v>
      </c>
      <c r="CZ24" s="9">
        <v>23</v>
      </c>
      <c r="DA24" s="167">
        <f>'HourGH-MAR'!Y11</f>
        <v>0.65</v>
      </c>
    </row>
    <row r="25" spans="58:105">
      <c r="BF25" s="9">
        <v>24</v>
      </c>
      <c r="BG25" s="9">
        <v>1</v>
      </c>
      <c r="BH25" s="9">
        <v>24</v>
      </c>
      <c r="BI25" s="167">
        <f>'HourGH-APR'!Z11</f>
        <v>0.56000000000000005</v>
      </c>
      <c r="BJ25" s="263">
        <v>24</v>
      </c>
      <c r="BK25" s="9">
        <v>1</v>
      </c>
      <c r="BL25" s="9">
        <v>24</v>
      </c>
      <c r="BM25" s="167">
        <f>'HourGH-MAY'!Z11</f>
        <v>0.56999999999999995</v>
      </c>
      <c r="BN25" s="9">
        <v>24</v>
      </c>
      <c r="BO25" s="9">
        <v>1</v>
      </c>
      <c r="BP25" s="9">
        <v>24</v>
      </c>
      <c r="BQ25" s="167">
        <f>'HourGH-JUN'!Z11</f>
        <v>0.23</v>
      </c>
      <c r="BR25" s="263">
        <v>24</v>
      </c>
      <c r="BS25" s="9">
        <v>1</v>
      </c>
      <c r="BT25" s="9">
        <v>24</v>
      </c>
      <c r="BU25" s="167">
        <f>'HourGH-JUL'!Z11</f>
        <v>0.23</v>
      </c>
      <c r="BV25" s="263">
        <v>24</v>
      </c>
      <c r="BW25" s="9">
        <v>1</v>
      </c>
      <c r="BX25" s="9">
        <v>24</v>
      </c>
      <c r="BY25" s="167">
        <f>'HourGH-AUG'!Z11</f>
        <v>0.57999999999999996</v>
      </c>
      <c r="BZ25" s="9">
        <v>24</v>
      </c>
      <c r="CA25" s="9">
        <v>1</v>
      </c>
      <c r="CB25" s="9">
        <v>24</v>
      </c>
      <c r="CC25" s="167">
        <f>'HourGH-SEP'!Z11</f>
        <v>1.43</v>
      </c>
      <c r="CD25" s="263">
        <v>24</v>
      </c>
      <c r="CE25" s="9">
        <v>1</v>
      </c>
      <c r="CF25" s="9">
        <v>24</v>
      </c>
      <c r="CG25" s="167">
        <f>'HourGH-OCT'!Z11</f>
        <v>0.99</v>
      </c>
      <c r="CH25" s="9">
        <v>24</v>
      </c>
      <c r="CI25" s="9">
        <v>1</v>
      </c>
      <c r="CJ25" s="9">
        <v>24</v>
      </c>
      <c r="CK25" s="167">
        <f>'HourGH-NOV'!Z11</f>
        <v>0.99</v>
      </c>
      <c r="CL25" s="263">
        <v>24</v>
      </c>
      <c r="CM25" s="9">
        <v>1</v>
      </c>
      <c r="CN25" s="9">
        <v>24</v>
      </c>
      <c r="CO25" s="167">
        <f>'HourGH-DEC'!Z11</f>
        <v>0.56000000000000005</v>
      </c>
      <c r="CP25" s="263">
        <v>24</v>
      </c>
      <c r="CQ25" s="9">
        <v>1</v>
      </c>
      <c r="CR25" s="9">
        <v>24</v>
      </c>
      <c r="CS25" s="167">
        <f>'HourGH-JAN'!Z11</f>
        <v>0.44</v>
      </c>
      <c r="CT25" s="9">
        <v>24</v>
      </c>
      <c r="CU25" s="9">
        <v>1</v>
      </c>
      <c r="CV25" s="9">
        <v>24</v>
      </c>
      <c r="CW25" s="167">
        <f>'HourGH-FEB'!Z11</f>
        <v>0.71</v>
      </c>
      <c r="CX25" s="263">
        <v>24</v>
      </c>
      <c r="CY25" s="9">
        <v>1</v>
      </c>
      <c r="CZ25" s="9">
        <v>24</v>
      </c>
      <c r="DA25" s="167">
        <f>'HourGH-MAR'!Z11</f>
        <v>0.65</v>
      </c>
    </row>
    <row r="26" spans="58:105">
      <c r="BF26" s="9">
        <v>25</v>
      </c>
      <c r="BG26" s="9">
        <v>2</v>
      </c>
      <c r="BH26" s="9">
        <v>1</v>
      </c>
      <c r="BI26" s="167">
        <f>'HourGH-APR'!C12</f>
        <v>0.57999999999999996</v>
      </c>
      <c r="BJ26" s="263">
        <v>25</v>
      </c>
      <c r="BK26" s="9">
        <v>2</v>
      </c>
      <c r="BL26" s="9">
        <v>1</v>
      </c>
      <c r="BM26" s="167">
        <f>'HourGH-MAY'!C12</f>
        <v>0.56999999999999995</v>
      </c>
      <c r="BN26" s="9">
        <v>25</v>
      </c>
      <c r="BO26" s="9">
        <v>2</v>
      </c>
      <c r="BP26" s="9">
        <v>1</v>
      </c>
      <c r="BQ26" s="167">
        <f>'HourGH-JUN'!C12</f>
        <v>0.23</v>
      </c>
      <c r="BR26" s="263">
        <v>25</v>
      </c>
      <c r="BS26" s="9">
        <v>2</v>
      </c>
      <c r="BT26" s="9">
        <v>1</v>
      </c>
      <c r="BU26" s="167">
        <f>'HourGH-JUL'!C12</f>
        <v>0.23</v>
      </c>
      <c r="BV26" s="263">
        <v>25</v>
      </c>
      <c r="BW26" s="9">
        <v>2</v>
      </c>
      <c r="BX26" s="9">
        <v>1</v>
      </c>
      <c r="BY26" s="167">
        <f>'HourGH-AUG'!C12</f>
        <v>0.57999999999999996</v>
      </c>
      <c r="BZ26" s="9">
        <v>25</v>
      </c>
      <c r="CA26" s="9">
        <v>2</v>
      </c>
      <c r="CB26" s="9">
        <v>1</v>
      </c>
      <c r="CC26" s="167">
        <f>'HourGH-SEP'!C12</f>
        <v>1.42</v>
      </c>
      <c r="CD26" s="263">
        <v>25</v>
      </c>
      <c r="CE26" s="9">
        <v>2</v>
      </c>
      <c r="CF26" s="9">
        <v>1</v>
      </c>
      <c r="CG26" s="167">
        <f>'HourGH-OCT'!C12</f>
        <v>0.98</v>
      </c>
      <c r="CH26" s="9">
        <v>25</v>
      </c>
      <c r="CI26" s="9">
        <v>2</v>
      </c>
      <c r="CJ26" s="9">
        <v>1</v>
      </c>
      <c r="CK26" s="167">
        <f>'HourGH-NOV'!C12</f>
        <v>0.98</v>
      </c>
      <c r="CL26" s="263">
        <v>25</v>
      </c>
      <c r="CM26" s="9">
        <v>2</v>
      </c>
      <c r="CN26" s="9">
        <v>1</v>
      </c>
      <c r="CO26" s="167">
        <f>'HourGH-DEC'!C12</f>
        <v>0.54</v>
      </c>
      <c r="CP26" s="263">
        <v>25</v>
      </c>
      <c r="CQ26" s="9">
        <v>2</v>
      </c>
      <c r="CR26" s="9">
        <v>1</v>
      </c>
      <c r="CS26" s="167">
        <f>'HourGH-JAN'!C12</f>
        <v>0.43</v>
      </c>
      <c r="CT26" s="9">
        <v>25</v>
      </c>
      <c r="CU26" s="9">
        <v>2</v>
      </c>
      <c r="CV26" s="9">
        <v>1</v>
      </c>
      <c r="CW26" s="167">
        <f>'HourGH-FEB'!C12</f>
        <v>0.71</v>
      </c>
      <c r="CX26" s="263">
        <v>25</v>
      </c>
      <c r="CY26" s="9">
        <v>2</v>
      </c>
      <c r="CZ26" s="9">
        <v>1</v>
      </c>
      <c r="DA26" s="167">
        <f>'HourGH-MAR'!C12</f>
        <v>0.65</v>
      </c>
    </row>
    <row r="27" spans="58:105">
      <c r="BF27" s="9">
        <v>26</v>
      </c>
      <c r="BG27" s="9">
        <v>2</v>
      </c>
      <c r="BH27" s="9">
        <v>2</v>
      </c>
      <c r="BI27" s="167">
        <f>'HourGH-APR'!D12</f>
        <v>0.6</v>
      </c>
      <c r="BJ27" s="263">
        <v>26</v>
      </c>
      <c r="BK27" s="9">
        <v>2</v>
      </c>
      <c r="BL27" s="9">
        <v>2</v>
      </c>
      <c r="BM27" s="167">
        <f>'HourGH-MAY'!D12</f>
        <v>0.56999999999999995</v>
      </c>
      <c r="BN27" s="9">
        <v>26</v>
      </c>
      <c r="BO27" s="9">
        <v>2</v>
      </c>
      <c r="BP27" s="9">
        <v>2</v>
      </c>
      <c r="BQ27" s="167">
        <f>'HourGH-JUN'!D12</f>
        <v>0.23</v>
      </c>
      <c r="BR27" s="263">
        <v>26</v>
      </c>
      <c r="BS27" s="9">
        <v>2</v>
      </c>
      <c r="BT27" s="9">
        <v>2</v>
      </c>
      <c r="BU27" s="167">
        <f>'HourGH-JUL'!D12</f>
        <v>0.23</v>
      </c>
      <c r="BV27" s="263">
        <v>26</v>
      </c>
      <c r="BW27" s="9">
        <v>2</v>
      </c>
      <c r="BX27" s="9">
        <v>2</v>
      </c>
      <c r="BY27" s="167">
        <f>'HourGH-AUG'!D12</f>
        <v>0.57999999999999996</v>
      </c>
      <c r="BZ27" s="9">
        <v>26</v>
      </c>
      <c r="CA27" s="9">
        <v>2</v>
      </c>
      <c r="CB27" s="9">
        <v>2</v>
      </c>
      <c r="CC27" s="167">
        <f>'HourGH-SEP'!D12</f>
        <v>1.4</v>
      </c>
      <c r="CD27" s="263">
        <v>26</v>
      </c>
      <c r="CE27" s="9">
        <v>2</v>
      </c>
      <c r="CF27" s="9">
        <v>2</v>
      </c>
      <c r="CG27" s="167">
        <f>'HourGH-OCT'!D12</f>
        <v>0.98</v>
      </c>
      <c r="CH27" s="9">
        <v>26</v>
      </c>
      <c r="CI27" s="9">
        <v>2</v>
      </c>
      <c r="CJ27" s="9">
        <v>2</v>
      </c>
      <c r="CK27" s="167">
        <f>'HourGH-NOV'!D12</f>
        <v>0.98</v>
      </c>
      <c r="CL27" s="263">
        <v>26</v>
      </c>
      <c r="CM27" s="9">
        <v>2</v>
      </c>
      <c r="CN27" s="9">
        <v>2</v>
      </c>
      <c r="CO27" s="167">
        <f>'HourGH-DEC'!D12</f>
        <v>0.54</v>
      </c>
      <c r="CP27" s="263">
        <v>26</v>
      </c>
      <c r="CQ27" s="9">
        <v>2</v>
      </c>
      <c r="CR27" s="9">
        <v>2</v>
      </c>
      <c r="CS27" s="167">
        <f>'HourGH-JAN'!D12</f>
        <v>0.43</v>
      </c>
      <c r="CT27" s="9">
        <v>26</v>
      </c>
      <c r="CU27" s="9">
        <v>2</v>
      </c>
      <c r="CV27" s="9">
        <v>2</v>
      </c>
      <c r="CW27" s="167">
        <f>'HourGH-FEB'!D12</f>
        <v>0.71</v>
      </c>
      <c r="CX27" s="263">
        <v>26</v>
      </c>
      <c r="CY27" s="9">
        <v>2</v>
      </c>
      <c r="CZ27" s="9">
        <v>2</v>
      </c>
      <c r="DA27" s="167">
        <f>'HourGH-MAR'!D12</f>
        <v>0.65</v>
      </c>
    </row>
    <row r="28" spans="58:105">
      <c r="BF28" s="9">
        <v>27</v>
      </c>
      <c r="BG28" s="9">
        <v>2</v>
      </c>
      <c r="BH28" s="9">
        <v>3</v>
      </c>
      <c r="BI28" s="167">
        <f>'HourGH-APR'!E12</f>
        <v>0.62</v>
      </c>
      <c r="BJ28" s="263">
        <v>27</v>
      </c>
      <c r="BK28" s="9">
        <v>2</v>
      </c>
      <c r="BL28" s="9">
        <v>3</v>
      </c>
      <c r="BM28" s="167">
        <f>'HourGH-MAY'!E12</f>
        <v>0.56999999999999995</v>
      </c>
      <c r="BN28" s="9">
        <v>27</v>
      </c>
      <c r="BO28" s="9">
        <v>2</v>
      </c>
      <c r="BP28" s="9">
        <v>3</v>
      </c>
      <c r="BQ28" s="167">
        <f>'HourGH-JUN'!E12</f>
        <v>0.23</v>
      </c>
      <c r="BR28" s="263">
        <v>27</v>
      </c>
      <c r="BS28" s="9">
        <v>2</v>
      </c>
      <c r="BT28" s="9">
        <v>3</v>
      </c>
      <c r="BU28" s="167">
        <f>'HourGH-JUL'!E12</f>
        <v>0.23</v>
      </c>
      <c r="BV28" s="263">
        <v>27</v>
      </c>
      <c r="BW28" s="9">
        <v>2</v>
      </c>
      <c r="BX28" s="9">
        <v>3</v>
      </c>
      <c r="BY28" s="167">
        <f>'HourGH-AUG'!E12</f>
        <v>0.57999999999999996</v>
      </c>
      <c r="BZ28" s="9">
        <v>27</v>
      </c>
      <c r="CA28" s="9">
        <v>2</v>
      </c>
      <c r="CB28" s="9">
        <v>3</v>
      </c>
      <c r="CC28" s="167">
        <f>'HourGH-SEP'!E12</f>
        <v>1.38</v>
      </c>
      <c r="CD28" s="263">
        <v>27</v>
      </c>
      <c r="CE28" s="9">
        <v>2</v>
      </c>
      <c r="CF28" s="9">
        <v>3</v>
      </c>
      <c r="CG28" s="167">
        <f>'HourGH-OCT'!E12</f>
        <v>0.98</v>
      </c>
      <c r="CH28" s="9">
        <v>27</v>
      </c>
      <c r="CI28" s="9">
        <v>2</v>
      </c>
      <c r="CJ28" s="9">
        <v>3</v>
      </c>
      <c r="CK28" s="167">
        <f>'HourGH-NOV'!E12</f>
        <v>0.98</v>
      </c>
      <c r="CL28" s="263">
        <v>27</v>
      </c>
      <c r="CM28" s="9">
        <v>2</v>
      </c>
      <c r="CN28" s="9">
        <v>3</v>
      </c>
      <c r="CO28" s="167">
        <f>'HourGH-DEC'!E12</f>
        <v>0.54</v>
      </c>
      <c r="CP28" s="263">
        <v>27</v>
      </c>
      <c r="CQ28" s="9">
        <v>2</v>
      </c>
      <c r="CR28" s="9">
        <v>3</v>
      </c>
      <c r="CS28" s="167">
        <f>'HourGH-JAN'!E12</f>
        <v>0.43</v>
      </c>
      <c r="CT28" s="9">
        <v>27</v>
      </c>
      <c r="CU28" s="9">
        <v>2</v>
      </c>
      <c r="CV28" s="9">
        <v>3</v>
      </c>
      <c r="CW28" s="167">
        <f>'HourGH-FEB'!E12</f>
        <v>0.7</v>
      </c>
      <c r="CX28" s="263">
        <v>27</v>
      </c>
      <c r="CY28" s="9">
        <v>2</v>
      </c>
      <c r="CZ28" s="9">
        <v>3</v>
      </c>
      <c r="DA28" s="167">
        <f>'HourGH-MAR'!E12</f>
        <v>0.65</v>
      </c>
    </row>
    <row r="29" spans="58:105">
      <c r="BF29" s="9">
        <v>28</v>
      </c>
      <c r="BG29" s="9">
        <v>2</v>
      </c>
      <c r="BH29" s="9">
        <v>4</v>
      </c>
      <c r="BI29" s="167">
        <f>'HourGH-APR'!F12</f>
        <v>0.64</v>
      </c>
      <c r="BJ29" s="263">
        <v>28</v>
      </c>
      <c r="BK29" s="9">
        <v>2</v>
      </c>
      <c r="BL29" s="9">
        <v>4</v>
      </c>
      <c r="BM29" s="167">
        <f>'HourGH-MAY'!F12</f>
        <v>0.56999999999999995</v>
      </c>
      <c r="BN29" s="9">
        <v>28</v>
      </c>
      <c r="BO29" s="9">
        <v>2</v>
      </c>
      <c r="BP29" s="9">
        <v>4</v>
      </c>
      <c r="BQ29" s="167">
        <f>'HourGH-JUN'!F12</f>
        <v>0.23</v>
      </c>
      <c r="BR29" s="263">
        <v>28</v>
      </c>
      <c r="BS29" s="9">
        <v>2</v>
      </c>
      <c r="BT29" s="9">
        <v>4</v>
      </c>
      <c r="BU29" s="167">
        <f>'HourGH-JUL'!F12</f>
        <v>0.23</v>
      </c>
      <c r="BV29" s="263">
        <v>28</v>
      </c>
      <c r="BW29" s="9">
        <v>2</v>
      </c>
      <c r="BX29" s="9">
        <v>4</v>
      </c>
      <c r="BY29" s="167">
        <f>'HourGH-AUG'!F12</f>
        <v>0.57999999999999996</v>
      </c>
      <c r="BZ29" s="9">
        <v>28</v>
      </c>
      <c r="CA29" s="9">
        <v>2</v>
      </c>
      <c r="CB29" s="9">
        <v>4</v>
      </c>
      <c r="CC29" s="167">
        <f>'HourGH-SEP'!F12</f>
        <v>1.36</v>
      </c>
      <c r="CD29" s="263">
        <v>28</v>
      </c>
      <c r="CE29" s="9">
        <v>2</v>
      </c>
      <c r="CF29" s="9">
        <v>4</v>
      </c>
      <c r="CG29" s="167">
        <f>'HourGH-OCT'!F12</f>
        <v>0.98</v>
      </c>
      <c r="CH29" s="9">
        <v>28</v>
      </c>
      <c r="CI29" s="9">
        <v>2</v>
      </c>
      <c r="CJ29" s="9">
        <v>4</v>
      </c>
      <c r="CK29" s="167">
        <f>'HourGH-NOV'!F12</f>
        <v>0.98</v>
      </c>
      <c r="CL29" s="263">
        <v>28</v>
      </c>
      <c r="CM29" s="9">
        <v>2</v>
      </c>
      <c r="CN29" s="9">
        <v>4</v>
      </c>
      <c r="CO29" s="167">
        <f>'HourGH-DEC'!F12</f>
        <v>0.54</v>
      </c>
      <c r="CP29" s="263">
        <v>28</v>
      </c>
      <c r="CQ29" s="9">
        <v>2</v>
      </c>
      <c r="CR29" s="9">
        <v>4</v>
      </c>
      <c r="CS29" s="167">
        <f>'HourGH-JAN'!F12</f>
        <v>0.43</v>
      </c>
      <c r="CT29" s="9">
        <v>28</v>
      </c>
      <c r="CU29" s="9">
        <v>2</v>
      </c>
      <c r="CV29" s="9">
        <v>4</v>
      </c>
      <c r="CW29" s="167">
        <f>'HourGH-FEB'!F12</f>
        <v>0.7</v>
      </c>
      <c r="CX29" s="263">
        <v>28</v>
      </c>
      <c r="CY29" s="9">
        <v>2</v>
      </c>
      <c r="CZ29" s="9">
        <v>4</v>
      </c>
      <c r="DA29" s="167">
        <f>'HourGH-MAR'!F12</f>
        <v>0.65</v>
      </c>
    </row>
    <row r="30" spans="58:105">
      <c r="BF30" s="9">
        <v>29</v>
      </c>
      <c r="BG30" s="9">
        <v>2</v>
      </c>
      <c r="BH30" s="9">
        <v>5</v>
      </c>
      <c r="BI30" s="167">
        <f>'HourGH-APR'!G12</f>
        <v>0.65</v>
      </c>
      <c r="BJ30" s="263">
        <v>29</v>
      </c>
      <c r="BK30" s="9">
        <v>2</v>
      </c>
      <c r="BL30" s="9">
        <v>5</v>
      </c>
      <c r="BM30" s="167">
        <f>'HourGH-MAY'!G12</f>
        <v>0.56999999999999995</v>
      </c>
      <c r="BN30" s="9">
        <v>29</v>
      </c>
      <c r="BO30" s="9">
        <v>2</v>
      </c>
      <c r="BP30" s="9">
        <v>5</v>
      </c>
      <c r="BQ30" s="167">
        <f>'HourGH-JUN'!G12</f>
        <v>0.23</v>
      </c>
      <c r="BR30" s="263">
        <v>29</v>
      </c>
      <c r="BS30" s="9">
        <v>2</v>
      </c>
      <c r="BT30" s="9">
        <v>5</v>
      </c>
      <c r="BU30" s="167">
        <f>'HourGH-JUL'!G12</f>
        <v>0.23</v>
      </c>
      <c r="BV30" s="263">
        <v>29</v>
      </c>
      <c r="BW30" s="9">
        <v>2</v>
      </c>
      <c r="BX30" s="9">
        <v>5</v>
      </c>
      <c r="BY30" s="167">
        <f>'HourGH-AUG'!G12</f>
        <v>0.57999999999999996</v>
      </c>
      <c r="BZ30" s="9">
        <v>29</v>
      </c>
      <c r="CA30" s="9">
        <v>2</v>
      </c>
      <c r="CB30" s="9">
        <v>5</v>
      </c>
      <c r="CC30" s="167">
        <f>'HourGH-SEP'!G12</f>
        <v>1.34</v>
      </c>
      <c r="CD30" s="263">
        <v>29</v>
      </c>
      <c r="CE30" s="9">
        <v>2</v>
      </c>
      <c r="CF30" s="9">
        <v>5</v>
      </c>
      <c r="CG30" s="167">
        <f>'HourGH-OCT'!G12</f>
        <v>0.98</v>
      </c>
      <c r="CH30" s="9">
        <v>29</v>
      </c>
      <c r="CI30" s="9">
        <v>2</v>
      </c>
      <c r="CJ30" s="9">
        <v>5</v>
      </c>
      <c r="CK30" s="167">
        <f>'HourGH-NOV'!G12</f>
        <v>0.97</v>
      </c>
      <c r="CL30" s="263">
        <v>29</v>
      </c>
      <c r="CM30" s="9">
        <v>2</v>
      </c>
      <c r="CN30" s="9">
        <v>5</v>
      </c>
      <c r="CO30" s="167">
        <f>'HourGH-DEC'!G12</f>
        <v>0.54</v>
      </c>
      <c r="CP30" s="263">
        <v>29</v>
      </c>
      <c r="CQ30" s="9">
        <v>2</v>
      </c>
      <c r="CR30" s="9">
        <v>5</v>
      </c>
      <c r="CS30" s="167">
        <f>'HourGH-JAN'!G12</f>
        <v>0.43</v>
      </c>
      <c r="CT30" s="9">
        <v>29</v>
      </c>
      <c r="CU30" s="9">
        <v>2</v>
      </c>
      <c r="CV30" s="9">
        <v>5</v>
      </c>
      <c r="CW30" s="167">
        <f>'HourGH-FEB'!G12</f>
        <v>0.7</v>
      </c>
      <c r="CX30" s="263">
        <v>29</v>
      </c>
      <c r="CY30" s="9">
        <v>2</v>
      </c>
      <c r="CZ30" s="9">
        <v>5</v>
      </c>
      <c r="DA30" s="167">
        <f>'HourGH-MAR'!G12</f>
        <v>0.65</v>
      </c>
    </row>
    <row r="31" spans="58:105">
      <c r="BF31" s="9">
        <v>30</v>
      </c>
      <c r="BG31" s="9">
        <v>2</v>
      </c>
      <c r="BH31" s="9">
        <v>6</v>
      </c>
      <c r="BI31" s="167">
        <f>'HourGH-APR'!H12</f>
        <v>0.67</v>
      </c>
      <c r="BJ31" s="263">
        <v>30</v>
      </c>
      <c r="BK31" s="9">
        <v>2</v>
      </c>
      <c r="BL31" s="9">
        <v>6</v>
      </c>
      <c r="BM31" s="167">
        <f>'HourGH-MAY'!H12</f>
        <v>0.56999999999999995</v>
      </c>
      <c r="BN31" s="9">
        <v>30</v>
      </c>
      <c r="BO31" s="9">
        <v>2</v>
      </c>
      <c r="BP31" s="9">
        <v>6</v>
      </c>
      <c r="BQ31" s="167">
        <f>'HourGH-JUN'!H12</f>
        <v>0.23</v>
      </c>
      <c r="BR31" s="263">
        <v>30</v>
      </c>
      <c r="BS31" s="9">
        <v>2</v>
      </c>
      <c r="BT31" s="9">
        <v>6</v>
      </c>
      <c r="BU31" s="167">
        <f>'HourGH-JUL'!H12</f>
        <v>0.23</v>
      </c>
      <c r="BV31" s="263">
        <v>30</v>
      </c>
      <c r="BW31" s="9">
        <v>2</v>
      </c>
      <c r="BX31" s="9">
        <v>6</v>
      </c>
      <c r="BY31" s="167">
        <f>'HourGH-AUG'!H12</f>
        <v>0.57999999999999996</v>
      </c>
      <c r="BZ31" s="9">
        <v>30</v>
      </c>
      <c r="CA31" s="9">
        <v>2</v>
      </c>
      <c r="CB31" s="9">
        <v>6</v>
      </c>
      <c r="CC31" s="167">
        <f>'HourGH-SEP'!H12</f>
        <v>1.32</v>
      </c>
      <c r="CD31" s="263">
        <v>30</v>
      </c>
      <c r="CE31" s="9">
        <v>2</v>
      </c>
      <c r="CF31" s="9">
        <v>6</v>
      </c>
      <c r="CG31" s="167">
        <f>'HourGH-OCT'!H12</f>
        <v>0.97</v>
      </c>
      <c r="CH31" s="9">
        <v>30</v>
      </c>
      <c r="CI31" s="9">
        <v>2</v>
      </c>
      <c r="CJ31" s="9">
        <v>6</v>
      </c>
      <c r="CK31" s="167">
        <f>'HourGH-NOV'!H12</f>
        <v>0.97</v>
      </c>
      <c r="CL31" s="263">
        <v>30</v>
      </c>
      <c r="CM31" s="9">
        <v>2</v>
      </c>
      <c r="CN31" s="9">
        <v>6</v>
      </c>
      <c r="CO31" s="167">
        <f>'HourGH-DEC'!H12</f>
        <v>0.54</v>
      </c>
      <c r="CP31" s="263">
        <v>30</v>
      </c>
      <c r="CQ31" s="9">
        <v>2</v>
      </c>
      <c r="CR31" s="9">
        <v>6</v>
      </c>
      <c r="CS31" s="167">
        <f>'HourGH-JAN'!H12</f>
        <v>0.43</v>
      </c>
      <c r="CT31" s="9">
        <v>30</v>
      </c>
      <c r="CU31" s="9">
        <v>2</v>
      </c>
      <c r="CV31" s="9">
        <v>6</v>
      </c>
      <c r="CW31" s="167">
        <f>'HourGH-FEB'!H12</f>
        <v>0.69</v>
      </c>
      <c r="CX31" s="263">
        <v>30</v>
      </c>
      <c r="CY31" s="9">
        <v>2</v>
      </c>
      <c r="CZ31" s="9">
        <v>6</v>
      </c>
      <c r="DA31" s="167">
        <f>'HourGH-MAR'!H12</f>
        <v>0.65</v>
      </c>
    </row>
    <row r="32" spans="58:105">
      <c r="BF32" s="9">
        <v>31</v>
      </c>
      <c r="BG32" s="9">
        <v>2</v>
      </c>
      <c r="BH32" s="9">
        <v>7</v>
      </c>
      <c r="BI32" s="167">
        <f>'HourGH-APR'!I12</f>
        <v>0.69</v>
      </c>
      <c r="BJ32" s="263">
        <v>31</v>
      </c>
      <c r="BK32" s="9">
        <v>2</v>
      </c>
      <c r="BL32" s="9">
        <v>7</v>
      </c>
      <c r="BM32" s="167">
        <f>'HourGH-MAY'!I12</f>
        <v>0.56999999999999995</v>
      </c>
      <c r="BN32" s="9">
        <v>31</v>
      </c>
      <c r="BO32" s="9">
        <v>2</v>
      </c>
      <c r="BP32" s="9">
        <v>7</v>
      </c>
      <c r="BQ32" s="167">
        <f>'HourGH-JUN'!I12</f>
        <v>0.23</v>
      </c>
      <c r="BR32" s="263">
        <v>31</v>
      </c>
      <c r="BS32" s="9">
        <v>2</v>
      </c>
      <c r="BT32" s="9">
        <v>7</v>
      </c>
      <c r="BU32" s="167">
        <f>'HourGH-JUL'!I12</f>
        <v>0.23</v>
      </c>
      <c r="BV32" s="263">
        <v>31</v>
      </c>
      <c r="BW32" s="9">
        <v>2</v>
      </c>
      <c r="BX32" s="9">
        <v>7</v>
      </c>
      <c r="BY32" s="167">
        <f>'HourGH-AUG'!I12</f>
        <v>0.56999999999999995</v>
      </c>
      <c r="BZ32" s="9">
        <v>31</v>
      </c>
      <c r="CA32" s="9">
        <v>2</v>
      </c>
      <c r="CB32" s="9">
        <v>7</v>
      </c>
      <c r="CC32" s="167">
        <f>'HourGH-SEP'!I12</f>
        <v>1.29</v>
      </c>
      <c r="CD32" s="263">
        <v>31</v>
      </c>
      <c r="CE32" s="9">
        <v>2</v>
      </c>
      <c r="CF32" s="9">
        <v>7</v>
      </c>
      <c r="CG32" s="167">
        <f>'HourGH-OCT'!I12</f>
        <v>0.97</v>
      </c>
      <c r="CH32" s="9">
        <v>31</v>
      </c>
      <c r="CI32" s="9">
        <v>2</v>
      </c>
      <c r="CJ32" s="9">
        <v>7</v>
      </c>
      <c r="CK32" s="167">
        <f>'HourGH-NOV'!I12</f>
        <v>0.97</v>
      </c>
      <c r="CL32" s="263">
        <v>31</v>
      </c>
      <c r="CM32" s="9">
        <v>2</v>
      </c>
      <c r="CN32" s="9">
        <v>7</v>
      </c>
      <c r="CO32" s="167">
        <f>'HourGH-DEC'!I12</f>
        <v>0.54</v>
      </c>
      <c r="CP32" s="263">
        <v>31</v>
      </c>
      <c r="CQ32" s="9">
        <v>2</v>
      </c>
      <c r="CR32" s="9">
        <v>7</v>
      </c>
      <c r="CS32" s="167">
        <f>'HourGH-JAN'!I12</f>
        <v>0.43</v>
      </c>
      <c r="CT32" s="9">
        <v>31</v>
      </c>
      <c r="CU32" s="9">
        <v>2</v>
      </c>
      <c r="CV32" s="9">
        <v>7</v>
      </c>
      <c r="CW32" s="167">
        <f>'HourGH-FEB'!I12</f>
        <v>0.68</v>
      </c>
      <c r="CX32" s="263">
        <v>31</v>
      </c>
      <c r="CY32" s="9">
        <v>2</v>
      </c>
      <c r="CZ32" s="9">
        <v>7</v>
      </c>
      <c r="DA32" s="167">
        <f>'HourGH-MAR'!I12</f>
        <v>0.65</v>
      </c>
    </row>
    <row r="33" spans="58:105">
      <c r="BF33" s="9">
        <v>32</v>
      </c>
      <c r="BG33" s="9">
        <v>2</v>
      </c>
      <c r="BH33" s="9">
        <v>8</v>
      </c>
      <c r="BI33" s="167">
        <f>'HourGH-APR'!J12</f>
        <v>0.7</v>
      </c>
      <c r="BJ33" s="263">
        <v>32</v>
      </c>
      <c r="BK33" s="9">
        <v>2</v>
      </c>
      <c r="BL33" s="9">
        <v>8</v>
      </c>
      <c r="BM33" s="167">
        <f>'HourGH-MAY'!J12</f>
        <v>0.56999999999999995</v>
      </c>
      <c r="BN33" s="9">
        <v>32</v>
      </c>
      <c r="BO33" s="9">
        <v>2</v>
      </c>
      <c r="BP33" s="9">
        <v>8</v>
      </c>
      <c r="BQ33" s="167">
        <f>'HourGH-JUN'!J12</f>
        <v>0.23</v>
      </c>
      <c r="BR33" s="263">
        <v>32</v>
      </c>
      <c r="BS33" s="9">
        <v>2</v>
      </c>
      <c r="BT33" s="9">
        <v>8</v>
      </c>
      <c r="BU33" s="167">
        <f>'HourGH-JUL'!J12</f>
        <v>0.23</v>
      </c>
      <c r="BV33" s="263">
        <v>32</v>
      </c>
      <c r="BW33" s="9">
        <v>2</v>
      </c>
      <c r="BX33" s="9">
        <v>8</v>
      </c>
      <c r="BY33" s="167">
        <f>'HourGH-AUG'!J12</f>
        <v>0.56999999999999995</v>
      </c>
      <c r="BZ33" s="9">
        <v>32</v>
      </c>
      <c r="CA33" s="9">
        <v>2</v>
      </c>
      <c r="CB33" s="9">
        <v>8</v>
      </c>
      <c r="CC33" s="167">
        <f>'HourGH-SEP'!J12</f>
        <v>1.26</v>
      </c>
      <c r="CD33" s="263">
        <v>32</v>
      </c>
      <c r="CE33" s="9">
        <v>2</v>
      </c>
      <c r="CF33" s="9">
        <v>8</v>
      </c>
      <c r="CG33" s="167">
        <f>'HourGH-OCT'!J12</f>
        <v>0.97</v>
      </c>
      <c r="CH33" s="9">
        <v>32</v>
      </c>
      <c r="CI33" s="9">
        <v>2</v>
      </c>
      <c r="CJ33" s="9">
        <v>8</v>
      </c>
      <c r="CK33" s="167">
        <f>'HourGH-NOV'!J12</f>
        <v>0.97</v>
      </c>
      <c r="CL33" s="263">
        <v>32</v>
      </c>
      <c r="CM33" s="9">
        <v>2</v>
      </c>
      <c r="CN33" s="9">
        <v>8</v>
      </c>
      <c r="CO33" s="167">
        <f>'HourGH-DEC'!J12</f>
        <v>0.54</v>
      </c>
      <c r="CP33" s="263">
        <v>32</v>
      </c>
      <c r="CQ33" s="9">
        <v>2</v>
      </c>
      <c r="CR33" s="9">
        <v>8</v>
      </c>
      <c r="CS33" s="167">
        <f>'HourGH-JAN'!J12</f>
        <v>0.43</v>
      </c>
      <c r="CT33" s="9">
        <v>32</v>
      </c>
      <c r="CU33" s="9">
        <v>2</v>
      </c>
      <c r="CV33" s="9">
        <v>8</v>
      </c>
      <c r="CW33" s="167">
        <f>'HourGH-FEB'!J12</f>
        <v>0.68</v>
      </c>
      <c r="CX33" s="263">
        <v>32</v>
      </c>
      <c r="CY33" s="9">
        <v>2</v>
      </c>
      <c r="CZ33" s="9">
        <v>8</v>
      </c>
      <c r="DA33" s="167">
        <f>'HourGH-MAR'!J12</f>
        <v>0.65</v>
      </c>
    </row>
    <row r="34" spans="58:105">
      <c r="BF34" s="9">
        <v>33</v>
      </c>
      <c r="BG34" s="9">
        <v>2</v>
      </c>
      <c r="BH34" s="9">
        <v>9</v>
      </c>
      <c r="BI34" s="167">
        <f>'HourGH-APR'!K12</f>
        <v>0.71</v>
      </c>
      <c r="BJ34" s="263">
        <v>33</v>
      </c>
      <c r="BK34" s="9">
        <v>2</v>
      </c>
      <c r="BL34" s="9">
        <v>9</v>
      </c>
      <c r="BM34" s="167">
        <f>'HourGH-MAY'!K12</f>
        <v>0.56999999999999995</v>
      </c>
      <c r="BN34" s="9">
        <v>33</v>
      </c>
      <c r="BO34" s="9">
        <v>2</v>
      </c>
      <c r="BP34" s="9">
        <v>9</v>
      </c>
      <c r="BQ34" s="167">
        <f>'HourGH-JUN'!K12</f>
        <v>0.23</v>
      </c>
      <c r="BR34" s="263">
        <v>33</v>
      </c>
      <c r="BS34" s="9">
        <v>2</v>
      </c>
      <c r="BT34" s="9">
        <v>9</v>
      </c>
      <c r="BU34" s="167">
        <f>'HourGH-JUL'!K12</f>
        <v>0.23</v>
      </c>
      <c r="BV34" s="263">
        <v>33</v>
      </c>
      <c r="BW34" s="9">
        <v>2</v>
      </c>
      <c r="BX34" s="9">
        <v>9</v>
      </c>
      <c r="BY34" s="167">
        <f>'HourGH-AUG'!K12</f>
        <v>0.56999999999999995</v>
      </c>
      <c r="BZ34" s="9">
        <v>33</v>
      </c>
      <c r="CA34" s="9">
        <v>2</v>
      </c>
      <c r="CB34" s="9">
        <v>9</v>
      </c>
      <c r="CC34" s="167">
        <f>'HourGH-SEP'!K12</f>
        <v>1.23</v>
      </c>
      <c r="CD34" s="263">
        <v>33</v>
      </c>
      <c r="CE34" s="9">
        <v>2</v>
      </c>
      <c r="CF34" s="9">
        <v>9</v>
      </c>
      <c r="CG34" s="167">
        <f>'HourGH-OCT'!K12</f>
        <v>0.97</v>
      </c>
      <c r="CH34" s="9">
        <v>33</v>
      </c>
      <c r="CI34" s="9">
        <v>2</v>
      </c>
      <c r="CJ34" s="9">
        <v>9</v>
      </c>
      <c r="CK34" s="167">
        <f>'HourGH-NOV'!K12</f>
        <v>0.96</v>
      </c>
      <c r="CL34" s="263">
        <v>33</v>
      </c>
      <c r="CM34" s="9">
        <v>2</v>
      </c>
      <c r="CN34" s="9">
        <v>9</v>
      </c>
      <c r="CO34" s="167">
        <f>'HourGH-DEC'!K12</f>
        <v>0.54</v>
      </c>
      <c r="CP34" s="263">
        <v>33</v>
      </c>
      <c r="CQ34" s="9">
        <v>2</v>
      </c>
      <c r="CR34" s="9">
        <v>9</v>
      </c>
      <c r="CS34" s="167">
        <f>'HourGH-JAN'!K12</f>
        <v>0.43</v>
      </c>
      <c r="CT34" s="9">
        <v>33</v>
      </c>
      <c r="CU34" s="9">
        <v>2</v>
      </c>
      <c r="CV34" s="9">
        <v>9</v>
      </c>
      <c r="CW34" s="167">
        <f>'HourGH-FEB'!K12</f>
        <v>0.67</v>
      </c>
      <c r="CX34" s="263">
        <v>33</v>
      </c>
      <c r="CY34" s="9">
        <v>2</v>
      </c>
      <c r="CZ34" s="9">
        <v>9</v>
      </c>
      <c r="DA34" s="167">
        <f>'HourGH-MAR'!K12</f>
        <v>0.65</v>
      </c>
    </row>
    <row r="35" spans="58:105">
      <c r="BF35" s="9">
        <v>34</v>
      </c>
      <c r="BG35" s="9">
        <v>2</v>
      </c>
      <c r="BH35" s="9">
        <v>10</v>
      </c>
      <c r="BI35" s="167">
        <f>'HourGH-APR'!L12</f>
        <v>0.72</v>
      </c>
      <c r="BJ35" s="263">
        <v>34</v>
      </c>
      <c r="BK35" s="9">
        <v>2</v>
      </c>
      <c r="BL35" s="9">
        <v>10</v>
      </c>
      <c r="BM35" s="167">
        <f>'HourGH-MAY'!L12</f>
        <v>0.56999999999999995</v>
      </c>
      <c r="BN35" s="9">
        <v>34</v>
      </c>
      <c r="BO35" s="9">
        <v>2</v>
      </c>
      <c r="BP35" s="9">
        <v>10</v>
      </c>
      <c r="BQ35" s="167">
        <f>'HourGH-JUN'!L12</f>
        <v>0.23</v>
      </c>
      <c r="BR35" s="263">
        <v>34</v>
      </c>
      <c r="BS35" s="9">
        <v>2</v>
      </c>
      <c r="BT35" s="9">
        <v>10</v>
      </c>
      <c r="BU35" s="167">
        <f>'HourGH-JUL'!L12</f>
        <v>0.23</v>
      </c>
      <c r="BV35" s="263">
        <v>34</v>
      </c>
      <c r="BW35" s="9">
        <v>2</v>
      </c>
      <c r="BX35" s="9">
        <v>10</v>
      </c>
      <c r="BY35" s="167">
        <f>'HourGH-AUG'!L12</f>
        <v>0.56000000000000005</v>
      </c>
      <c r="BZ35" s="9">
        <v>34</v>
      </c>
      <c r="CA35" s="9">
        <v>2</v>
      </c>
      <c r="CB35" s="9">
        <v>10</v>
      </c>
      <c r="CC35" s="167">
        <f>'HourGH-SEP'!L12</f>
        <v>1.2</v>
      </c>
      <c r="CD35" s="263">
        <v>34</v>
      </c>
      <c r="CE35" s="9">
        <v>2</v>
      </c>
      <c r="CF35" s="9">
        <v>10</v>
      </c>
      <c r="CG35" s="167">
        <f>'HourGH-OCT'!L12</f>
        <v>0.97</v>
      </c>
      <c r="CH35" s="9">
        <v>34</v>
      </c>
      <c r="CI35" s="9">
        <v>2</v>
      </c>
      <c r="CJ35" s="9">
        <v>10</v>
      </c>
      <c r="CK35" s="167">
        <f>'HourGH-NOV'!L12</f>
        <v>0.96</v>
      </c>
      <c r="CL35" s="263">
        <v>34</v>
      </c>
      <c r="CM35" s="9">
        <v>2</v>
      </c>
      <c r="CN35" s="9">
        <v>10</v>
      </c>
      <c r="CO35" s="167">
        <f>'HourGH-DEC'!L12</f>
        <v>0.54</v>
      </c>
      <c r="CP35" s="263">
        <v>34</v>
      </c>
      <c r="CQ35" s="9">
        <v>2</v>
      </c>
      <c r="CR35" s="9">
        <v>10</v>
      </c>
      <c r="CS35" s="167">
        <f>'HourGH-JAN'!L12</f>
        <v>0.43</v>
      </c>
      <c r="CT35" s="9">
        <v>34</v>
      </c>
      <c r="CU35" s="9">
        <v>2</v>
      </c>
      <c r="CV35" s="9">
        <v>10</v>
      </c>
      <c r="CW35" s="167">
        <f>'HourGH-FEB'!L12</f>
        <v>0.67</v>
      </c>
      <c r="CX35" s="263">
        <v>34</v>
      </c>
      <c r="CY35" s="9">
        <v>2</v>
      </c>
      <c r="CZ35" s="9">
        <v>10</v>
      </c>
      <c r="DA35" s="167">
        <f>'HourGH-MAR'!L12</f>
        <v>0.65</v>
      </c>
    </row>
    <row r="36" spans="58:105">
      <c r="BF36" s="9">
        <v>35</v>
      </c>
      <c r="BG36" s="9">
        <v>2</v>
      </c>
      <c r="BH36" s="9">
        <v>11</v>
      </c>
      <c r="BI36" s="167">
        <f>'HourGH-APR'!M12</f>
        <v>0.73</v>
      </c>
      <c r="BJ36" s="263">
        <v>35</v>
      </c>
      <c r="BK36" s="9">
        <v>2</v>
      </c>
      <c r="BL36" s="9">
        <v>11</v>
      </c>
      <c r="BM36" s="167">
        <f>'HourGH-MAY'!M12</f>
        <v>0.56999999999999995</v>
      </c>
      <c r="BN36" s="9">
        <v>35</v>
      </c>
      <c r="BO36" s="9">
        <v>2</v>
      </c>
      <c r="BP36" s="9">
        <v>11</v>
      </c>
      <c r="BQ36" s="167">
        <f>'HourGH-JUN'!M12</f>
        <v>0.23</v>
      </c>
      <c r="BR36" s="263">
        <v>35</v>
      </c>
      <c r="BS36" s="9">
        <v>2</v>
      </c>
      <c r="BT36" s="9">
        <v>11</v>
      </c>
      <c r="BU36" s="167">
        <f>'HourGH-JUL'!M12</f>
        <v>0.23</v>
      </c>
      <c r="BV36" s="263">
        <v>35</v>
      </c>
      <c r="BW36" s="9">
        <v>2</v>
      </c>
      <c r="BX36" s="9">
        <v>11</v>
      </c>
      <c r="BY36" s="167">
        <f>'HourGH-AUG'!M12</f>
        <v>0.56000000000000005</v>
      </c>
      <c r="BZ36" s="9">
        <v>35</v>
      </c>
      <c r="CA36" s="9">
        <v>2</v>
      </c>
      <c r="CB36" s="9">
        <v>11</v>
      </c>
      <c r="CC36" s="167">
        <f>'HourGH-SEP'!M12</f>
        <v>1.18</v>
      </c>
      <c r="CD36" s="263">
        <v>35</v>
      </c>
      <c r="CE36" s="9">
        <v>2</v>
      </c>
      <c r="CF36" s="9">
        <v>11</v>
      </c>
      <c r="CG36" s="167">
        <f>'HourGH-OCT'!M12</f>
        <v>0.97</v>
      </c>
      <c r="CH36" s="9">
        <v>35</v>
      </c>
      <c r="CI36" s="9">
        <v>2</v>
      </c>
      <c r="CJ36" s="9">
        <v>11</v>
      </c>
      <c r="CK36" s="167">
        <f>'HourGH-NOV'!M12</f>
        <v>0.96</v>
      </c>
      <c r="CL36" s="263">
        <v>35</v>
      </c>
      <c r="CM36" s="9">
        <v>2</v>
      </c>
      <c r="CN36" s="9">
        <v>11</v>
      </c>
      <c r="CO36" s="167">
        <f>'HourGH-DEC'!M12</f>
        <v>0.54</v>
      </c>
      <c r="CP36" s="263">
        <v>35</v>
      </c>
      <c r="CQ36" s="9">
        <v>2</v>
      </c>
      <c r="CR36" s="9">
        <v>11</v>
      </c>
      <c r="CS36" s="167">
        <f>'HourGH-JAN'!M12</f>
        <v>0.43</v>
      </c>
      <c r="CT36" s="9">
        <v>35</v>
      </c>
      <c r="CU36" s="9">
        <v>2</v>
      </c>
      <c r="CV36" s="9">
        <v>11</v>
      </c>
      <c r="CW36" s="167">
        <f>'HourGH-FEB'!M12</f>
        <v>0.66</v>
      </c>
      <c r="CX36" s="263">
        <v>35</v>
      </c>
      <c r="CY36" s="9">
        <v>2</v>
      </c>
      <c r="CZ36" s="9">
        <v>11</v>
      </c>
      <c r="DA36" s="167">
        <f>'HourGH-MAR'!M12</f>
        <v>0.65</v>
      </c>
    </row>
    <row r="37" spans="58:105">
      <c r="BF37" s="9">
        <v>36</v>
      </c>
      <c r="BG37" s="9">
        <v>2</v>
      </c>
      <c r="BH37" s="9">
        <v>12</v>
      </c>
      <c r="BI37" s="167">
        <f>'HourGH-APR'!N12</f>
        <v>0.74</v>
      </c>
      <c r="BJ37" s="263">
        <v>36</v>
      </c>
      <c r="BK37" s="9">
        <v>2</v>
      </c>
      <c r="BL37" s="9">
        <v>12</v>
      </c>
      <c r="BM37" s="167">
        <f>'HourGH-MAY'!N12</f>
        <v>0.56999999999999995</v>
      </c>
      <c r="BN37" s="9">
        <v>36</v>
      </c>
      <c r="BO37" s="9">
        <v>2</v>
      </c>
      <c r="BP37" s="9">
        <v>12</v>
      </c>
      <c r="BQ37" s="167">
        <f>'HourGH-JUN'!N12</f>
        <v>0.23</v>
      </c>
      <c r="BR37" s="263">
        <v>36</v>
      </c>
      <c r="BS37" s="9">
        <v>2</v>
      </c>
      <c r="BT37" s="9">
        <v>12</v>
      </c>
      <c r="BU37" s="167">
        <f>'HourGH-JUL'!N12</f>
        <v>0.23</v>
      </c>
      <c r="BV37" s="263">
        <v>36</v>
      </c>
      <c r="BW37" s="9">
        <v>2</v>
      </c>
      <c r="BX37" s="9">
        <v>12</v>
      </c>
      <c r="BY37" s="167">
        <f>'HourGH-AUG'!N12</f>
        <v>0.55000000000000004</v>
      </c>
      <c r="BZ37" s="9">
        <v>36</v>
      </c>
      <c r="CA37" s="9">
        <v>2</v>
      </c>
      <c r="CB37" s="9">
        <v>12</v>
      </c>
      <c r="CC37" s="167">
        <f>'HourGH-SEP'!N12</f>
        <v>1.1499999999999999</v>
      </c>
      <c r="CD37" s="263">
        <v>36</v>
      </c>
      <c r="CE37" s="9">
        <v>2</v>
      </c>
      <c r="CF37" s="9">
        <v>12</v>
      </c>
      <c r="CG37" s="167">
        <f>'HourGH-OCT'!N12</f>
        <v>0.97</v>
      </c>
      <c r="CH37" s="9">
        <v>36</v>
      </c>
      <c r="CI37" s="9">
        <v>2</v>
      </c>
      <c r="CJ37" s="9">
        <v>12</v>
      </c>
      <c r="CK37" s="167">
        <f>'HourGH-NOV'!N12</f>
        <v>0.96</v>
      </c>
      <c r="CL37" s="263">
        <v>36</v>
      </c>
      <c r="CM37" s="9">
        <v>2</v>
      </c>
      <c r="CN37" s="9">
        <v>12</v>
      </c>
      <c r="CO37" s="167">
        <f>'HourGH-DEC'!N12</f>
        <v>0.54</v>
      </c>
      <c r="CP37" s="263">
        <v>36</v>
      </c>
      <c r="CQ37" s="9">
        <v>2</v>
      </c>
      <c r="CR37" s="9">
        <v>12</v>
      </c>
      <c r="CS37" s="167">
        <f>'HourGH-JAN'!N12</f>
        <v>0.43</v>
      </c>
      <c r="CT37" s="9">
        <v>36</v>
      </c>
      <c r="CU37" s="9">
        <v>2</v>
      </c>
      <c r="CV37" s="9">
        <v>12</v>
      </c>
      <c r="CW37" s="167">
        <f>'HourGH-FEB'!N12</f>
        <v>0.66</v>
      </c>
      <c r="CX37" s="263">
        <v>36</v>
      </c>
      <c r="CY37" s="9">
        <v>2</v>
      </c>
      <c r="CZ37" s="9">
        <v>12</v>
      </c>
      <c r="DA37" s="167">
        <f>'HourGH-MAR'!N12</f>
        <v>0.65</v>
      </c>
    </row>
    <row r="38" spans="58:105">
      <c r="BF38" s="9">
        <v>37</v>
      </c>
      <c r="BG38" s="9">
        <v>2</v>
      </c>
      <c r="BH38" s="9">
        <v>13</v>
      </c>
      <c r="BI38" s="167">
        <f>'HourGH-APR'!O12</f>
        <v>0.75</v>
      </c>
      <c r="BJ38" s="263">
        <v>37</v>
      </c>
      <c r="BK38" s="9">
        <v>2</v>
      </c>
      <c r="BL38" s="9">
        <v>13</v>
      </c>
      <c r="BM38" s="167">
        <f>'HourGH-MAY'!O12</f>
        <v>0.56999999999999995</v>
      </c>
      <c r="BN38" s="9">
        <v>37</v>
      </c>
      <c r="BO38" s="9">
        <v>2</v>
      </c>
      <c r="BP38" s="9">
        <v>13</v>
      </c>
      <c r="BQ38" s="167">
        <f>'HourGH-JUN'!O12</f>
        <v>0.22</v>
      </c>
      <c r="BR38" s="263">
        <v>37</v>
      </c>
      <c r="BS38" s="9">
        <v>2</v>
      </c>
      <c r="BT38" s="9">
        <v>13</v>
      </c>
      <c r="BU38" s="167">
        <f>'HourGH-JUL'!O12</f>
        <v>0.23</v>
      </c>
      <c r="BV38" s="263">
        <v>37</v>
      </c>
      <c r="BW38" s="9">
        <v>2</v>
      </c>
      <c r="BX38" s="9">
        <v>13</v>
      </c>
      <c r="BY38" s="167">
        <f>'HourGH-AUG'!O12</f>
        <v>0.55000000000000004</v>
      </c>
      <c r="BZ38" s="9">
        <v>37</v>
      </c>
      <c r="CA38" s="9">
        <v>2</v>
      </c>
      <c r="CB38" s="9">
        <v>13</v>
      </c>
      <c r="CC38" s="167">
        <f>'HourGH-SEP'!O12</f>
        <v>1.1299999999999999</v>
      </c>
      <c r="CD38" s="263">
        <v>37</v>
      </c>
      <c r="CE38" s="9">
        <v>2</v>
      </c>
      <c r="CF38" s="9">
        <v>13</v>
      </c>
      <c r="CG38" s="167">
        <f>'HourGH-OCT'!O12</f>
        <v>0.97</v>
      </c>
      <c r="CH38" s="9">
        <v>37</v>
      </c>
      <c r="CI38" s="9">
        <v>2</v>
      </c>
      <c r="CJ38" s="9">
        <v>13</v>
      </c>
      <c r="CK38" s="167">
        <f>'HourGH-NOV'!O12</f>
        <v>0.95</v>
      </c>
      <c r="CL38" s="263">
        <v>37</v>
      </c>
      <c r="CM38" s="9">
        <v>2</v>
      </c>
      <c r="CN38" s="9">
        <v>13</v>
      </c>
      <c r="CO38" s="167">
        <f>'HourGH-DEC'!O12</f>
        <v>0.54</v>
      </c>
      <c r="CP38" s="263">
        <v>37</v>
      </c>
      <c r="CQ38" s="9">
        <v>2</v>
      </c>
      <c r="CR38" s="9">
        <v>13</v>
      </c>
      <c r="CS38" s="167">
        <f>'HourGH-JAN'!O12</f>
        <v>0.43</v>
      </c>
      <c r="CT38" s="9">
        <v>37</v>
      </c>
      <c r="CU38" s="9">
        <v>2</v>
      </c>
      <c r="CV38" s="9">
        <v>13</v>
      </c>
      <c r="CW38" s="167">
        <f>'HourGH-FEB'!O12</f>
        <v>0.65</v>
      </c>
      <c r="CX38" s="263">
        <v>37</v>
      </c>
      <c r="CY38" s="9">
        <v>2</v>
      </c>
      <c r="CZ38" s="9">
        <v>13</v>
      </c>
      <c r="DA38" s="167">
        <f>'HourGH-MAR'!O12</f>
        <v>0.65</v>
      </c>
    </row>
    <row r="39" spans="58:105">
      <c r="BF39" s="9">
        <v>38</v>
      </c>
      <c r="BG39" s="9">
        <v>2</v>
      </c>
      <c r="BH39" s="9">
        <v>14</v>
      </c>
      <c r="BI39" s="167">
        <f>'HourGH-APR'!P12</f>
        <v>0.76</v>
      </c>
      <c r="BJ39" s="263">
        <v>38</v>
      </c>
      <c r="BK39" s="9">
        <v>2</v>
      </c>
      <c r="BL39" s="9">
        <v>14</v>
      </c>
      <c r="BM39" s="167">
        <f>'HourGH-MAY'!P12</f>
        <v>0.56999999999999995</v>
      </c>
      <c r="BN39" s="9">
        <v>38</v>
      </c>
      <c r="BO39" s="9">
        <v>2</v>
      </c>
      <c r="BP39" s="9">
        <v>14</v>
      </c>
      <c r="BQ39" s="167">
        <f>'HourGH-JUN'!P12</f>
        <v>0.22</v>
      </c>
      <c r="BR39" s="263">
        <v>38</v>
      </c>
      <c r="BS39" s="9">
        <v>2</v>
      </c>
      <c r="BT39" s="9">
        <v>14</v>
      </c>
      <c r="BU39" s="167">
        <f>'HourGH-JUL'!P12</f>
        <v>0.23</v>
      </c>
      <c r="BV39" s="263">
        <v>38</v>
      </c>
      <c r="BW39" s="9">
        <v>2</v>
      </c>
      <c r="BX39" s="9">
        <v>14</v>
      </c>
      <c r="BY39" s="167">
        <f>'HourGH-AUG'!P12</f>
        <v>0.55000000000000004</v>
      </c>
      <c r="BZ39" s="9">
        <v>38</v>
      </c>
      <c r="CA39" s="9">
        <v>2</v>
      </c>
      <c r="CB39" s="9">
        <v>14</v>
      </c>
      <c r="CC39" s="167">
        <f>'HourGH-SEP'!P12</f>
        <v>1.1000000000000001</v>
      </c>
      <c r="CD39" s="263">
        <v>38</v>
      </c>
      <c r="CE39" s="9">
        <v>2</v>
      </c>
      <c r="CF39" s="9">
        <v>14</v>
      </c>
      <c r="CG39" s="167">
        <f>'HourGH-OCT'!P12</f>
        <v>0.97</v>
      </c>
      <c r="CH39" s="9">
        <v>38</v>
      </c>
      <c r="CI39" s="9">
        <v>2</v>
      </c>
      <c r="CJ39" s="9">
        <v>14</v>
      </c>
      <c r="CK39" s="167">
        <f>'HourGH-NOV'!P12</f>
        <v>0.95</v>
      </c>
      <c r="CL39" s="263">
        <v>38</v>
      </c>
      <c r="CM39" s="9">
        <v>2</v>
      </c>
      <c r="CN39" s="9">
        <v>14</v>
      </c>
      <c r="CO39" s="167">
        <f>'HourGH-DEC'!P12</f>
        <v>0.54</v>
      </c>
      <c r="CP39" s="263">
        <v>38</v>
      </c>
      <c r="CQ39" s="9">
        <v>2</v>
      </c>
      <c r="CR39" s="9">
        <v>14</v>
      </c>
      <c r="CS39" s="167">
        <f>'HourGH-JAN'!P12</f>
        <v>0.43</v>
      </c>
      <c r="CT39" s="9">
        <v>38</v>
      </c>
      <c r="CU39" s="9">
        <v>2</v>
      </c>
      <c r="CV39" s="9">
        <v>14</v>
      </c>
      <c r="CW39" s="167">
        <f>'HourGH-FEB'!P12</f>
        <v>0.64</v>
      </c>
      <c r="CX39" s="263">
        <v>38</v>
      </c>
      <c r="CY39" s="9">
        <v>2</v>
      </c>
      <c r="CZ39" s="9">
        <v>14</v>
      </c>
      <c r="DA39" s="167">
        <f>'HourGH-MAR'!P12</f>
        <v>0.65</v>
      </c>
    </row>
    <row r="40" spans="58:105">
      <c r="BF40" s="9">
        <v>39</v>
      </c>
      <c r="BG40" s="9">
        <v>2</v>
      </c>
      <c r="BH40" s="9">
        <v>15</v>
      </c>
      <c r="BI40" s="167">
        <f>'HourGH-APR'!Q12</f>
        <v>0.77</v>
      </c>
      <c r="BJ40" s="263">
        <v>39</v>
      </c>
      <c r="BK40" s="9">
        <v>2</v>
      </c>
      <c r="BL40" s="9">
        <v>15</v>
      </c>
      <c r="BM40" s="167">
        <f>'HourGH-MAY'!Q12</f>
        <v>0.56999999999999995</v>
      </c>
      <c r="BN40" s="9">
        <v>39</v>
      </c>
      <c r="BO40" s="9">
        <v>2</v>
      </c>
      <c r="BP40" s="9">
        <v>15</v>
      </c>
      <c r="BQ40" s="167">
        <f>'HourGH-JUN'!Q12</f>
        <v>0.22</v>
      </c>
      <c r="BR40" s="263">
        <v>39</v>
      </c>
      <c r="BS40" s="9">
        <v>2</v>
      </c>
      <c r="BT40" s="9">
        <v>15</v>
      </c>
      <c r="BU40" s="167">
        <f>'HourGH-JUL'!Q12</f>
        <v>0.23</v>
      </c>
      <c r="BV40" s="263">
        <v>39</v>
      </c>
      <c r="BW40" s="9">
        <v>2</v>
      </c>
      <c r="BX40" s="9">
        <v>15</v>
      </c>
      <c r="BY40" s="167">
        <f>'HourGH-AUG'!Q12</f>
        <v>0.55000000000000004</v>
      </c>
      <c r="BZ40" s="9">
        <v>39</v>
      </c>
      <c r="CA40" s="9">
        <v>2</v>
      </c>
      <c r="CB40" s="9">
        <v>15</v>
      </c>
      <c r="CC40" s="167">
        <f>'HourGH-SEP'!Q12</f>
        <v>1.08</v>
      </c>
      <c r="CD40" s="263">
        <v>39</v>
      </c>
      <c r="CE40" s="9">
        <v>2</v>
      </c>
      <c r="CF40" s="9">
        <v>15</v>
      </c>
      <c r="CG40" s="167">
        <f>'HourGH-OCT'!Q12</f>
        <v>0.97</v>
      </c>
      <c r="CH40" s="9">
        <v>39</v>
      </c>
      <c r="CI40" s="9">
        <v>2</v>
      </c>
      <c r="CJ40" s="9">
        <v>15</v>
      </c>
      <c r="CK40" s="167">
        <f>'HourGH-NOV'!Q12</f>
        <v>0.94</v>
      </c>
      <c r="CL40" s="263">
        <v>39</v>
      </c>
      <c r="CM40" s="9">
        <v>2</v>
      </c>
      <c r="CN40" s="9">
        <v>15</v>
      </c>
      <c r="CO40" s="167">
        <f>'HourGH-DEC'!Q12</f>
        <v>0.54</v>
      </c>
      <c r="CP40" s="263">
        <v>39</v>
      </c>
      <c r="CQ40" s="9">
        <v>2</v>
      </c>
      <c r="CR40" s="9">
        <v>15</v>
      </c>
      <c r="CS40" s="167">
        <f>'HourGH-JAN'!Q12</f>
        <v>0.43</v>
      </c>
      <c r="CT40" s="9">
        <v>39</v>
      </c>
      <c r="CU40" s="9">
        <v>2</v>
      </c>
      <c r="CV40" s="9">
        <v>15</v>
      </c>
      <c r="CW40" s="167">
        <f>'HourGH-FEB'!Q12</f>
        <v>0.63</v>
      </c>
      <c r="CX40" s="263">
        <v>39</v>
      </c>
      <c r="CY40" s="9">
        <v>2</v>
      </c>
      <c r="CZ40" s="9">
        <v>15</v>
      </c>
      <c r="DA40" s="167">
        <f>'HourGH-MAR'!Q12</f>
        <v>0.65</v>
      </c>
    </row>
    <row r="41" spans="58:105">
      <c r="BF41" s="9">
        <v>40</v>
      </c>
      <c r="BG41" s="9">
        <v>2</v>
      </c>
      <c r="BH41" s="9">
        <v>16</v>
      </c>
      <c r="BI41" s="167">
        <f>'HourGH-APR'!R12</f>
        <v>0.77</v>
      </c>
      <c r="BJ41" s="263">
        <v>40</v>
      </c>
      <c r="BK41" s="9">
        <v>2</v>
      </c>
      <c r="BL41" s="9">
        <v>16</v>
      </c>
      <c r="BM41" s="167">
        <f>'HourGH-MAY'!R12</f>
        <v>0.56999999999999995</v>
      </c>
      <c r="BN41" s="9">
        <v>40</v>
      </c>
      <c r="BO41" s="9">
        <v>2</v>
      </c>
      <c r="BP41" s="9">
        <v>16</v>
      </c>
      <c r="BQ41" s="167">
        <f>'HourGH-JUN'!R12</f>
        <v>0.22</v>
      </c>
      <c r="BR41" s="263">
        <v>40</v>
      </c>
      <c r="BS41" s="9">
        <v>2</v>
      </c>
      <c r="BT41" s="9">
        <v>16</v>
      </c>
      <c r="BU41" s="167">
        <f>'HourGH-JUL'!R12</f>
        <v>0.23</v>
      </c>
      <c r="BV41" s="263">
        <v>40</v>
      </c>
      <c r="BW41" s="9">
        <v>2</v>
      </c>
      <c r="BX41" s="9">
        <v>16</v>
      </c>
      <c r="BY41" s="167">
        <f>'HourGH-AUG'!R12</f>
        <v>0.54</v>
      </c>
      <c r="BZ41" s="9">
        <v>40</v>
      </c>
      <c r="CA41" s="9">
        <v>2</v>
      </c>
      <c r="CB41" s="9">
        <v>16</v>
      </c>
      <c r="CC41" s="167">
        <f>'HourGH-SEP'!R12</f>
        <v>1.06</v>
      </c>
      <c r="CD41" s="263">
        <v>40</v>
      </c>
      <c r="CE41" s="9">
        <v>2</v>
      </c>
      <c r="CF41" s="9">
        <v>16</v>
      </c>
      <c r="CG41" s="167">
        <f>'HourGH-OCT'!R12</f>
        <v>0.97</v>
      </c>
      <c r="CH41" s="9">
        <v>40</v>
      </c>
      <c r="CI41" s="9">
        <v>2</v>
      </c>
      <c r="CJ41" s="9">
        <v>16</v>
      </c>
      <c r="CK41" s="167">
        <f>'HourGH-NOV'!R12</f>
        <v>0.94</v>
      </c>
      <c r="CL41" s="263">
        <v>40</v>
      </c>
      <c r="CM41" s="9">
        <v>2</v>
      </c>
      <c r="CN41" s="9">
        <v>16</v>
      </c>
      <c r="CO41" s="167">
        <f>'HourGH-DEC'!R12</f>
        <v>0.54</v>
      </c>
      <c r="CP41" s="263">
        <v>40</v>
      </c>
      <c r="CQ41" s="9">
        <v>2</v>
      </c>
      <c r="CR41" s="9">
        <v>16</v>
      </c>
      <c r="CS41" s="167">
        <f>'HourGH-JAN'!R12</f>
        <v>0.43</v>
      </c>
      <c r="CT41" s="9">
        <v>40</v>
      </c>
      <c r="CU41" s="9">
        <v>2</v>
      </c>
      <c r="CV41" s="9">
        <v>16</v>
      </c>
      <c r="CW41" s="167">
        <f>'HourGH-FEB'!R12</f>
        <v>0.62</v>
      </c>
      <c r="CX41" s="263">
        <v>40</v>
      </c>
      <c r="CY41" s="9">
        <v>2</v>
      </c>
      <c r="CZ41" s="9">
        <v>16</v>
      </c>
      <c r="DA41" s="167">
        <f>'HourGH-MAR'!R12</f>
        <v>0.65</v>
      </c>
    </row>
    <row r="42" spans="58:105">
      <c r="BF42" s="9">
        <v>41</v>
      </c>
      <c r="BG42" s="9">
        <v>2</v>
      </c>
      <c r="BH42" s="9">
        <v>17</v>
      </c>
      <c r="BI42" s="167">
        <f>'HourGH-APR'!S12</f>
        <v>0.77</v>
      </c>
      <c r="BJ42" s="263">
        <v>41</v>
      </c>
      <c r="BK42" s="9">
        <v>2</v>
      </c>
      <c r="BL42" s="9">
        <v>17</v>
      </c>
      <c r="BM42" s="167">
        <f>'HourGH-MAY'!S12</f>
        <v>0.56999999999999995</v>
      </c>
      <c r="BN42" s="9">
        <v>41</v>
      </c>
      <c r="BO42" s="9">
        <v>2</v>
      </c>
      <c r="BP42" s="9">
        <v>17</v>
      </c>
      <c r="BQ42" s="167">
        <f>'HourGH-JUN'!S12</f>
        <v>0.22</v>
      </c>
      <c r="BR42" s="263">
        <v>41</v>
      </c>
      <c r="BS42" s="9">
        <v>2</v>
      </c>
      <c r="BT42" s="9">
        <v>17</v>
      </c>
      <c r="BU42" s="167">
        <f>'HourGH-JUL'!S12</f>
        <v>0.23</v>
      </c>
      <c r="BV42" s="263">
        <v>41</v>
      </c>
      <c r="BW42" s="9">
        <v>2</v>
      </c>
      <c r="BX42" s="9">
        <v>17</v>
      </c>
      <c r="BY42" s="167">
        <f>'HourGH-AUG'!S12</f>
        <v>0.54</v>
      </c>
      <c r="BZ42" s="9">
        <v>41</v>
      </c>
      <c r="CA42" s="9">
        <v>2</v>
      </c>
      <c r="CB42" s="9">
        <v>17</v>
      </c>
      <c r="CC42" s="167">
        <f>'HourGH-SEP'!S12</f>
        <v>1.04</v>
      </c>
      <c r="CD42" s="263">
        <v>41</v>
      </c>
      <c r="CE42" s="9">
        <v>2</v>
      </c>
      <c r="CF42" s="9">
        <v>17</v>
      </c>
      <c r="CG42" s="167">
        <f>'HourGH-OCT'!S12</f>
        <v>0.97</v>
      </c>
      <c r="CH42" s="9">
        <v>41</v>
      </c>
      <c r="CI42" s="9">
        <v>2</v>
      </c>
      <c r="CJ42" s="9">
        <v>17</v>
      </c>
      <c r="CK42" s="167">
        <f>'HourGH-NOV'!S12</f>
        <v>0.94</v>
      </c>
      <c r="CL42" s="263">
        <v>41</v>
      </c>
      <c r="CM42" s="9">
        <v>2</v>
      </c>
      <c r="CN42" s="9">
        <v>17</v>
      </c>
      <c r="CO42" s="167">
        <f>'HourGH-DEC'!S12</f>
        <v>0.54</v>
      </c>
      <c r="CP42" s="263">
        <v>41</v>
      </c>
      <c r="CQ42" s="9">
        <v>2</v>
      </c>
      <c r="CR42" s="9">
        <v>17</v>
      </c>
      <c r="CS42" s="167">
        <f>'HourGH-JAN'!S12</f>
        <v>0.43</v>
      </c>
      <c r="CT42" s="9">
        <v>41</v>
      </c>
      <c r="CU42" s="9">
        <v>2</v>
      </c>
      <c r="CV42" s="9">
        <v>17</v>
      </c>
      <c r="CW42" s="167">
        <f>'HourGH-FEB'!S12</f>
        <v>0.61</v>
      </c>
      <c r="CX42" s="263">
        <v>41</v>
      </c>
      <c r="CY42" s="9">
        <v>2</v>
      </c>
      <c r="CZ42" s="9">
        <v>17</v>
      </c>
      <c r="DA42" s="167">
        <f>'HourGH-MAR'!S12</f>
        <v>0.65</v>
      </c>
    </row>
    <row r="43" spans="58:105">
      <c r="BF43" s="9">
        <v>42</v>
      </c>
      <c r="BG43" s="9">
        <v>2</v>
      </c>
      <c r="BH43" s="9">
        <v>18</v>
      </c>
      <c r="BI43" s="167">
        <f>'HourGH-APR'!T12</f>
        <v>0.77</v>
      </c>
      <c r="BJ43" s="263">
        <v>42</v>
      </c>
      <c r="BK43" s="9">
        <v>2</v>
      </c>
      <c r="BL43" s="9">
        <v>18</v>
      </c>
      <c r="BM43" s="167">
        <f>'HourGH-MAY'!T12</f>
        <v>0.56999999999999995</v>
      </c>
      <c r="BN43" s="9">
        <v>42</v>
      </c>
      <c r="BO43" s="9">
        <v>2</v>
      </c>
      <c r="BP43" s="9">
        <v>18</v>
      </c>
      <c r="BQ43" s="167">
        <f>'HourGH-JUN'!T12</f>
        <v>0.22</v>
      </c>
      <c r="BR43" s="263">
        <v>42</v>
      </c>
      <c r="BS43" s="9">
        <v>2</v>
      </c>
      <c r="BT43" s="9">
        <v>18</v>
      </c>
      <c r="BU43" s="167">
        <f>'HourGH-JUL'!T12</f>
        <v>0.23</v>
      </c>
      <c r="BV43" s="263">
        <v>42</v>
      </c>
      <c r="BW43" s="9">
        <v>2</v>
      </c>
      <c r="BX43" s="9">
        <v>18</v>
      </c>
      <c r="BY43" s="167">
        <f>'HourGH-AUG'!T12</f>
        <v>0.54</v>
      </c>
      <c r="BZ43" s="9">
        <v>42</v>
      </c>
      <c r="CA43" s="9">
        <v>2</v>
      </c>
      <c r="CB43" s="9">
        <v>18</v>
      </c>
      <c r="CC43" s="167">
        <f>'HourGH-SEP'!T12</f>
        <v>1.03</v>
      </c>
      <c r="CD43" s="263">
        <v>42</v>
      </c>
      <c r="CE43" s="9">
        <v>2</v>
      </c>
      <c r="CF43" s="9">
        <v>18</v>
      </c>
      <c r="CG43" s="167">
        <f>'HourGH-OCT'!T12</f>
        <v>0.97</v>
      </c>
      <c r="CH43" s="9">
        <v>42</v>
      </c>
      <c r="CI43" s="9">
        <v>2</v>
      </c>
      <c r="CJ43" s="9">
        <v>18</v>
      </c>
      <c r="CK43" s="167">
        <f>'HourGH-NOV'!T12</f>
        <v>0.93</v>
      </c>
      <c r="CL43" s="263">
        <v>42</v>
      </c>
      <c r="CM43" s="9">
        <v>2</v>
      </c>
      <c r="CN43" s="9">
        <v>18</v>
      </c>
      <c r="CO43" s="167">
        <f>'HourGH-DEC'!T12</f>
        <v>0.54</v>
      </c>
      <c r="CP43" s="263">
        <v>42</v>
      </c>
      <c r="CQ43" s="9">
        <v>2</v>
      </c>
      <c r="CR43" s="9">
        <v>18</v>
      </c>
      <c r="CS43" s="167">
        <f>'HourGH-JAN'!T12</f>
        <v>0.43</v>
      </c>
      <c r="CT43" s="9">
        <v>42</v>
      </c>
      <c r="CU43" s="9">
        <v>2</v>
      </c>
      <c r="CV43" s="9">
        <v>18</v>
      </c>
      <c r="CW43" s="167">
        <f>'HourGH-FEB'!T12</f>
        <v>0.6</v>
      </c>
      <c r="CX43" s="263">
        <v>42</v>
      </c>
      <c r="CY43" s="9">
        <v>2</v>
      </c>
      <c r="CZ43" s="9">
        <v>18</v>
      </c>
      <c r="DA43" s="167">
        <f>'HourGH-MAR'!T12</f>
        <v>0.65</v>
      </c>
    </row>
    <row r="44" spans="58:105">
      <c r="BF44" s="9">
        <v>43</v>
      </c>
      <c r="BG44" s="9">
        <v>2</v>
      </c>
      <c r="BH44" s="9">
        <v>19</v>
      </c>
      <c r="BI44" s="167">
        <f>'HourGH-APR'!U12</f>
        <v>0.77</v>
      </c>
      <c r="BJ44" s="263">
        <v>43</v>
      </c>
      <c r="BK44" s="9">
        <v>2</v>
      </c>
      <c r="BL44" s="9">
        <v>19</v>
      </c>
      <c r="BM44" s="167">
        <f>'HourGH-MAY'!U12</f>
        <v>0.56999999999999995</v>
      </c>
      <c r="BN44" s="9">
        <v>43</v>
      </c>
      <c r="BO44" s="9">
        <v>2</v>
      </c>
      <c r="BP44" s="9">
        <v>19</v>
      </c>
      <c r="BQ44" s="167">
        <f>'HourGH-JUN'!U12</f>
        <v>0.22</v>
      </c>
      <c r="BR44" s="263">
        <v>43</v>
      </c>
      <c r="BS44" s="9">
        <v>2</v>
      </c>
      <c r="BT44" s="9">
        <v>19</v>
      </c>
      <c r="BU44" s="167">
        <f>'HourGH-JUL'!U12</f>
        <v>0.23</v>
      </c>
      <c r="BV44" s="263">
        <v>43</v>
      </c>
      <c r="BW44" s="9">
        <v>2</v>
      </c>
      <c r="BX44" s="9">
        <v>19</v>
      </c>
      <c r="BY44" s="167">
        <f>'HourGH-AUG'!U12</f>
        <v>0.53</v>
      </c>
      <c r="BZ44" s="9">
        <v>43</v>
      </c>
      <c r="CA44" s="9">
        <v>2</v>
      </c>
      <c r="CB44" s="9">
        <v>19</v>
      </c>
      <c r="CC44" s="167">
        <f>'HourGH-SEP'!U12</f>
        <v>1.01</v>
      </c>
      <c r="CD44" s="263">
        <v>43</v>
      </c>
      <c r="CE44" s="9">
        <v>2</v>
      </c>
      <c r="CF44" s="9">
        <v>19</v>
      </c>
      <c r="CG44" s="167">
        <f>'HourGH-OCT'!U12</f>
        <v>0.98</v>
      </c>
      <c r="CH44" s="9">
        <v>43</v>
      </c>
      <c r="CI44" s="9">
        <v>2</v>
      </c>
      <c r="CJ44" s="9">
        <v>19</v>
      </c>
      <c r="CK44" s="167">
        <f>'HourGH-NOV'!U12</f>
        <v>0.93</v>
      </c>
      <c r="CL44" s="263">
        <v>43</v>
      </c>
      <c r="CM44" s="9">
        <v>2</v>
      </c>
      <c r="CN44" s="9">
        <v>19</v>
      </c>
      <c r="CO44" s="167">
        <f>'HourGH-DEC'!U12</f>
        <v>0.54</v>
      </c>
      <c r="CP44" s="263">
        <v>43</v>
      </c>
      <c r="CQ44" s="9">
        <v>2</v>
      </c>
      <c r="CR44" s="9">
        <v>19</v>
      </c>
      <c r="CS44" s="167">
        <f>'HourGH-JAN'!U12</f>
        <v>0.43</v>
      </c>
      <c r="CT44" s="9">
        <v>43</v>
      </c>
      <c r="CU44" s="9">
        <v>2</v>
      </c>
      <c r="CV44" s="9">
        <v>19</v>
      </c>
      <c r="CW44" s="167">
        <f>'HourGH-FEB'!U12</f>
        <v>0.59</v>
      </c>
      <c r="CX44" s="263">
        <v>43</v>
      </c>
      <c r="CY44" s="9">
        <v>2</v>
      </c>
      <c r="CZ44" s="9">
        <v>19</v>
      </c>
      <c r="DA44" s="167">
        <f>'HourGH-MAR'!U12</f>
        <v>0.65</v>
      </c>
    </row>
    <row r="45" spans="58:105">
      <c r="BF45" s="9">
        <v>44</v>
      </c>
      <c r="BG45" s="9">
        <v>2</v>
      </c>
      <c r="BH45" s="9">
        <v>20</v>
      </c>
      <c r="BI45" s="167">
        <f>'HourGH-APR'!V12</f>
        <v>0.77</v>
      </c>
      <c r="BJ45" s="263">
        <v>44</v>
      </c>
      <c r="BK45" s="9">
        <v>2</v>
      </c>
      <c r="BL45" s="9">
        <v>20</v>
      </c>
      <c r="BM45" s="167">
        <f>'HourGH-MAY'!V12</f>
        <v>0.56999999999999995</v>
      </c>
      <c r="BN45" s="9">
        <v>44</v>
      </c>
      <c r="BO45" s="9">
        <v>2</v>
      </c>
      <c r="BP45" s="9">
        <v>20</v>
      </c>
      <c r="BQ45" s="167">
        <f>'HourGH-JUN'!V12</f>
        <v>0.22</v>
      </c>
      <c r="BR45" s="263">
        <v>44</v>
      </c>
      <c r="BS45" s="9">
        <v>2</v>
      </c>
      <c r="BT45" s="9">
        <v>20</v>
      </c>
      <c r="BU45" s="167">
        <f>'HourGH-JUL'!V12</f>
        <v>0.23</v>
      </c>
      <c r="BV45" s="263">
        <v>44</v>
      </c>
      <c r="BW45" s="9">
        <v>2</v>
      </c>
      <c r="BX45" s="9">
        <v>20</v>
      </c>
      <c r="BY45" s="167">
        <f>'HourGH-AUG'!V12</f>
        <v>0.53</v>
      </c>
      <c r="BZ45" s="9">
        <v>44</v>
      </c>
      <c r="CA45" s="9">
        <v>2</v>
      </c>
      <c r="CB45" s="9">
        <v>20</v>
      </c>
      <c r="CC45" s="167">
        <f>'HourGH-SEP'!V12</f>
        <v>0.99</v>
      </c>
      <c r="CD45" s="263">
        <v>44</v>
      </c>
      <c r="CE45" s="9">
        <v>2</v>
      </c>
      <c r="CF45" s="9">
        <v>20</v>
      </c>
      <c r="CG45" s="167">
        <f>'HourGH-OCT'!V12</f>
        <v>0.98</v>
      </c>
      <c r="CH45" s="9">
        <v>44</v>
      </c>
      <c r="CI45" s="9">
        <v>2</v>
      </c>
      <c r="CJ45" s="9">
        <v>20</v>
      </c>
      <c r="CK45" s="167">
        <f>'HourGH-NOV'!V12</f>
        <v>0.93</v>
      </c>
      <c r="CL45" s="263">
        <v>44</v>
      </c>
      <c r="CM45" s="9">
        <v>2</v>
      </c>
      <c r="CN45" s="9">
        <v>20</v>
      </c>
      <c r="CO45" s="167">
        <f>'HourGH-DEC'!V12</f>
        <v>0.54</v>
      </c>
      <c r="CP45" s="263">
        <v>44</v>
      </c>
      <c r="CQ45" s="9">
        <v>2</v>
      </c>
      <c r="CR45" s="9">
        <v>20</v>
      </c>
      <c r="CS45" s="167">
        <f>'HourGH-JAN'!V12</f>
        <v>0.43</v>
      </c>
      <c r="CT45" s="9">
        <v>44</v>
      </c>
      <c r="CU45" s="9">
        <v>2</v>
      </c>
      <c r="CV45" s="9">
        <v>20</v>
      </c>
      <c r="CW45" s="167">
        <f>'HourGH-FEB'!V12</f>
        <v>0.57999999999999996</v>
      </c>
      <c r="CX45" s="263">
        <v>44</v>
      </c>
      <c r="CY45" s="9">
        <v>2</v>
      </c>
      <c r="CZ45" s="9">
        <v>20</v>
      </c>
      <c r="DA45" s="167">
        <f>'HourGH-MAR'!V12</f>
        <v>0.65</v>
      </c>
    </row>
    <row r="46" spans="58:105">
      <c r="BF46" s="9">
        <v>45</v>
      </c>
      <c r="BG46" s="9">
        <v>2</v>
      </c>
      <c r="BH46" s="9">
        <v>21</v>
      </c>
      <c r="BI46" s="167">
        <f>'HourGH-APR'!W12</f>
        <v>0.77</v>
      </c>
      <c r="BJ46" s="263">
        <v>45</v>
      </c>
      <c r="BK46" s="9">
        <v>2</v>
      </c>
      <c r="BL46" s="9">
        <v>21</v>
      </c>
      <c r="BM46" s="167">
        <f>'HourGH-MAY'!W12</f>
        <v>0.56999999999999995</v>
      </c>
      <c r="BN46" s="9">
        <v>45</v>
      </c>
      <c r="BO46" s="9">
        <v>2</v>
      </c>
      <c r="BP46" s="9">
        <v>21</v>
      </c>
      <c r="BQ46" s="167">
        <f>'HourGH-JUN'!W12</f>
        <v>0.22</v>
      </c>
      <c r="BR46" s="263">
        <v>45</v>
      </c>
      <c r="BS46" s="9">
        <v>2</v>
      </c>
      <c r="BT46" s="9">
        <v>21</v>
      </c>
      <c r="BU46" s="167">
        <f>'HourGH-JUL'!W12</f>
        <v>0.23</v>
      </c>
      <c r="BV46" s="263">
        <v>45</v>
      </c>
      <c r="BW46" s="9">
        <v>2</v>
      </c>
      <c r="BX46" s="9">
        <v>21</v>
      </c>
      <c r="BY46" s="167">
        <f>'HourGH-AUG'!W12</f>
        <v>0.53</v>
      </c>
      <c r="BZ46" s="9">
        <v>45</v>
      </c>
      <c r="CA46" s="9">
        <v>2</v>
      </c>
      <c r="CB46" s="9">
        <v>21</v>
      </c>
      <c r="CC46" s="167">
        <f>'HourGH-SEP'!W12</f>
        <v>0.98</v>
      </c>
      <c r="CD46" s="263">
        <v>45</v>
      </c>
      <c r="CE46" s="9">
        <v>2</v>
      </c>
      <c r="CF46" s="9">
        <v>21</v>
      </c>
      <c r="CG46" s="167">
        <f>'HourGH-OCT'!W12</f>
        <v>0.98</v>
      </c>
      <c r="CH46" s="9">
        <v>45</v>
      </c>
      <c r="CI46" s="9">
        <v>2</v>
      </c>
      <c r="CJ46" s="9">
        <v>21</v>
      </c>
      <c r="CK46" s="167">
        <f>'HourGH-NOV'!W12</f>
        <v>0.92</v>
      </c>
      <c r="CL46" s="263">
        <v>45</v>
      </c>
      <c r="CM46" s="9">
        <v>2</v>
      </c>
      <c r="CN46" s="9">
        <v>21</v>
      </c>
      <c r="CO46" s="167">
        <f>'HourGH-DEC'!W12</f>
        <v>0.54</v>
      </c>
      <c r="CP46" s="263">
        <v>45</v>
      </c>
      <c r="CQ46" s="9">
        <v>2</v>
      </c>
      <c r="CR46" s="9">
        <v>21</v>
      </c>
      <c r="CS46" s="167">
        <f>'HourGH-JAN'!W12</f>
        <v>0.43</v>
      </c>
      <c r="CT46" s="9">
        <v>45</v>
      </c>
      <c r="CU46" s="9">
        <v>2</v>
      </c>
      <c r="CV46" s="9">
        <v>21</v>
      </c>
      <c r="CW46" s="167">
        <f>'HourGH-FEB'!W12</f>
        <v>0.56000000000000005</v>
      </c>
      <c r="CX46" s="263">
        <v>45</v>
      </c>
      <c r="CY46" s="9">
        <v>2</v>
      </c>
      <c r="CZ46" s="9">
        <v>21</v>
      </c>
      <c r="DA46" s="167">
        <f>'HourGH-MAR'!W12</f>
        <v>0.65</v>
      </c>
    </row>
    <row r="47" spans="58:105">
      <c r="BF47" s="9">
        <v>46</v>
      </c>
      <c r="BG47" s="9">
        <v>2</v>
      </c>
      <c r="BH47" s="9">
        <v>22</v>
      </c>
      <c r="BI47" s="167">
        <f>'HourGH-APR'!X12</f>
        <v>0.76</v>
      </c>
      <c r="BJ47" s="263">
        <v>46</v>
      </c>
      <c r="BK47" s="9">
        <v>2</v>
      </c>
      <c r="BL47" s="9">
        <v>22</v>
      </c>
      <c r="BM47" s="167">
        <f>'HourGH-MAY'!X12</f>
        <v>0.56999999999999995</v>
      </c>
      <c r="BN47" s="9">
        <v>46</v>
      </c>
      <c r="BO47" s="9">
        <v>2</v>
      </c>
      <c r="BP47" s="9">
        <v>22</v>
      </c>
      <c r="BQ47" s="167">
        <f>'HourGH-JUN'!X12</f>
        <v>0.22</v>
      </c>
      <c r="BR47" s="263">
        <v>46</v>
      </c>
      <c r="BS47" s="9">
        <v>2</v>
      </c>
      <c r="BT47" s="9">
        <v>22</v>
      </c>
      <c r="BU47" s="167">
        <f>'HourGH-JUL'!X12</f>
        <v>0.23</v>
      </c>
      <c r="BV47" s="263">
        <v>46</v>
      </c>
      <c r="BW47" s="9">
        <v>2</v>
      </c>
      <c r="BX47" s="9">
        <v>22</v>
      </c>
      <c r="BY47" s="167">
        <f>'HourGH-AUG'!X12</f>
        <v>0.53</v>
      </c>
      <c r="BZ47" s="9">
        <v>46</v>
      </c>
      <c r="CA47" s="9">
        <v>2</v>
      </c>
      <c r="CB47" s="9">
        <v>22</v>
      </c>
      <c r="CC47" s="167">
        <f>'HourGH-SEP'!X12</f>
        <v>0.97</v>
      </c>
      <c r="CD47" s="263">
        <v>46</v>
      </c>
      <c r="CE47" s="9">
        <v>2</v>
      </c>
      <c r="CF47" s="9">
        <v>22</v>
      </c>
      <c r="CG47" s="167">
        <f>'HourGH-OCT'!X12</f>
        <v>0.98</v>
      </c>
      <c r="CH47" s="9">
        <v>46</v>
      </c>
      <c r="CI47" s="9">
        <v>2</v>
      </c>
      <c r="CJ47" s="9">
        <v>22</v>
      </c>
      <c r="CK47" s="167">
        <f>'HourGH-NOV'!X12</f>
        <v>0.92</v>
      </c>
      <c r="CL47" s="263">
        <v>46</v>
      </c>
      <c r="CM47" s="9">
        <v>2</v>
      </c>
      <c r="CN47" s="9">
        <v>22</v>
      </c>
      <c r="CO47" s="167">
        <f>'HourGH-DEC'!X12</f>
        <v>0.54</v>
      </c>
      <c r="CP47" s="263">
        <v>46</v>
      </c>
      <c r="CQ47" s="9">
        <v>2</v>
      </c>
      <c r="CR47" s="9">
        <v>22</v>
      </c>
      <c r="CS47" s="167">
        <f>'HourGH-JAN'!X12</f>
        <v>0.43</v>
      </c>
      <c r="CT47" s="9">
        <v>46</v>
      </c>
      <c r="CU47" s="9">
        <v>2</v>
      </c>
      <c r="CV47" s="9">
        <v>22</v>
      </c>
      <c r="CW47" s="167">
        <f>'HourGH-FEB'!X12</f>
        <v>0.55000000000000004</v>
      </c>
      <c r="CX47" s="263">
        <v>46</v>
      </c>
      <c r="CY47" s="9">
        <v>2</v>
      </c>
      <c r="CZ47" s="9">
        <v>22</v>
      </c>
      <c r="DA47" s="167">
        <f>'HourGH-MAR'!X12</f>
        <v>0.65</v>
      </c>
    </row>
    <row r="48" spans="58:105">
      <c r="BF48" s="9">
        <v>47</v>
      </c>
      <c r="BG48" s="9">
        <v>2</v>
      </c>
      <c r="BH48" s="9">
        <v>23</v>
      </c>
      <c r="BI48" s="167">
        <f>'HourGH-APR'!Y12</f>
        <v>0.75</v>
      </c>
      <c r="BJ48" s="263">
        <v>47</v>
      </c>
      <c r="BK48" s="9">
        <v>2</v>
      </c>
      <c r="BL48" s="9">
        <v>23</v>
      </c>
      <c r="BM48" s="167">
        <f>'HourGH-MAY'!Y12</f>
        <v>0.56999999999999995</v>
      </c>
      <c r="BN48" s="9">
        <v>47</v>
      </c>
      <c r="BO48" s="9">
        <v>2</v>
      </c>
      <c r="BP48" s="9">
        <v>23</v>
      </c>
      <c r="BQ48" s="167">
        <f>'HourGH-JUN'!Y12</f>
        <v>0.22</v>
      </c>
      <c r="BR48" s="263">
        <v>47</v>
      </c>
      <c r="BS48" s="9">
        <v>2</v>
      </c>
      <c r="BT48" s="9">
        <v>23</v>
      </c>
      <c r="BU48" s="167">
        <f>'HourGH-JUL'!Y12</f>
        <v>0.23</v>
      </c>
      <c r="BV48" s="263">
        <v>47</v>
      </c>
      <c r="BW48" s="9">
        <v>2</v>
      </c>
      <c r="BX48" s="9">
        <v>23</v>
      </c>
      <c r="BY48" s="167">
        <f>'HourGH-AUG'!Y12</f>
        <v>0.53</v>
      </c>
      <c r="BZ48" s="9">
        <v>47</v>
      </c>
      <c r="CA48" s="9">
        <v>2</v>
      </c>
      <c r="CB48" s="9">
        <v>23</v>
      </c>
      <c r="CC48" s="167">
        <f>'HourGH-SEP'!Y12</f>
        <v>0.95</v>
      </c>
      <c r="CD48" s="263">
        <v>47</v>
      </c>
      <c r="CE48" s="9">
        <v>2</v>
      </c>
      <c r="CF48" s="9">
        <v>23</v>
      </c>
      <c r="CG48" s="167">
        <f>'HourGH-OCT'!Y12</f>
        <v>0.98</v>
      </c>
      <c r="CH48" s="9">
        <v>47</v>
      </c>
      <c r="CI48" s="9">
        <v>2</v>
      </c>
      <c r="CJ48" s="9">
        <v>23</v>
      </c>
      <c r="CK48" s="167">
        <f>'HourGH-NOV'!Y12</f>
        <v>0.92</v>
      </c>
      <c r="CL48" s="263">
        <v>47</v>
      </c>
      <c r="CM48" s="9">
        <v>2</v>
      </c>
      <c r="CN48" s="9">
        <v>23</v>
      </c>
      <c r="CO48" s="167">
        <f>'HourGH-DEC'!Y12</f>
        <v>0.54</v>
      </c>
      <c r="CP48" s="263">
        <v>47</v>
      </c>
      <c r="CQ48" s="9">
        <v>2</v>
      </c>
      <c r="CR48" s="9">
        <v>23</v>
      </c>
      <c r="CS48" s="167">
        <f>'HourGH-JAN'!Y12</f>
        <v>0.43</v>
      </c>
      <c r="CT48" s="9">
        <v>47</v>
      </c>
      <c r="CU48" s="9">
        <v>2</v>
      </c>
      <c r="CV48" s="9">
        <v>23</v>
      </c>
      <c r="CW48" s="167">
        <f>'HourGH-FEB'!Y12</f>
        <v>0.53</v>
      </c>
      <c r="CX48" s="263">
        <v>47</v>
      </c>
      <c r="CY48" s="9">
        <v>2</v>
      </c>
      <c r="CZ48" s="9">
        <v>23</v>
      </c>
      <c r="DA48" s="167">
        <f>'HourGH-MAR'!Y12</f>
        <v>0.65</v>
      </c>
    </row>
    <row r="49" spans="58:105">
      <c r="BF49" s="9">
        <v>48</v>
      </c>
      <c r="BG49" s="9">
        <v>2</v>
      </c>
      <c r="BH49" s="9">
        <v>24</v>
      </c>
      <c r="BI49" s="167">
        <f>'HourGH-APR'!Z12</f>
        <v>0.74</v>
      </c>
      <c r="BJ49" s="263">
        <v>48</v>
      </c>
      <c r="BK49" s="9">
        <v>2</v>
      </c>
      <c r="BL49" s="9">
        <v>24</v>
      </c>
      <c r="BM49" s="167">
        <f>'HourGH-MAY'!Z12</f>
        <v>0.56999999999999995</v>
      </c>
      <c r="BN49" s="9">
        <v>48</v>
      </c>
      <c r="BO49" s="9">
        <v>2</v>
      </c>
      <c r="BP49" s="9">
        <v>24</v>
      </c>
      <c r="BQ49" s="167">
        <f>'HourGH-JUN'!Z12</f>
        <v>0.22</v>
      </c>
      <c r="BR49" s="263">
        <v>48</v>
      </c>
      <c r="BS49" s="9">
        <v>2</v>
      </c>
      <c r="BT49" s="9">
        <v>24</v>
      </c>
      <c r="BU49" s="167">
        <f>'HourGH-JUL'!Z12</f>
        <v>0.23</v>
      </c>
      <c r="BV49" s="263">
        <v>48</v>
      </c>
      <c r="BW49" s="9">
        <v>2</v>
      </c>
      <c r="BX49" s="9">
        <v>24</v>
      </c>
      <c r="BY49" s="167">
        <f>'HourGH-AUG'!Z12</f>
        <v>0.53</v>
      </c>
      <c r="BZ49" s="9">
        <v>48</v>
      </c>
      <c r="CA49" s="9">
        <v>2</v>
      </c>
      <c r="CB49" s="9">
        <v>24</v>
      </c>
      <c r="CC49" s="167">
        <f>'HourGH-SEP'!Z12</f>
        <v>0.94</v>
      </c>
      <c r="CD49" s="263">
        <v>48</v>
      </c>
      <c r="CE49" s="9">
        <v>2</v>
      </c>
      <c r="CF49" s="9">
        <v>24</v>
      </c>
      <c r="CG49" s="167">
        <f>'HourGH-OCT'!Z12</f>
        <v>0.98</v>
      </c>
      <c r="CH49" s="9">
        <v>48</v>
      </c>
      <c r="CI49" s="9">
        <v>2</v>
      </c>
      <c r="CJ49" s="9">
        <v>24</v>
      </c>
      <c r="CK49" s="167">
        <f>'HourGH-NOV'!Z12</f>
        <v>0.92</v>
      </c>
      <c r="CL49" s="263">
        <v>48</v>
      </c>
      <c r="CM49" s="9">
        <v>2</v>
      </c>
      <c r="CN49" s="9">
        <v>24</v>
      </c>
      <c r="CO49" s="167">
        <f>'HourGH-DEC'!Z12</f>
        <v>0.54</v>
      </c>
      <c r="CP49" s="263">
        <v>48</v>
      </c>
      <c r="CQ49" s="9">
        <v>2</v>
      </c>
      <c r="CR49" s="9">
        <v>24</v>
      </c>
      <c r="CS49" s="167">
        <f>'HourGH-JAN'!Z12</f>
        <v>0.43</v>
      </c>
      <c r="CT49" s="9">
        <v>48</v>
      </c>
      <c r="CU49" s="9">
        <v>2</v>
      </c>
      <c r="CV49" s="9">
        <v>24</v>
      </c>
      <c r="CW49" s="167">
        <f>'HourGH-FEB'!Z12</f>
        <v>0.51</v>
      </c>
      <c r="CX49" s="263">
        <v>48</v>
      </c>
      <c r="CY49" s="9">
        <v>2</v>
      </c>
      <c r="CZ49" s="9">
        <v>24</v>
      </c>
      <c r="DA49" s="167">
        <f>'HourGH-MAR'!Z12</f>
        <v>0.65</v>
      </c>
    </row>
    <row r="50" spans="58:105">
      <c r="BF50" s="9">
        <v>49</v>
      </c>
      <c r="BG50" s="9">
        <v>3</v>
      </c>
      <c r="BH50" s="9">
        <v>1</v>
      </c>
      <c r="BI50" s="167">
        <f>'HourGH-APR'!C13</f>
        <v>0.73</v>
      </c>
      <c r="BJ50" s="263">
        <v>49</v>
      </c>
      <c r="BK50" s="9">
        <v>3</v>
      </c>
      <c r="BL50" s="9">
        <v>1</v>
      </c>
      <c r="BM50" s="167">
        <f>'HourGH-MAY'!C13</f>
        <v>0.57999999999999996</v>
      </c>
      <c r="BN50" s="9">
        <v>49</v>
      </c>
      <c r="BO50" s="9">
        <v>3</v>
      </c>
      <c r="BP50" s="9">
        <v>1</v>
      </c>
      <c r="BQ50" s="167">
        <f>'HourGH-JUN'!C13</f>
        <v>0.21</v>
      </c>
      <c r="BR50" s="263">
        <v>49</v>
      </c>
      <c r="BS50" s="9">
        <v>3</v>
      </c>
      <c r="BT50" s="9">
        <v>1</v>
      </c>
      <c r="BU50" s="167">
        <f>'HourGH-JUL'!C13</f>
        <v>0.23</v>
      </c>
      <c r="BV50" s="263">
        <v>49</v>
      </c>
      <c r="BW50" s="9">
        <v>3</v>
      </c>
      <c r="BX50" s="9">
        <v>1</v>
      </c>
      <c r="BY50" s="167">
        <f>'HourGH-AUG'!C13</f>
        <v>0.52</v>
      </c>
      <c r="BZ50" s="9">
        <v>49</v>
      </c>
      <c r="CA50" s="9">
        <v>3</v>
      </c>
      <c r="CB50" s="9">
        <v>1</v>
      </c>
      <c r="CC50" s="167">
        <f>'HourGH-SEP'!C13</f>
        <v>0.93</v>
      </c>
      <c r="CD50" s="263">
        <v>49</v>
      </c>
      <c r="CE50" s="9">
        <v>3</v>
      </c>
      <c r="CF50" s="9">
        <v>1</v>
      </c>
      <c r="CG50" s="167">
        <f>'HourGH-OCT'!C13</f>
        <v>0.99</v>
      </c>
      <c r="CH50" s="9">
        <v>49</v>
      </c>
      <c r="CI50" s="9">
        <v>3</v>
      </c>
      <c r="CJ50" s="9">
        <v>1</v>
      </c>
      <c r="CK50" s="167">
        <f>'HourGH-NOV'!C13</f>
        <v>0.91</v>
      </c>
      <c r="CL50" s="263">
        <v>49</v>
      </c>
      <c r="CM50" s="9">
        <v>3</v>
      </c>
      <c r="CN50" s="9">
        <v>1</v>
      </c>
      <c r="CO50" s="167">
        <f>'HourGH-DEC'!C13</f>
        <v>0.54</v>
      </c>
      <c r="CP50" s="263">
        <v>49</v>
      </c>
      <c r="CQ50" s="9">
        <v>3</v>
      </c>
      <c r="CR50" s="9">
        <v>1</v>
      </c>
      <c r="CS50" s="167">
        <f>'HourGH-JAN'!C13</f>
        <v>0.43</v>
      </c>
      <c r="CT50" s="9">
        <v>49</v>
      </c>
      <c r="CU50" s="9">
        <v>3</v>
      </c>
      <c r="CV50" s="9">
        <v>1</v>
      </c>
      <c r="CW50" s="167">
        <f>'HourGH-FEB'!C13</f>
        <v>0.49</v>
      </c>
      <c r="CX50" s="263">
        <v>49</v>
      </c>
      <c r="CY50" s="9">
        <v>3</v>
      </c>
      <c r="CZ50" s="9">
        <v>1</v>
      </c>
      <c r="DA50" s="167">
        <f>'HourGH-MAR'!C13</f>
        <v>0.64</v>
      </c>
    </row>
    <row r="51" spans="58:105">
      <c r="BF51" s="9">
        <v>50</v>
      </c>
      <c r="BG51" s="9">
        <v>3</v>
      </c>
      <c r="BH51" s="9">
        <v>2</v>
      </c>
      <c r="BI51" s="167">
        <f>'HourGH-APR'!D13</f>
        <v>0.72</v>
      </c>
      <c r="BJ51" s="263">
        <v>50</v>
      </c>
      <c r="BK51" s="9">
        <v>3</v>
      </c>
      <c r="BL51" s="9">
        <v>2</v>
      </c>
      <c r="BM51" s="167">
        <f>'HourGH-MAY'!D13</f>
        <v>0.57999999999999996</v>
      </c>
      <c r="BN51" s="9">
        <v>50</v>
      </c>
      <c r="BO51" s="9">
        <v>3</v>
      </c>
      <c r="BP51" s="9">
        <v>2</v>
      </c>
      <c r="BQ51" s="167">
        <f>'HourGH-JUN'!D13</f>
        <v>0.21</v>
      </c>
      <c r="BR51" s="263">
        <v>50</v>
      </c>
      <c r="BS51" s="9">
        <v>3</v>
      </c>
      <c r="BT51" s="9">
        <v>2</v>
      </c>
      <c r="BU51" s="167">
        <f>'HourGH-JUL'!D13</f>
        <v>0.23</v>
      </c>
      <c r="BV51" s="263">
        <v>50</v>
      </c>
      <c r="BW51" s="9">
        <v>3</v>
      </c>
      <c r="BX51" s="9">
        <v>2</v>
      </c>
      <c r="BY51" s="167">
        <f>'HourGH-AUG'!D13</f>
        <v>0.52</v>
      </c>
      <c r="BZ51" s="9">
        <v>50</v>
      </c>
      <c r="CA51" s="9">
        <v>3</v>
      </c>
      <c r="CB51" s="9">
        <v>2</v>
      </c>
      <c r="CC51" s="167">
        <f>'HourGH-SEP'!D13</f>
        <v>0.92</v>
      </c>
      <c r="CD51" s="263">
        <v>50</v>
      </c>
      <c r="CE51" s="9">
        <v>3</v>
      </c>
      <c r="CF51" s="9">
        <v>2</v>
      </c>
      <c r="CG51" s="167">
        <f>'HourGH-OCT'!D13</f>
        <v>0.99</v>
      </c>
      <c r="CH51" s="9">
        <v>50</v>
      </c>
      <c r="CI51" s="9">
        <v>3</v>
      </c>
      <c r="CJ51" s="9">
        <v>2</v>
      </c>
      <c r="CK51" s="167">
        <f>'HourGH-NOV'!D13</f>
        <v>0.91</v>
      </c>
      <c r="CL51" s="263">
        <v>50</v>
      </c>
      <c r="CM51" s="9">
        <v>3</v>
      </c>
      <c r="CN51" s="9">
        <v>2</v>
      </c>
      <c r="CO51" s="167">
        <f>'HourGH-DEC'!D13</f>
        <v>0.54</v>
      </c>
      <c r="CP51" s="263">
        <v>50</v>
      </c>
      <c r="CQ51" s="9">
        <v>3</v>
      </c>
      <c r="CR51" s="9">
        <v>2</v>
      </c>
      <c r="CS51" s="167">
        <f>'HourGH-JAN'!D13</f>
        <v>0.43</v>
      </c>
      <c r="CT51" s="9">
        <v>50</v>
      </c>
      <c r="CU51" s="9">
        <v>3</v>
      </c>
      <c r="CV51" s="9">
        <v>2</v>
      </c>
      <c r="CW51" s="167">
        <f>'HourGH-FEB'!D13</f>
        <v>0.48</v>
      </c>
      <c r="CX51" s="263">
        <v>50</v>
      </c>
      <c r="CY51" s="9">
        <v>3</v>
      </c>
      <c r="CZ51" s="9">
        <v>2</v>
      </c>
      <c r="DA51" s="167">
        <f>'HourGH-MAR'!D13</f>
        <v>0.64</v>
      </c>
    </row>
    <row r="52" spans="58:105">
      <c r="BF52" s="9">
        <v>51</v>
      </c>
      <c r="BG52" s="9">
        <v>3</v>
      </c>
      <c r="BH52" s="9">
        <v>3</v>
      </c>
      <c r="BI52" s="167">
        <f>'HourGH-APR'!E13</f>
        <v>0.71</v>
      </c>
      <c r="BJ52" s="263">
        <v>51</v>
      </c>
      <c r="BK52" s="9">
        <v>3</v>
      </c>
      <c r="BL52" s="9">
        <v>3</v>
      </c>
      <c r="BM52" s="167">
        <f>'HourGH-MAY'!E13</f>
        <v>0.57999999999999996</v>
      </c>
      <c r="BN52" s="9">
        <v>51</v>
      </c>
      <c r="BO52" s="9">
        <v>3</v>
      </c>
      <c r="BP52" s="9">
        <v>3</v>
      </c>
      <c r="BQ52" s="167">
        <f>'HourGH-JUN'!E13</f>
        <v>0.21</v>
      </c>
      <c r="BR52" s="263">
        <v>51</v>
      </c>
      <c r="BS52" s="9">
        <v>3</v>
      </c>
      <c r="BT52" s="9">
        <v>3</v>
      </c>
      <c r="BU52" s="167">
        <f>'HourGH-JUL'!E13</f>
        <v>0.23</v>
      </c>
      <c r="BV52" s="263">
        <v>51</v>
      </c>
      <c r="BW52" s="9">
        <v>3</v>
      </c>
      <c r="BX52" s="9">
        <v>3</v>
      </c>
      <c r="BY52" s="167">
        <f>'HourGH-AUG'!E13</f>
        <v>0.52</v>
      </c>
      <c r="BZ52" s="9">
        <v>51</v>
      </c>
      <c r="CA52" s="9">
        <v>3</v>
      </c>
      <c r="CB52" s="9">
        <v>3</v>
      </c>
      <c r="CC52" s="167">
        <f>'HourGH-SEP'!E13</f>
        <v>0.91</v>
      </c>
      <c r="CD52" s="263">
        <v>51</v>
      </c>
      <c r="CE52" s="9">
        <v>3</v>
      </c>
      <c r="CF52" s="9">
        <v>3</v>
      </c>
      <c r="CG52" s="167">
        <f>'HourGH-OCT'!E13</f>
        <v>0.99</v>
      </c>
      <c r="CH52" s="9">
        <v>51</v>
      </c>
      <c r="CI52" s="9">
        <v>3</v>
      </c>
      <c r="CJ52" s="9">
        <v>3</v>
      </c>
      <c r="CK52" s="167">
        <f>'HourGH-NOV'!E13</f>
        <v>0.91</v>
      </c>
      <c r="CL52" s="263">
        <v>51</v>
      </c>
      <c r="CM52" s="9">
        <v>3</v>
      </c>
      <c r="CN52" s="9">
        <v>3</v>
      </c>
      <c r="CO52" s="167">
        <f>'HourGH-DEC'!E13</f>
        <v>0.54</v>
      </c>
      <c r="CP52" s="263">
        <v>51</v>
      </c>
      <c r="CQ52" s="9">
        <v>3</v>
      </c>
      <c r="CR52" s="9">
        <v>3</v>
      </c>
      <c r="CS52" s="167">
        <f>'HourGH-JAN'!E13</f>
        <v>0.43</v>
      </c>
      <c r="CT52" s="9">
        <v>51</v>
      </c>
      <c r="CU52" s="9">
        <v>3</v>
      </c>
      <c r="CV52" s="9">
        <v>3</v>
      </c>
      <c r="CW52" s="167">
        <f>'HourGH-FEB'!E13</f>
        <v>0.46</v>
      </c>
      <c r="CX52" s="263">
        <v>51</v>
      </c>
      <c r="CY52" s="9">
        <v>3</v>
      </c>
      <c r="CZ52" s="9">
        <v>3</v>
      </c>
      <c r="DA52" s="167">
        <f>'HourGH-MAR'!E13</f>
        <v>0.64</v>
      </c>
    </row>
    <row r="53" spans="58:105">
      <c r="BF53" s="9">
        <v>52</v>
      </c>
      <c r="BG53" s="9">
        <v>3</v>
      </c>
      <c r="BH53" s="9">
        <v>4</v>
      </c>
      <c r="BI53" s="167">
        <f>'HourGH-APR'!F13</f>
        <v>0.7</v>
      </c>
      <c r="BJ53" s="263">
        <v>52</v>
      </c>
      <c r="BK53" s="9">
        <v>3</v>
      </c>
      <c r="BL53" s="9">
        <v>4</v>
      </c>
      <c r="BM53" s="167">
        <f>'HourGH-MAY'!F13</f>
        <v>0.57999999999999996</v>
      </c>
      <c r="BN53" s="9">
        <v>52</v>
      </c>
      <c r="BO53" s="9">
        <v>3</v>
      </c>
      <c r="BP53" s="9">
        <v>4</v>
      </c>
      <c r="BQ53" s="167">
        <f>'HourGH-JUN'!F13</f>
        <v>0.21</v>
      </c>
      <c r="BR53" s="263">
        <v>52</v>
      </c>
      <c r="BS53" s="9">
        <v>3</v>
      </c>
      <c r="BT53" s="9">
        <v>4</v>
      </c>
      <c r="BU53" s="167">
        <f>'HourGH-JUL'!F13</f>
        <v>0.23</v>
      </c>
      <c r="BV53" s="263">
        <v>52</v>
      </c>
      <c r="BW53" s="9">
        <v>3</v>
      </c>
      <c r="BX53" s="9">
        <v>4</v>
      </c>
      <c r="BY53" s="167">
        <f>'HourGH-AUG'!F13</f>
        <v>0.52</v>
      </c>
      <c r="BZ53" s="9">
        <v>52</v>
      </c>
      <c r="CA53" s="9">
        <v>3</v>
      </c>
      <c r="CB53" s="9">
        <v>4</v>
      </c>
      <c r="CC53" s="167">
        <f>'HourGH-SEP'!F13</f>
        <v>0.9</v>
      </c>
      <c r="CD53" s="263">
        <v>52</v>
      </c>
      <c r="CE53" s="9">
        <v>3</v>
      </c>
      <c r="CF53" s="9">
        <v>4</v>
      </c>
      <c r="CG53" s="167">
        <f>'HourGH-OCT'!F13</f>
        <v>0.99</v>
      </c>
      <c r="CH53" s="9">
        <v>52</v>
      </c>
      <c r="CI53" s="9">
        <v>3</v>
      </c>
      <c r="CJ53" s="9">
        <v>4</v>
      </c>
      <c r="CK53" s="167">
        <f>'HourGH-NOV'!F13</f>
        <v>0.91</v>
      </c>
      <c r="CL53" s="263">
        <v>52</v>
      </c>
      <c r="CM53" s="9">
        <v>3</v>
      </c>
      <c r="CN53" s="9">
        <v>4</v>
      </c>
      <c r="CO53" s="167">
        <f>'HourGH-DEC'!F13</f>
        <v>0.54</v>
      </c>
      <c r="CP53" s="263">
        <v>52</v>
      </c>
      <c r="CQ53" s="9">
        <v>3</v>
      </c>
      <c r="CR53" s="9">
        <v>4</v>
      </c>
      <c r="CS53" s="167">
        <f>'HourGH-JAN'!F13</f>
        <v>0.43</v>
      </c>
      <c r="CT53" s="9">
        <v>52</v>
      </c>
      <c r="CU53" s="9">
        <v>3</v>
      </c>
      <c r="CV53" s="9">
        <v>4</v>
      </c>
      <c r="CW53" s="167">
        <f>'HourGH-FEB'!F13</f>
        <v>0.44</v>
      </c>
      <c r="CX53" s="263">
        <v>52</v>
      </c>
      <c r="CY53" s="9">
        <v>3</v>
      </c>
      <c r="CZ53" s="9">
        <v>4</v>
      </c>
      <c r="DA53" s="167">
        <f>'HourGH-MAR'!F13</f>
        <v>0.64</v>
      </c>
    </row>
    <row r="54" spans="58:105">
      <c r="BF54" s="9">
        <v>53</v>
      </c>
      <c r="BG54" s="9">
        <v>3</v>
      </c>
      <c r="BH54" s="9">
        <v>5</v>
      </c>
      <c r="BI54" s="167">
        <f>'HourGH-APR'!G13</f>
        <v>0.7</v>
      </c>
      <c r="BJ54" s="263">
        <v>53</v>
      </c>
      <c r="BK54" s="9">
        <v>3</v>
      </c>
      <c r="BL54" s="9">
        <v>5</v>
      </c>
      <c r="BM54" s="167">
        <f>'HourGH-MAY'!G13</f>
        <v>0.57999999999999996</v>
      </c>
      <c r="BN54" s="9">
        <v>53</v>
      </c>
      <c r="BO54" s="9">
        <v>3</v>
      </c>
      <c r="BP54" s="9">
        <v>5</v>
      </c>
      <c r="BQ54" s="167">
        <f>'HourGH-JUN'!G13</f>
        <v>0.21</v>
      </c>
      <c r="BR54" s="263">
        <v>53</v>
      </c>
      <c r="BS54" s="9">
        <v>3</v>
      </c>
      <c r="BT54" s="9">
        <v>5</v>
      </c>
      <c r="BU54" s="167">
        <f>'HourGH-JUL'!G13</f>
        <v>0.23</v>
      </c>
      <c r="BV54" s="263">
        <v>53</v>
      </c>
      <c r="BW54" s="9">
        <v>3</v>
      </c>
      <c r="BX54" s="9">
        <v>5</v>
      </c>
      <c r="BY54" s="167">
        <f>'HourGH-AUG'!G13</f>
        <v>0.52</v>
      </c>
      <c r="BZ54" s="9">
        <v>53</v>
      </c>
      <c r="CA54" s="9">
        <v>3</v>
      </c>
      <c r="CB54" s="9">
        <v>5</v>
      </c>
      <c r="CC54" s="167">
        <f>'HourGH-SEP'!G13</f>
        <v>0.89</v>
      </c>
      <c r="CD54" s="263">
        <v>53</v>
      </c>
      <c r="CE54" s="9">
        <v>3</v>
      </c>
      <c r="CF54" s="9">
        <v>5</v>
      </c>
      <c r="CG54" s="167">
        <f>'HourGH-OCT'!G13</f>
        <v>0.99</v>
      </c>
      <c r="CH54" s="9">
        <v>53</v>
      </c>
      <c r="CI54" s="9">
        <v>3</v>
      </c>
      <c r="CJ54" s="9">
        <v>5</v>
      </c>
      <c r="CK54" s="167">
        <f>'HourGH-NOV'!G13</f>
        <v>0.91</v>
      </c>
      <c r="CL54" s="263">
        <v>53</v>
      </c>
      <c r="CM54" s="9">
        <v>3</v>
      </c>
      <c r="CN54" s="9">
        <v>5</v>
      </c>
      <c r="CO54" s="167">
        <f>'HourGH-DEC'!G13</f>
        <v>0.54</v>
      </c>
      <c r="CP54" s="263">
        <v>53</v>
      </c>
      <c r="CQ54" s="9">
        <v>3</v>
      </c>
      <c r="CR54" s="9">
        <v>5</v>
      </c>
      <c r="CS54" s="167">
        <f>'HourGH-JAN'!G13</f>
        <v>0.43</v>
      </c>
      <c r="CT54" s="9">
        <v>53</v>
      </c>
      <c r="CU54" s="9">
        <v>3</v>
      </c>
      <c r="CV54" s="9">
        <v>5</v>
      </c>
      <c r="CW54" s="167">
        <f>'HourGH-FEB'!G13</f>
        <v>0.43</v>
      </c>
      <c r="CX54" s="263">
        <v>53</v>
      </c>
      <c r="CY54" s="9">
        <v>3</v>
      </c>
      <c r="CZ54" s="9">
        <v>5</v>
      </c>
      <c r="DA54" s="167">
        <f>'HourGH-MAR'!G13</f>
        <v>0.64</v>
      </c>
    </row>
    <row r="55" spans="58:105">
      <c r="BF55" s="9">
        <v>54</v>
      </c>
      <c r="BG55" s="9">
        <v>3</v>
      </c>
      <c r="BH55" s="9">
        <v>6</v>
      </c>
      <c r="BI55" s="167">
        <f>'HourGH-APR'!H13</f>
        <v>0.69</v>
      </c>
      <c r="BJ55" s="263">
        <v>54</v>
      </c>
      <c r="BK55" s="9">
        <v>3</v>
      </c>
      <c r="BL55" s="9">
        <v>6</v>
      </c>
      <c r="BM55" s="167">
        <f>'HourGH-MAY'!H13</f>
        <v>0.57999999999999996</v>
      </c>
      <c r="BN55" s="9">
        <v>54</v>
      </c>
      <c r="BO55" s="9">
        <v>3</v>
      </c>
      <c r="BP55" s="9">
        <v>6</v>
      </c>
      <c r="BQ55" s="167">
        <f>'HourGH-JUN'!H13</f>
        <v>0.21</v>
      </c>
      <c r="BR55" s="263">
        <v>54</v>
      </c>
      <c r="BS55" s="9">
        <v>3</v>
      </c>
      <c r="BT55" s="9">
        <v>6</v>
      </c>
      <c r="BU55" s="167">
        <f>'HourGH-JUL'!H13</f>
        <v>0.23</v>
      </c>
      <c r="BV55" s="263">
        <v>54</v>
      </c>
      <c r="BW55" s="9">
        <v>3</v>
      </c>
      <c r="BX55" s="9">
        <v>6</v>
      </c>
      <c r="BY55" s="167">
        <f>'HourGH-AUG'!H13</f>
        <v>0.52</v>
      </c>
      <c r="BZ55" s="9">
        <v>54</v>
      </c>
      <c r="CA55" s="9">
        <v>3</v>
      </c>
      <c r="CB55" s="9">
        <v>6</v>
      </c>
      <c r="CC55" s="167">
        <f>'HourGH-SEP'!H13</f>
        <v>0.88</v>
      </c>
      <c r="CD55" s="263">
        <v>54</v>
      </c>
      <c r="CE55" s="9">
        <v>3</v>
      </c>
      <c r="CF55" s="9">
        <v>6</v>
      </c>
      <c r="CG55" s="167">
        <f>'HourGH-OCT'!H13</f>
        <v>0.99</v>
      </c>
      <c r="CH55" s="9">
        <v>54</v>
      </c>
      <c r="CI55" s="9">
        <v>3</v>
      </c>
      <c r="CJ55" s="9">
        <v>6</v>
      </c>
      <c r="CK55" s="167">
        <f>'HourGH-NOV'!H13</f>
        <v>0.9</v>
      </c>
      <c r="CL55" s="263">
        <v>54</v>
      </c>
      <c r="CM55" s="9">
        <v>3</v>
      </c>
      <c r="CN55" s="9">
        <v>6</v>
      </c>
      <c r="CO55" s="167">
        <f>'HourGH-DEC'!H13</f>
        <v>0.54</v>
      </c>
      <c r="CP55" s="263">
        <v>54</v>
      </c>
      <c r="CQ55" s="9">
        <v>3</v>
      </c>
      <c r="CR55" s="9">
        <v>6</v>
      </c>
      <c r="CS55" s="167">
        <f>'HourGH-JAN'!H13</f>
        <v>0.43</v>
      </c>
      <c r="CT55" s="9">
        <v>54</v>
      </c>
      <c r="CU55" s="9">
        <v>3</v>
      </c>
      <c r="CV55" s="9">
        <v>6</v>
      </c>
      <c r="CW55" s="167">
        <f>'HourGH-FEB'!H13</f>
        <v>0.41</v>
      </c>
      <c r="CX55" s="263">
        <v>54</v>
      </c>
      <c r="CY55" s="9">
        <v>3</v>
      </c>
      <c r="CZ55" s="9">
        <v>6</v>
      </c>
      <c r="DA55" s="167">
        <f>'HourGH-MAR'!H13</f>
        <v>0.66</v>
      </c>
    </row>
    <row r="56" spans="58:105">
      <c r="BF56" s="9">
        <v>55</v>
      </c>
      <c r="BG56" s="9">
        <v>3</v>
      </c>
      <c r="BH56" s="9">
        <v>7</v>
      </c>
      <c r="BI56" s="167">
        <f>'HourGH-APR'!I13</f>
        <v>0.68</v>
      </c>
      <c r="BJ56" s="263">
        <v>55</v>
      </c>
      <c r="BK56" s="9">
        <v>3</v>
      </c>
      <c r="BL56" s="9">
        <v>7</v>
      </c>
      <c r="BM56" s="167">
        <f>'HourGH-MAY'!I13</f>
        <v>0.57999999999999996</v>
      </c>
      <c r="BN56" s="9">
        <v>55</v>
      </c>
      <c r="BO56" s="9">
        <v>3</v>
      </c>
      <c r="BP56" s="9">
        <v>7</v>
      </c>
      <c r="BQ56" s="167">
        <f>'HourGH-JUN'!I13</f>
        <v>0.22</v>
      </c>
      <c r="BR56" s="263">
        <v>55</v>
      </c>
      <c r="BS56" s="9">
        <v>3</v>
      </c>
      <c r="BT56" s="9">
        <v>7</v>
      </c>
      <c r="BU56" s="167">
        <f>'HourGH-JUL'!I13</f>
        <v>0.23</v>
      </c>
      <c r="BV56" s="263">
        <v>55</v>
      </c>
      <c r="BW56" s="9">
        <v>3</v>
      </c>
      <c r="BX56" s="9">
        <v>7</v>
      </c>
      <c r="BY56" s="167">
        <f>'HourGH-AUG'!I13</f>
        <v>0.51</v>
      </c>
      <c r="BZ56" s="9">
        <v>55</v>
      </c>
      <c r="CA56" s="9">
        <v>3</v>
      </c>
      <c r="CB56" s="9">
        <v>7</v>
      </c>
      <c r="CC56" s="167">
        <f>'HourGH-SEP'!I13</f>
        <v>0.87</v>
      </c>
      <c r="CD56" s="263">
        <v>55</v>
      </c>
      <c r="CE56" s="9">
        <v>3</v>
      </c>
      <c r="CF56" s="9">
        <v>7</v>
      </c>
      <c r="CG56" s="167">
        <f>'HourGH-OCT'!I13</f>
        <v>0.99</v>
      </c>
      <c r="CH56" s="9">
        <v>55</v>
      </c>
      <c r="CI56" s="9">
        <v>3</v>
      </c>
      <c r="CJ56" s="9">
        <v>7</v>
      </c>
      <c r="CK56" s="167">
        <f>'HourGH-NOV'!I13</f>
        <v>0.9</v>
      </c>
      <c r="CL56" s="263">
        <v>55</v>
      </c>
      <c r="CM56" s="9">
        <v>3</v>
      </c>
      <c r="CN56" s="9">
        <v>7</v>
      </c>
      <c r="CO56" s="167">
        <f>'HourGH-DEC'!I13</f>
        <v>0.54</v>
      </c>
      <c r="CP56" s="263">
        <v>55</v>
      </c>
      <c r="CQ56" s="9">
        <v>3</v>
      </c>
      <c r="CR56" s="9">
        <v>7</v>
      </c>
      <c r="CS56" s="167">
        <f>'HourGH-JAN'!I13</f>
        <v>0.43</v>
      </c>
      <c r="CT56" s="9">
        <v>55</v>
      </c>
      <c r="CU56" s="9">
        <v>3</v>
      </c>
      <c r="CV56" s="9">
        <v>7</v>
      </c>
      <c r="CW56" s="167">
        <f>'HourGH-FEB'!I13</f>
        <v>0.4</v>
      </c>
      <c r="CX56" s="263">
        <v>55</v>
      </c>
      <c r="CY56" s="9">
        <v>3</v>
      </c>
      <c r="CZ56" s="9">
        <v>7</v>
      </c>
      <c r="DA56" s="167">
        <f>'HourGH-MAR'!I13</f>
        <v>0.63</v>
      </c>
    </row>
    <row r="57" spans="58:105">
      <c r="BF57" s="9">
        <v>56</v>
      </c>
      <c r="BG57" s="9">
        <v>3</v>
      </c>
      <c r="BH57" s="9">
        <v>8</v>
      </c>
      <c r="BI57" s="167">
        <f>'HourGH-APR'!J13</f>
        <v>0.66</v>
      </c>
      <c r="BJ57" s="263">
        <v>56</v>
      </c>
      <c r="BK57" s="9">
        <v>3</v>
      </c>
      <c r="BL57" s="9">
        <v>8</v>
      </c>
      <c r="BM57" s="167">
        <f>'HourGH-MAY'!J13</f>
        <v>0.57999999999999996</v>
      </c>
      <c r="BN57" s="9">
        <v>56</v>
      </c>
      <c r="BO57" s="9">
        <v>3</v>
      </c>
      <c r="BP57" s="9">
        <v>8</v>
      </c>
      <c r="BQ57" s="167">
        <f>'HourGH-JUN'!J13</f>
        <v>0.22</v>
      </c>
      <c r="BR57" s="263">
        <v>56</v>
      </c>
      <c r="BS57" s="9">
        <v>3</v>
      </c>
      <c r="BT57" s="9">
        <v>8</v>
      </c>
      <c r="BU57" s="167">
        <f>'HourGH-JUL'!J13</f>
        <v>0.23</v>
      </c>
      <c r="BV57" s="263">
        <v>56</v>
      </c>
      <c r="BW57" s="9">
        <v>3</v>
      </c>
      <c r="BX57" s="9">
        <v>8</v>
      </c>
      <c r="BY57" s="167">
        <f>'HourGH-AUG'!J13</f>
        <v>0.51</v>
      </c>
      <c r="BZ57" s="9">
        <v>56</v>
      </c>
      <c r="CA57" s="9">
        <v>3</v>
      </c>
      <c r="CB57" s="9">
        <v>8</v>
      </c>
      <c r="CC57" s="167">
        <f>'HourGH-SEP'!J13</f>
        <v>0.86</v>
      </c>
      <c r="CD57" s="263">
        <v>56</v>
      </c>
      <c r="CE57" s="9">
        <v>3</v>
      </c>
      <c r="CF57" s="9">
        <v>8</v>
      </c>
      <c r="CG57" s="167">
        <f>'HourGH-OCT'!J13</f>
        <v>0.99</v>
      </c>
      <c r="CH57" s="9">
        <v>56</v>
      </c>
      <c r="CI57" s="9">
        <v>3</v>
      </c>
      <c r="CJ57" s="9">
        <v>8</v>
      </c>
      <c r="CK57" s="167">
        <f>'HourGH-NOV'!J13</f>
        <v>0.9</v>
      </c>
      <c r="CL57" s="263">
        <v>56</v>
      </c>
      <c r="CM57" s="9">
        <v>3</v>
      </c>
      <c r="CN57" s="9">
        <v>8</v>
      </c>
      <c r="CO57" s="167">
        <f>'HourGH-DEC'!J13</f>
        <v>0.54</v>
      </c>
      <c r="CP57" s="263">
        <v>56</v>
      </c>
      <c r="CQ57" s="9">
        <v>3</v>
      </c>
      <c r="CR57" s="9">
        <v>8</v>
      </c>
      <c r="CS57" s="167">
        <f>'HourGH-JAN'!J13</f>
        <v>0.43</v>
      </c>
      <c r="CT57" s="9">
        <v>56</v>
      </c>
      <c r="CU57" s="9">
        <v>3</v>
      </c>
      <c r="CV57" s="9">
        <v>8</v>
      </c>
      <c r="CW57" s="167">
        <f>'HourGH-FEB'!J13</f>
        <v>0.39</v>
      </c>
      <c r="CX57" s="263">
        <v>56</v>
      </c>
      <c r="CY57" s="9">
        <v>3</v>
      </c>
      <c r="CZ57" s="9">
        <v>8</v>
      </c>
      <c r="DA57" s="167">
        <f>'HourGH-MAR'!J13</f>
        <v>0.62</v>
      </c>
    </row>
    <row r="58" spans="58:105">
      <c r="BF58" s="9">
        <v>57</v>
      </c>
      <c r="BG58" s="9">
        <v>3</v>
      </c>
      <c r="BH58" s="9">
        <v>9</v>
      </c>
      <c r="BI58" s="167">
        <f>'HourGH-APR'!K13</f>
        <v>0.65</v>
      </c>
      <c r="BJ58" s="263">
        <v>57</v>
      </c>
      <c r="BK58" s="9">
        <v>3</v>
      </c>
      <c r="BL58" s="9">
        <v>9</v>
      </c>
      <c r="BM58" s="167">
        <f>'HourGH-MAY'!K13</f>
        <v>0.57999999999999996</v>
      </c>
      <c r="BN58" s="9">
        <v>57</v>
      </c>
      <c r="BO58" s="9">
        <v>3</v>
      </c>
      <c r="BP58" s="9">
        <v>9</v>
      </c>
      <c r="BQ58" s="167">
        <f>'HourGH-JUN'!K13</f>
        <v>0.22</v>
      </c>
      <c r="BR58" s="263">
        <v>57</v>
      </c>
      <c r="BS58" s="9">
        <v>3</v>
      </c>
      <c r="BT58" s="9">
        <v>9</v>
      </c>
      <c r="BU58" s="167">
        <f>'HourGH-JUL'!K13</f>
        <v>0.23</v>
      </c>
      <c r="BV58" s="263">
        <v>57</v>
      </c>
      <c r="BW58" s="9">
        <v>3</v>
      </c>
      <c r="BX58" s="9">
        <v>9</v>
      </c>
      <c r="BY58" s="167">
        <f>'HourGH-AUG'!K13</f>
        <v>0.51</v>
      </c>
      <c r="BZ58" s="9">
        <v>57</v>
      </c>
      <c r="CA58" s="9">
        <v>3</v>
      </c>
      <c r="CB58" s="9">
        <v>9</v>
      </c>
      <c r="CC58" s="167">
        <f>'HourGH-SEP'!K13</f>
        <v>0.85</v>
      </c>
      <c r="CD58" s="263">
        <v>57</v>
      </c>
      <c r="CE58" s="9">
        <v>3</v>
      </c>
      <c r="CF58" s="9">
        <v>9</v>
      </c>
      <c r="CG58" s="167">
        <f>'HourGH-OCT'!K13</f>
        <v>0.99</v>
      </c>
      <c r="CH58" s="9">
        <v>57</v>
      </c>
      <c r="CI58" s="9">
        <v>3</v>
      </c>
      <c r="CJ58" s="9">
        <v>9</v>
      </c>
      <c r="CK58" s="167">
        <f>'HourGH-NOV'!K13</f>
        <v>0.9</v>
      </c>
      <c r="CL58" s="263">
        <v>57</v>
      </c>
      <c r="CM58" s="9">
        <v>3</v>
      </c>
      <c r="CN58" s="9">
        <v>9</v>
      </c>
      <c r="CO58" s="167">
        <f>'HourGH-DEC'!K13</f>
        <v>0.54</v>
      </c>
      <c r="CP58" s="263">
        <v>57</v>
      </c>
      <c r="CQ58" s="9">
        <v>3</v>
      </c>
      <c r="CR58" s="9">
        <v>9</v>
      </c>
      <c r="CS58" s="167">
        <f>'HourGH-JAN'!K13</f>
        <v>0.43</v>
      </c>
      <c r="CT58" s="9">
        <v>57</v>
      </c>
      <c r="CU58" s="9">
        <v>3</v>
      </c>
      <c r="CV58" s="9">
        <v>9</v>
      </c>
      <c r="CW58" s="167">
        <f>'HourGH-FEB'!K13</f>
        <v>0.38</v>
      </c>
      <c r="CX58" s="263">
        <v>57</v>
      </c>
      <c r="CY58" s="9">
        <v>3</v>
      </c>
      <c r="CZ58" s="9">
        <v>9</v>
      </c>
      <c r="DA58" s="167">
        <f>'HourGH-MAR'!K13</f>
        <v>0.61</v>
      </c>
    </row>
    <row r="59" spans="58:105">
      <c r="BF59" s="9">
        <v>58</v>
      </c>
      <c r="BG59" s="9">
        <v>3</v>
      </c>
      <c r="BH59" s="9">
        <v>10</v>
      </c>
      <c r="BI59" s="167">
        <f>'HourGH-APR'!L13</f>
        <v>0.63</v>
      </c>
      <c r="BJ59" s="263">
        <v>58</v>
      </c>
      <c r="BK59" s="9">
        <v>3</v>
      </c>
      <c r="BL59" s="9">
        <v>10</v>
      </c>
      <c r="BM59" s="167">
        <f>'HourGH-MAY'!L13</f>
        <v>0.57999999999999996</v>
      </c>
      <c r="BN59" s="9">
        <v>58</v>
      </c>
      <c r="BO59" s="9">
        <v>3</v>
      </c>
      <c r="BP59" s="9">
        <v>10</v>
      </c>
      <c r="BQ59" s="167">
        <f>'HourGH-JUN'!L13</f>
        <v>0.23</v>
      </c>
      <c r="BR59" s="263">
        <v>58</v>
      </c>
      <c r="BS59" s="9">
        <v>3</v>
      </c>
      <c r="BT59" s="9">
        <v>10</v>
      </c>
      <c r="BU59" s="167">
        <f>'HourGH-JUL'!L13</f>
        <v>0.23</v>
      </c>
      <c r="BV59" s="263">
        <v>58</v>
      </c>
      <c r="BW59" s="9">
        <v>3</v>
      </c>
      <c r="BX59" s="9">
        <v>10</v>
      </c>
      <c r="BY59" s="167">
        <f>'HourGH-AUG'!L13</f>
        <v>0.51</v>
      </c>
      <c r="BZ59" s="9">
        <v>58</v>
      </c>
      <c r="CA59" s="9">
        <v>3</v>
      </c>
      <c r="CB59" s="9">
        <v>10</v>
      </c>
      <c r="CC59" s="167">
        <f>'HourGH-SEP'!L13</f>
        <v>0.84</v>
      </c>
      <c r="CD59" s="263">
        <v>58</v>
      </c>
      <c r="CE59" s="9">
        <v>3</v>
      </c>
      <c r="CF59" s="9">
        <v>10</v>
      </c>
      <c r="CG59" s="167">
        <f>'HourGH-OCT'!L13</f>
        <v>0.99</v>
      </c>
      <c r="CH59" s="9">
        <v>58</v>
      </c>
      <c r="CI59" s="9">
        <v>3</v>
      </c>
      <c r="CJ59" s="9">
        <v>10</v>
      </c>
      <c r="CK59" s="167">
        <f>'HourGH-NOV'!L13</f>
        <v>0.9</v>
      </c>
      <c r="CL59" s="263">
        <v>58</v>
      </c>
      <c r="CM59" s="9">
        <v>3</v>
      </c>
      <c r="CN59" s="9">
        <v>10</v>
      </c>
      <c r="CO59" s="167">
        <f>'HourGH-DEC'!L13</f>
        <v>0.54</v>
      </c>
      <c r="CP59" s="263">
        <v>58</v>
      </c>
      <c r="CQ59" s="9">
        <v>3</v>
      </c>
      <c r="CR59" s="9">
        <v>10</v>
      </c>
      <c r="CS59" s="167">
        <f>'HourGH-JAN'!L13</f>
        <v>0.43</v>
      </c>
      <c r="CT59" s="9">
        <v>58</v>
      </c>
      <c r="CU59" s="9">
        <v>3</v>
      </c>
      <c r="CV59" s="9">
        <v>10</v>
      </c>
      <c r="CW59" s="167">
        <f>'HourGH-FEB'!L13</f>
        <v>0.37</v>
      </c>
      <c r="CX59" s="263">
        <v>58</v>
      </c>
      <c r="CY59" s="9">
        <v>3</v>
      </c>
      <c r="CZ59" s="9">
        <v>10</v>
      </c>
      <c r="DA59" s="167">
        <f>'HourGH-MAR'!L13</f>
        <v>0.59</v>
      </c>
    </row>
    <row r="60" spans="58:105">
      <c r="BF60" s="9">
        <v>59</v>
      </c>
      <c r="BG60" s="9">
        <v>3</v>
      </c>
      <c r="BH60" s="9">
        <v>11</v>
      </c>
      <c r="BI60" s="167">
        <f>'HourGH-APR'!M13</f>
        <v>0.62</v>
      </c>
      <c r="BJ60" s="263">
        <v>59</v>
      </c>
      <c r="BK60" s="9">
        <v>3</v>
      </c>
      <c r="BL60" s="9">
        <v>11</v>
      </c>
      <c r="BM60" s="167">
        <f>'HourGH-MAY'!M13</f>
        <v>0.57999999999999996</v>
      </c>
      <c r="BN60" s="9">
        <v>59</v>
      </c>
      <c r="BO60" s="9">
        <v>3</v>
      </c>
      <c r="BP60" s="9">
        <v>11</v>
      </c>
      <c r="BQ60" s="167">
        <f>'HourGH-JUN'!M13</f>
        <v>0.23</v>
      </c>
      <c r="BR60" s="263">
        <v>59</v>
      </c>
      <c r="BS60" s="9">
        <v>3</v>
      </c>
      <c r="BT60" s="9">
        <v>11</v>
      </c>
      <c r="BU60" s="167">
        <f>'HourGH-JUL'!M13</f>
        <v>0.23</v>
      </c>
      <c r="BV60" s="263">
        <v>59</v>
      </c>
      <c r="BW60" s="9">
        <v>3</v>
      </c>
      <c r="BX60" s="9">
        <v>11</v>
      </c>
      <c r="BY60" s="167">
        <f>'HourGH-AUG'!M13</f>
        <v>0.51</v>
      </c>
      <c r="BZ60" s="9">
        <v>59</v>
      </c>
      <c r="CA60" s="9">
        <v>3</v>
      </c>
      <c r="CB60" s="9">
        <v>11</v>
      </c>
      <c r="CC60" s="167">
        <f>'HourGH-SEP'!M13</f>
        <v>0.83</v>
      </c>
      <c r="CD60" s="263">
        <v>59</v>
      </c>
      <c r="CE60" s="9">
        <v>3</v>
      </c>
      <c r="CF60" s="9">
        <v>11</v>
      </c>
      <c r="CG60" s="167">
        <f>'HourGH-OCT'!M13</f>
        <v>0.99</v>
      </c>
      <c r="CH60" s="9">
        <v>59</v>
      </c>
      <c r="CI60" s="9">
        <v>3</v>
      </c>
      <c r="CJ60" s="9">
        <v>11</v>
      </c>
      <c r="CK60" s="167">
        <f>'HourGH-NOV'!M13</f>
        <v>0.9</v>
      </c>
      <c r="CL60" s="263">
        <v>59</v>
      </c>
      <c r="CM60" s="9">
        <v>3</v>
      </c>
      <c r="CN60" s="9">
        <v>11</v>
      </c>
      <c r="CO60" s="167">
        <f>'HourGH-DEC'!M13</f>
        <v>0.54</v>
      </c>
      <c r="CP60" s="263">
        <v>59</v>
      </c>
      <c r="CQ60" s="9">
        <v>3</v>
      </c>
      <c r="CR60" s="9">
        <v>11</v>
      </c>
      <c r="CS60" s="167">
        <f>'HourGH-JAN'!M13</f>
        <v>0.43</v>
      </c>
      <c r="CT60" s="9">
        <v>59</v>
      </c>
      <c r="CU60" s="9">
        <v>3</v>
      </c>
      <c r="CV60" s="9">
        <v>11</v>
      </c>
      <c r="CW60" s="167">
        <f>'HourGH-FEB'!M13</f>
        <v>0.36</v>
      </c>
      <c r="CX60" s="263">
        <v>59</v>
      </c>
      <c r="CY60" s="9">
        <v>3</v>
      </c>
      <c r="CZ60" s="9">
        <v>11</v>
      </c>
      <c r="DA60" s="167">
        <f>'HourGH-MAR'!M13</f>
        <v>0.57999999999999996</v>
      </c>
    </row>
    <row r="61" spans="58:105">
      <c r="BF61" s="9">
        <v>60</v>
      </c>
      <c r="BG61" s="9">
        <v>3</v>
      </c>
      <c r="BH61" s="9">
        <v>12</v>
      </c>
      <c r="BI61" s="167">
        <f>'HourGH-APR'!N13</f>
        <v>0.61</v>
      </c>
      <c r="BJ61" s="263">
        <v>60</v>
      </c>
      <c r="BK61" s="9">
        <v>3</v>
      </c>
      <c r="BL61" s="9">
        <v>12</v>
      </c>
      <c r="BM61" s="167">
        <f>'HourGH-MAY'!N13</f>
        <v>0.57999999999999996</v>
      </c>
      <c r="BN61" s="9">
        <v>60</v>
      </c>
      <c r="BO61" s="9">
        <v>3</v>
      </c>
      <c r="BP61" s="9">
        <v>12</v>
      </c>
      <c r="BQ61" s="167">
        <f>'HourGH-JUN'!N13</f>
        <v>0.23</v>
      </c>
      <c r="BR61" s="263">
        <v>60</v>
      </c>
      <c r="BS61" s="9">
        <v>3</v>
      </c>
      <c r="BT61" s="9">
        <v>12</v>
      </c>
      <c r="BU61" s="167">
        <f>'HourGH-JUL'!N13</f>
        <v>0.23</v>
      </c>
      <c r="BV61" s="263">
        <v>60</v>
      </c>
      <c r="BW61" s="9">
        <v>3</v>
      </c>
      <c r="BX61" s="9">
        <v>12</v>
      </c>
      <c r="BY61" s="167">
        <f>'HourGH-AUG'!N13</f>
        <v>0.51</v>
      </c>
      <c r="BZ61" s="9">
        <v>60</v>
      </c>
      <c r="CA61" s="9">
        <v>3</v>
      </c>
      <c r="CB61" s="9">
        <v>12</v>
      </c>
      <c r="CC61" s="167">
        <f>'HourGH-SEP'!N13</f>
        <v>0.81</v>
      </c>
      <c r="CD61" s="263">
        <v>60</v>
      </c>
      <c r="CE61" s="9">
        <v>3</v>
      </c>
      <c r="CF61" s="9">
        <v>12</v>
      </c>
      <c r="CG61" s="167">
        <f>'HourGH-OCT'!N13</f>
        <v>0.99</v>
      </c>
      <c r="CH61" s="9">
        <v>60</v>
      </c>
      <c r="CI61" s="9">
        <v>3</v>
      </c>
      <c r="CJ61" s="9">
        <v>12</v>
      </c>
      <c r="CK61" s="167">
        <f>'HourGH-NOV'!N13</f>
        <v>0.9</v>
      </c>
      <c r="CL61" s="263">
        <v>60</v>
      </c>
      <c r="CM61" s="9">
        <v>3</v>
      </c>
      <c r="CN61" s="9">
        <v>12</v>
      </c>
      <c r="CO61" s="167">
        <f>'HourGH-DEC'!N13</f>
        <v>0.54</v>
      </c>
      <c r="CP61" s="263">
        <v>60</v>
      </c>
      <c r="CQ61" s="9">
        <v>3</v>
      </c>
      <c r="CR61" s="9">
        <v>12</v>
      </c>
      <c r="CS61" s="167">
        <f>'HourGH-JAN'!N13</f>
        <v>0.43</v>
      </c>
      <c r="CT61" s="9">
        <v>60</v>
      </c>
      <c r="CU61" s="9">
        <v>3</v>
      </c>
      <c r="CV61" s="9">
        <v>12</v>
      </c>
      <c r="CW61" s="167">
        <f>'HourGH-FEB'!N13</f>
        <v>0.35</v>
      </c>
      <c r="CX61" s="263">
        <v>60</v>
      </c>
      <c r="CY61" s="9">
        <v>3</v>
      </c>
      <c r="CZ61" s="9">
        <v>12</v>
      </c>
      <c r="DA61" s="167">
        <f>'HourGH-MAR'!N13</f>
        <v>0.56000000000000005</v>
      </c>
    </row>
    <row r="62" spans="58:105">
      <c r="BF62" s="9">
        <v>61</v>
      </c>
      <c r="BG62" s="9">
        <v>3</v>
      </c>
      <c r="BH62" s="9">
        <v>13</v>
      </c>
      <c r="BI62" s="167">
        <f>'HourGH-APR'!O13</f>
        <v>0.6</v>
      </c>
      <c r="BJ62" s="263">
        <v>61</v>
      </c>
      <c r="BK62" s="9">
        <v>3</v>
      </c>
      <c r="BL62" s="9">
        <v>13</v>
      </c>
      <c r="BM62" s="167">
        <f>'HourGH-MAY'!O13</f>
        <v>0.57999999999999996</v>
      </c>
      <c r="BN62" s="9">
        <v>61</v>
      </c>
      <c r="BO62" s="9">
        <v>3</v>
      </c>
      <c r="BP62" s="9">
        <v>13</v>
      </c>
      <c r="BQ62" s="167">
        <f>'HourGH-JUN'!O13</f>
        <v>0.24</v>
      </c>
      <c r="BR62" s="263">
        <v>61</v>
      </c>
      <c r="BS62" s="9">
        <v>3</v>
      </c>
      <c r="BT62" s="9">
        <v>13</v>
      </c>
      <c r="BU62" s="167">
        <f>'HourGH-JUL'!O13</f>
        <v>0.23</v>
      </c>
      <c r="BV62" s="263">
        <v>61</v>
      </c>
      <c r="BW62" s="9">
        <v>3</v>
      </c>
      <c r="BX62" s="9">
        <v>13</v>
      </c>
      <c r="BY62" s="167">
        <f>'HourGH-AUG'!O13</f>
        <v>0.5</v>
      </c>
      <c r="BZ62" s="9">
        <v>61</v>
      </c>
      <c r="CA62" s="9">
        <v>3</v>
      </c>
      <c r="CB62" s="9">
        <v>13</v>
      </c>
      <c r="CC62" s="167">
        <f>'HourGH-SEP'!O13</f>
        <v>0.79</v>
      </c>
      <c r="CD62" s="263">
        <v>61</v>
      </c>
      <c r="CE62" s="9">
        <v>3</v>
      </c>
      <c r="CF62" s="9">
        <v>13</v>
      </c>
      <c r="CG62" s="167">
        <f>'HourGH-OCT'!O13</f>
        <v>1</v>
      </c>
      <c r="CH62" s="9">
        <v>61</v>
      </c>
      <c r="CI62" s="9">
        <v>3</v>
      </c>
      <c r="CJ62" s="9">
        <v>13</v>
      </c>
      <c r="CK62" s="167">
        <f>'HourGH-NOV'!O13</f>
        <v>0.89</v>
      </c>
      <c r="CL62" s="263">
        <v>61</v>
      </c>
      <c r="CM62" s="9">
        <v>3</v>
      </c>
      <c r="CN62" s="9">
        <v>13</v>
      </c>
      <c r="CO62" s="167">
        <f>'HourGH-DEC'!O13</f>
        <v>0.54</v>
      </c>
      <c r="CP62" s="263">
        <v>61</v>
      </c>
      <c r="CQ62" s="9">
        <v>3</v>
      </c>
      <c r="CR62" s="9">
        <v>13</v>
      </c>
      <c r="CS62" s="167">
        <f>'HourGH-JAN'!O13</f>
        <v>0.43</v>
      </c>
      <c r="CT62" s="9">
        <v>61</v>
      </c>
      <c r="CU62" s="9">
        <v>3</v>
      </c>
      <c r="CV62" s="9">
        <v>13</v>
      </c>
      <c r="CW62" s="167">
        <f>'HourGH-FEB'!O13</f>
        <v>0.34</v>
      </c>
      <c r="CX62" s="263">
        <v>61</v>
      </c>
      <c r="CY62" s="9">
        <v>3</v>
      </c>
      <c r="CZ62" s="9">
        <v>13</v>
      </c>
      <c r="DA62" s="167">
        <f>'HourGH-MAR'!O13</f>
        <v>0.54</v>
      </c>
    </row>
    <row r="63" spans="58:105">
      <c r="BF63" s="9">
        <v>62</v>
      </c>
      <c r="BG63" s="9">
        <v>3</v>
      </c>
      <c r="BH63" s="9">
        <v>14</v>
      </c>
      <c r="BI63" s="167">
        <f>'HourGH-APR'!P13</f>
        <v>0.59</v>
      </c>
      <c r="BJ63" s="263">
        <v>62</v>
      </c>
      <c r="BK63" s="9">
        <v>3</v>
      </c>
      <c r="BL63" s="9">
        <v>14</v>
      </c>
      <c r="BM63" s="167">
        <f>'HourGH-MAY'!P13</f>
        <v>0.57999999999999996</v>
      </c>
      <c r="BN63" s="9">
        <v>62</v>
      </c>
      <c r="BO63" s="9">
        <v>3</v>
      </c>
      <c r="BP63" s="9">
        <v>14</v>
      </c>
      <c r="BQ63" s="167">
        <f>'HourGH-JUN'!P13</f>
        <v>0.24</v>
      </c>
      <c r="BR63" s="263">
        <v>62</v>
      </c>
      <c r="BS63" s="9">
        <v>3</v>
      </c>
      <c r="BT63" s="9">
        <v>14</v>
      </c>
      <c r="BU63" s="167">
        <f>'HourGH-JUL'!P13</f>
        <v>0.23</v>
      </c>
      <c r="BV63" s="263">
        <v>62</v>
      </c>
      <c r="BW63" s="9">
        <v>3</v>
      </c>
      <c r="BX63" s="9">
        <v>14</v>
      </c>
      <c r="BY63" s="167">
        <f>'HourGH-AUG'!P13</f>
        <v>0.5</v>
      </c>
      <c r="BZ63" s="9">
        <v>62</v>
      </c>
      <c r="CA63" s="9">
        <v>3</v>
      </c>
      <c r="CB63" s="9">
        <v>14</v>
      </c>
      <c r="CC63" s="167">
        <f>'HourGH-SEP'!P13</f>
        <v>0.78</v>
      </c>
      <c r="CD63" s="263">
        <v>62</v>
      </c>
      <c r="CE63" s="9">
        <v>3</v>
      </c>
      <c r="CF63" s="9">
        <v>14</v>
      </c>
      <c r="CG63" s="167">
        <f>'HourGH-OCT'!P13</f>
        <v>1</v>
      </c>
      <c r="CH63" s="9">
        <v>62</v>
      </c>
      <c r="CI63" s="9">
        <v>3</v>
      </c>
      <c r="CJ63" s="9">
        <v>14</v>
      </c>
      <c r="CK63" s="167">
        <f>'HourGH-NOV'!P13</f>
        <v>0.89</v>
      </c>
      <c r="CL63" s="263">
        <v>62</v>
      </c>
      <c r="CM63" s="9">
        <v>3</v>
      </c>
      <c r="CN63" s="9">
        <v>14</v>
      </c>
      <c r="CO63" s="167">
        <f>'HourGH-DEC'!P13</f>
        <v>0.54</v>
      </c>
      <c r="CP63" s="263">
        <v>62</v>
      </c>
      <c r="CQ63" s="9">
        <v>3</v>
      </c>
      <c r="CR63" s="9">
        <v>14</v>
      </c>
      <c r="CS63" s="167">
        <f>'HourGH-JAN'!P13</f>
        <v>0.43</v>
      </c>
      <c r="CT63" s="9">
        <v>62</v>
      </c>
      <c r="CU63" s="9">
        <v>3</v>
      </c>
      <c r="CV63" s="9">
        <v>14</v>
      </c>
      <c r="CW63" s="167">
        <f>'HourGH-FEB'!P13</f>
        <v>0.34</v>
      </c>
      <c r="CX63" s="263">
        <v>62</v>
      </c>
      <c r="CY63" s="9">
        <v>3</v>
      </c>
      <c r="CZ63" s="9">
        <v>14</v>
      </c>
      <c r="DA63" s="167">
        <f>'HourGH-MAR'!P13</f>
        <v>0.52</v>
      </c>
    </row>
    <row r="64" spans="58:105">
      <c r="BF64" s="9">
        <v>63</v>
      </c>
      <c r="BG64" s="9">
        <v>3</v>
      </c>
      <c r="BH64" s="9">
        <v>15</v>
      </c>
      <c r="BI64" s="167">
        <f>'HourGH-APR'!Q13</f>
        <v>0.57999999999999996</v>
      </c>
      <c r="BJ64" s="263">
        <v>63</v>
      </c>
      <c r="BK64" s="9">
        <v>3</v>
      </c>
      <c r="BL64" s="9">
        <v>15</v>
      </c>
      <c r="BM64" s="167">
        <f>'HourGH-MAY'!Q13</f>
        <v>0.57999999999999996</v>
      </c>
      <c r="BN64" s="9">
        <v>63</v>
      </c>
      <c r="BO64" s="9">
        <v>3</v>
      </c>
      <c r="BP64" s="9">
        <v>15</v>
      </c>
      <c r="BQ64" s="167">
        <f>'HourGH-JUN'!Q13</f>
        <v>0.24</v>
      </c>
      <c r="BR64" s="263">
        <v>63</v>
      </c>
      <c r="BS64" s="9">
        <v>3</v>
      </c>
      <c r="BT64" s="9">
        <v>15</v>
      </c>
      <c r="BU64" s="167">
        <f>'HourGH-JUL'!Q13</f>
        <v>0.23</v>
      </c>
      <c r="BV64" s="263">
        <v>63</v>
      </c>
      <c r="BW64" s="9">
        <v>3</v>
      </c>
      <c r="BX64" s="9">
        <v>15</v>
      </c>
      <c r="BY64" s="167">
        <f>'HourGH-AUG'!Q13</f>
        <v>0.5</v>
      </c>
      <c r="BZ64" s="9">
        <v>63</v>
      </c>
      <c r="CA64" s="9">
        <v>3</v>
      </c>
      <c r="CB64" s="9">
        <v>15</v>
      </c>
      <c r="CC64" s="167">
        <f>'HourGH-SEP'!Q13</f>
        <v>0.77</v>
      </c>
      <c r="CD64" s="263">
        <v>63</v>
      </c>
      <c r="CE64" s="9">
        <v>3</v>
      </c>
      <c r="CF64" s="9">
        <v>15</v>
      </c>
      <c r="CG64" s="167">
        <f>'HourGH-OCT'!Q13</f>
        <v>1</v>
      </c>
      <c r="CH64" s="9">
        <v>63</v>
      </c>
      <c r="CI64" s="9">
        <v>3</v>
      </c>
      <c r="CJ64" s="9">
        <v>15</v>
      </c>
      <c r="CK64" s="167">
        <f>'HourGH-NOV'!Q13</f>
        <v>0.89</v>
      </c>
      <c r="CL64" s="263">
        <v>63</v>
      </c>
      <c r="CM64" s="9">
        <v>3</v>
      </c>
      <c r="CN64" s="9">
        <v>15</v>
      </c>
      <c r="CO64" s="167">
        <f>'HourGH-DEC'!Q13</f>
        <v>0.54</v>
      </c>
      <c r="CP64" s="263">
        <v>63</v>
      </c>
      <c r="CQ64" s="9">
        <v>3</v>
      </c>
      <c r="CR64" s="9">
        <v>15</v>
      </c>
      <c r="CS64" s="167">
        <f>'HourGH-JAN'!Q13</f>
        <v>0.43</v>
      </c>
      <c r="CT64" s="9">
        <v>63</v>
      </c>
      <c r="CU64" s="9">
        <v>3</v>
      </c>
      <c r="CV64" s="9">
        <v>15</v>
      </c>
      <c r="CW64" s="167">
        <f>'HourGH-FEB'!Q13</f>
        <v>0.34</v>
      </c>
      <c r="CX64" s="263">
        <v>63</v>
      </c>
      <c r="CY64" s="9">
        <v>3</v>
      </c>
      <c r="CZ64" s="9">
        <v>15</v>
      </c>
      <c r="DA64" s="167">
        <f>'HourGH-MAR'!Q13</f>
        <v>0.5</v>
      </c>
    </row>
    <row r="65" spans="58:105">
      <c r="BF65" s="9">
        <v>64</v>
      </c>
      <c r="BG65" s="9">
        <v>3</v>
      </c>
      <c r="BH65" s="9">
        <v>16</v>
      </c>
      <c r="BI65" s="167">
        <f>'HourGH-APR'!R13</f>
        <v>0.56999999999999995</v>
      </c>
      <c r="BJ65" s="263">
        <v>64</v>
      </c>
      <c r="BK65" s="9">
        <v>3</v>
      </c>
      <c r="BL65" s="9">
        <v>16</v>
      </c>
      <c r="BM65" s="167">
        <f>'HourGH-MAY'!R13</f>
        <v>0.57999999999999996</v>
      </c>
      <c r="BN65" s="9">
        <v>64</v>
      </c>
      <c r="BO65" s="9">
        <v>3</v>
      </c>
      <c r="BP65" s="9">
        <v>16</v>
      </c>
      <c r="BQ65" s="167">
        <f>'HourGH-JUN'!R13</f>
        <v>0.24</v>
      </c>
      <c r="BR65" s="263">
        <v>64</v>
      </c>
      <c r="BS65" s="9">
        <v>3</v>
      </c>
      <c r="BT65" s="9">
        <v>16</v>
      </c>
      <c r="BU65" s="167">
        <f>'HourGH-JUL'!R13</f>
        <v>0.23</v>
      </c>
      <c r="BV65" s="263">
        <v>64</v>
      </c>
      <c r="BW65" s="9">
        <v>3</v>
      </c>
      <c r="BX65" s="9">
        <v>16</v>
      </c>
      <c r="BY65" s="167">
        <f>'HourGH-AUG'!R13</f>
        <v>0.5</v>
      </c>
      <c r="BZ65" s="9">
        <v>64</v>
      </c>
      <c r="CA65" s="9">
        <v>3</v>
      </c>
      <c r="CB65" s="9">
        <v>16</v>
      </c>
      <c r="CC65" s="167">
        <f>'HourGH-SEP'!R13</f>
        <v>0.76</v>
      </c>
      <c r="CD65" s="263">
        <v>64</v>
      </c>
      <c r="CE65" s="9">
        <v>3</v>
      </c>
      <c r="CF65" s="9">
        <v>16</v>
      </c>
      <c r="CG65" s="167">
        <f>'HourGH-OCT'!R13</f>
        <v>1</v>
      </c>
      <c r="CH65" s="9">
        <v>64</v>
      </c>
      <c r="CI65" s="9">
        <v>3</v>
      </c>
      <c r="CJ65" s="9">
        <v>16</v>
      </c>
      <c r="CK65" s="167">
        <f>'HourGH-NOV'!R13</f>
        <v>0.89</v>
      </c>
      <c r="CL65" s="263">
        <v>64</v>
      </c>
      <c r="CM65" s="9">
        <v>3</v>
      </c>
      <c r="CN65" s="9">
        <v>16</v>
      </c>
      <c r="CO65" s="167">
        <f>'HourGH-DEC'!R13</f>
        <v>0.54</v>
      </c>
      <c r="CP65" s="263">
        <v>64</v>
      </c>
      <c r="CQ65" s="9">
        <v>3</v>
      </c>
      <c r="CR65" s="9">
        <v>16</v>
      </c>
      <c r="CS65" s="167">
        <f>'HourGH-JAN'!R13</f>
        <v>0.43</v>
      </c>
      <c r="CT65" s="9">
        <v>64</v>
      </c>
      <c r="CU65" s="9">
        <v>3</v>
      </c>
      <c r="CV65" s="9">
        <v>16</v>
      </c>
      <c r="CW65" s="167">
        <f>'HourGH-FEB'!R13</f>
        <v>0.34</v>
      </c>
      <c r="CX65" s="263">
        <v>64</v>
      </c>
      <c r="CY65" s="9">
        <v>3</v>
      </c>
      <c r="CZ65" s="9">
        <v>16</v>
      </c>
      <c r="DA65" s="167">
        <f>'HourGH-MAR'!R13</f>
        <v>0.47</v>
      </c>
    </row>
    <row r="66" spans="58:105">
      <c r="BF66" s="9">
        <v>65</v>
      </c>
      <c r="BG66" s="9">
        <v>3</v>
      </c>
      <c r="BH66" s="9">
        <v>17</v>
      </c>
      <c r="BI66" s="167">
        <f>'HourGH-APR'!S13</f>
        <v>0.56000000000000005</v>
      </c>
      <c r="BJ66" s="263">
        <v>65</v>
      </c>
      <c r="BK66" s="9">
        <v>3</v>
      </c>
      <c r="BL66" s="9">
        <v>17</v>
      </c>
      <c r="BM66" s="167">
        <f>'HourGH-MAY'!S13</f>
        <v>0.57999999999999996</v>
      </c>
      <c r="BN66" s="9">
        <v>65</v>
      </c>
      <c r="BO66" s="9">
        <v>3</v>
      </c>
      <c r="BP66" s="9">
        <v>17</v>
      </c>
      <c r="BQ66" s="167">
        <f>'HourGH-JUN'!S13</f>
        <v>0.24</v>
      </c>
      <c r="BR66" s="263">
        <v>65</v>
      </c>
      <c r="BS66" s="9">
        <v>3</v>
      </c>
      <c r="BT66" s="9">
        <v>17</v>
      </c>
      <c r="BU66" s="167">
        <f>'HourGH-JUL'!S13</f>
        <v>0.23</v>
      </c>
      <c r="BV66" s="263">
        <v>65</v>
      </c>
      <c r="BW66" s="9">
        <v>3</v>
      </c>
      <c r="BX66" s="9">
        <v>17</v>
      </c>
      <c r="BY66" s="167">
        <f>'HourGH-AUG'!S13</f>
        <v>0.5</v>
      </c>
      <c r="BZ66" s="9">
        <v>65</v>
      </c>
      <c r="CA66" s="9">
        <v>3</v>
      </c>
      <c r="CB66" s="9">
        <v>17</v>
      </c>
      <c r="CC66" s="167">
        <f>'HourGH-SEP'!S13</f>
        <v>0.75</v>
      </c>
      <c r="CD66" s="263">
        <v>65</v>
      </c>
      <c r="CE66" s="9">
        <v>3</v>
      </c>
      <c r="CF66" s="9">
        <v>17</v>
      </c>
      <c r="CG66" s="167">
        <f>'HourGH-OCT'!S13</f>
        <v>1</v>
      </c>
      <c r="CH66" s="9">
        <v>65</v>
      </c>
      <c r="CI66" s="9">
        <v>3</v>
      </c>
      <c r="CJ66" s="9">
        <v>17</v>
      </c>
      <c r="CK66" s="167">
        <f>'HourGH-NOV'!S13</f>
        <v>0.89</v>
      </c>
      <c r="CL66" s="263">
        <v>65</v>
      </c>
      <c r="CM66" s="9">
        <v>3</v>
      </c>
      <c r="CN66" s="9">
        <v>17</v>
      </c>
      <c r="CO66" s="167">
        <f>'HourGH-DEC'!S13</f>
        <v>0.54</v>
      </c>
      <c r="CP66" s="263">
        <v>65</v>
      </c>
      <c r="CQ66" s="9">
        <v>3</v>
      </c>
      <c r="CR66" s="9">
        <v>17</v>
      </c>
      <c r="CS66" s="167">
        <f>'HourGH-JAN'!S13</f>
        <v>0.43</v>
      </c>
      <c r="CT66" s="9">
        <v>65</v>
      </c>
      <c r="CU66" s="9">
        <v>3</v>
      </c>
      <c r="CV66" s="9">
        <v>17</v>
      </c>
      <c r="CW66" s="167">
        <f>'HourGH-FEB'!S13</f>
        <v>0.34</v>
      </c>
      <c r="CX66" s="263">
        <v>65</v>
      </c>
      <c r="CY66" s="9">
        <v>3</v>
      </c>
      <c r="CZ66" s="9">
        <v>17</v>
      </c>
      <c r="DA66" s="167">
        <f>'HourGH-MAR'!S13</f>
        <v>0.45</v>
      </c>
    </row>
    <row r="67" spans="58:105">
      <c r="BF67" s="9">
        <v>66</v>
      </c>
      <c r="BG67" s="9">
        <v>3</v>
      </c>
      <c r="BH67" s="9">
        <v>18</v>
      </c>
      <c r="BI67" s="167">
        <f>'HourGH-APR'!T13</f>
        <v>0.55000000000000004</v>
      </c>
      <c r="BJ67" s="263">
        <v>66</v>
      </c>
      <c r="BK67" s="9">
        <v>3</v>
      </c>
      <c r="BL67" s="9">
        <v>18</v>
      </c>
      <c r="BM67" s="167">
        <f>'HourGH-MAY'!T13</f>
        <v>0.57999999999999996</v>
      </c>
      <c r="BN67" s="9">
        <v>66</v>
      </c>
      <c r="BO67" s="9">
        <v>3</v>
      </c>
      <c r="BP67" s="9">
        <v>18</v>
      </c>
      <c r="BQ67" s="167">
        <f>'HourGH-JUN'!T13</f>
        <v>0.23</v>
      </c>
      <c r="BR67" s="263">
        <v>66</v>
      </c>
      <c r="BS67" s="9">
        <v>3</v>
      </c>
      <c r="BT67" s="9">
        <v>18</v>
      </c>
      <c r="BU67" s="167">
        <f>'HourGH-JUL'!T13</f>
        <v>0.23</v>
      </c>
      <c r="BV67" s="263">
        <v>66</v>
      </c>
      <c r="BW67" s="9">
        <v>3</v>
      </c>
      <c r="BX67" s="9">
        <v>18</v>
      </c>
      <c r="BY67" s="167">
        <f>'HourGH-AUG'!T13</f>
        <v>0.5</v>
      </c>
      <c r="BZ67" s="9">
        <v>66</v>
      </c>
      <c r="CA67" s="9">
        <v>3</v>
      </c>
      <c r="CB67" s="9">
        <v>18</v>
      </c>
      <c r="CC67" s="167">
        <f>'HourGH-SEP'!T13</f>
        <v>0.74</v>
      </c>
      <c r="CD67" s="263">
        <v>66</v>
      </c>
      <c r="CE67" s="9">
        <v>3</v>
      </c>
      <c r="CF67" s="9">
        <v>18</v>
      </c>
      <c r="CG67" s="167">
        <f>'HourGH-OCT'!T13</f>
        <v>1</v>
      </c>
      <c r="CH67" s="9">
        <v>66</v>
      </c>
      <c r="CI67" s="9">
        <v>3</v>
      </c>
      <c r="CJ67" s="9">
        <v>18</v>
      </c>
      <c r="CK67" s="167">
        <f>'HourGH-NOV'!T13</f>
        <v>0.89</v>
      </c>
      <c r="CL67" s="263">
        <v>66</v>
      </c>
      <c r="CM67" s="9">
        <v>3</v>
      </c>
      <c r="CN67" s="9">
        <v>18</v>
      </c>
      <c r="CO67" s="167">
        <f>'HourGH-DEC'!T13</f>
        <v>0.54</v>
      </c>
      <c r="CP67" s="263">
        <v>66</v>
      </c>
      <c r="CQ67" s="9">
        <v>3</v>
      </c>
      <c r="CR67" s="9">
        <v>18</v>
      </c>
      <c r="CS67" s="167">
        <f>'HourGH-JAN'!T13</f>
        <v>0.43</v>
      </c>
      <c r="CT67" s="9">
        <v>66</v>
      </c>
      <c r="CU67" s="9">
        <v>3</v>
      </c>
      <c r="CV67" s="9">
        <v>18</v>
      </c>
      <c r="CW67" s="167">
        <f>'HourGH-FEB'!T13</f>
        <v>0.35</v>
      </c>
      <c r="CX67" s="263">
        <v>66</v>
      </c>
      <c r="CY67" s="9">
        <v>3</v>
      </c>
      <c r="CZ67" s="9">
        <v>18</v>
      </c>
      <c r="DA67" s="167">
        <f>'HourGH-MAR'!T13</f>
        <v>0.43</v>
      </c>
    </row>
    <row r="68" spans="58:105">
      <c r="BF68" s="9">
        <v>67</v>
      </c>
      <c r="BG68" s="9">
        <v>3</v>
      </c>
      <c r="BH68" s="9">
        <v>19</v>
      </c>
      <c r="BI68" s="167">
        <f>'HourGH-APR'!U13</f>
        <v>0.54</v>
      </c>
      <c r="BJ68" s="263">
        <v>67</v>
      </c>
      <c r="BK68" s="9">
        <v>3</v>
      </c>
      <c r="BL68" s="9">
        <v>19</v>
      </c>
      <c r="BM68" s="167">
        <f>'HourGH-MAY'!U13</f>
        <v>0.57999999999999996</v>
      </c>
      <c r="BN68" s="9">
        <v>67</v>
      </c>
      <c r="BO68" s="9">
        <v>3</v>
      </c>
      <c r="BP68" s="9">
        <v>19</v>
      </c>
      <c r="BQ68" s="167">
        <f>'HourGH-JUN'!U13</f>
        <v>0.23</v>
      </c>
      <c r="BR68" s="263">
        <v>67</v>
      </c>
      <c r="BS68" s="9">
        <v>3</v>
      </c>
      <c r="BT68" s="9">
        <v>19</v>
      </c>
      <c r="BU68" s="167">
        <f>'HourGH-JUL'!U13</f>
        <v>0.23</v>
      </c>
      <c r="BV68" s="263">
        <v>67</v>
      </c>
      <c r="BW68" s="9">
        <v>3</v>
      </c>
      <c r="BX68" s="9">
        <v>19</v>
      </c>
      <c r="BY68" s="167">
        <f>'HourGH-AUG'!U13</f>
        <v>0.5</v>
      </c>
      <c r="BZ68" s="9">
        <v>67</v>
      </c>
      <c r="CA68" s="9">
        <v>3</v>
      </c>
      <c r="CB68" s="9">
        <v>19</v>
      </c>
      <c r="CC68" s="167">
        <f>'HourGH-SEP'!U13</f>
        <v>0.74</v>
      </c>
      <c r="CD68" s="263">
        <v>67</v>
      </c>
      <c r="CE68" s="9">
        <v>3</v>
      </c>
      <c r="CF68" s="9">
        <v>19</v>
      </c>
      <c r="CG68" s="167">
        <f>'HourGH-OCT'!U13</f>
        <v>1</v>
      </c>
      <c r="CH68" s="9">
        <v>67</v>
      </c>
      <c r="CI68" s="9">
        <v>3</v>
      </c>
      <c r="CJ68" s="9">
        <v>19</v>
      </c>
      <c r="CK68" s="167">
        <f>'HourGH-NOV'!U13</f>
        <v>0.88</v>
      </c>
      <c r="CL68" s="263">
        <v>67</v>
      </c>
      <c r="CM68" s="9">
        <v>3</v>
      </c>
      <c r="CN68" s="9">
        <v>19</v>
      </c>
      <c r="CO68" s="167">
        <f>'HourGH-DEC'!U13</f>
        <v>0.54</v>
      </c>
      <c r="CP68" s="263">
        <v>67</v>
      </c>
      <c r="CQ68" s="9">
        <v>3</v>
      </c>
      <c r="CR68" s="9">
        <v>19</v>
      </c>
      <c r="CS68" s="167">
        <f>'HourGH-JAN'!U13</f>
        <v>0.43</v>
      </c>
      <c r="CT68" s="9">
        <v>67</v>
      </c>
      <c r="CU68" s="9">
        <v>3</v>
      </c>
      <c r="CV68" s="9">
        <v>19</v>
      </c>
      <c r="CW68" s="167">
        <f>'HourGH-FEB'!U13</f>
        <v>0.35</v>
      </c>
      <c r="CX68" s="263">
        <v>67</v>
      </c>
      <c r="CY68" s="9">
        <v>3</v>
      </c>
      <c r="CZ68" s="9">
        <v>19</v>
      </c>
      <c r="DA68" s="167">
        <f>'HourGH-MAR'!U13</f>
        <v>0.4</v>
      </c>
    </row>
    <row r="69" spans="58:105">
      <c r="BF69" s="9">
        <v>68</v>
      </c>
      <c r="BG69" s="9">
        <v>3</v>
      </c>
      <c r="BH69" s="9">
        <v>20</v>
      </c>
      <c r="BI69" s="167">
        <f>'HourGH-APR'!V13</f>
        <v>0.53</v>
      </c>
      <c r="BJ69" s="263">
        <v>68</v>
      </c>
      <c r="BK69" s="9">
        <v>3</v>
      </c>
      <c r="BL69" s="9">
        <v>20</v>
      </c>
      <c r="BM69" s="167">
        <f>'HourGH-MAY'!V13</f>
        <v>0.57999999999999996</v>
      </c>
      <c r="BN69" s="9">
        <v>68</v>
      </c>
      <c r="BO69" s="9">
        <v>3</v>
      </c>
      <c r="BP69" s="9">
        <v>20</v>
      </c>
      <c r="BQ69" s="167">
        <f>'HourGH-JUN'!V13</f>
        <v>0.23</v>
      </c>
      <c r="BR69" s="263">
        <v>68</v>
      </c>
      <c r="BS69" s="9">
        <v>3</v>
      </c>
      <c r="BT69" s="9">
        <v>20</v>
      </c>
      <c r="BU69" s="167">
        <f>'HourGH-JUL'!V13</f>
        <v>0.23</v>
      </c>
      <c r="BV69" s="263">
        <v>68</v>
      </c>
      <c r="BW69" s="9">
        <v>3</v>
      </c>
      <c r="BX69" s="9">
        <v>20</v>
      </c>
      <c r="BY69" s="167">
        <f>'HourGH-AUG'!V13</f>
        <v>0.5</v>
      </c>
      <c r="BZ69" s="9">
        <v>68</v>
      </c>
      <c r="CA69" s="9">
        <v>3</v>
      </c>
      <c r="CB69" s="9">
        <v>20</v>
      </c>
      <c r="CC69" s="167">
        <f>'HourGH-SEP'!V13</f>
        <v>0.73</v>
      </c>
      <c r="CD69" s="263">
        <v>68</v>
      </c>
      <c r="CE69" s="9">
        <v>3</v>
      </c>
      <c r="CF69" s="9">
        <v>20</v>
      </c>
      <c r="CG69" s="167">
        <f>'HourGH-OCT'!V13</f>
        <v>0.99</v>
      </c>
      <c r="CH69" s="9">
        <v>68</v>
      </c>
      <c r="CI69" s="9">
        <v>3</v>
      </c>
      <c r="CJ69" s="9">
        <v>20</v>
      </c>
      <c r="CK69" s="167">
        <f>'HourGH-NOV'!V13</f>
        <v>0.88</v>
      </c>
      <c r="CL69" s="263">
        <v>68</v>
      </c>
      <c r="CM69" s="9">
        <v>3</v>
      </c>
      <c r="CN69" s="9">
        <v>20</v>
      </c>
      <c r="CO69" s="167">
        <f>'HourGH-DEC'!V13</f>
        <v>0.54</v>
      </c>
      <c r="CP69" s="263">
        <v>68</v>
      </c>
      <c r="CQ69" s="9">
        <v>3</v>
      </c>
      <c r="CR69" s="9">
        <v>20</v>
      </c>
      <c r="CS69" s="167">
        <f>'HourGH-JAN'!V13</f>
        <v>0.43</v>
      </c>
      <c r="CT69" s="9">
        <v>68</v>
      </c>
      <c r="CU69" s="9">
        <v>3</v>
      </c>
      <c r="CV69" s="9">
        <v>20</v>
      </c>
      <c r="CW69" s="167">
        <f>'HourGH-FEB'!V13</f>
        <v>0.36</v>
      </c>
      <c r="CX69" s="263">
        <v>68</v>
      </c>
      <c r="CY69" s="9">
        <v>3</v>
      </c>
      <c r="CZ69" s="9">
        <v>20</v>
      </c>
      <c r="DA69" s="167">
        <f>'HourGH-MAR'!V13</f>
        <v>0.38</v>
      </c>
    </row>
    <row r="70" spans="58:105">
      <c r="BF70" s="9">
        <v>69</v>
      </c>
      <c r="BG70" s="9">
        <v>3</v>
      </c>
      <c r="BH70" s="9">
        <v>21</v>
      </c>
      <c r="BI70" s="167">
        <f>'HourGH-APR'!W13</f>
        <v>0.53</v>
      </c>
      <c r="BJ70" s="263">
        <v>69</v>
      </c>
      <c r="BK70" s="9">
        <v>3</v>
      </c>
      <c r="BL70" s="9">
        <v>21</v>
      </c>
      <c r="BM70" s="167">
        <f>'HourGH-MAY'!W13</f>
        <v>0.57999999999999996</v>
      </c>
      <c r="BN70" s="9">
        <v>69</v>
      </c>
      <c r="BO70" s="9">
        <v>3</v>
      </c>
      <c r="BP70" s="9">
        <v>21</v>
      </c>
      <c r="BQ70" s="167">
        <f>'HourGH-JUN'!W13</f>
        <v>0.23</v>
      </c>
      <c r="BR70" s="263">
        <v>69</v>
      </c>
      <c r="BS70" s="9">
        <v>3</v>
      </c>
      <c r="BT70" s="9">
        <v>21</v>
      </c>
      <c r="BU70" s="167">
        <f>'HourGH-JUL'!W13</f>
        <v>0.23</v>
      </c>
      <c r="BV70" s="263">
        <v>69</v>
      </c>
      <c r="BW70" s="9">
        <v>3</v>
      </c>
      <c r="BX70" s="9">
        <v>21</v>
      </c>
      <c r="BY70" s="167">
        <f>'HourGH-AUG'!W13</f>
        <v>0.5</v>
      </c>
      <c r="BZ70" s="9">
        <v>69</v>
      </c>
      <c r="CA70" s="9">
        <v>3</v>
      </c>
      <c r="CB70" s="9">
        <v>21</v>
      </c>
      <c r="CC70" s="167">
        <f>'HourGH-SEP'!W13</f>
        <v>0.73</v>
      </c>
      <c r="CD70" s="263">
        <v>69</v>
      </c>
      <c r="CE70" s="9">
        <v>3</v>
      </c>
      <c r="CF70" s="9">
        <v>21</v>
      </c>
      <c r="CG70" s="167">
        <f>'HourGH-OCT'!W13</f>
        <v>0.99</v>
      </c>
      <c r="CH70" s="9">
        <v>69</v>
      </c>
      <c r="CI70" s="9">
        <v>3</v>
      </c>
      <c r="CJ70" s="9">
        <v>21</v>
      </c>
      <c r="CK70" s="167">
        <f>'HourGH-NOV'!W13</f>
        <v>0.88</v>
      </c>
      <c r="CL70" s="263">
        <v>69</v>
      </c>
      <c r="CM70" s="9">
        <v>3</v>
      </c>
      <c r="CN70" s="9">
        <v>21</v>
      </c>
      <c r="CO70" s="167">
        <f>'HourGH-DEC'!W13</f>
        <v>0.54</v>
      </c>
      <c r="CP70" s="263">
        <v>69</v>
      </c>
      <c r="CQ70" s="9">
        <v>3</v>
      </c>
      <c r="CR70" s="9">
        <v>21</v>
      </c>
      <c r="CS70" s="167">
        <f>'HourGH-JAN'!W13</f>
        <v>0.43</v>
      </c>
      <c r="CT70" s="9">
        <v>69</v>
      </c>
      <c r="CU70" s="9">
        <v>3</v>
      </c>
      <c r="CV70" s="9">
        <v>21</v>
      </c>
      <c r="CW70" s="167">
        <f>'HourGH-FEB'!W13</f>
        <v>0.36</v>
      </c>
      <c r="CX70" s="263">
        <v>69</v>
      </c>
      <c r="CY70" s="9">
        <v>3</v>
      </c>
      <c r="CZ70" s="9">
        <v>21</v>
      </c>
      <c r="DA70" s="167">
        <f>'HourGH-MAR'!W13</f>
        <v>0.36</v>
      </c>
    </row>
    <row r="71" spans="58:105">
      <c r="BF71" s="9">
        <v>70</v>
      </c>
      <c r="BG71" s="9">
        <v>3</v>
      </c>
      <c r="BH71" s="9">
        <v>22</v>
      </c>
      <c r="BI71" s="167">
        <f>'HourGH-APR'!X13</f>
        <v>0.52</v>
      </c>
      <c r="BJ71" s="263">
        <v>70</v>
      </c>
      <c r="BK71" s="9">
        <v>3</v>
      </c>
      <c r="BL71" s="9">
        <v>22</v>
      </c>
      <c r="BM71" s="167">
        <f>'HourGH-MAY'!X13</f>
        <v>0.57999999999999996</v>
      </c>
      <c r="BN71" s="9">
        <v>70</v>
      </c>
      <c r="BO71" s="9">
        <v>3</v>
      </c>
      <c r="BP71" s="9">
        <v>22</v>
      </c>
      <c r="BQ71" s="167">
        <f>'HourGH-JUN'!X13</f>
        <v>0.22</v>
      </c>
      <c r="BR71" s="263">
        <v>70</v>
      </c>
      <c r="BS71" s="9">
        <v>3</v>
      </c>
      <c r="BT71" s="9">
        <v>22</v>
      </c>
      <c r="BU71" s="167">
        <f>'HourGH-JUL'!X13</f>
        <v>0.23</v>
      </c>
      <c r="BV71" s="263">
        <v>70</v>
      </c>
      <c r="BW71" s="9">
        <v>3</v>
      </c>
      <c r="BX71" s="9">
        <v>22</v>
      </c>
      <c r="BY71" s="167">
        <f>'HourGH-AUG'!X13</f>
        <v>0.5</v>
      </c>
      <c r="BZ71" s="9">
        <v>70</v>
      </c>
      <c r="CA71" s="9">
        <v>3</v>
      </c>
      <c r="CB71" s="9">
        <v>22</v>
      </c>
      <c r="CC71" s="167">
        <f>'HourGH-SEP'!X13</f>
        <v>0.72</v>
      </c>
      <c r="CD71" s="263">
        <v>70</v>
      </c>
      <c r="CE71" s="9">
        <v>3</v>
      </c>
      <c r="CF71" s="9">
        <v>22</v>
      </c>
      <c r="CG71" s="167">
        <f>'HourGH-OCT'!X13</f>
        <v>0.99</v>
      </c>
      <c r="CH71" s="9">
        <v>70</v>
      </c>
      <c r="CI71" s="9">
        <v>3</v>
      </c>
      <c r="CJ71" s="9">
        <v>22</v>
      </c>
      <c r="CK71" s="167">
        <f>'HourGH-NOV'!X13</f>
        <v>0.88</v>
      </c>
      <c r="CL71" s="263">
        <v>70</v>
      </c>
      <c r="CM71" s="9">
        <v>3</v>
      </c>
      <c r="CN71" s="9">
        <v>22</v>
      </c>
      <c r="CO71" s="167">
        <f>'HourGH-DEC'!X13</f>
        <v>0.54</v>
      </c>
      <c r="CP71" s="263">
        <v>70</v>
      </c>
      <c r="CQ71" s="9">
        <v>3</v>
      </c>
      <c r="CR71" s="9">
        <v>22</v>
      </c>
      <c r="CS71" s="167">
        <f>'HourGH-JAN'!X13</f>
        <v>0.43</v>
      </c>
      <c r="CT71" s="9">
        <v>70</v>
      </c>
      <c r="CU71" s="9">
        <v>3</v>
      </c>
      <c r="CV71" s="9">
        <v>22</v>
      </c>
      <c r="CW71" s="167">
        <f>'HourGH-FEB'!X13</f>
        <v>0.37</v>
      </c>
      <c r="CX71" s="263">
        <v>70</v>
      </c>
      <c r="CY71" s="9">
        <v>3</v>
      </c>
      <c r="CZ71" s="9">
        <v>22</v>
      </c>
      <c r="DA71" s="167">
        <f>'HourGH-MAR'!X13</f>
        <v>0.34</v>
      </c>
    </row>
    <row r="72" spans="58:105">
      <c r="BF72" s="9">
        <v>71</v>
      </c>
      <c r="BG72" s="9">
        <v>3</v>
      </c>
      <c r="BH72" s="9">
        <v>23</v>
      </c>
      <c r="BI72" s="167">
        <f>'HourGH-APR'!Y13</f>
        <v>0.52</v>
      </c>
      <c r="BJ72" s="263">
        <v>71</v>
      </c>
      <c r="BK72" s="9">
        <v>3</v>
      </c>
      <c r="BL72" s="9">
        <v>23</v>
      </c>
      <c r="BM72" s="167">
        <f>'HourGH-MAY'!Y13</f>
        <v>0.57999999999999996</v>
      </c>
      <c r="BN72" s="9">
        <v>71</v>
      </c>
      <c r="BO72" s="9">
        <v>3</v>
      </c>
      <c r="BP72" s="9">
        <v>23</v>
      </c>
      <c r="BQ72" s="167">
        <f>'HourGH-JUN'!Y13</f>
        <v>0.22</v>
      </c>
      <c r="BR72" s="263">
        <v>71</v>
      </c>
      <c r="BS72" s="9">
        <v>3</v>
      </c>
      <c r="BT72" s="9">
        <v>23</v>
      </c>
      <c r="BU72" s="167">
        <f>'HourGH-JUL'!Y13</f>
        <v>0.23</v>
      </c>
      <c r="BV72" s="263">
        <v>71</v>
      </c>
      <c r="BW72" s="9">
        <v>3</v>
      </c>
      <c r="BX72" s="9">
        <v>23</v>
      </c>
      <c r="BY72" s="167">
        <f>'HourGH-AUG'!Y13</f>
        <v>0.5</v>
      </c>
      <c r="BZ72" s="9">
        <v>71</v>
      </c>
      <c r="CA72" s="9">
        <v>3</v>
      </c>
      <c r="CB72" s="9">
        <v>23</v>
      </c>
      <c r="CC72" s="167">
        <f>'HourGH-SEP'!Y13</f>
        <v>0.72</v>
      </c>
      <c r="CD72" s="263">
        <v>71</v>
      </c>
      <c r="CE72" s="9">
        <v>3</v>
      </c>
      <c r="CF72" s="9">
        <v>23</v>
      </c>
      <c r="CG72" s="167">
        <f>'HourGH-OCT'!Y13</f>
        <v>0.99</v>
      </c>
      <c r="CH72" s="9">
        <v>71</v>
      </c>
      <c r="CI72" s="9">
        <v>3</v>
      </c>
      <c r="CJ72" s="9">
        <v>23</v>
      </c>
      <c r="CK72" s="167">
        <f>'HourGH-NOV'!Y13</f>
        <v>0.88</v>
      </c>
      <c r="CL72" s="263">
        <v>71</v>
      </c>
      <c r="CM72" s="9">
        <v>3</v>
      </c>
      <c r="CN72" s="9">
        <v>23</v>
      </c>
      <c r="CO72" s="167">
        <f>'HourGH-DEC'!Y13</f>
        <v>0.54</v>
      </c>
      <c r="CP72" s="263">
        <v>71</v>
      </c>
      <c r="CQ72" s="9">
        <v>3</v>
      </c>
      <c r="CR72" s="9">
        <v>23</v>
      </c>
      <c r="CS72" s="167">
        <f>'HourGH-JAN'!Y13</f>
        <v>0.43</v>
      </c>
      <c r="CT72" s="9">
        <v>71</v>
      </c>
      <c r="CU72" s="9">
        <v>3</v>
      </c>
      <c r="CV72" s="9">
        <v>23</v>
      </c>
      <c r="CW72" s="167">
        <f>'HourGH-FEB'!Y13</f>
        <v>0.38</v>
      </c>
      <c r="CX72" s="263">
        <v>71</v>
      </c>
      <c r="CY72" s="9">
        <v>3</v>
      </c>
      <c r="CZ72" s="9">
        <v>23</v>
      </c>
      <c r="DA72" s="167">
        <f>'HourGH-MAR'!Y13</f>
        <v>0.32</v>
      </c>
    </row>
    <row r="73" spans="58:105">
      <c r="BF73" s="9">
        <v>72</v>
      </c>
      <c r="BG73" s="9">
        <v>3</v>
      </c>
      <c r="BH73" s="9">
        <v>24</v>
      </c>
      <c r="BI73" s="167">
        <f>'HourGH-APR'!Z13</f>
        <v>0.51</v>
      </c>
      <c r="BJ73" s="263">
        <v>72</v>
      </c>
      <c r="BK73" s="9">
        <v>3</v>
      </c>
      <c r="BL73" s="9">
        <v>24</v>
      </c>
      <c r="BM73" s="167">
        <f>'HourGH-MAY'!Z13</f>
        <v>0.57999999999999996</v>
      </c>
      <c r="BN73" s="9">
        <v>72</v>
      </c>
      <c r="BO73" s="9">
        <v>3</v>
      </c>
      <c r="BP73" s="9">
        <v>24</v>
      </c>
      <c r="BQ73" s="167">
        <f>'HourGH-JUN'!Z13</f>
        <v>0.22</v>
      </c>
      <c r="BR73" s="263">
        <v>72</v>
      </c>
      <c r="BS73" s="9">
        <v>3</v>
      </c>
      <c r="BT73" s="9">
        <v>24</v>
      </c>
      <c r="BU73" s="167">
        <f>'HourGH-JUL'!Z13</f>
        <v>0.23</v>
      </c>
      <c r="BV73" s="263">
        <v>72</v>
      </c>
      <c r="BW73" s="9">
        <v>3</v>
      </c>
      <c r="BX73" s="9">
        <v>24</v>
      </c>
      <c r="BY73" s="167">
        <f>'HourGH-AUG'!Z13</f>
        <v>0.5</v>
      </c>
      <c r="BZ73" s="9">
        <v>72</v>
      </c>
      <c r="CA73" s="9">
        <v>3</v>
      </c>
      <c r="CB73" s="9">
        <v>24</v>
      </c>
      <c r="CC73" s="167">
        <f>'HourGH-SEP'!Z13</f>
        <v>0.71</v>
      </c>
      <c r="CD73" s="263">
        <v>72</v>
      </c>
      <c r="CE73" s="9">
        <v>3</v>
      </c>
      <c r="CF73" s="9">
        <v>24</v>
      </c>
      <c r="CG73" s="167">
        <f>'HourGH-OCT'!Z13</f>
        <v>0.99</v>
      </c>
      <c r="CH73" s="9">
        <v>72</v>
      </c>
      <c r="CI73" s="9">
        <v>3</v>
      </c>
      <c r="CJ73" s="9">
        <v>24</v>
      </c>
      <c r="CK73" s="167">
        <f>'HourGH-NOV'!Z13</f>
        <v>0.88</v>
      </c>
      <c r="CL73" s="263">
        <v>72</v>
      </c>
      <c r="CM73" s="9">
        <v>3</v>
      </c>
      <c r="CN73" s="9">
        <v>24</v>
      </c>
      <c r="CO73" s="167">
        <f>'HourGH-DEC'!Z13</f>
        <v>0.54</v>
      </c>
      <c r="CP73" s="263">
        <v>72</v>
      </c>
      <c r="CQ73" s="9">
        <v>3</v>
      </c>
      <c r="CR73" s="9">
        <v>24</v>
      </c>
      <c r="CS73" s="167">
        <f>'HourGH-JAN'!Z13</f>
        <v>0.43</v>
      </c>
      <c r="CT73" s="9">
        <v>72</v>
      </c>
      <c r="CU73" s="9">
        <v>3</v>
      </c>
      <c r="CV73" s="9">
        <v>24</v>
      </c>
      <c r="CW73" s="167">
        <f>'HourGH-FEB'!Z13</f>
        <v>0.39</v>
      </c>
      <c r="CX73" s="263">
        <v>72</v>
      </c>
      <c r="CY73" s="9">
        <v>3</v>
      </c>
      <c r="CZ73" s="9">
        <v>24</v>
      </c>
      <c r="DA73" s="167">
        <f>'HourGH-MAR'!Z13</f>
        <v>0.31</v>
      </c>
    </row>
    <row r="74" spans="58:105">
      <c r="BF74" s="9">
        <v>73</v>
      </c>
      <c r="BG74" s="9">
        <v>4</v>
      </c>
      <c r="BH74" s="9">
        <v>1</v>
      </c>
      <c r="BI74" s="167">
        <f>'HourGH-APR'!C14</f>
        <v>0.51</v>
      </c>
      <c r="BJ74" s="263">
        <v>73</v>
      </c>
      <c r="BK74" s="9">
        <v>4</v>
      </c>
      <c r="BL74" s="9">
        <v>1</v>
      </c>
      <c r="BM74" s="167">
        <f>'HourGH-MAY'!C14</f>
        <v>0.56000000000000005</v>
      </c>
      <c r="BN74" s="9">
        <v>73</v>
      </c>
      <c r="BO74" s="9">
        <v>4</v>
      </c>
      <c r="BP74" s="9">
        <v>1</v>
      </c>
      <c r="BQ74" s="167">
        <f>'HourGH-JUN'!C14</f>
        <v>0.22</v>
      </c>
      <c r="BR74" s="263">
        <v>73</v>
      </c>
      <c r="BS74" s="9">
        <v>4</v>
      </c>
      <c r="BT74" s="9">
        <v>1</v>
      </c>
      <c r="BU74" s="167">
        <f>'HourGH-JUL'!C14</f>
        <v>0.24</v>
      </c>
      <c r="BV74" s="263">
        <v>73</v>
      </c>
      <c r="BW74" s="9">
        <v>4</v>
      </c>
      <c r="BX74" s="9">
        <v>1</v>
      </c>
      <c r="BY74" s="167">
        <f>'HourGH-AUG'!C14</f>
        <v>0.49</v>
      </c>
      <c r="BZ74" s="9">
        <v>73</v>
      </c>
      <c r="CA74" s="9">
        <v>4</v>
      </c>
      <c r="CB74" s="9">
        <v>1</v>
      </c>
      <c r="CC74" s="167">
        <f>'HourGH-SEP'!C14</f>
        <v>0.71</v>
      </c>
      <c r="CD74" s="263">
        <v>73</v>
      </c>
      <c r="CE74" s="9">
        <v>4</v>
      </c>
      <c r="CF74" s="9">
        <v>1</v>
      </c>
      <c r="CG74" s="167">
        <f>'HourGH-OCT'!C14</f>
        <v>0.98</v>
      </c>
      <c r="CH74" s="9">
        <v>73</v>
      </c>
      <c r="CI74" s="9">
        <v>4</v>
      </c>
      <c r="CJ74" s="9">
        <v>1</v>
      </c>
      <c r="CK74" s="167">
        <f>'HourGH-NOV'!C14</f>
        <v>0.87</v>
      </c>
      <c r="CL74" s="263">
        <v>73</v>
      </c>
      <c r="CM74" s="9">
        <v>4</v>
      </c>
      <c r="CN74" s="9">
        <v>1</v>
      </c>
      <c r="CO74" s="167">
        <f>'HourGH-DEC'!C14</f>
        <v>0.53</v>
      </c>
      <c r="CP74" s="263">
        <v>73</v>
      </c>
      <c r="CQ74" s="9">
        <v>4</v>
      </c>
      <c r="CR74" s="9">
        <v>1</v>
      </c>
      <c r="CS74" s="167">
        <f>'HourGH-JAN'!C14</f>
        <v>0.43</v>
      </c>
      <c r="CT74" s="9">
        <v>73</v>
      </c>
      <c r="CU74" s="9">
        <v>4</v>
      </c>
      <c r="CV74" s="9">
        <v>1</v>
      </c>
      <c r="CW74" s="167">
        <f>'HourGH-FEB'!C14</f>
        <v>0.4</v>
      </c>
      <c r="CX74" s="263">
        <v>73</v>
      </c>
      <c r="CY74" s="9">
        <v>4</v>
      </c>
      <c r="CZ74" s="9">
        <v>1</v>
      </c>
      <c r="DA74" s="167">
        <f>'HourGH-MAR'!C14</f>
        <v>0.28999999999999998</v>
      </c>
    </row>
    <row r="75" spans="58:105">
      <c r="BF75" s="9">
        <v>74</v>
      </c>
      <c r="BG75" s="9">
        <v>4</v>
      </c>
      <c r="BH75" s="9">
        <v>2</v>
      </c>
      <c r="BI75" s="167">
        <f>'HourGH-APR'!D14</f>
        <v>0.5</v>
      </c>
      <c r="BJ75" s="263">
        <v>74</v>
      </c>
      <c r="BK75" s="9">
        <v>4</v>
      </c>
      <c r="BL75" s="9">
        <v>2</v>
      </c>
      <c r="BM75" s="167">
        <f>'HourGH-MAY'!D14</f>
        <v>0.56000000000000005</v>
      </c>
      <c r="BN75" s="9">
        <v>74</v>
      </c>
      <c r="BO75" s="9">
        <v>4</v>
      </c>
      <c r="BP75" s="9">
        <v>2</v>
      </c>
      <c r="BQ75" s="167">
        <f>'HourGH-JUN'!D14</f>
        <v>0.22</v>
      </c>
      <c r="BR75" s="263">
        <v>74</v>
      </c>
      <c r="BS75" s="9">
        <v>4</v>
      </c>
      <c r="BT75" s="9">
        <v>2</v>
      </c>
      <c r="BU75" s="167">
        <f>'HourGH-JUL'!D14</f>
        <v>0.24</v>
      </c>
      <c r="BV75" s="263">
        <v>74</v>
      </c>
      <c r="BW75" s="9">
        <v>4</v>
      </c>
      <c r="BX75" s="9">
        <v>2</v>
      </c>
      <c r="BY75" s="167">
        <f>'HourGH-AUG'!D14</f>
        <v>0.49</v>
      </c>
      <c r="BZ75" s="9">
        <v>74</v>
      </c>
      <c r="CA75" s="9">
        <v>4</v>
      </c>
      <c r="CB75" s="9">
        <v>2</v>
      </c>
      <c r="CC75" s="167">
        <f>'HourGH-SEP'!D14</f>
        <v>0.7</v>
      </c>
      <c r="CD75" s="263">
        <v>74</v>
      </c>
      <c r="CE75" s="9">
        <v>4</v>
      </c>
      <c r="CF75" s="9">
        <v>2</v>
      </c>
      <c r="CG75" s="167">
        <f>'HourGH-OCT'!D14</f>
        <v>0.98</v>
      </c>
      <c r="CH75" s="9">
        <v>74</v>
      </c>
      <c r="CI75" s="9">
        <v>4</v>
      </c>
      <c r="CJ75" s="9">
        <v>2</v>
      </c>
      <c r="CK75" s="167">
        <f>'HourGH-NOV'!D14</f>
        <v>0.87</v>
      </c>
      <c r="CL75" s="263">
        <v>74</v>
      </c>
      <c r="CM75" s="9">
        <v>4</v>
      </c>
      <c r="CN75" s="9">
        <v>2</v>
      </c>
      <c r="CO75" s="167">
        <f>'HourGH-DEC'!D14</f>
        <v>0.53</v>
      </c>
      <c r="CP75" s="263">
        <v>74</v>
      </c>
      <c r="CQ75" s="9">
        <v>4</v>
      </c>
      <c r="CR75" s="9">
        <v>2</v>
      </c>
      <c r="CS75" s="167">
        <f>'HourGH-JAN'!D14</f>
        <v>0.43</v>
      </c>
      <c r="CT75" s="9">
        <v>74</v>
      </c>
      <c r="CU75" s="9">
        <v>4</v>
      </c>
      <c r="CV75" s="9">
        <v>2</v>
      </c>
      <c r="CW75" s="167">
        <f>'HourGH-FEB'!D14</f>
        <v>0.41</v>
      </c>
      <c r="CX75" s="263">
        <v>74</v>
      </c>
      <c r="CY75" s="9">
        <v>4</v>
      </c>
      <c r="CZ75" s="9">
        <v>2</v>
      </c>
      <c r="DA75" s="167">
        <f>'HourGH-MAR'!D14</f>
        <v>0.28000000000000003</v>
      </c>
    </row>
    <row r="76" spans="58:105">
      <c r="BF76" s="9">
        <v>75</v>
      </c>
      <c r="BG76" s="9">
        <v>4</v>
      </c>
      <c r="BH76" s="9">
        <v>3</v>
      </c>
      <c r="BI76" s="167">
        <f>'HourGH-APR'!E14</f>
        <v>0.5</v>
      </c>
      <c r="BJ76" s="263">
        <v>75</v>
      </c>
      <c r="BK76" s="9">
        <v>4</v>
      </c>
      <c r="BL76" s="9">
        <v>3</v>
      </c>
      <c r="BM76" s="167">
        <f>'HourGH-MAY'!E14</f>
        <v>0.56000000000000005</v>
      </c>
      <c r="BN76" s="9">
        <v>75</v>
      </c>
      <c r="BO76" s="9">
        <v>4</v>
      </c>
      <c r="BP76" s="9">
        <v>3</v>
      </c>
      <c r="BQ76" s="167">
        <f>'HourGH-JUN'!E14</f>
        <v>0.22</v>
      </c>
      <c r="BR76" s="263">
        <v>75</v>
      </c>
      <c r="BS76" s="9">
        <v>4</v>
      </c>
      <c r="BT76" s="9">
        <v>3</v>
      </c>
      <c r="BU76" s="167">
        <f>'HourGH-JUL'!E14</f>
        <v>0.24</v>
      </c>
      <c r="BV76" s="263">
        <v>75</v>
      </c>
      <c r="BW76" s="9">
        <v>4</v>
      </c>
      <c r="BX76" s="9">
        <v>3</v>
      </c>
      <c r="BY76" s="167">
        <f>'HourGH-AUG'!E14</f>
        <v>0.49</v>
      </c>
      <c r="BZ76" s="9">
        <v>75</v>
      </c>
      <c r="CA76" s="9">
        <v>4</v>
      </c>
      <c r="CB76" s="9">
        <v>3</v>
      </c>
      <c r="CC76" s="167">
        <f>'HourGH-SEP'!E14</f>
        <v>0.7</v>
      </c>
      <c r="CD76" s="263">
        <v>75</v>
      </c>
      <c r="CE76" s="9">
        <v>4</v>
      </c>
      <c r="CF76" s="9">
        <v>3</v>
      </c>
      <c r="CG76" s="167">
        <f>'HourGH-OCT'!E14</f>
        <v>0.98</v>
      </c>
      <c r="CH76" s="9">
        <v>75</v>
      </c>
      <c r="CI76" s="9">
        <v>4</v>
      </c>
      <c r="CJ76" s="9">
        <v>3</v>
      </c>
      <c r="CK76" s="167">
        <f>'HourGH-NOV'!E14</f>
        <v>0.87</v>
      </c>
      <c r="CL76" s="263">
        <v>75</v>
      </c>
      <c r="CM76" s="9">
        <v>4</v>
      </c>
      <c r="CN76" s="9">
        <v>3</v>
      </c>
      <c r="CO76" s="167">
        <f>'HourGH-DEC'!E14</f>
        <v>0.53</v>
      </c>
      <c r="CP76" s="263">
        <v>75</v>
      </c>
      <c r="CQ76" s="9">
        <v>4</v>
      </c>
      <c r="CR76" s="9">
        <v>3</v>
      </c>
      <c r="CS76" s="167">
        <f>'HourGH-JAN'!E14</f>
        <v>0.43</v>
      </c>
      <c r="CT76" s="9">
        <v>75</v>
      </c>
      <c r="CU76" s="9">
        <v>4</v>
      </c>
      <c r="CV76" s="9">
        <v>3</v>
      </c>
      <c r="CW76" s="167">
        <f>'HourGH-FEB'!E14</f>
        <v>0.42</v>
      </c>
      <c r="CX76" s="263">
        <v>75</v>
      </c>
      <c r="CY76" s="9">
        <v>4</v>
      </c>
      <c r="CZ76" s="9">
        <v>3</v>
      </c>
      <c r="DA76" s="167">
        <f>'HourGH-MAR'!E14</f>
        <v>0.27</v>
      </c>
    </row>
    <row r="77" spans="58:105">
      <c r="BF77" s="9">
        <v>76</v>
      </c>
      <c r="BG77" s="9">
        <v>4</v>
      </c>
      <c r="BH77" s="9">
        <v>4</v>
      </c>
      <c r="BI77" s="167">
        <f>'HourGH-APR'!F14</f>
        <v>0.5</v>
      </c>
      <c r="BJ77" s="263">
        <v>76</v>
      </c>
      <c r="BK77" s="9">
        <v>4</v>
      </c>
      <c r="BL77" s="9">
        <v>4</v>
      </c>
      <c r="BM77" s="167">
        <f>'HourGH-MAY'!F14</f>
        <v>0.56000000000000005</v>
      </c>
      <c r="BN77" s="9">
        <v>76</v>
      </c>
      <c r="BO77" s="9">
        <v>4</v>
      </c>
      <c r="BP77" s="9">
        <v>4</v>
      </c>
      <c r="BQ77" s="167">
        <f>'HourGH-JUN'!F14</f>
        <v>0.22</v>
      </c>
      <c r="BR77" s="263">
        <v>76</v>
      </c>
      <c r="BS77" s="9">
        <v>4</v>
      </c>
      <c r="BT77" s="9">
        <v>4</v>
      </c>
      <c r="BU77" s="167">
        <f>'HourGH-JUL'!F14</f>
        <v>0.24</v>
      </c>
      <c r="BV77" s="263">
        <v>76</v>
      </c>
      <c r="BW77" s="9">
        <v>4</v>
      </c>
      <c r="BX77" s="9">
        <v>4</v>
      </c>
      <c r="BY77" s="167">
        <f>'HourGH-AUG'!F14</f>
        <v>0.49</v>
      </c>
      <c r="BZ77" s="9">
        <v>76</v>
      </c>
      <c r="CA77" s="9">
        <v>4</v>
      </c>
      <c r="CB77" s="9">
        <v>4</v>
      </c>
      <c r="CC77" s="167">
        <f>'HourGH-SEP'!F14</f>
        <v>0.69</v>
      </c>
      <c r="CD77" s="263">
        <v>76</v>
      </c>
      <c r="CE77" s="9">
        <v>4</v>
      </c>
      <c r="CF77" s="9">
        <v>4</v>
      </c>
      <c r="CG77" s="167">
        <f>'HourGH-OCT'!F14</f>
        <v>0.98</v>
      </c>
      <c r="CH77" s="9">
        <v>76</v>
      </c>
      <c r="CI77" s="9">
        <v>4</v>
      </c>
      <c r="CJ77" s="9">
        <v>4</v>
      </c>
      <c r="CK77" s="167">
        <f>'HourGH-NOV'!F14</f>
        <v>0.87</v>
      </c>
      <c r="CL77" s="263">
        <v>76</v>
      </c>
      <c r="CM77" s="9">
        <v>4</v>
      </c>
      <c r="CN77" s="9">
        <v>4</v>
      </c>
      <c r="CO77" s="167">
        <f>'HourGH-DEC'!F14</f>
        <v>0.53</v>
      </c>
      <c r="CP77" s="263">
        <v>76</v>
      </c>
      <c r="CQ77" s="9">
        <v>4</v>
      </c>
      <c r="CR77" s="9">
        <v>4</v>
      </c>
      <c r="CS77" s="167">
        <f>'HourGH-JAN'!F14</f>
        <v>0.43</v>
      </c>
      <c r="CT77" s="9">
        <v>76</v>
      </c>
      <c r="CU77" s="9">
        <v>4</v>
      </c>
      <c r="CV77" s="9">
        <v>4</v>
      </c>
      <c r="CW77" s="167">
        <f>'HourGH-FEB'!F14</f>
        <v>0.43</v>
      </c>
      <c r="CX77" s="263">
        <v>76</v>
      </c>
      <c r="CY77" s="9">
        <v>4</v>
      </c>
      <c r="CZ77" s="9">
        <v>4</v>
      </c>
      <c r="DA77" s="167">
        <f>'HourGH-MAR'!F14</f>
        <v>0.26</v>
      </c>
    </row>
    <row r="78" spans="58:105">
      <c r="BF78" s="9">
        <v>77</v>
      </c>
      <c r="BG78" s="9">
        <v>4</v>
      </c>
      <c r="BH78" s="9">
        <v>5</v>
      </c>
      <c r="BI78" s="167">
        <f>'HourGH-APR'!G14</f>
        <v>0.5</v>
      </c>
      <c r="BJ78" s="263">
        <v>77</v>
      </c>
      <c r="BK78" s="9">
        <v>4</v>
      </c>
      <c r="BL78" s="9">
        <v>5</v>
      </c>
      <c r="BM78" s="167">
        <f>'HourGH-MAY'!G14</f>
        <v>0.56000000000000005</v>
      </c>
      <c r="BN78" s="9">
        <v>77</v>
      </c>
      <c r="BO78" s="9">
        <v>4</v>
      </c>
      <c r="BP78" s="9">
        <v>5</v>
      </c>
      <c r="BQ78" s="167">
        <f>'HourGH-JUN'!G14</f>
        <v>0.22</v>
      </c>
      <c r="BR78" s="263">
        <v>77</v>
      </c>
      <c r="BS78" s="9">
        <v>4</v>
      </c>
      <c r="BT78" s="9">
        <v>5</v>
      </c>
      <c r="BU78" s="167">
        <f>'HourGH-JUL'!G14</f>
        <v>0.24</v>
      </c>
      <c r="BV78" s="263">
        <v>77</v>
      </c>
      <c r="BW78" s="9">
        <v>4</v>
      </c>
      <c r="BX78" s="9">
        <v>5</v>
      </c>
      <c r="BY78" s="167">
        <f>'HourGH-AUG'!G14</f>
        <v>0.49</v>
      </c>
      <c r="BZ78" s="9">
        <v>77</v>
      </c>
      <c r="CA78" s="9">
        <v>4</v>
      </c>
      <c r="CB78" s="9">
        <v>5</v>
      </c>
      <c r="CC78" s="167">
        <f>'HourGH-SEP'!G14</f>
        <v>0.69</v>
      </c>
      <c r="CD78" s="263">
        <v>77</v>
      </c>
      <c r="CE78" s="9">
        <v>4</v>
      </c>
      <c r="CF78" s="9">
        <v>5</v>
      </c>
      <c r="CG78" s="167">
        <f>'HourGH-OCT'!G14</f>
        <v>0.98</v>
      </c>
      <c r="CH78" s="9">
        <v>77</v>
      </c>
      <c r="CI78" s="9">
        <v>4</v>
      </c>
      <c r="CJ78" s="9">
        <v>5</v>
      </c>
      <c r="CK78" s="167">
        <f>'HourGH-NOV'!G14</f>
        <v>0.87</v>
      </c>
      <c r="CL78" s="263">
        <v>77</v>
      </c>
      <c r="CM78" s="9">
        <v>4</v>
      </c>
      <c r="CN78" s="9">
        <v>5</v>
      </c>
      <c r="CO78" s="167">
        <f>'HourGH-DEC'!G14</f>
        <v>0.53</v>
      </c>
      <c r="CP78" s="263">
        <v>77</v>
      </c>
      <c r="CQ78" s="9">
        <v>4</v>
      </c>
      <c r="CR78" s="9">
        <v>5</v>
      </c>
      <c r="CS78" s="167">
        <f>'HourGH-JAN'!G14</f>
        <v>0.43</v>
      </c>
      <c r="CT78" s="9">
        <v>77</v>
      </c>
      <c r="CU78" s="9">
        <v>4</v>
      </c>
      <c r="CV78" s="9">
        <v>5</v>
      </c>
      <c r="CW78" s="167">
        <f>'HourGH-FEB'!G14</f>
        <v>0.44</v>
      </c>
      <c r="CX78" s="263">
        <v>77</v>
      </c>
      <c r="CY78" s="9">
        <v>4</v>
      </c>
      <c r="CZ78" s="9">
        <v>5</v>
      </c>
      <c r="DA78" s="167">
        <f>'HourGH-MAR'!G14</f>
        <v>0.25</v>
      </c>
    </row>
    <row r="79" spans="58:105">
      <c r="BF79" s="9">
        <v>78</v>
      </c>
      <c r="BG79" s="9">
        <v>4</v>
      </c>
      <c r="BH79" s="9">
        <v>6</v>
      </c>
      <c r="BI79" s="167">
        <f>'HourGH-APR'!H14</f>
        <v>0.51</v>
      </c>
      <c r="BJ79" s="263">
        <v>78</v>
      </c>
      <c r="BK79" s="9">
        <v>4</v>
      </c>
      <c r="BL79" s="9">
        <v>6</v>
      </c>
      <c r="BM79" s="167">
        <f>'HourGH-MAY'!H14</f>
        <v>0.56000000000000005</v>
      </c>
      <c r="BN79" s="9">
        <v>78</v>
      </c>
      <c r="BO79" s="9">
        <v>4</v>
      </c>
      <c r="BP79" s="9">
        <v>6</v>
      </c>
      <c r="BQ79" s="167">
        <f>'HourGH-JUN'!H14</f>
        <v>0.22</v>
      </c>
      <c r="BR79" s="263">
        <v>78</v>
      </c>
      <c r="BS79" s="9">
        <v>4</v>
      </c>
      <c r="BT79" s="9">
        <v>6</v>
      </c>
      <c r="BU79" s="167">
        <f>'HourGH-JUL'!H14</f>
        <v>0.24</v>
      </c>
      <c r="BV79" s="263">
        <v>78</v>
      </c>
      <c r="BW79" s="9">
        <v>4</v>
      </c>
      <c r="BX79" s="9">
        <v>6</v>
      </c>
      <c r="BY79" s="167">
        <f>'HourGH-AUG'!C14</f>
        <v>0.49</v>
      </c>
      <c r="BZ79" s="9">
        <v>78</v>
      </c>
      <c r="CA79" s="9">
        <v>4</v>
      </c>
      <c r="CB79" s="9">
        <v>6</v>
      </c>
      <c r="CC79" s="167">
        <f>'HourGH-SEP'!H14</f>
        <v>0.69</v>
      </c>
      <c r="CD79" s="263">
        <v>78</v>
      </c>
      <c r="CE79" s="9">
        <v>4</v>
      </c>
      <c r="CF79" s="9">
        <v>6</v>
      </c>
      <c r="CG79" s="167">
        <f>'HourGH-OCT'!H14</f>
        <v>0.98</v>
      </c>
      <c r="CH79" s="9">
        <v>78</v>
      </c>
      <c r="CI79" s="9">
        <v>4</v>
      </c>
      <c r="CJ79" s="9">
        <v>6</v>
      </c>
      <c r="CK79" s="167">
        <f>'HourGH-NOV'!H14</f>
        <v>0.86</v>
      </c>
      <c r="CL79" s="263">
        <v>78</v>
      </c>
      <c r="CM79" s="9">
        <v>4</v>
      </c>
      <c r="CN79" s="9">
        <v>6</v>
      </c>
      <c r="CO79" s="167">
        <f>'HourGH-DEC'!H14</f>
        <v>0.53</v>
      </c>
      <c r="CP79" s="263">
        <v>78</v>
      </c>
      <c r="CQ79" s="9">
        <v>4</v>
      </c>
      <c r="CR79" s="9">
        <v>6</v>
      </c>
      <c r="CS79" s="167">
        <f>'HourGH-JAN'!H14</f>
        <v>0.43</v>
      </c>
      <c r="CT79" s="9">
        <v>78</v>
      </c>
      <c r="CU79" s="9">
        <v>4</v>
      </c>
      <c r="CV79" s="9">
        <v>6</v>
      </c>
      <c r="CW79" s="167">
        <f>'HourGH-FEB'!H14</f>
        <v>0.45</v>
      </c>
      <c r="CX79" s="263">
        <v>78</v>
      </c>
      <c r="CY79" s="9">
        <v>4</v>
      </c>
      <c r="CZ79" s="9">
        <v>6</v>
      </c>
      <c r="DA79" s="167">
        <f>'HourGH-MAR'!H14</f>
        <v>0.24</v>
      </c>
    </row>
    <row r="80" spans="58:105">
      <c r="BF80" s="9">
        <v>79</v>
      </c>
      <c r="BG80" s="9">
        <v>4</v>
      </c>
      <c r="BH80" s="9">
        <v>7</v>
      </c>
      <c r="BI80" s="167">
        <f>'HourGH-APR'!I14</f>
        <v>0.51</v>
      </c>
      <c r="BJ80" s="263">
        <v>79</v>
      </c>
      <c r="BK80" s="9">
        <v>4</v>
      </c>
      <c r="BL80" s="9">
        <v>7</v>
      </c>
      <c r="BM80" s="167">
        <f>'HourGH-MAY'!I14</f>
        <v>0.56000000000000005</v>
      </c>
      <c r="BN80" s="9">
        <v>79</v>
      </c>
      <c r="BO80" s="9">
        <v>4</v>
      </c>
      <c r="BP80" s="9">
        <v>7</v>
      </c>
      <c r="BQ80" s="167">
        <f>'HourGH-JUN'!I14</f>
        <v>0.22</v>
      </c>
      <c r="BR80" s="263">
        <v>79</v>
      </c>
      <c r="BS80" s="9">
        <v>4</v>
      </c>
      <c r="BT80" s="9">
        <v>7</v>
      </c>
      <c r="BU80" s="167">
        <f>'HourGH-JUL'!I14</f>
        <v>0.24</v>
      </c>
      <c r="BV80" s="263">
        <v>79</v>
      </c>
      <c r="BW80" s="9">
        <v>4</v>
      </c>
      <c r="BX80" s="9">
        <v>7</v>
      </c>
      <c r="BY80" s="167">
        <f>'HourGH-AUG'!I14</f>
        <v>0.49</v>
      </c>
      <c r="BZ80" s="9">
        <v>79</v>
      </c>
      <c r="CA80" s="9">
        <v>4</v>
      </c>
      <c r="CB80" s="9">
        <v>7</v>
      </c>
      <c r="CC80" s="167">
        <f>'HourGH-SEP'!I14</f>
        <v>0.68</v>
      </c>
      <c r="CD80" s="263">
        <v>79</v>
      </c>
      <c r="CE80" s="9">
        <v>4</v>
      </c>
      <c r="CF80" s="9">
        <v>7</v>
      </c>
      <c r="CG80" s="167">
        <f>'HourGH-OCT'!I14</f>
        <v>0.98</v>
      </c>
      <c r="CH80" s="9">
        <v>79</v>
      </c>
      <c r="CI80" s="9">
        <v>4</v>
      </c>
      <c r="CJ80" s="9">
        <v>7</v>
      </c>
      <c r="CK80" s="167">
        <f>'HourGH-NOV'!I14</f>
        <v>0.86</v>
      </c>
      <c r="CL80" s="263">
        <v>79</v>
      </c>
      <c r="CM80" s="9">
        <v>4</v>
      </c>
      <c r="CN80" s="9">
        <v>7</v>
      </c>
      <c r="CO80" s="167">
        <f>'HourGH-DEC'!I14</f>
        <v>0.53</v>
      </c>
      <c r="CP80" s="263">
        <v>79</v>
      </c>
      <c r="CQ80" s="9">
        <v>4</v>
      </c>
      <c r="CR80" s="9">
        <v>7</v>
      </c>
      <c r="CS80" s="167">
        <f>'HourGH-JAN'!I14</f>
        <v>0.43</v>
      </c>
      <c r="CT80" s="9">
        <v>79</v>
      </c>
      <c r="CU80" s="9">
        <v>4</v>
      </c>
      <c r="CV80" s="9">
        <v>7</v>
      </c>
      <c r="CW80" s="167">
        <f>'HourGH-FEB'!I14</f>
        <v>0.46</v>
      </c>
      <c r="CX80" s="263">
        <v>79</v>
      </c>
      <c r="CY80" s="9">
        <v>4</v>
      </c>
      <c r="CZ80" s="9">
        <v>7</v>
      </c>
      <c r="DA80" s="167">
        <f>'HourGH-MAR'!I14</f>
        <v>0.24</v>
      </c>
    </row>
    <row r="81" spans="58:105">
      <c r="BF81" s="9">
        <v>80</v>
      </c>
      <c r="BG81" s="9">
        <v>4</v>
      </c>
      <c r="BH81" s="9">
        <v>8</v>
      </c>
      <c r="BI81" s="167">
        <f>'HourGH-APR'!J14</f>
        <v>0.51</v>
      </c>
      <c r="BJ81" s="263">
        <v>80</v>
      </c>
      <c r="BK81" s="9">
        <v>4</v>
      </c>
      <c r="BL81" s="9">
        <v>8</v>
      </c>
      <c r="BM81" s="167">
        <f>'HourGH-MAY'!J14</f>
        <v>0.56000000000000005</v>
      </c>
      <c r="BN81" s="9">
        <v>80</v>
      </c>
      <c r="BO81" s="9">
        <v>4</v>
      </c>
      <c r="BP81" s="9">
        <v>8</v>
      </c>
      <c r="BQ81" s="167">
        <f>'HourGH-JUN'!J14</f>
        <v>0.22</v>
      </c>
      <c r="BR81" s="263">
        <v>80</v>
      </c>
      <c r="BS81" s="9">
        <v>4</v>
      </c>
      <c r="BT81" s="9">
        <v>8</v>
      </c>
      <c r="BU81" s="167">
        <f>'HourGH-JUL'!J14</f>
        <v>0.24</v>
      </c>
      <c r="BV81" s="263">
        <v>80</v>
      </c>
      <c r="BW81" s="9">
        <v>4</v>
      </c>
      <c r="BX81" s="9">
        <v>8</v>
      </c>
      <c r="BY81" s="167">
        <f>'HourGH-AUG'!J14</f>
        <v>0.49</v>
      </c>
      <c r="BZ81" s="9">
        <v>80</v>
      </c>
      <c r="CA81" s="9">
        <v>4</v>
      </c>
      <c r="CB81" s="9">
        <v>8</v>
      </c>
      <c r="CC81" s="167">
        <f>'HourGH-SEP'!J14</f>
        <v>0.68</v>
      </c>
      <c r="CD81" s="263">
        <v>80</v>
      </c>
      <c r="CE81" s="9">
        <v>4</v>
      </c>
      <c r="CF81" s="9">
        <v>8</v>
      </c>
      <c r="CG81" s="167">
        <f>'HourGH-OCT'!J14</f>
        <v>0.98</v>
      </c>
      <c r="CH81" s="9">
        <v>80</v>
      </c>
      <c r="CI81" s="9">
        <v>4</v>
      </c>
      <c r="CJ81" s="9">
        <v>8</v>
      </c>
      <c r="CK81" s="167">
        <f>'HourGH-NOV'!J14</f>
        <v>0.86</v>
      </c>
      <c r="CL81" s="263">
        <v>80</v>
      </c>
      <c r="CM81" s="9">
        <v>4</v>
      </c>
      <c r="CN81" s="9">
        <v>8</v>
      </c>
      <c r="CO81" s="167">
        <f>'HourGH-DEC'!J14</f>
        <v>0.53</v>
      </c>
      <c r="CP81" s="263">
        <v>80</v>
      </c>
      <c r="CQ81" s="9">
        <v>4</v>
      </c>
      <c r="CR81" s="9">
        <v>8</v>
      </c>
      <c r="CS81" s="167">
        <f>'HourGH-JAN'!J14</f>
        <v>0.43</v>
      </c>
      <c r="CT81" s="9">
        <v>80</v>
      </c>
      <c r="CU81" s="9">
        <v>4</v>
      </c>
      <c r="CV81" s="9">
        <v>8</v>
      </c>
      <c r="CW81" s="167">
        <f>'HourGH-FEB'!J14</f>
        <v>0.47</v>
      </c>
      <c r="CX81" s="263">
        <v>80</v>
      </c>
      <c r="CY81" s="9">
        <v>4</v>
      </c>
      <c r="CZ81" s="9">
        <v>8</v>
      </c>
      <c r="DA81" s="167">
        <f>'HourGH-MAR'!J14</f>
        <v>0.24</v>
      </c>
    </row>
    <row r="82" spans="58:105">
      <c r="BF82" s="9">
        <v>81</v>
      </c>
      <c r="BG82" s="9">
        <v>4</v>
      </c>
      <c r="BH82" s="9">
        <v>9</v>
      </c>
      <c r="BI82" s="167">
        <f>'HourGH-APR'!K14</f>
        <v>0.52</v>
      </c>
      <c r="BJ82" s="263">
        <v>81</v>
      </c>
      <c r="BK82" s="9">
        <v>4</v>
      </c>
      <c r="BL82" s="9">
        <v>9</v>
      </c>
      <c r="BM82" s="167">
        <f>'HourGH-MAY'!K14</f>
        <v>0.56000000000000005</v>
      </c>
      <c r="BN82" s="9">
        <v>81</v>
      </c>
      <c r="BO82" s="9">
        <v>4</v>
      </c>
      <c r="BP82" s="9">
        <v>9</v>
      </c>
      <c r="BQ82" s="167">
        <f>'HourGH-JUN'!K14</f>
        <v>0.22</v>
      </c>
      <c r="BR82" s="263">
        <v>81</v>
      </c>
      <c r="BS82" s="9">
        <v>4</v>
      </c>
      <c r="BT82" s="9">
        <v>9</v>
      </c>
      <c r="BU82" s="167">
        <f>'HourGH-JUL'!K14</f>
        <v>0.24</v>
      </c>
      <c r="BV82" s="263">
        <v>81</v>
      </c>
      <c r="BW82" s="9">
        <v>4</v>
      </c>
      <c r="BX82" s="9">
        <v>9</v>
      </c>
      <c r="BY82" s="167">
        <f>'HourGH-AUG'!K14</f>
        <v>0.49</v>
      </c>
      <c r="BZ82" s="9">
        <v>81</v>
      </c>
      <c r="CA82" s="9">
        <v>4</v>
      </c>
      <c r="CB82" s="9">
        <v>9</v>
      </c>
      <c r="CC82" s="167">
        <f>'HourGH-SEP'!K14</f>
        <v>0.68</v>
      </c>
      <c r="CD82" s="263">
        <v>81</v>
      </c>
      <c r="CE82" s="9">
        <v>4</v>
      </c>
      <c r="CF82" s="9">
        <v>9</v>
      </c>
      <c r="CG82" s="167">
        <f>'HourGH-OCT'!K14</f>
        <v>0.98</v>
      </c>
      <c r="CH82" s="9">
        <v>81</v>
      </c>
      <c r="CI82" s="9">
        <v>4</v>
      </c>
      <c r="CJ82" s="9">
        <v>9</v>
      </c>
      <c r="CK82" s="167">
        <f>'HourGH-NOV'!K14</f>
        <v>0.86</v>
      </c>
      <c r="CL82" s="263">
        <v>81</v>
      </c>
      <c r="CM82" s="9">
        <v>4</v>
      </c>
      <c r="CN82" s="9">
        <v>9</v>
      </c>
      <c r="CO82" s="167">
        <f>'HourGH-DEC'!K14</f>
        <v>0.53</v>
      </c>
      <c r="CP82" s="263">
        <v>81</v>
      </c>
      <c r="CQ82" s="9">
        <v>4</v>
      </c>
      <c r="CR82" s="9">
        <v>9</v>
      </c>
      <c r="CS82" s="167">
        <f>'HourGH-JAN'!K14</f>
        <v>0.43</v>
      </c>
      <c r="CT82" s="9">
        <v>81</v>
      </c>
      <c r="CU82" s="9">
        <v>4</v>
      </c>
      <c r="CV82" s="9">
        <v>9</v>
      </c>
      <c r="CW82" s="167">
        <f>'HourGH-FEB'!K14</f>
        <v>0.47</v>
      </c>
      <c r="CX82" s="263">
        <v>81</v>
      </c>
      <c r="CY82" s="9">
        <v>4</v>
      </c>
      <c r="CZ82" s="9">
        <v>9</v>
      </c>
      <c r="DA82" s="167">
        <f>'HourGH-MAR'!K14</f>
        <v>0.24</v>
      </c>
    </row>
    <row r="83" spans="58:105">
      <c r="BF83" s="9">
        <v>82</v>
      </c>
      <c r="BG83" s="9">
        <v>4</v>
      </c>
      <c r="BH83" s="9">
        <v>10</v>
      </c>
      <c r="BI83" s="167">
        <f>'HourGH-APR'!L14</f>
        <v>0.52</v>
      </c>
      <c r="BJ83" s="263">
        <v>82</v>
      </c>
      <c r="BK83" s="9">
        <v>4</v>
      </c>
      <c r="BL83" s="9">
        <v>10</v>
      </c>
      <c r="BM83" s="167">
        <f>'HourGH-MAY'!L14</f>
        <v>0.56000000000000005</v>
      </c>
      <c r="BN83" s="9">
        <v>82</v>
      </c>
      <c r="BO83" s="9">
        <v>4</v>
      </c>
      <c r="BP83" s="9">
        <v>10</v>
      </c>
      <c r="BQ83" s="167">
        <f>'HourGH-JUN'!L14</f>
        <v>0.22</v>
      </c>
      <c r="BR83" s="263">
        <v>82</v>
      </c>
      <c r="BS83" s="9">
        <v>4</v>
      </c>
      <c r="BT83" s="9">
        <v>10</v>
      </c>
      <c r="BU83" s="167">
        <f>'HourGH-JUL'!L14</f>
        <v>0.24</v>
      </c>
      <c r="BV83" s="263">
        <v>82</v>
      </c>
      <c r="BW83" s="9">
        <v>4</v>
      </c>
      <c r="BX83" s="9">
        <v>10</v>
      </c>
      <c r="BY83" s="167">
        <f>'HourGH-AUG'!L14</f>
        <v>0.49</v>
      </c>
      <c r="BZ83" s="9">
        <v>82</v>
      </c>
      <c r="CA83" s="9">
        <v>4</v>
      </c>
      <c r="CB83" s="9">
        <v>10</v>
      </c>
      <c r="CC83" s="167">
        <f>'HourGH-SEP'!L14</f>
        <v>0.68</v>
      </c>
      <c r="CD83" s="263">
        <v>82</v>
      </c>
      <c r="CE83" s="9">
        <v>4</v>
      </c>
      <c r="CF83" s="9">
        <v>10</v>
      </c>
      <c r="CG83" s="167">
        <f>'HourGH-OCT'!L14</f>
        <v>0.97</v>
      </c>
      <c r="CH83" s="9">
        <v>82</v>
      </c>
      <c r="CI83" s="9">
        <v>4</v>
      </c>
      <c r="CJ83" s="9">
        <v>10</v>
      </c>
      <c r="CK83" s="167">
        <f>'HourGH-NOV'!L14</f>
        <v>0.86</v>
      </c>
      <c r="CL83" s="263">
        <v>82</v>
      </c>
      <c r="CM83" s="9">
        <v>4</v>
      </c>
      <c r="CN83" s="9">
        <v>10</v>
      </c>
      <c r="CO83" s="167">
        <f>'HourGH-DEC'!L14</f>
        <v>0.53</v>
      </c>
      <c r="CP83" s="263">
        <v>82</v>
      </c>
      <c r="CQ83" s="9">
        <v>4</v>
      </c>
      <c r="CR83" s="9">
        <v>10</v>
      </c>
      <c r="CS83" s="167">
        <f>'HourGH-JAN'!L14</f>
        <v>0.43</v>
      </c>
      <c r="CT83" s="9">
        <v>82</v>
      </c>
      <c r="CU83" s="9">
        <v>4</v>
      </c>
      <c r="CV83" s="9">
        <v>10</v>
      </c>
      <c r="CW83" s="167">
        <f>'HourGH-FEB'!L14</f>
        <v>0.48</v>
      </c>
      <c r="CX83" s="263">
        <v>82</v>
      </c>
      <c r="CY83" s="9">
        <v>4</v>
      </c>
      <c r="CZ83" s="9">
        <v>10</v>
      </c>
      <c r="DA83" s="167">
        <f>'HourGH-MAR'!L14</f>
        <v>0.24</v>
      </c>
    </row>
    <row r="84" spans="58:105">
      <c r="BF84" s="9">
        <v>83</v>
      </c>
      <c r="BG84" s="9">
        <v>4</v>
      </c>
      <c r="BH84" s="9">
        <v>11</v>
      </c>
      <c r="BI84" s="167">
        <f>'HourGH-APR'!M14</f>
        <v>0.53</v>
      </c>
      <c r="BJ84" s="263">
        <v>83</v>
      </c>
      <c r="BK84" s="9">
        <v>4</v>
      </c>
      <c r="BL84" s="9">
        <v>11</v>
      </c>
      <c r="BM84" s="167">
        <f>'HourGH-MAY'!M14</f>
        <v>0.56000000000000005</v>
      </c>
      <c r="BN84" s="9">
        <v>83</v>
      </c>
      <c r="BO84" s="9">
        <v>4</v>
      </c>
      <c r="BP84" s="9">
        <v>11</v>
      </c>
      <c r="BQ84" s="167">
        <f>'HourGH-JUN'!M14</f>
        <v>0.22</v>
      </c>
      <c r="BR84" s="263">
        <v>83</v>
      </c>
      <c r="BS84" s="9">
        <v>4</v>
      </c>
      <c r="BT84" s="9">
        <v>11</v>
      </c>
      <c r="BU84" s="167">
        <f>'HourGH-JUL'!M14</f>
        <v>0.24</v>
      </c>
      <c r="BV84" s="263">
        <v>83</v>
      </c>
      <c r="BW84" s="9">
        <v>4</v>
      </c>
      <c r="BX84" s="9">
        <v>11</v>
      </c>
      <c r="BY84" s="167">
        <f>'HourGH-AUG'!M14</f>
        <v>0.49</v>
      </c>
      <c r="BZ84" s="9">
        <v>83</v>
      </c>
      <c r="CA84" s="9">
        <v>4</v>
      </c>
      <c r="CB84" s="9">
        <v>11</v>
      </c>
      <c r="CC84" s="167">
        <f>'HourGH-SEP'!M14</f>
        <v>0.68</v>
      </c>
      <c r="CD84" s="263">
        <v>83</v>
      </c>
      <c r="CE84" s="9">
        <v>4</v>
      </c>
      <c r="CF84" s="9">
        <v>11</v>
      </c>
      <c r="CG84" s="167">
        <f>'HourGH-OCT'!M14</f>
        <v>0.97</v>
      </c>
      <c r="CH84" s="9">
        <v>83</v>
      </c>
      <c r="CI84" s="9">
        <v>4</v>
      </c>
      <c r="CJ84" s="9">
        <v>11</v>
      </c>
      <c r="CK84" s="167">
        <f>'HourGH-NOV'!M14</f>
        <v>0.86</v>
      </c>
      <c r="CL84" s="263">
        <v>83</v>
      </c>
      <c r="CM84" s="9">
        <v>4</v>
      </c>
      <c r="CN84" s="9">
        <v>11</v>
      </c>
      <c r="CO84" s="167">
        <f>'HourGH-DEC'!M14</f>
        <v>0.53</v>
      </c>
      <c r="CP84" s="263">
        <v>83</v>
      </c>
      <c r="CQ84" s="9">
        <v>4</v>
      </c>
      <c r="CR84" s="9">
        <v>11</v>
      </c>
      <c r="CS84" s="167">
        <f>'HourGH-JAN'!M14</f>
        <v>0.43</v>
      </c>
      <c r="CT84" s="9">
        <v>83</v>
      </c>
      <c r="CU84" s="9">
        <v>4</v>
      </c>
      <c r="CV84" s="9">
        <v>11</v>
      </c>
      <c r="CW84" s="167">
        <f>'HourGH-FEB'!M14</f>
        <v>0.48</v>
      </c>
      <c r="CX84" s="263">
        <v>83</v>
      </c>
      <c r="CY84" s="9">
        <v>4</v>
      </c>
      <c r="CZ84" s="9">
        <v>11</v>
      </c>
      <c r="DA84" s="167">
        <f>'HourGH-MAR'!M14</f>
        <v>0.25</v>
      </c>
    </row>
    <row r="85" spans="58:105">
      <c r="BF85" s="9">
        <v>84</v>
      </c>
      <c r="BG85" s="9">
        <v>4</v>
      </c>
      <c r="BH85" s="9">
        <v>12</v>
      </c>
      <c r="BI85" s="167">
        <f>'HourGH-APR'!N14</f>
        <v>0.54</v>
      </c>
      <c r="BJ85" s="263">
        <v>84</v>
      </c>
      <c r="BK85" s="9">
        <v>4</v>
      </c>
      <c r="BL85" s="9">
        <v>12</v>
      </c>
      <c r="BM85" s="167">
        <f>'HourGH-MAY'!N14</f>
        <v>0.56000000000000005</v>
      </c>
      <c r="BN85" s="9">
        <v>84</v>
      </c>
      <c r="BO85" s="9">
        <v>4</v>
      </c>
      <c r="BP85" s="9">
        <v>12</v>
      </c>
      <c r="BQ85" s="167">
        <f>'HourGH-JUN'!N14</f>
        <v>0.22</v>
      </c>
      <c r="BR85" s="263">
        <v>84</v>
      </c>
      <c r="BS85" s="9">
        <v>4</v>
      </c>
      <c r="BT85" s="9">
        <v>12</v>
      </c>
      <c r="BU85" s="167">
        <f>'HourGH-JUL'!N14</f>
        <v>0.24</v>
      </c>
      <c r="BV85" s="263">
        <v>84</v>
      </c>
      <c r="BW85" s="9">
        <v>4</v>
      </c>
      <c r="BX85" s="9">
        <v>12</v>
      </c>
      <c r="BY85" s="167">
        <f>'HourGH-AUG'!N14</f>
        <v>0.49</v>
      </c>
      <c r="BZ85" s="9">
        <v>84</v>
      </c>
      <c r="CA85" s="9">
        <v>4</v>
      </c>
      <c r="CB85" s="9">
        <v>12</v>
      </c>
      <c r="CC85" s="167">
        <f>'HourGH-SEP'!N14</f>
        <v>0.67</v>
      </c>
      <c r="CD85" s="263">
        <v>84</v>
      </c>
      <c r="CE85" s="9">
        <v>4</v>
      </c>
      <c r="CF85" s="9">
        <v>12</v>
      </c>
      <c r="CG85" s="167">
        <f>'HourGH-OCT'!N14</f>
        <v>0.96</v>
      </c>
      <c r="CH85" s="9">
        <v>84</v>
      </c>
      <c r="CI85" s="9">
        <v>4</v>
      </c>
      <c r="CJ85" s="9">
        <v>12</v>
      </c>
      <c r="CK85" s="167">
        <f>'HourGH-NOV'!N14</f>
        <v>0.85</v>
      </c>
      <c r="CL85" s="263">
        <v>84</v>
      </c>
      <c r="CM85" s="9">
        <v>4</v>
      </c>
      <c r="CN85" s="9">
        <v>12</v>
      </c>
      <c r="CO85" s="167">
        <f>'HourGH-DEC'!N14</f>
        <v>0.54</v>
      </c>
      <c r="CP85" s="263">
        <v>84</v>
      </c>
      <c r="CQ85" s="9">
        <v>4</v>
      </c>
      <c r="CR85" s="9">
        <v>12</v>
      </c>
      <c r="CS85" s="167">
        <f>'HourGH-JAN'!N14</f>
        <v>0.43</v>
      </c>
      <c r="CT85" s="9">
        <v>84</v>
      </c>
      <c r="CU85" s="9">
        <v>4</v>
      </c>
      <c r="CV85" s="9">
        <v>12</v>
      </c>
      <c r="CW85" s="167">
        <f>'HourGH-FEB'!N14</f>
        <v>0.49</v>
      </c>
      <c r="CX85" s="263">
        <v>84</v>
      </c>
      <c r="CY85" s="9">
        <v>4</v>
      </c>
      <c r="CZ85" s="9">
        <v>12</v>
      </c>
      <c r="DA85" s="167">
        <f>'HourGH-MAR'!N14</f>
        <v>0.25</v>
      </c>
    </row>
    <row r="86" spans="58:105">
      <c r="BF86" s="9">
        <v>85</v>
      </c>
      <c r="BG86" s="9">
        <v>4</v>
      </c>
      <c r="BH86" s="9">
        <v>13</v>
      </c>
      <c r="BI86" s="167">
        <f>'HourGH-APR'!O14</f>
        <v>0.55000000000000004</v>
      </c>
      <c r="BJ86" s="263">
        <v>85</v>
      </c>
      <c r="BK86" s="9">
        <v>4</v>
      </c>
      <c r="BL86" s="9">
        <v>13</v>
      </c>
      <c r="BM86" s="167">
        <f>'HourGH-MAY'!O14</f>
        <v>0.56000000000000005</v>
      </c>
      <c r="BN86" s="9">
        <v>85</v>
      </c>
      <c r="BO86" s="9">
        <v>4</v>
      </c>
      <c r="BP86" s="9">
        <v>13</v>
      </c>
      <c r="BQ86" s="167">
        <f>'HourGH-JUN'!O14</f>
        <v>0.21</v>
      </c>
      <c r="BR86" s="263">
        <v>85</v>
      </c>
      <c r="BS86" s="9">
        <v>4</v>
      </c>
      <c r="BT86" s="9">
        <v>13</v>
      </c>
      <c r="BU86" s="167">
        <f>'HourGH-JUL'!O14</f>
        <v>0.25</v>
      </c>
      <c r="BV86" s="263">
        <v>85</v>
      </c>
      <c r="BW86" s="9">
        <v>4</v>
      </c>
      <c r="BX86" s="9">
        <v>13</v>
      </c>
      <c r="BY86" s="167">
        <f>'HourGH-AUG'!O14</f>
        <v>0.49</v>
      </c>
      <c r="BZ86" s="9">
        <v>85</v>
      </c>
      <c r="CA86" s="9">
        <v>4</v>
      </c>
      <c r="CB86" s="9">
        <v>13</v>
      </c>
      <c r="CC86" s="167">
        <f>'HourGH-SEP'!O14</f>
        <v>0.67</v>
      </c>
      <c r="CD86" s="263">
        <v>85</v>
      </c>
      <c r="CE86" s="9">
        <v>4</v>
      </c>
      <c r="CF86" s="9">
        <v>13</v>
      </c>
      <c r="CG86" s="167">
        <f>'HourGH-OCT'!O14</f>
        <v>0.96</v>
      </c>
      <c r="CH86" s="9">
        <v>85</v>
      </c>
      <c r="CI86" s="9">
        <v>4</v>
      </c>
      <c r="CJ86" s="9">
        <v>13</v>
      </c>
      <c r="CK86" s="167">
        <f>'HourGH-NOV'!O14</f>
        <v>0.85</v>
      </c>
      <c r="CL86" s="263">
        <v>85</v>
      </c>
      <c r="CM86" s="9">
        <v>4</v>
      </c>
      <c r="CN86" s="9">
        <v>13</v>
      </c>
      <c r="CO86" s="167">
        <f>'HourGH-DEC'!O14</f>
        <v>0.54</v>
      </c>
      <c r="CP86" s="263">
        <v>85</v>
      </c>
      <c r="CQ86" s="9">
        <v>4</v>
      </c>
      <c r="CR86" s="9">
        <v>13</v>
      </c>
      <c r="CS86" s="167">
        <f>'HourGH-JAN'!O14</f>
        <v>0.43</v>
      </c>
      <c r="CT86" s="9">
        <v>85</v>
      </c>
      <c r="CU86" s="9">
        <v>4</v>
      </c>
      <c r="CV86" s="9">
        <v>13</v>
      </c>
      <c r="CW86" s="167">
        <f>'HourGH-FEB'!O14</f>
        <v>0.49</v>
      </c>
      <c r="CX86" s="263">
        <v>85</v>
      </c>
      <c r="CY86" s="9">
        <v>4</v>
      </c>
      <c r="CZ86" s="9">
        <v>13</v>
      </c>
      <c r="DA86" s="167">
        <f>'HourGH-MAR'!O14</f>
        <v>0.25</v>
      </c>
    </row>
    <row r="87" spans="58:105">
      <c r="BF87" s="9">
        <v>86</v>
      </c>
      <c r="BG87" s="9">
        <v>4</v>
      </c>
      <c r="BH87" s="9">
        <v>14</v>
      </c>
      <c r="BI87" s="167">
        <f>'HourGH-APR'!P14</f>
        <v>0.56000000000000005</v>
      </c>
      <c r="BJ87" s="263">
        <v>86</v>
      </c>
      <c r="BK87" s="9">
        <v>4</v>
      </c>
      <c r="BL87" s="9">
        <v>14</v>
      </c>
      <c r="BM87" s="167">
        <f>'HourGH-MAY'!P14</f>
        <v>0.56000000000000005</v>
      </c>
      <c r="BN87" s="9">
        <v>86</v>
      </c>
      <c r="BO87" s="9">
        <v>4</v>
      </c>
      <c r="BP87" s="9">
        <v>14</v>
      </c>
      <c r="BQ87" s="167">
        <f>'HourGH-JUN'!P14</f>
        <v>0.21</v>
      </c>
      <c r="BR87" s="263">
        <v>86</v>
      </c>
      <c r="BS87" s="9">
        <v>4</v>
      </c>
      <c r="BT87" s="9">
        <v>14</v>
      </c>
      <c r="BU87" s="167">
        <f>'HourGH-JUL'!P14</f>
        <v>0.25</v>
      </c>
      <c r="BV87" s="263">
        <v>86</v>
      </c>
      <c r="BW87" s="9">
        <v>4</v>
      </c>
      <c r="BX87" s="9">
        <v>14</v>
      </c>
      <c r="BY87" s="167">
        <f>'HourGH-AUG'!P14</f>
        <v>0.49</v>
      </c>
      <c r="BZ87" s="9">
        <v>86</v>
      </c>
      <c r="CA87" s="9">
        <v>4</v>
      </c>
      <c r="CB87" s="9">
        <v>14</v>
      </c>
      <c r="CC87" s="167">
        <f>'HourGH-SEP'!P14</f>
        <v>0.67</v>
      </c>
      <c r="CD87" s="263">
        <v>86</v>
      </c>
      <c r="CE87" s="9">
        <v>4</v>
      </c>
      <c r="CF87" s="9">
        <v>14</v>
      </c>
      <c r="CG87" s="167">
        <f>'HourGH-OCT'!P14</f>
        <v>0.95</v>
      </c>
      <c r="CH87" s="9">
        <v>86</v>
      </c>
      <c r="CI87" s="9">
        <v>4</v>
      </c>
      <c r="CJ87" s="9">
        <v>14</v>
      </c>
      <c r="CK87" s="167">
        <f>'HourGH-NOV'!P14</f>
        <v>0.85</v>
      </c>
      <c r="CL87" s="263">
        <v>86</v>
      </c>
      <c r="CM87" s="9">
        <v>4</v>
      </c>
      <c r="CN87" s="9">
        <v>14</v>
      </c>
      <c r="CO87" s="167">
        <f>'HourGH-DEC'!P14</f>
        <v>0.54</v>
      </c>
      <c r="CP87" s="263">
        <v>86</v>
      </c>
      <c r="CQ87" s="9">
        <v>4</v>
      </c>
      <c r="CR87" s="9">
        <v>14</v>
      </c>
      <c r="CS87" s="167">
        <f>'HourGH-JAN'!P14</f>
        <v>0.43</v>
      </c>
      <c r="CT87" s="9">
        <v>86</v>
      </c>
      <c r="CU87" s="9">
        <v>4</v>
      </c>
      <c r="CV87" s="9">
        <v>14</v>
      </c>
      <c r="CW87" s="167">
        <f>'HourGH-FEB'!P14</f>
        <v>0.49</v>
      </c>
      <c r="CX87" s="263">
        <v>86</v>
      </c>
      <c r="CY87" s="9">
        <v>4</v>
      </c>
      <c r="CZ87" s="9">
        <v>14</v>
      </c>
      <c r="DA87" s="167">
        <f>'HourGH-MAR'!P14</f>
        <v>0.25</v>
      </c>
    </row>
    <row r="88" spans="58:105">
      <c r="BF88" s="9">
        <v>87</v>
      </c>
      <c r="BG88" s="9">
        <v>4</v>
      </c>
      <c r="BH88" s="9">
        <v>15</v>
      </c>
      <c r="BI88" s="167">
        <f>'HourGH-APR'!Q14</f>
        <v>0.56000000000000005</v>
      </c>
      <c r="BJ88" s="263">
        <v>87</v>
      </c>
      <c r="BK88" s="9">
        <v>4</v>
      </c>
      <c r="BL88" s="9">
        <v>15</v>
      </c>
      <c r="BM88" s="167">
        <f>'HourGH-MAY'!Q14</f>
        <v>0.56000000000000005</v>
      </c>
      <c r="BN88" s="9">
        <v>87</v>
      </c>
      <c r="BO88" s="9">
        <v>4</v>
      </c>
      <c r="BP88" s="9">
        <v>15</v>
      </c>
      <c r="BQ88" s="167">
        <f>'HourGH-JUN'!Q14</f>
        <v>0.21</v>
      </c>
      <c r="BR88" s="263">
        <v>87</v>
      </c>
      <c r="BS88" s="9">
        <v>4</v>
      </c>
      <c r="BT88" s="9">
        <v>15</v>
      </c>
      <c r="BU88" s="167">
        <f>'HourGH-JUL'!Q14</f>
        <v>0.25</v>
      </c>
      <c r="BV88" s="263">
        <v>87</v>
      </c>
      <c r="BW88" s="9">
        <v>4</v>
      </c>
      <c r="BX88" s="9">
        <v>15</v>
      </c>
      <c r="BY88" s="167">
        <f>'HourGH-AUG'!Q14</f>
        <v>0.49</v>
      </c>
      <c r="BZ88" s="9">
        <v>87</v>
      </c>
      <c r="CA88" s="9">
        <v>4</v>
      </c>
      <c r="CB88" s="9">
        <v>15</v>
      </c>
      <c r="CC88" s="167">
        <f>'HourGH-SEP'!Q14</f>
        <v>0.66</v>
      </c>
      <c r="CD88" s="263">
        <v>87</v>
      </c>
      <c r="CE88" s="9">
        <v>4</v>
      </c>
      <c r="CF88" s="9">
        <v>15</v>
      </c>
      <c r="CG88" s="167">
        <f>'HourGH-OCT'!Q14</f>
        <v>0.95</v>
      </c>
      <c r="CH88" s="9">
        <v>87</v>
      </c>
      <c r="CI88" s="9">
        <v>4</v>
      </c>
      <c r="CJ88" s="9">
        <v>15</v>
      </c>
      <c r="CK88" s="167">
        <f>'HourGH-NOV'!Q14</f>
        <v>0.85</v>
      </c>
      <c r="CL88" s="263">
        <v>87</v>
      </c>
      <c r="CM88" s="9">
        <v>4</v>
      </c>
      <c r="CN88" s="9">
        <v>15</v>
      </c>
      <c r="CO88" s="167">
        <f>'HourGH-DEC'!Q14</f>
        <v>0.54</v>
      </c>
      <c r="CP88" s="263">
        <v>87</v>
      </c>
      <c r="CQ88" s="9">
        <v>4</v>
      </c>
      <c r="CR88" s="9">
        <v>15</v>
      </c>
      <c r="CS88" s="167">
        <f>'HourGH-JAN'!Q14</f>
        <v>0.43</v>
      </c>
      <c r="CT88" s="9">
        <v>87</v>
      </c>
      <c r="CU88" s="9">
        <v>4</v>
      </c>
      <c r="CV88" s="9">
        <v>15</v>
      </c>
      <c r="CW88" s="167">
        <f>'HourGH-FEB'!Q14</f>
        <v>0.48</v>
      </c>
      <c r="CX88" s="263">
        <v>87</v>
      </c>
      <c r="CY88" s="9">
        <v>4</v>
      </c>
      <c r="CZ88" s="9">
        <v>15</v>
      </c>
      <c r="DA88" s="167">
        <f>'HourGH-MAR'!Q14</f>
        <v>0.25</v>
      </c>
    </row>
    <row r="89" spans="58:105">
      <c r="BF89" s="9">
        <v>88</v>
      </c>
      <c r="BG89" s="9">
        <v>4</v>
      </c>
      <c r="BH89" s="9">
        <v>16</v>
      </c>
      <c r="BI89" s="167">
        <f>'HourGH-APR'!R14</f>
        <v>0.56999999999999995</v>
      </c>
      <c r="BJ89" s="263">
        <v>88</v>
      </c>
      <c r="BK89" s="9">
        <v>4</v>
      </c>
      <c r="BL89" s="9">
        <v>16</v>
      </c>
      <c r="BM89" s="167">
        <f>'HourGH-MAY'!R14</f>
        <v>0.56000000000000005</v>
      </c>
      <c r="BN89" s="9">
        <v>88</v>
      </c>
      <c r="BO89" s="9">
        <v>4</v>
      </c>
      <c r="BP89" s="9">
        <v>16</v>
      </c>
      <c r="BQ89" s="167">
        <f>'HourGH-JUN'!R14</f>
        <v>0.21</v>
      </c>
      <c r="BR89" s="263">
        <v>88</v>
      </c>
      <c r="BS89" s="9">
        <v>4</v>
      </c>
      <c r="BT89" s="9">
        <v>16</v>
      </c>
      <c r="BU89" s="167">
        <f>'HourGH-JUL'!R14</f>
        <v>0.25</v>
      </c>
      <c r="BV89" s="263">
        <v>88</v>
      </c>
      <c r="BW89" s="9">
        <v>4</v>
      </c>
      <c r="BX89" s="9">
        <v>16</v>
      </c>
      <c r="BY89" s="167">
        <f>'HourGH-AUG'!R14</f>
        <v>0.49</v>
      </c>
      <c r="BZ89" s="9">
        <v>88</v>
      </c>
      <c r="CA89" s="9">
        <v>4</v>
      </c>
      <c r="CB89" s="9">
        <v>16</v>
      </c>
      <c r="CC89" s="167">
        <f>'HourGH-SEP'!R14</f>
        <v>0.66</v>
      </c>
      <c r="CD89" s="263">
        <v>88</v>
      </c>
      <c r="CE89" s="9">
        <v>4</v>
      </c>
      <c r="CF89" s="9">
        <v>16</v>
      </c>
      <c r="CG89" s="167">
        <f>'HourGH-OCT'!R14</f>
        <v>0.94</v>
      </c>
      <c r="CH89" s="9">
        <v>88</v>
      </c>
      <c r="CI89" s="9">
        <v>4</v>
      </c>
      <c r="CJ89" s="9">
        <v>16</v>
      </c>
      <c r="CK89" s="167">
        <f>'HourGH-NOV'!R14</f>
        <v>0.85</v>
      </c>
      <c r="CL89" s="263">
        <v>88</v>
      </c>
      <c r="CM89" s="9">
        <v>4</v>
      </c>
      <c r="CN89" s="9">
        <v>16</v>
      </c>
      <c r="CO89" s="167">
        <f>'HourGH-DEC'!R14</f>
        <v>0.54</v>
      </c>
      <c r="CP89" s="263">
        <v>88</v>
      </c>
      <c r="CQ89" s="9">
        <v>4</v>
      </c>
      <c r="CR89" s="9">
        <v>16</v>
      </c>
      <c r="CS89" s="167">
        <f>'HourGH-JAN'!R14</f>
        <v>0.43</v>
      </c>
      <c r="CT89" s="9">
        <v>88</v>
      </c>
      <c r="CU89" s="9">
        <v>4</v>
      </c>
      <c r="CV89" s="9">
        <v>16</v>
      </c>
      <c r="CW89" s="167">
        <f>'HourGH-FEB'!R14</f>
        <v>0.47</v>
      </c>
      <c r="CX89" s="263">
        <v>88</v>
      </c>
      <c r="CY89" s="9">
        <v>4</v>
      </c>
      <c r="CZ89" s="9">
        <v>16</v>
      </c>
      <c r="DA89" s="167">
        <f>'HourGH-MAR'!R14</f>
        <v>0.25</v>
      </c>
    </row>
    <row r="90" spans="58:105">
      <c r="BF90" s="9">
        <v>89</v>
      </c>
      <c r="BG90" s="9">
        <v>4</v>
      </c>
      <c r="BH90" s="9">
        <v>17</v>
      </c>
      <c r="BI90" s="167">
        <f>'HourGH-APR'!S14</f>
        <v>0.56999999999999995</v>
      </c>
      <c r="BJ90" s="263">
        <v>89</v>
      </c>
      <c r="BK90" s="9">
        <v>4</v>
      </c>
      <c r="BL90" s="9">
        <v>17</v>
      </c>
      <c r="BM90" s="167">
        <f>'HourGH-MAY'!S14</f>
        <v>0.56000000000000005</v>
      </c>
      <c r="BN90" s="9">
        <v>89</v>
      </c>
      <c r="BO90" s="9">
        <v>4</v>
      </c>
      <c r="BP90" s="9">
        <v>17</v>
      </c>
      <c r="BQ90" s="167">
        <f>'HourGH-JUN'!S14</f>
        <v>0.21</v>
      </c>
      <c r="BR90" s="263">
        <v>89</v>
      </c>
      <c r="BS90" s="9">
        <v>4</v>
      </c>
      <c r="BT90" s="9">
        <v>17</v>
      </c>
      <c r="BU90" s="167">
        <f>'HourGH-JUL'!S14</f>
        <v>0.25</v>
      </c>
      <c r="BV90" s="263">
        <v>89</v>
      </c>
      <c r="BW90" s="9">
        <v>4</v>
      </c>
      <c r="BX90" s="9">
        <v>17</v>
      </c>
      <c r="BY90" s="167">
        <f>'HourGH-AUG'!S14</f>
        <v>0.49</v>
      </c>
      <c r="BZ90" s="9">
        <v>89</v>
      </c>
      <c r="CA90" s="9">
        <v>4</v>
      </c>
      <c r="CB90" s="9">
        <v>17</v>
      </c>
      <c r="CC90" s="167">
        <f>'HourGH-SEP'!S14</f>
        <v>0.66</v>
      </c>
      <c r="CD90" s="263">
        <v>89</v>
      </c>
      <c r="CE90" s="9">
        <v>4</v>
      </c>
      <c r="CF90" s="9">
        <v>17</v>
      </c>
      <c r="CG90" s="167">
        <f>'HourGH-OCT'!S14</f>
        <v>0.93</v>
      </c>
      <c r="CH90" s="9">
        <v>89</v>
      </c>
      <c r="CI90" s="9">
        <v>4</v>
      </c>
      <c r="CJ90" s="9">
        <v>17</v>
      </c>
      <c r="CK90" s="167">
        <f>'HourGH-NOV'!S14</f>
        <v>0.84</v>
      </c>
      <c r="CL90" s="263">
        <v>89</v>
      </c>
      <c r="CM90" s="9">
        <v>4</v>
      </c>
      <c r="CN90" s="9">
        <v>17</v>
      </c>
      <c r="CO90" s="167">
        <f>'HourGH-DEC'!S14</f>
        <v>0.54</v>
      </c>
      <c r="CP90" s="263">
        <v>89</v>
      </c>
      <c r="CQ90" s="9">
        <v>4</v>
      </c>
      <c r="CR90" s="9">
        <v>17</v>
      </c>
      <c r="CS90" s="167">
        <f>'HourGH-JAN'!S14</f>
        <v>0.43</v>
      </c>
      <c r="CT90" s="9">
        <v>89</v>
      </c>
      <c r="CU90" s="9">
        <v>4</v>
      </c>
      <c r="CV90" s="9">
        <v>17</v>
      </c>
      <c r="CW90" s="167">
        <f>'HourGH-FEB'!S14</f>
        <v>0.46</v>
      </c>
      <c r="CX90" s="263">
        <v>89</v>
      </c>
      <c r="CY90" s="9">
        <v>4</v>
      </c>
      <c r="CZ90" s="9">
        <v>17</v>
      </c>
      <c r="DA90" s="167">
        <f>'HourGH-MAR'!S14</f>
        <v>0.25</v>
      </c>
    </row>
    <row r="91" spans="58:105">
      <c r="BF91" s="9">
        <v>90</v>
      </c>
      <c r="BG91" s="9">
        <v>4</v>
      </c>
      <c r="BH91" s="9">
        <v>18</v>
      </c>
      <c r="BI91" s="167">
        <f>'HourGH-APR'!T14</f>
        <v>0.57999999999999996</v>
      </c>
      <c r="BJ91" s="263">
        <v>90</v>
      </c>
      <c r="BK91" s="9">
        <v>4</v>
      </c>
      <c r="BL91" s="9">
        <v>18</v>
      </c>
      <c r="BM91" s="167">
        <f>'HourGH-MAY'!T14</f>
        <v>0.56000000000000005</v>
      </c>
      <c r="BN91" s="9">
        <v>90</v>
      </c>
      <c r="BO91" s="9">
        <v>4</v>
      </c>
      <c r="BP91" s="9">
        <v>18</v>
      </c>
      <c r="BQ91" s="167">
        <f>'HourGH-JUN'!T14</f>
        <v>0.21</v>
      </c>
      <c r="BR91" s="263">
        <v>90</v>
      </c>
      <c r="BS91" s="9">
        <v>4</v>
      </c>
      <c r="BT91" s="9">
        <v>18</v>
      </c>
      <c r="BU91" s="167">
        <f>'HourGH-JUL'!T14</f>
        <v>0.25</v>
      </c>
      <c r="BV91" s="263">
        <v>90</v>
      </c>
      <c r="BW91" s="9">
        <v>4</v>
      </c>
      <c r="BX91" s="9">
        <v>18</v>
      </c>
      <c r="BY91" s="167">
        <f>'HourGH-AUG'!T14</f>
        <v>0.49</v>
      </c>
      <c r="BZ91" s="9">
        <v>90</v>
      </c>
      <c r="CA91" s="9">
        <v>4</v>
      </c>
      <c r="CB91" s="9">
        <v>18</v>
      </c>
      <c r="CC91" s="167">
        <f>'HourGH-SEP'!T14</f>
        <v>0.65</v>
      </c>
      <c r="CD91" s="263">
        <v>90</v>
      </c>
      <c r="CE91" s="9">
        <v>4</v>
      </c>
      <c r="CF91" s="9">
        <v>18</v>
      </c>
      <c r="CG91" s="167">
        <f>'HourGH-OCT'!T14</f>
        <v>0.92</v>
      </c>
      <c r="CH91" s="9">
        <v>90</v>
      </c>
      <c r="CI91" s="9">
        <v>4</v>
      </c>
      <c r="CJ91" s="9">
        <v>18</v>
      </c>
      <c r="CK91" s="167">
        <f>'HourGH-NOV'!T14</f>
        <v>0.84</v>
      </c>
      <c r="CL91" s="263">
        <v>90</v>
      </c>
      <c r="CM91" s="9">
        <v>4</v>
      </c>
      <c r="CN91" s="9">
        <v>18</v>
      </c>
      <c r="CO91" s="167">
        <f>'HourGH-DEC'!T14</f>
        <v>0.54</v>
      </c>
      <c r="CP91" s="263">
        <v>90</v>
      </c>
      <c r="CQ91" s="9">
        <v>4</v>
      </c>
      <c r="CR91" s="9">
        <v>18</v>
      </c>
      <c r="CS91" s="167">
        <f>'HourGH-JAN'!T14</f>
        <v>0.43</v>
      </c>
      <c r="CT91" s="9">
        <v>90</v>
      </c>
      <c r="CU91" s="9">
        <v>4</v>
      </c>
      <c r="CV91" s="9">
        <v>18</v>
      </c>
      <c r="CW91" s="167">
        <f>'HourGH-FEB'!T14</f>
        <v>0.45</v>
      </c>
      <c r="CX91" s="263">
        <v>90</v>
      </c>
      <c r="CY91" s="9">
        <v>4</v>
      </c>
      <c r="CZ91" s="9">
        <v>18</v>
      </c>
      <c r="DA91" s="167">
        <f>'HourGH-MAR'!T14</f>
        <v>0.25</v>
      </c>
    </row>
    <row r="92" spans="58:105">
      <c r="BF92" s="9">
        <v>91</v>
      </c>
      <c r="BG92" s="9">
        <v>4</v>
      </c>
      <c r="BH92" s="9">
        <v>19</v>
      </c>
      <c r="BI92" s="167">
        <f>'HourGH-APR'!U14</f>
        <v>0.57999999999999996</v>
      </c>
      <c r="BJ92" s="263">
        <v>91</v>
      </c>
      <c r="BK92" s="9">
        <v>4</v>
      </c>
      <c r="BL92" s="9">
        <v>19</v>
      </c>
      <c r="BM92" s="167">
        <f>'HourGH-MAY'!U14</f>
        <v>0.56000000000000005</v>
      </c>
      <c r="BN92" s="9">
        <v>91</v>
      </c>
      <c r="BO92" s="9">
        <v>4</v>
      </c>
      <c r="BP92" s="9">
        <v>19</v>
      </c>
      <c r="BQ92" s="167">
        <f>'HourGH-JUN'!U14</f>
        <v>0.2</v>
      </c>
      <c r="BR92" s="263">
        <v>91</v>
      </c>
      <c r="BS92" s="9">
        <v>4</v>
      </c>
      <c r="BT92" s="9">
        <v>19</v>
      </c>
      <c r="BU92" s="167">
        <f>'HourGH-JUL'!U14</f>
        <v>0.26</v>
      </c>
      <c r="BV92" s="263">
        <v>91</v>
      </c>
      <c r="BW92" s="9">
        <v>4</v>
      </c>
      <c r="BX92" s="9">
        <v>19</v>
      </c>
      <c r="BY92" s="167">
        <f>'HourGH-AUG'!U14</f>
        <v>0.49</v>
      </c>
      <c r="BZ92" s="9">
        <v>91</v>
      </c>
      <c r="CA92" s="9">
        <v>4</v>
      </c>
      <c r="CB92" s="9">
        <v>19</v>
      </c>
      <c r="CC92" s="167">
        <f>'HourGH-SEP'!U14</f>
        <v>0.65</v>
      </c>
      <c r="CD92" s="263">
        <v>91</v>
      </c>
      <c r="CE92" s="9">
        <v>4</v>
      </c>
      <c r="CF92" s="9">
        <v>19</v>
      </c>
      <c r="CG92" s="167">
        <f>'HourGH-OCT'!U14</f>
        <v>0.91</v>
      </c>
      <c r="CH92" s="9">
        <v>91</v>
      </c>
      <c r="CI92" s="9">
        <v>4</v>
      </c>
      <c r="CJ92" s="9">
        <v>19</v>
      </c>
      <c r="CK92" s="167">
        <f>'HourGH-NOV'!U14</f>
        <v>0.84</v>
      </c>
      <c r="CL92" s="263">
        <v>91</v>
      </c>
      <c r="CM92" s="9">
        <v>4</v>
      </c>
      <c r="CN92" s="9">
        <v>19</v>
      </c>
      <c r="CO92" s="167">
        <f>'HourGH-DEC'!U14</f>
        <v>0.53</v>
      </c>
      <c r="CP92" s="263">
        <v>91</v>
      </c>
      <c r="CQ92" s="9">
        <v>4</v>
      </c>
      <c r="CR92" s="9">
        <v>19</v>
      </c>
      <c r="CS92" s="167">
        <f>'HourGH-JAN'!U14</f>
        <v>0.43</v>
      </c>
      <c r="CT92" s="9">
        <v>91</v>
      </c>
      <c r="CU92" s="9">
        <v>4</v>
      </c>
      <c r="CV92" s="9">
        <v>19</v>
      </c>
      <c r="CW92" s="167">
        <f>'HourGH-FEB'!U14</f>
        <v>0.44</v>
      </c>
      <c r="CX92" s="263">
        <v>91</v>
      </c>
      <c r="CY92" s="9">
        <v>4</v>
      </c>
      <c r="CZ92" s="9">
        <v>19</v>
      </c>
      <c r="DA92" s="167">
        <f>'HourGH-MAR'!U14</f>
        <v>0.25</v>
      </c>
    </row>
    <row r="93" spans="58:105">
      <c r="BF93" s="9">
        <v>92</v>
      </c>
      <c r="BG93" s="9">
        <v>4</v>
      </c>
      <c r="BH93" s="9">
        <v>20</v>
      </c>
      <c r="BI93" s="167">
        <f>'HourGH-APR'!V14</f>
        <v>0.59</v>
      </c>
      <c r="BJ93" s="263">
        <v>92</v>
      </c>
      <c r="BK93" s="9">
        <v>4</v>
      </c>
      <c r="BL93" s="9">
        <v>20</v>
      </c>
      <c r="BM93" s="167">
        <f>'HourGH-MAY'!V14</f>
        <v>0.56000000000000005</v>
      </c>
      <c r="BN93" s="9">
        <v>92</v>
      </c>
      <c r="BO93" s="9">
        <v>4</v>
      </c>
      <c r="BP93" s="9">
        <v>20</v>
      </c>
      <c r="BQ93" s="167">
        <f>'HourGH-JUN'!V14</f>
        <v>0.2</v>
      </c>
      <c r="BR93" s="263">
        <v>92</v>
      </c>
      <c r="BS93" s="9">
        <v>4</v>
      </c>
      <c r="BT93" s="9">
        <v>20</v>
      </c>
      <c r="BU93" s="167">
        <f>'HourGH-JUL'!V14</f>
        <v>0.26</v>
      </c>
      <c r="BV93" s="263">
        <v>92</v>
      </c>
      <c r="BW93" s="9">
        <v>4</v>
      </c>
      <c r="BX93" s="9">
        <v>20</v>
      </c>
      <c r="BY93" s="167">
        <f>'HourGH-AUG'!V14</f>
        <v>0.49</v>
      </c>
      <c r="BZ93" s="9">
        <v>92</v>
      </c>
      <c r="CA93" s="9">
        <v>4</v>
      </c>
      <c r="CB93" s="9">
        <v>20</v>
      </c>
      <c r="CC93" s="167">
        <f>'HourGH-SEP'!V14</f>
        <v>0.64</v>
      </c>
      <c r="CD93" s="263">
        <v>92</v>
      </c>
      <c r="CE93" s="9">
        <v>4</v>
      </c>
      <c r="CF93" s="9">
        <v>20</v>
      </c>
      <c r="CG93" s="167">
        <f>'HourGH-OCT'!V14</f>
        <v>0.91</v>
      </c>
      <c r="CH93" s="9">
        <v>92</v>
      </c>
      <c r="CI93" s="9">
        <v>4</v>
      </c>
      <c r="CJ93" s="9">
        <v>20</v>
      </c>
      <c r="CK93" s="167">
        <f>'HourGH-NOV'!V14</f>
        <v>0.84</v>
      </c>
      <c r="CL93" s="263">
        <v>92</v>
      </c>
      <c r="CM93" s="9">
        <v>4</v>
      </c>
      <c r="CN93" s="9">
        <v>20</v>
      </c>
      <c r="CO93" s="167">
        <f>'HourGH-DEC'!V14</f>
        <v>0.53</v>
      </c>
      <c r="CP93" s="263">
        <v>92</v>
      </c>
      <c r="CQ93" s="9">
        <v>4</v>
      </c>
      <c r="CR93" s="9">
        <v>20</v>
      </c>
      <c r="CS93" s="167">
        <f>'HourGH-JAN'!V14</f>
        <v>0.43</v>
      </c>
      <c r="CT93" s="9">
        <v>92</v>
      </c>
      <c r="CU93" s="9">
        <v>4</v>
      </c>
      <c r="CV93" s="9">
        <v>20</v>
      </c>
      <c r="CW93" s="167">
        <f>'HourGH-FEB'!V14</f>
        <v>0.43</v>
      </c>
      <c r="CX93" s="263">
        <v>92</v>
      </c>
      <c r="CY93" s="9">
        <v>4</v>
      </c>
      <c r="CZ93" s="9">
        <v>20</v>
      </c>
      <c r="DA93" s="167">
        <f>'HourGH-MAR'!V14</f>
        <v>0.25</v>
      </c>
    </row>
    <row r="94" spans="58:105">
      <c r="BF94" s="9">
        <v>93</v>
      </c>
      <c r="BG94" s="9">
        <v>4</v>
      </c>
      <c r="BH94" s="9">
        <v>21</v>
      </c>
      <c r="BI94" s="167">
        <f>'HourGH-APR'!W14</f>
        <v>0.59</v>
      </c>
      <c r="BJ94" s="263">
        <v>93</v>
      </c>
      <c r="BK94" s="9">
        <v>4</v>
      </c>
      <c r="BL94" s="9">
        <v>21</v>
      </c>
      <c r="BM94" s="167">
        <f>'HourGH-MAY'!W14</f>
        <v>0.56000000000000005</v>
      </c>
      <c r="BN94" s="9">
        <v>93</v>
      </c>
      <c r="BO94" s="9">
        <v>4</v>
      </c>
      <c r="BP94" s="9">
        <v>21</v>
      </c>
      <c r="BQ94" s="167">
        <f>'HourGH-JUN'!W14</f>
        <v>0.2</v>
      </c>
      <c r="BR94" s="263">
        <v>93</v>
      </c>
      <c r="BS94" s="9">
        <v>4</v>
      </c>
      <c r="BT94" s="9">
        <v>21</v>
      </c>
      <c r="BU94" s="167">
        <f>'HourGH-JUL'!W14</f>
        <v>0.26</v>
      </c>
      <c r="BV94" s="263">
        <v>93</v>
      </c>
      <c r="BW94" s="9">
        <v>4</v>
      </c>
      <c r="BX94" s="9">
        <v>21</v>
      </c>
      <c r="BY94" s="167">
        <f>'HourGH-AUG'!W14</f>
        <v>0.49</v>
      </c>
      <c r="BZ94" s="9">
        <v>93</v>
      </c>
      <c r="CA94" s="9">
        <v>4</v>
      </c>
      <c r="CB94" s="9">
        <v>21</v>
      </c>
      <c r="CC94" s="167">
        <f>'HourGH-SEP'!W14</f>
        <v>0.64</v>
      </c>
      <c r="CD94" s="263">
        <v>93</v>
      </c>
      <c r="CE94" s="9">
        <v>4</v>
      </c>
      <c r="CF94" s="9">
        <v>21</v>
      </c>
      <c r="CG94" s="167">
        <f>'HourGH-OCT'!W14</f>
        <v>0.9</v>
      </c>
      <c r="CH94" s="9">
        <v>93</v>
      </c>
      <c r="CI94" s="9">
        <v>4</v>
      </c>
      <c r="CJ94" s="9">
        <v>21</v>
      </c>
      <c r="CK94" s="167">
        <f>'HourGH-NOV'!W14</f>
        <v>0.83</v>
      </c>
      <c r="CL94" s="263">
        <v>93</v>
      </c>
      <c r="CM94" s="9">
        <v>4</v>
      </c>
      <c r="CN94" s="9">
        <v>21</v>
      </c>
      <c r="CO94" s="167">
        <f>'HourGH-DEC'!W14</f>
        <v>0.53</v>
      </c>
      <c r="CP94" s="263">
        <v>93</v>
      </c>
      <c r="CQ94" s="9">
        <v>4</v>
      </c>
      <c r="CR94" s="9">
        <v>21</v>
      </c>
      <c r="CS94" s="167">
        <f>'HourGH-JAN'!W14</f>
        <v>0.43</v>
      </c>
      <c r="CT94" s="9">
        <v>93</v>
      </c>
      <c r="CU94" s="9">
        <v>4</v>
      </c>
      <c r="CV94" s="9">
        <v>21</v>
      </c>
      <c r="CW94" s="167">
        <f>'HourGH-FEB'!W14</f>
        <v>0.42</v>
      </c>
      <c r="CX94" s="263">
        <v>93</v>
      </c>
      <c r="CY94" s="9">
        <v>4</v>
      </c>
      <c r="CZ94" s="9">
        <v>21</v>
      </c>
      <c r="DA94" s="167">
        <f>'HourGH-MAR'!W14</f>
        <v>0.25</v>
      </c>
    </row>
    <row r="95" spans="58:105">
      <c r="BF95" s="9">
        <v>94</v>
      </c>
      <c r="BG95" s="9">
        <v>4</v>
      </c>
      <c r="BH95" s="9">
        <v>22</v>
      </c>
      <c r="BI95" s="167">
        <f>'HourGH-APR'!X14</f>
        <v>0.6</v>
      </c>
      <c r="BJ95" s="263">
        <v>94</v>
      </c>
      <c r="BK95" s="9">
        <v>4</v>
      </c>
      <c r="BL95" s="9">
        <v>22</v>
      </c>
      <c r="BM95" s="167">
        <f>'HourGH-MAY'!X14</f>
        <v>0.56000000000000005</v>
      </c>
      <c r="BN95" s="9">
        <v>94</v>
      </c>
      <c r="BO95" s="9">
        <v>4</v>
      </c>
      <c r="BP95" s="9">
        <v>22</v>
      </c>
      <c r="BQ95" s="167">
        <f>'HourGH-JUN'!X14</f>
        <v>0.2</v>
      </c>
      <c r="BR95" s="263">
        <v>94</v>
      </c>
      <c r="BS95" s="9">
        <v>4</v>
      </c>
      <c r="BT95" s="9">
        <v>22</v>
      </c>
      <c r="BU95" s="167">
        <f>'HourGH-JUL'!X14</f>
        <v>0.26</v>
      </c>
      <c r="BV95" s="263">
        <v>94</v>
      </c>
      <c r="BW95" s="9">
        <v>4</v>
      </c>
      <c r="BX95" s="9">
        <v>22</v>
      </c>
      <c r="BY95" s="167">
        <f>'HourGH-AUG'!X14</f>
        <v>0.49</v>
      </c>
      <c r="BZ95" s="9">
        <v>94</v>
      </c>
      <c r="CA95" s="9">
        <v>4</v>
      </c>
      <c r="CB95" s="9">
        <v>22</v>
      </c>
      <c r="CC95" s="167">
        <f>'HourGH-SEP'!X14</f>
        <v>0.64</v>
      </c>
      <c r="CD95" s="263">
        <v>94</v>
      </c>
      <c r="CE95" s="9">
        <v>4</v>
      </c>
      <c r="CF95" s="9">
        <v>22</v>
      </c>
      <c r="CG95" s="167">
        <f>'HourGH-OCT'!X14</f>
        <v>0.9</v>
      </c>
      <c r="CH95" s="9">
        <v>94</v>
      </c>
      <c r="CI95" s="9">
        <v>4</v>
      </c>
      <c r="CJ95" s="9">
        <v>22</v>
      </c>
      <c r="CK95" s="167">
        <f>'HourGH-NOV'!X14</f>
        <v>0.83</v>
      </c>
      <c r="CL95" s="263">
        <v>94</v>
      </c>
      <c r="CM95" s="9">
        <v>4</v>
      </c>
      <c r="CN95" s="9">
        <v>22</v>
      </c>
      <c r="CO95" s="167">
        <f>'HourGH-DEC'!X14</f>
        <v>0.53</v>
      </c>
      <c r="CP95" s="263">
        <v>94</v>
      </c>
      <c r="CQ95" s="9">
        <v>4</v>
      </c>
      <c r="CR95" s="9">
        <v>22</v>
      </c>
      <c r="CS95" s="167">
        <f>'HourGH-JAN'!X14</f>
        <v>0.43</v>
      </c>
      <c r="CT95" s="9">
        <v>94</v>
      </c>
      <c r="CU95" s="9">
        <v>4</v>
      </c>
      <c r="CV95" s="9">
        <v>22</v>
      </c>
      <c r="CW95" s="167">
        <f>'HourGH-FEB'!X14</f>
        <v>0.41</v>
      </c>
      <c r="CX95" s="263">
        <v>94</v>
      </c>
      <c r="CY95" s="9">
        <v>4</v>
      </c>
      <c r="CZ95" s="9">
        <v>22</v>
      </c>
      <c r="DA95" s="167">
        <f>'HourGH-MAR'!X14</f>
        <v>0.25</v>
      </c>
    </row>
    <row r="96" spans="58:105">
      <c r="BF96" s="9">
        <v>95</v>
      </c>
      <c r="BG96" s="9">
        <v>4</v>
      </c>
      <c r="BH96" s="9">
        <v>23</v>
      </c>
      <c r="BI96" s="167">
        <f>'HourGH-APR'!Y14</f>
        <v>0.6</v>
      </c>
      <c r="BJ96" s="263">
        <v>95</v>
      </c>
      <c r="BK96" s="9">
        <v>4</v>
      </c>
      <c r="BL96" s="9">
        <v>23</v>
      </c>
      <c r="BM96" s="167">
        <f>'HourGH-MAY'!Y14</f>
        <v>0.56000000000000005</v>
      </c>
      <c r="BN96" s="9">
        <v>95</v>
      </c>
      <c r="BO96" s="9">
        <v>4</v>
      </c>
      <c r="BP96" s="9">
        <v>23</v>
      </c>
      <c r="BQ96" s="167">
        <f>'HourGH-JUN'!Y14</f>
        <v>0.2</v>
      </c>
      <c r="BR96" s="263">
        <v>95</v>
      </c>
      <c r="BS96" s="9">
        <v>4</v>
      </c>
      <c r="BT96" s="9">
        <v>23</v>
      </c>
      <c r="BU96" s="167">
        <f>'HourGH-JUL'!Y14</f>
        <v>0.26</v>
      </c>
      <c r="BV96" s="263">
        <v>95</v>
      </c>
      <c r="BW96" s="9">
        <v>4</v>
      </c>
      <c r="BX96" s="9">
        <v>23</v>
      </c>
      <c r="BY96" s="167">
        <f>'HourGH-AUG'!Y14</f>
        <v>0.49</v>
      </c>
      <c r="BZ96" s="9">
        <v>95</v>
      </c>
      <c r="CA96" s="9">
        <v>4</v>
      </c>
      <c r="CB96" s="9">
        <v>23</v>
      </c>
      <c r="CC96" s="167">
        <f>'HourGH-SEP'!Y14</f>
        <v>0.64</v>
      </c>
      <c r="CD96" s="263">
        <v>95</v>
      </c>
      <c r="CE96" s="9">
        <v>4</v>
      </c>
      <c r="CF96" s="9">
        <v>23</v>
      </c>
      <c r="CG96" s="167">
        <f>'HourGH-OCT'!Y14</f>
        <v>0.89</v>
      </c>
      <c r="CH96" s="9">
        <v>95</v>
      </c>
      <c r="CI96" s="9">
        <v>4</v>
      </c>
      <c r="CJ96" s="9">
        <v>23</v>
      </c>
      <c r="CK96" s="167">
        <f>'HourGH-NOV'!Y14</f>
        <v>0.83</v>
      </c>
      <c r="CL96" s="263">
        <v>95</v>
      </c>
      <c r="CM96" s="9">
        <v>4</v>
      </c>
      <c r="CN96" s="9">
        <v>23</v>
      </c>
      <c r="CO96" s="167">
        <f>'HourGH-DEC'!Y14</f>
        <v>0.53</v>
      </c>
      <c r="CP96" s="263">
        <v>95</v>
      </c>
      <c r="CQ96" s="9">
        <v>4</v>
      </c>
      <c r="CR96" s="9">
        <v>23</v>
      </c>
      <c r="CS96" s="167">
        <f>'HourGH-JAN'!Y14</f>
        <v>0.43</v>
      </c>
      <c r="CT96" s="9">
        <v>95</v>
      </c>
      <c r="CU96" s="9">
        <v>4</v>
      </c>
      <c r="CV96" s="9">
        <v>23</v>
      </c>
      <c r="CW96" s="167">
        <f>'HourGH-FEB'!Y14</f>
        <v>0.4</v>
      </c>
      <c r="CX96" s="263">
        <v>95</v>
      </c>
      <c r="CY96" s="9">
        <v>4</v>
      </c>
      <c r="CZ96" s="9">
        <v>23</v>
      </c>
      <c r="DA96" s="167">
        <f>'HourGH-MAR'!Y14</f>
        <v>0.25</v>
      </c>
    </row>
    <row r="97" spans="58:105">
      <c r="BF97" s="9">
        <v>96</v>
      </c>
      <c r="BG97" s="9">
        <v>4</v>
      </c>
      <c r="BH97" s="9">
        <v>24</v>
      </c>
      <c r="BI97" s="167">
        <f>'HourGH-APR'!Z14</f>
        <v>0.6</v>
      </c>
      <c r="BJ97" s="263">
        <v>96</v>
      </c>
      <c r="BK97" s="9">
        <v>4</v>
      </c>
      <c r="BL97" s="9">
        <v>24</v>
      </c>
      <c r="BM97" s="167">
        <f>'HourGH-MAY'!Z14</f>
        <v>0.56000000000000005</v>
      </c>
      <c r="BN97" s="9">
        <v>96</v>
      </c>
      <c r="BO97" s="9">
        <v>4</v>
      </c>
      <c r="BP97" s="9">
        <v>24</v>
      </c>
      <c r="BQ97" s="167">
        <f>'HourGH-JUN'!Z14</f>
        <v>0.2</v>
      </c>
      <c r="BR97" s="263">
        <v>96</v>
      </c>
      <c r="BS97" s="9">
        <v>4</v>
      </c>
      <c r="BT97" s="9">
        <v>24</v>
      </c>
      <c r="BU97" s="167">
        <f>'HourGH-JUL'!Z14</f>
        <v>0.26</v>
      </c>
      <c r="BV97" s="263">
        <v>96</v>
      </c>
      <c r="BW97" s="9">
        <v>4</v>
      </c>
      <c r="BX97" s="9">
        <v>24</v>
      </c>
      <c r="BY97" s="167">
        <f>'HourGH-AUG'!Z14</f>
        <v>0.49</v>
      </c>
      <c r="BZ97" s="9">
        <v>96</v>
      </c>
      <c r="CA97" s="9">
        <v>4</v>
      </c>
      <c r="CB97" s="9">
        <v>24</v>
      </c>
      <c r="CC97" s="167">
        <f>'HourGH-SEP'!Z14</f>
        <v>0.63</v>
      </c>
      <c r="CD97" s="263">
        <v>96</v>
      </c>
      <c r="CE97" s="9">
        <v>4</v>
      </c>
      <c r="CF97" s="9">
        <v>24</v>
      </c>
      <c r="CG97" s="167">
        <f>'HourGH-OCT'!Z14</f>
        <v>0.89</v>
      </c>
      <c r="CH97" s="9">
        <v>96</v>
      </c>
      <c r="CI97" s="9">
        <v>4</v>
      </c>
      <c r="CJ97" s="9">
        <v>24</v>
      </c>
      <c r="CK97" s="167">
        <f>'HourGH-NOV'!Z14</f>
        <v>0.83</v>
      </c>
      <c r="CL97" s="263">
        <v>96</v>
      </c>
      <c r="CM97" s="9">
        <v>4</v>
      </c>
      <c r="CN97" s="9">
        <v>24</v>
      </c>
      <c r="CO97" s="167">
        <f>'HourGH-DEC'!Z14</f>
        <v>0.53</v>
      </c>
      <c r="CP97" s="263">
        <v>96</v>
      </c>
      <c r="CQ97" s="9">
        <v>4</v>
      </c>
      <c r="CR97" s="9">
        <v>24</v>
      </c>
      <c r="CS97" s="167">
        <f>'HourGH-JAN'!Z14</f>
        <v>0.43</v>
      </c>
      <c r="CT97" s="9">
        <v>96</v>
      </c>
      <c r="CU97" s="9">
        <v>4</v>
      </c>
      <c r="CV97" s="9">
        <v>24</v>
      </c>
      <c r="CW97" s="167">
        <f>'HourGH-FEB'!Z14</f>
        <v>0.39</v>
      </c>
      <c r="CX97" s="263">
        <v>96</v>
      </c>
      <c r="CY97" s="9">
        <v>4</v>
      </c>
      <c r="CZ97" s="9">
        <v>24</v>
      </c>
      <c r="DA97" s="167">
        <f>'HourGH-MAR'!Z14</f>
        <v>0.25</v>
      </c>
    </row>
    <row r="98" spans="58:105">
      <c r="BF98" s="9">
        <v>97</v>
      </c>
      <c r="BG98" s="9">
        <v>5</v>
      </c>
      <c r="BH98" s="9">
        <v>1</v>
      </c>
      <c r="BI98" s="167">
        <f>'HourGH-APR'!C15</f>
        <v>0.6</v>
      </c>
      <c r="BJ98" s="263">
        <v>97</v>
      </c>
      <c r="BK98" s="9">
        <v>5</v>
      </c>
      <c r="BL98" s="9">
        <v>1</v>
      </c>
      <c r="BM98" s="167">
        <f>'HourGH-MAY'!C15</f>
        <v>0.56999999999999995</v>
      </c>
      <c r="BN98" s="9">
        <v>97</v>
      </c>
      <c r="BO98" s="9">
        <v>5</v>
      </c>
      <c r="BP98" s="9">
        <v>1</v>
      </c>
      <c r="BQ98" s="167">
        <f>'HourGH-JUN'!C15</f>
        <v>0.19</v>
      </c>
      <c r="BR98" s="263">
        <v>97</v>
      </c>
      <c r="BS98" s="9">
        <v>5</v>
      </c>
      <c r="BT98" s="9">
        <v>1</v>
      </c>
      <c r="BU98" s="167">
        <f>'HourGH-JUL'!C15</f>
        <v>0.27</v>
      </c>
      <c r="BV98" s="263">
        <v>97</v>
      </c>
      <c r="BW98" s="9">
        <v>5</v>
      </c>
      <c r="BX98" s="9">
        <v>1</v>
      </c>
      <c r="BY98" s="167">
        <f>'HourGH-AUG'!C15</f>
        <v>0.48</v>
      </c>
      <c r="BZ98" s="9">
        <v>97</v>
      </c>
      <c r="CA98" s="9">
        <v>5</v>
      </c>
      <c r="CB98" s="9">
        <v>1</v>
      </c>
      <c r="CC98" s="167">
        <f>'HourGH-SEP'!C15</f>
        <v>0.63</v>
      </c>
      <c r="CD98" s="263">
        <v>97</v>
      </c>
      <c r="CE98" s="9">
        <v>5</v>
      </c>
      <c r="CF98" s="9">
        <v>1</v>
      </c>
      <c r="CG98" s="167">
        <f>'HourGH-OCT'!C15</f>
        <v>0.89</v>
      </c>
      <c r="CH98" s="9">
        <v>97</v>
      </c>
      <c r="CI98" s="9">
        <v>5</v>
      </c>
      <c r="CJ98" s="9">
        <v>1</v>
      </c>
      <c r="CK98" s="167">
        <f>'HourGH-NOV'!C15</f>
        <v>0.82</v>
      </c>
      <c r="CL98" s="263">
        <v>97</v>
      </c>
      <c r="CM98" s="9">
        <v>5</v>
      </c>
      <c r="CN98" s="9">
        <v>1</v>
      </c>
      <c r="CO98" s="167">
        <f>'HourGH-DEC'!C15</f>
        <v>0.52</v>
      </c>
      <c r="CP98" s="263">
        <v>97</v>
      </c>
      <c r="CQ98" s="9">
        <v>5</v>
      </c>
      <c r="CR98" s="9">
        <v>1</v>
      </c>
      <c r="CS98" s="167">
        <f>'HourGH-JAN'!C15</f>
        <v>0.43</v>
      </c>
      <c r="CT98" s="9">
        <v>97</v>
      </c>
      <c r="CU98" s="9">
        <v>5</v>
      </c>
      <c r="CV98" s="9">
        <v>1</v>
      </c>
      <c r="CW98" s="167">
        <f>'HourGH-FEB'!C15</f>
        <v>0.38</v>
      </c>
      <c r="CX98" s="263">
        <v>97</v>
      </c>
      <c r="CY98" s="9">
        <v>5</v>
      </c>
      <c r="CZ98" s="9">
        <v>1</v>
      </c>
      <c r="DA98" s="167">
        <f>'HourGH-MAR'!C15</f>
        <v>0.26</v>
      </c>
    </row>
    <row r="99" spans="58:105">
      <c r="BF99" s="9">
        <v>98</v>
      </c>
      <c r="BG99" s="9">
        <v>5</v>
      </c>
      <c r="BH99" s="9">
        <v>2</v>
      </c>
      <c r="BI99" s="167">
        <f>'HourGH-APR'!D15</f>
        <v>0.6</v>
      </c>
      <c r="BJ99" s="263">
        <v>98</v>
      </c>
      <c r="BK99" s="9">
        <v>5</v>
      </c>
      <c r="BL99" s="9">
        <v>2</v>
      </c>
      <c r="BM99" s="167">
        <f>'HourGH-MAY'!D15</f>
        <v>0.56999999999999995</v>
      </c>
      <c r="BN99" s="9">
        <v>98</v>
      </c>
      <c r="BO99" s="9">
        <v>5</v>
      </c>
      <c r="BP99" s="9">
        <v>2</v>
      </c>
      <c r="BQ99" s="167">
        <f>'HourGH-JUN'!D15</f>
        <v>0.19</v>
      </c>
      <c r="BR99" s="263">
        <v>98</v>
      </c>
      <c r="BS99" s="9">
        <v>5</v>
      </c>
      <c r="BT99" s="9">
        <v>2</v>
      </c>
      <c r="BU99" s="167">
        <f>'HourGH-JUL'!D15</f>
        <v>0.27</v>
      </c>
      <c r="BV99" s="263">
        <v>98</v>
      </c>
      <c r="BW99" s="9">
        <v>5</v>
      </c>
      <c r="BX99" s="9">
        <v>2</v>
      </c>
      <c r="BY99" s="167">
        <f>'HourGH-AUG'!D15</f>
        <v>0.48</v>
      </c>
      <c r="BZ99" s="9">
        <v>98</v>
      </c>
      <c r="CA99" s="9">
        <v>5</v>
      </c>
      <c r="CB99" s="9">
        <v>2</v>
      </c>
      <c r="CC99" s="167">
        <f>'HourGH-SEP'!D15</f>
        <v>0.63</v>
      </c>
      <c r="CD99" s="263">
        <v>98</v>
      </c>
      <c r="CE99" s="9">
        <v>5</v>
      </c>
      <c r="CF99" s="9">
        <v>2</v>
      </c>
      <c r="CG99" s="167">
        <f>'HourGH-OCT'!D15</f>
        <v>0.88</v>
      </c>
      <c r="CH99" s="9">
        <v>98</v>
      </c>
      <c r="CI99" s="9">
        <v>5</v>
      </c>
      <c r="CJ99" s="9">
        <v>2</v>
      </c>
      <c r="CK99" s="167">
        <f>'HourGH-NOV'!D15</f>
        <v>0.82</v>
      </c>
      <c r="CL99" s="263">
        <v>98</v>
      </c>
      <c r="CM99" s="9">
        <v>5</v>
      </c>
      <c r="CN99" s="9">
        <v>2</v>
      </c>
      <c r="CO99" s="167">
        <f>'HourGH-DEC'!D15</f>
        <v>0.52</v>
      </c>
      <c r="CP99" s="263">
        <v>98</v>
      </c>
      <c r="CQ99" s="9">
        <v>5</v>
      </c>
      <c r="CR99" s="9">
        <v>2</v>
      </c>
      <c r="CS99" s="167">
        <f>'HourGH-JAN'!D15</f>
        <v>0.43</v>
      </c>
      <c r="CT99" s="9">
        <v>98</v>
      </c>
      <c r="CU99" s="9">
        <v>5</v>
      </c>
      <c r="CV99" s="9">
        <v>2</v>
      </c>
      <c r="CW99" s="167">
        <f>'HourGH-FEB'!D15</f>
        <v>0.36</v>
      </c>
      <c r="CX99" s="263">
        <v>98</v>
      </c>
      <c r="CY99" s="9">
        <v>5</v>
      </c>
      <c r="CZ99" s="9">
        <v>2</v>
      </c>
      <c r="DA99" s="167">
        <f>'HourGH-MAR'!D15</f>
        <v>0.26</v>
      </c>
    </row>
    <row r="100" spans="58:105">
      <c r="BF100" s="9">
        <v>99</v>
      </c>
      <c r="BG100" s="9">
        <v>5</v>
      </c>
      <c r="BH100" s="9">
        <v>3</v>
      </c>
      <c r="BI100" s="167">
        <f>'HourGH-APR'!E15</f>
        <v>0.6</v>
      </c>
      <c r="BJ100" s="263">
        <v>99</v>
      </c>
      <c r="BK100" s="9">
        <v>5</v>
      </c>
      <c r="BL100" s="9">
        <v>3</v>
      </c>
      <c r="BM100" s="167">
        <f>'HourGH-MAY'!E15</f>
        <v>0.56999999999999995</v>
      </c>
      <c r="BN100" s="9">
        <v>99</v>
      </c>
      <c r="BO100" s="9">
        <v>5</v>
      </c>
      <c r="BP100" s="9">
        <v>3</v>
      </c>
      <c r="BQ100" s="167">
        <f>'HourGH-JUN'!E15</f>
        <v>0.19</v>
      </c>
      <c r="BR100" s="263">
        <v>99</v>
      </c>
      <c r="BS100" s="9">
        <v>5</v>
      </c>
      <c r="BT100" s="9">
        <v>3</v>
      </c>
      <c r="BU100" s="167">
        <f>'HourGH-JUL'!E15</f>
        <v>0.27</v>
      </c>
      <c r="BV100" s="263">
        <v>99</v>
      </c>
      <c r="BW100" s="9">
        <v>5</v>
      </c>
      <c r="BX100" s="9">
        <v>3</v>
      </c>
      <c r="BY100" s="167">
        <f>'HourGH-AUG'!E15</f>
        <v>0.48</v>
      </c>
      <c r="BZ100" s="9">
        <v>99</v>
      </c>
      <c r="CA100" s="9">
        <v>5</v>
      </c>
      <c r="CB100" s="9">
        <v>3</v>
      </c>
      <c r="CC100" s="167">
        <f>'HourGH-SEP'!E15</f>
        <v>0.63</v>
      </c>
      <c r="CD100" s="263">
        <v>99</v>
      </c>
      <c r="CE100" s="9">
        <v>5</v>
      </c>
      <c r="CF100" s="9">
        <v>3</v>
      </c>
      <c r="CG100" s="167">
        <f>'HourGH-OCT'!E15</f>
        <v>0.88</v>
      </c>
      <c r="CH100" s="9">
        <v>99</v>
      </c>
      <c r="CI100" s="9">
        <v>5</v>
      </c>
      <c r="CJ100" s="9">
        <v>3</v>
      </c>
      <c r="CK100" s="167">
        <f>'HourGH-NOV'!E15</f>
        <v>0.82</v>
      </c>
      <c r="CL100" s="263">
        <v>99</v>
      </c>
      <c r="CM100" s="9">
        <v>5</v>
      </c>
      <c r="CN100" s="9">
        <v>3</v>
      </c>
      <c r="CO100" s="167">
        <f>'HourGH-DEC'!E15</f>
        <v>0.52</v>
      </c>
      <c r="CP100" s="263">
        <v>99</v>
      </c>
      <c r="CQ100" s="9">
        <v>5</v>
      </c>
      <c r="CR100" s="9">
        <v>3</v>
      </c>
      <c r="CS100" s="167">
        <f>'HourGH-JAN'!E15</f>
        <v>0.43</v>
      </c>
      <c r="CT100" s="9">
        <v>99</v>
      </c>
      <c r="CU100" s="9">
        <v>5</v>
      </c>
      <c r="CV100" s="9">
        <v>3</v>
      </c>
      <c r="CW100" s="167">
        <f>'HourGH-FEB'!E15</f>
        <v>0.35</v>
      </c>
      <c r="CX100" s="263">
        <v>99</v>
      </c>
      <c r="CY100" s="9">
        <v>5</v>
      </c>
      <c r="CZ100" s="9">
        <v>3</v>
      </c>
      <c r="DA100" s="167">
        <f>'HourGH-MAR'!E15</f>
        <v>0.26</v>
      </c>
    </row>
    <row r="101" spans="58:105">
      <c r="BF101" s="9">
        <v>100</v>
      </c>
      <c r="BG101" s="9">
        <v>5</v>
      </c>
      <c r="BH101" s="9">
        <v>4</v>
      </c>
      <c r="BI101" s="167">
        <f>'HourGH-APR'!F15</f>
        <v>0.59</v>
      </c>
      <c r="BJ101" s="263">
        <v>100</v>
      </c>
      <c r="BK101" s="9">
        <v>5</v>
      </c>
      <c r="BL101" s="9">
        <v>4</v>
      </c>
      <c r="BM101" s="167">
        <f>'HourGH-MAY'!F15</f>
        <v>0.56999999999999995</v>
      </c>
      <c r="BN101" s="9">
        <v>100</v>
      </c>
      <c r="BO101" s="9">
        <v>5</v>
      </c>
      <c r="BP101" s="9">
        <v>4</v>
      </c>
      <c r="BQ101" s="167">
        <f>'HourGH-JUN'!F15</f>
        <v>0.19</v>
      </c>
      <c r="BR101" s="263">
        <v>100</v>
      </c>
      <c r="BS101" s="9">
        <v>5</v>
      </c>
      <c r="BT101" s="9">
        <v>4</v>
      </c>
      <c r="BU101" s="167">
        <f>'HourGH-JUL'!F15</f>
        <v>0.27</v>
      </c>
      <c r="BV101" s="263">
        <v>100</v>
      </c>
      <c r="BW101" s="9">
        <v>5</v>
      </c>
      <c r="BX101" s="9">
        <v>4</v>
      </c>
      <c r="BY101" s="167">
        <f>'HourGH-AUG'!F15</f>
        <v>0.48</v>
      </c>
      <c r="BZ101" s="9">
        <v>100</v>
      </c>
      <c r="CA101" s="9">
        <v>5</v>
      </c>
      <c r="CB101" s="9">
        <v>4</v>
      </c>
      <c r="CC101" s="167">
        <f>'HourGH-SEP'!F15</f>
        <v>0.62</v>
      </c>
      <c r="CD101" s="263">
        <v>100</v>
      </c>
      <c r="CE101" s="9">
        <v>5</v>
      </c>
      <c r="CF101" s="9">
        <v>4</v>
      </c>
      <c r="CG101" s="167">
        <f>'HourGH-OCT'!F15</f>
        <v>0.88</v>
      </c>
      <c r="CH101" s="9">
        <v>100</v>
      </c>
      <c r="CI101" s="9">
        <v>5</v>
      </c>
      <c r="CJ101" s="9">
        <v>4</v>
      </c>
      <c r="CK101" s="167">
        <f>'HourGH-NOV'!F15</f>
        <v>0.82</v>
      </c>
      <c r="CL101" s="263">
        <v>100</v>
      </c>
      <c r="CM101" s="9">
        <v>5</v>
      </c>
      <c r="CN101" s="9">
        <v>4</v>
      </c>
      <c r="CO101" s="167">
        <f>'HourGH-DEC'!F15</f>
        <v>0.52</v>
      </c>
      <c r="CP101" s="263">
        <v>100</v>
      </c>
      <c r="CQ101" s="9">
        <v>5</v>
      </c>
      <c r="CR101" s="9">
        <v>4</v>
      </c>
      <c r="CS101" s="167">
        <f>'HourGH-JAN'!F15</f>
        <v>0.43</v>
      </c>
      <c r="CT101" s="9">
        <v>100</v>
      </c>
      <c r="CU101" s="9">
        <v>5</v>
      </c>
      <c r="CV101" s="9">
        <v>4</v>
      </c>
      <c r="CW101" s="167">
        <f>'HourGH-FEB'!F15</f>
        <v>0.34</v>
      </c>
      <c r="CX101" s="263">
        <v>100</v>
      </c>
      <c r="CY101" s="9">
        <v>5</v>
      </c>
      <c r="CZ101" s="9">
        <v>4</v>
      </c>
      <c r="DA101" s="167">
        <f>'HourGH-MAR'!F15</f>
        <v>0.26</v>
      </c>
    </row>
    <row r="102" spans="58:105">
      <c r="BF102" s="9">
        <v>101</v>
      </c>
      <c r="BG102" s="9">
        <v>5</v>
      </c>
      <c r="BH102" s="9">
        <v>5</v>
      </c>
      <c r="BI102" s="167">
        <f>'HourGH-APR'!G15</f>
        <v>0.59</v>
      </c>
      <c r="BJ102" s="263">
        <v>101</v>
      </c>
      <c r="BK102" s="9">
        <v>5</v>
      </c>
      <c r="BL102" s="9">
        <v>5</v>
      </c>
      <c r="BM102" s="167">
        <f>'HourGH-MAY'!G15</f>
        <v>0.56999999999999995</v>
      </c>
      <c r="BN102" s="9">
        <v>101</v>
      </c>
      <c r="BO102" s="9">
        <v>5</v>
      </c>
      <c r="BP102" s="9">
        <v>5</v>
      </c>
      <c r="BQ102" s="167">
        <f>'HourGH-JUN'!G15</f>
        <v>0.19</v>
      </c>
      <c r="BR102" s="263">
        <v>101</v>
      </c>
      <c r="BS102" s="9">
        <v>5</v>
      </c>
      <c r="BT102" s="9">
        <v>5</v>
      </c>
      <c r="BU102" s="167">
        <f>'HourGH-JUL'!G15</f>
        <v>0.27</v>
      </c>
      <c r="BV102" s="263">
        <v>101</v>
      </c>
      <c r="BW102" s="9">
        <v>5</v>
      </c>
      <c r="BX102" s="9">
        <v>5</v>
      </c>
      <c r="BY102" s="167">
        <f>'HourGH-AUG'!G15</f>
        <v>0.48</v>
      </c>
      <c r="BZ102" s="9">
        <v>101</v>
      </c>
      <c r="CA102" s="9">
        <v>5</v>
      </c>
      <c r="CB102" s="9">
        <v>5</v>
      </c>
      <c r="CC102" s="167">
        <f>'HourGH-SEP'!G15</f>
        <v>0.62</v>
      </c>
      <c r="CD102" s="263">
        <v>101</v>
      </c>
      <c r="CE102" s="9">
        <v>5</v>
      </c>
      <c r="CF102" s="9">
        <v>5</v>
      </c>
      <c r="CG102" s="167">
        <f>'HourGH-OCT'!G15</f>
        <v>0.88</v>
      </c>
      <c r="CH102" s="9">
        <v>101</v>
      </c>
      <c r="CI102" s="9">
        <v>5</v>
      </c>
      <c r="CJ102" s="9">
        <v>5</v>
      </c>
      <c r="CK102" s="167">
        <f>'HourGH-NOV'!G15</f>
        <v>0.82</v>
      </c>
      <c r="CL102" s="263">
        <v>101</v>
      </c>
      <c r="CM102" s="9">
        <v>5</v>
      </c>
      <c r="CN102" s="9">
        <v>5</v>
      </c>
      <c r="CO102" s="167">
        <f>'HourGH-DEC'!G15</f>
        <v>0.52</v>
      </c>
      <c r="CP102" s="263">
        <v>101</v>
      </c>
      <c r="CQ102" s="9">
        <v>5</v>
      </c>
      <c r="CR102" s="9">
        <v>5</v>
      </c>
      <c r="CS102" s="167">
        <f>'HourGH-JAN'!G15</f>
        <v>0.43</v>
      </c>
      <c r="CT102" s="9">
        <v>101</v>
      </c>
      <c r="CU102" s="9">
        <v>5</v>
      </c>
      <c r="CV102" s="9">
        <v>5</v>
      </c>
      <c r="CW102" s="167">
        <f>'HourGH-FEB'!G15</f>
        <v>0.33</v>
      </c>
      <c r="CX102" s="263">
        <v>101</v>
      </c>
      <c r="CY102" s="9">
        <v>5</v>
      </c>
      <c r="CZ102" s="9">
        <v>5</v>
      </c>
      <c r="DA102" s="167">
        <f>'HourGH-MAR'!G15</f>
        <v>0.26</v>
      </c>
    </row>
    <row r="103" spans="58:105">
      <c r="BF103" s="9">
        <v>102</v>
      </c>
      <c r="BG103" s="9">
        <v>5</v>
      </c>
      <c r="BH103" s="9">
        <v>6</v>
      </c>
      <c r="BI103" s="167">
        <f>'HourGH-APR'!H15</f>
        <v>0.59</v>
      </c>
      <c r="BJ103" s="263">
        <v>102</v>
      </c>
      <c r="BK103" s="9">
        <v>5</v>
      </c>
      <c r="BL103" s="9">
        <v>6</v>
      </c>
      <c r="BM103" s="167">
        <f>'HourGH-MAY'!H15</f>
        <v>0.56999999999999995</v>
      </c>
      <c r="BN103" s="9">
        <v>102</v>
      </c>
      <c r="BO103" s="9">
        <v>5</v>
      </c>
      <c r="BP103" s="9">
        <v>6</v>
      </c>
      <c r="BQ103" s="167">
        <f>'HourGH-JUN'!H15</f>
        <v>0.19</v>
      </c>
      <c r="BR103" s="263">
        <v>102</v>
      </c>
      <c r="BS103" s="9">
        <v>5</v>
      </c>
      <c r="BT103" s="9">
        <v>6</v>
      </c>
      <c r="BU103" s="167">
        <f>'HourGH-JUL'!H15</f>
        <v>0.27</v>
      </c>
      <c r="BV103" s="263">
        <v>102</v>
      </c>
      <c r="BW103" s="9">
        <v>5</v>
      </c>
      <c r="BX103" s="9">
        <v>6</v>
      </c>
      <c r="BY103" s="167">
        <f>'HourGH-AUG'!C15</f>
        <v>0.48</v>
      </c>
      <c r="BZ103" s="9">
        <v>102</v>
      </c>
      <c r="CA103" s="9">
        <v>5</v>
      </c>
      <c r="CB103" s="9">
        <v>6</v>
      </c>
      <c r="CC103" s="167">
        <f>'HourGH-SEP'!H15</f>
        <v>0.62</v>
      </c>
      <c r="CD103" s="263">
        <v>102</v>
      </c>
      <c r="CE103" s="9">
        <v>5</v>
      </c>
      <c r="CF103" s="9">
        <v>6</v>
      </c>
      <c r="CG103" s="167">
        <f>'HourGH-OCT'!H15</f>
        <v>0.87</v>
      </c>
      <c r="CH103" s="9">
        <v>102</v>
      </c>
      <c r="CI103" s="9">
        <v>5</v>
      </c>
      <c r="CJ103" s="9">
        <v>6</v>
      </c>
      <c r="CK103" s="167">
        <f>'HourGH-NOV'!H15</f>
        <v>0.81</v>
      </c>
      <c r="CL103" s="263">
        <v>102</v>
      </c>
      <c r="CM103" s="9">
        <v>5</v>
      </c>
      <c r="CN103" s="9">
        <v>6</v>
      </c>
      <c r="CO103" s="167">
        <f>'HourGH-DEC'!H15</f>
        <v>0.52</v>
      </c>
      <c r="CP103" s="263">
        <v>102</v>
      </c>
      <c r="CQ103" s="9">
        <v>5</v>
      </c>
      <c r="CR103" s="9">
        <v>6</v>
      </c>
      <c r="CS103" s="167">
        <f>'HourGH-JAN'!H15</f>
        <v>0.43</v>
      </c>
      <c r="CT103" s="9">
        <v>102</v>
      </c>
      <c r="CU103" s="9">
        <v>5</v>
      </c>
      <c r="CV103" s="9">
        <v>6</v>
      </c>
      <c r="CW103" s="167">
        <f>'HourGH-FEB'!H15</f>
        <v>0.32</v>
      </c>
      <c r="CX103" s="263">
        <v>102</v>
      </c>
      <c r="CY103" s="9">
        <v>5</v>
      </c>
      <c r="CZ103" s="9">
        <v>6</v>
      </c>
      <c r="DA103" s="167">
        <f>'HourGH-MAR'!H15</f>
        <v>0.26</v>
      </c>
    </row>
    <row r="104" spans="58:105">
      <c r="BF104" s="9">
        <v>103</v>
      </c>
      <c r="BG104" s="9">
        <v>5</v>
      </c>
      <c r="BH104" s="9">
        <v>7</v>
      </c>
      <c r="BI104" s="167">
        <f>'HourGH-APR'!I15</f>
        <v>0.59</v>
      </c>
      <c r="BJ104" s="263">
        <v>103</v>
      </c>
      <c r="BK104" s="9">
        <v>5</v>
      </c>
      <c r="BL104" s="9">
        <v>7</v>
      </c>
      <c r="BM104" s="167">
        <f>'HourGH-MAY'!I15</f>
        <v>0.56999999999999995</v>
      </c>
      <c r="BN104" s="9">
        <v>103</v>
      </c>
      <c r="BO104" s="9">
        <v>5</v>
      </c>
      <c r="BP104" s="9">
        <v>7</v>
      </c>
      <c r="BQ104" s="167">
        <f>'HourGH-JUN'!I15</f>
        <v>0.19</v>
      </c>
      <c r="BR104" s="263">
        <v>103</v>
      </c>
      <c r="BS104" s="9">
        <v>5</v>
      </c>
      <c r="BT104" s="9">
        <v>7</v>
      </c>
      <c r="BU104" s="167">
        <f>'HourGH-JUL'!I15</f>
        <v>0.27</v>
      </c>
      <c r="BV104" s="263">
        <v>103</v>
      </c>
      <c r="BW104" s="9">
        <v>5</v>
      </c>
      <c r="BX104" s="9">
        <v>7</v>
      </c>
      <c r="BY104" s="167">
        <f>'HourGH-AUG'!I15</f>
        <v>0.49</v>
      </c>
      <c r="BZ104" s="9">
        <v>103</v>
      </c>
      <c r="CA104" s="9">
        <v>5</v>
      </c>
      <c r="CB104" s="9">
        <v>7</v>
      </c>
      <c r="CC104" s="167">
        <f>'HourGH-SEP'!I15</f>
        <v>0.62</v>
      </c>
      <c r="CD104" s="263">
        <v>103</v>
      </c>
      <c r="CE104" s="9">
        <v>5</v>
      </c>
      <c r="CF104" s="9">
        <v>7</v>
      </c>
      <c r="CG104" s="167">
        <f>'HourGH-OCT'!I15</f>
        <v>0.87</v>
      </c>
      <c r="CH104" s="9">
        <v>103</v>
      </c>
      <c r="CI104" s="9">
        <v>5</v>
      </c>
      <c r="CJ104" s="9">
        <v>7</v>
      </c>
      <c r="CK104" s="167">
        <f>'HourGH-NOV'!I15</f>
        <v>0.81</v>
      </c>
      <c r="CL104" s="263">
        <v>103</v>
      </c>
      <c r="CM104" s="9">
        <v>5</v>
      </c>
      <c r="CN104" s="9">
        <v>7</v>
      </c>
      <c r="CO104" s="167">
        <f>'HourGH-DEC'!I15</f>
        <v>0.52</v>
      </c>
      <c r="CP104" s="263">
        <v>103</v>
      </c>
      <c r="CQ104" s="9">
        <v>5</v>
      </c>
      <c r="CR104" s="9">
        <v>7</v>
      </c>
      <c r="CS104" s="167">
        <f>'HourGH-JAN'!I15</f>
        <v>0.43</v>
      </c>
      <c r="CT104" s="9">
        <v>103</v>
      </c>
      <c r="CU104" s="9">
        <v>5</v>
      </c>
      <c r="CV104" s="9">
        <v>7</v>
      </c>
      <c r="CW104" s="167">
        <f>'HourGH-FEB'!I15</f>
        <v>0.32</v>
      </c>
      <c r="CX104" s="263">
        <v>103</v>
      </c>
      <c r="CY104" s="9">
        <v>5</v>
      </c>
      <c r="CZ104" s="9">
        <v>7</v>
      </c>
      <c r="DA104" s="167">
        <f>'HourGH-MAR'!I15</f>
        <v>0.26</v>
      </c>
    </row>
    <row r="105" spans="58:105">
      <c r="BF105" s="9">
        <v>104</v>
      </c>
      <c r="BG105" s="9">
        <v>5</v>
      </c>
      <c r="BH105" s="9">
        <v>8</v>
      </c>
      <c r="BI105" s="167">
        <f>'HourGH-APR'!J15</f>
        <v>0.59</v>
      </c>
      <c r="BJ105" s="263">
        <v>104</v>
      </c>
      <c r="BK105" s="9">
        <v>5</v>
      </c>
      <c r="BL105" s="9">
        <v>8</v>
      </c>
      <c r="BM105" s="167">
        <f>'HourGH-MAY'!J15</f>
        <v>0.56999999999999995</v>
      </c>
      <c r="BN105" s="9">
        <v>104</v>
      </c>
      <c r="BO105" s="9">
        <v>5</v>
      </c>
      <c r="BP105" s="9">
        <v>8</v>
      </c>
      <c r="BQ105" s="167">
        <f>'HourGH-JUN'!J15</f>
        <v>0.19</v>
      </c>
      <c r="BR105" s="263">
        <v>104</v>
      </c>
      <c r="BS105" s="9">
        <v>5</v>
      </c>
      <c r="BT105" s="9">
        <v>8</v>
      </c>
      <c r="BU105" s="167">
        <f>'HourGH-JUL'!J15</f>
        <v>0.27</v>
      </c>
      <c r="BV105" s="263">
        <v>104</v>
      </c>
      <c r="BW105" s="9">
        <v>5</v>
      </c>
      <c r="BX105" s="9">
        <v>8</v>
      </c>
      <c r="BY105" s="167">
        <f>'HourGH-AUG'!J15</f>
        <v>0.49</v>
      </c>
      <c r="BZ105" s="9">
        <v>104</v>
      </c>
      <c r="CA105" s="9">
        <v>5</v>
      </c>
      <c r="CB105" s="9">
        <v>8</v>
      </c>
      <c r="CC105" s="167">
        <f>'HourGH-SEP'!J15</f>
        <v>0.62</v>
      </c>
      <c r="CD105" s="263">
        <v>104</v>
      </c>
      <c r="CE105" s="9">
        <v>5</v>
      </c>
      <c r="CF105" s="9">
        <v>8</v>
      </c>
      <c r="CG105" s="167">
        <f>'HourGH-OCT'!J15</f>
        <v>0.87</v>
      </c>
      <c r="CH105" s="9">
        <v>104</v>
      </c>
      <c r="CI105" s="9">
        <v>5</v>
      </c>
      <c r="CJ105" s="9">
        <v>8</v>
      </c>
      <c r="CK105" s="167">
        <f>'HourGH-NOV'!J15</f>
        <v>0.81</v>
      </c>
      <c r="CL105" s="263">
        <v>104</v>
      </c>
      <c r="CM105" s="9">
        <v>5</v>
      </c>
      <c r="CN105" s="9">
        <v>8</v>
      </c>
      <c r="CO105" s="167">
        <f>'HourGH-DEC'!J15</f>
        <v>0.52</v>
      </c>
      <c r="CP105" s="263">
        <v>104</v>
      </c>
      <c r="CQ105" s="9">
        <v>5</v>
      </c>
      <c r="CR105" s="9">
        <v>8</v>
      </c>
      <c r="CS105" s="167">
        <f>'HourGH-JAN'!J15</f>
        <v>0.43</v>
      </c>
      <c r="CT105" s="9">
        <v>104</v>
      </c>
      <c r="CU105" s="9">
        <v>5</v>
      </c>
      <c r="CV105" s="9">
        <v>8</v>
      </c>
      <c r="CW105" s="167">
        <f>'HourGH-FEB'!J15</f>
        <v>0.32</v>
      </c>
      <c r="CX105" s="263">
        <v>104</v>
      </c>
      <c r="CY105" s="9">
        <v>5</v>
      </c>
      <c r="CZ105" s="9">
        <v>8</v>
      </c>
      <c r="DA105" s="167">
        <f>'HourGH-MAR'!J15</f>
        <v>0.26</v>
      </c>
    </row>
    <row r="106" spans="58:105">
      <c r="BF106" s="9">
        <v>105</v>
      </c>
      <c r="BG106" s="9">
        <v>5</v>
      </c>
      <c r="BH106" s="9">
        <v>9</v>
      </c>
      <c r="BI106" s="167">
        <f>'HourGH-APR'!K15</f>
        <v>0.57999999999999996</v>
      </c>
      <c r="BJ106" s="263">
        <v>105</v>
      </c>
      <c r="BK106" s="9">
        <v>5</v>
      </c>
      <c r="BL106" s="9">
        <v>9</v>
      </c>
      <c r="BM106" s="167">
        <f>'HourGH-MAY'!K15</f>
        <v>0.56999999999999995</v>
      </c>
      <c r="BN106" s="9">
        <v>105</v>
      </c>
      <c r="BO106" s="9">
        <v>5</v>
      </c>
      <c r="BP106" s="9">
        <v>9</v>
      </c>
      <c r="BQ106" s="167">
        <f>'HourGH-JUN'!K15</f>
        <v>0.19</v>
      </c>
      <c r="BR106" s="263">
        <v>105</v>
      </c>
      <c r="BS106" s="9">
        <v>5</v>
      </c>
      <c r="BT106" s="9">
        <v>9</v>
      </c>
      <c r="BU106" s="167">
        <f>'HourGH-JUL'!K15</f>
        <v>0.27</v>
      </c>
      <c r="BV106" s="263">
        <v>105</v>
      </c>
      <c r="BW106" s="9">
        <v>5</v>
      </c>
      <c r="BX106" s="9">
        <v>9</v>
      </c>
      <c r="BY106" s="167">
        <f>'HourGH-AUG'!K15</f>
        <v>0.5</v>
      </c>
      <c r="BZ106" s="9">
        <v>105</v>
      </c>
      <c r="CA106" s="9">
        <v>5</v>
      </c>
      <c r="CB106" s="9">
        <v>9</v>
      </c>
      <c r="CC106" s="167">
        <f>'HourGH-SEP'!K15</f>
        <v>0.62</v>
      </c>
      <c r="CD106" s="263">
        <v>105</v>
      </c>
      <c r="CE106" s="9">
        <v>5</v>
      </c>
      <c r="CF106" s="9">
        <v>9</v>
      </c>
      <c r="CG106" s="167">
        <f>'HourGH-OCT'!K15</f>
        <v>0.87</v>
      </c>
      <c r="CH106" s="9">
        <v>105</v>
      </c>
      <c r="CI106" s="9">
        <v>5</v>
      </c>
      <c r="CJ106" s="9">
        <v>9</v>
      </c>
      <c r="CK106" s="167">
        <f>'HourGH-NOV'!K15</f>
        <v>0.81</v>
      </c>
      <c r="CL106" s="263">
        <v>105</v>
      </c>
      <c r="CM106" s="9">
        <v>5</v>
      </c>
      <c r="CN106" s="9">
        <v>9</v>
      </c>
      <c r="CO106" s="167">
        <f>'HourGH-DEC'!K15</f>
        <v>0.52</v>
      </c>
      <c r="CP106" s="263">
        <v>105</v>
      </c>
      <c r="CQ106" s="9">
        <v>5</v>
      </c>
      <c r="CR106" s="9">
        <v>9</v>
      </c>
      <c r="CS106" s="167">
        <f>'HourGH-JAN'!K15</f>
        <v>0.43</v>
      </c>
      <c r="CT106" s="9">
        <v>105</v>
      </c>
      <c r="CU106" s="9">
        <v>5</v>
      </c>
      <c r="CV106" s="9">
        <v>9</v>
      </c>
      <c r="CW106" s="167">
        <f>'HourGH-FEB'!K15</f>
        <v>0.32</v>
      </c>
      <c r="CX106" s="263">
        <v>105</v>
      </c>
      <c r="CY106" s="9">
        <v>5</v>
      </c>
      <c r="CZ106" s="9">
        <v>9</v>
      </c>
      <c r="DA106" s="167">
        <f>'HourGH-MAR'!K15</f>
        <v>0.26</v>
      </c>
    </row>
    <row r="107" spans="58:105">
      <c r="BF107" s="9">
        <v>106</v>
      </c>
      <c r="BG107" s="9">
        <v>5</v>
      </c>
      <c r="BH107" s="9">
        <v>10</v>
      </c>
      <c r="BI107" s="167">
        <f>'HourGH-APR'!L15</f>
        <v>0.57999999999999996</v>
      </c>
      <c r="BJ107" s="263">
        <v>106</v>
      </c>
      <c r="BK107" s="9">
        <v>5</v>
      </c>
      <c r="BL107" s="9">
        <v>10</v>
      </c>
      <c r="BM107" s="167">
        <f>'HourGH-MAY'!L15</f>
        <v>0.56999999999999995</v>
      </c>
      <c r="BN107" s="9">
        <v>106</v>
      </c>
      <c r="BO107" s="9">
        <v>5</v>
      </c>
      <c r="BP107" s="9">
        <v>10</v>
      </c>
      <c r="BQ107" s="167">
        <f>'HourGH-JUN'!L15</f>
        <v>0.19</v>
      </c>
      <c r="BR107" s="263">
        <v>106</v>
      </c>
      <c r="BS107" s="9">
        <v>5</v>
      </c>
      <c r="BT107" s="9">
        <v>10</v>
      </c>
      <c r="BU107" s="167">
        <f>'HourGH-JUL'!L15</f>
        <v>0.27</v>
      </c>
      <c r="BV107" s="263">
        <v>106</v>
      </c>
      <c r="BW107" s="9">
        <v>5</v>
      </c>
      <c r="BX107" s="9">
        <v>10</v>
      </c>
      <c r="BY107" s="167">
        <f>'HourGH-AUG'!L15</f>
        <v>0.5</v>
      </c>
      <c r="BZ107" s="9">
        <v>106</v>
      </c>
      <c r="CA107" s="9">
        <v>5</v>
      </c>
      <c r="CB107" s="9">
        <v>10</v>
      </c>
      <c r="CC107" s="167">
        <f>'HourGH-SEP'!L15</f>
        <v>0.61</v>
      </c>
      <c r="CD107" s="263">
        <v>106</v>
      </c>
      <c r="CE107" s="9">
        <v>5</v>
      </c>
      <c r="CF107" s="9">
        <v>10</v>
      </c>
      <c r="CG107" s="167">
        <f>'HourGH-OCT'!L15</f>
        <v>0.87</v>
      </c>
      <c r="CH107" s="9">
        <v>106</v>
      </c>
      <c r="CI107" s="9">
        <v>5</v>
      </c>
      <c r="CJ107" s="9">
        <v>10</v>
      </c>
      <c r="CK107" s="167">
        <f>'HourGH-NOV'!L15</f>
        <v>0.81</v>
      </c>
      <c r="CL107" s="263">
        <v>106</v>
      </c>
      <c r="CM107" s="9">
        <v>5</v>
      </c>
      <c r="CN107" s="9">
        <v>10</v>
      </c>
      <c r="CO107" s="167">
        <f>'HourGH-DEC'!L15</f>
        <v>0.52</v>
      </c>
      <c r="CP107" s="263">
        <v>106</v>
      </c>
      <c r="CQ107" s="9">
        <v>5</v>
      </c>
      <c r="CR107" s="9">
        <v>10</v>
      </c>
      <c r="CS107" s="167">
        <f>'HourGH-JAN'!L15</f>
        <v>0.43</v>
      </c>
      <c r="CT107" s="9">
        <v>106</v>
      </c>
      <c r="CU107" s="9">
        <v>5</v>
      </c>
      <c r="CV107" s="9">
        <v>10</v>
      </c>
      <c r="CW107" s="167">
        <f>'HourGH-FEB'!L15</f>
        <v>0.32</v>
      </c>
      <c r="CX107" s="263">
        <v>106</v>
      </c>
      <c r="CY107" s="9">
        <v>5</v>
      </c>
      <c r="CZ107" s="9">
        <v>10</v>
      </c>
      <c r="DA107" s="167">
        <f>'HourGH-MAR'!L15</f>
        <v>0.26</v>
      </c>
    </row>
    <row r="108" spans="58:105">
      <c r="BF108" s="9">
        <v>107</v>
      </c>
      <c r="BG108" s="9">
        <v>5</v>
      </c>
      <c r="BH108" s="9">
        <v>11</v>
      </c>
      <c r="BI108" s="167">
        <f>'HourGH-APR'!M15</f>
        <v>0.57999999999999996</v>
      </c>
      <c r="BJ108" s="263">
        <v>107</v>
      </c>
      <c r="BK108" s="9">
        <v>5</v>
      </c>
      <c r="BL108" s="9">
        <v>11</v>
      </c>
      <c r="BM108" s="167">
        <f>'HourGH-MAY'!M15</f>
        <v>0.56999999999999995</v>
      </c>
      <c r="BN108" s="9">
        <v>107</v>
      </c>
      <c r="BO108" s="9">
        <v>5</v>
      </c>
      <c r="BP108" s="9">
        <v>11</v>
      </c>
      <c r="BQ108" s="167">
        <f>'HourGH-JUN'!M15</f>
        <v>0.19</v>
      </c>
      <c r="BR108" s="263">
        <v>107</v>
      </c>
      <c r="BS108" s="9">
        <v>5</v>
      </c>
      <c r="BT108" s="9">
        <v>11</v>
      </c>
      <c r="BU108" s="167">
        <f>'HourGH-JUL'!M15</f>
        <v>0.27</v>
      </c>
      <c r="BV108" s="263">
        <v>107</v>
      </c>
      <c r="BW108" s="9">
        <v>5</v>
      </c>
      <c r="BX108" s="9">
        <v>11</v>
      </c>
      <c r="BY108" s="167">
        <f>'HourGH-AUG'!M15</f>
        <v>0.51</v>
      </c>
      <c r="BZ108" s="9">
        <v>107</v>
      </c>
      <c r="CA108" s="9">
        <v>5</v>
      </c>
      <c r="CB108" s="9">
        <v>11</v>
      </c>
      <c r="CC108" s="167">
        <f>'HourGH-SEP'!M15</f>
        <v>0.61</v>
      </c>
      <c r="CD108" s="263">
        <v>107</v>
      </c>
      <c r="CE108" s="9">
        <v>5</v>
      </c>
      <c r="CF108" s="9">
        <v>11</v>
      </c>
      <c r="CG108" s="167">
        <f>'HourGH-OCT'!M15</f>
        <v>0.87</v>
      </c>
      <c r="CH108" s="9">
        <v>107</v>
      </c>
      <c r="CI108" s="9">
        <v>5</v>
      </c>
      <c r="CJ108" s="9">
        <v>11</v>
      </c>
      <c r="CK108" s="167">
        <f>'HourGH-NOV'!M15</f>
        <v>0.81</v>
      </c>
      <c r="CL108" s="263">
        <v>107</v>
      </c>
      <c r="CM108" s="9">
        <v>5</v>
      </c>
      <c r="CN108" s="9">
        <v>11</v>
      </c>
      <c r="CO108" s="167">
        <f>'HourGH-DEC'!M15</f>
        <v>0.52</v>
      </c>
      <c r="CP108" s="263">
        <v>107</v>
      </c>
      <c r="CQ108" s="9">
        <v>5</v>
      </c>
      <c r="CR108" s="9">
        <v>11</v>
      </c>
      <c r="CS108" s="167">
        <f>'HourGH-JAN'!M15</f>
        <v>0.43</v>
      </c>
      <c r="CT108" s="9">
        <v>107</v>
      </c>
      <c r="CU108" s="9">
        <v>5</v>
      </c>
      <c r="CV108" s="9">
        <v>11</v>
      </c>
      <c r="CW108" s="167">
        <f>'HourGH-FEB'!M15</f>
        <v>0.32</v>
      </c>
      <c r="CX108" s="263">
        <v>107</v>
      </c>
      <c r="CY108" s="9">
        <v>5</v>
      </c>
      <c r="CZ108" s="9">
        <v>11</v>
      </c>
      <c r="DA108" s="167">
        <f>'HourGH-MAR'!M15</f>
        <v>0.26</v>
      </c>
    </row>
    <row r="109" spans="58:105">
      <c r="BF109" s="9">
        <v>108</v>
      </c>
      <c r="BG109" s="9">
        <v>5</v>
      </c>
      <c r="BH109" s="9">
        <v>12</v>
      </c>
      <c r="BI109" s="167">
        <f>'HourGH-APR'!N15</f>
        <v>0.57999999999999996</v>
      </c>
      <c r="BJ109" s="263">
        <v>108</v>
      </c>
      <c r="BK109" s="9">
        <v>5</v>
      </c>
      <c r="BL109" s="9">
        <v>12</v>
      </c>
      <c r="BM109" s="167">
        <f>'HourGH-MAY'!N15</f>
        <v>0.56999999999999995</v>
      </c>
      <c r="BN109" s="9">
        <v>108</v>
      </c>
      <c r="BO109" s="9">
        <v>5</v>
      </c>
      <c r="BP109" s="9">
        <v>12</v>
      </c>
      <c r="BQ109" s="167">
        <f>'HourGH-JUN'!N15</f>
        <v>0.19</v>
      </c>
      <c r="BR109" s="263">
        <v>108</v>
      </c>
      <c r="BS109" s="9">
        <v>5</v>
      </c>
      <c r="BT109" s="9">
        <v>12</v>
      </c>
      <c r="BU109" s="167">
        <f>'HourGH-JUL'!N15</f>
        <v>0.27</v>
      </c>
      <c r="BV109" s="263">
        <v>108</v>
      </c>
      <c r="BW109" s="9">
        <v>5</v>
      </c>
      <c r="BX109" s="9">
        <v>12</v>
      </c>
      <c r="BY109" s="167">
        <f>'HourGH-AUG'!N15</f>
        <v>0.51</v>
      </c>
      <c r="BZ109" s="9">
        <v>108</v>
      </c>
      <c r="CA109" s="9">
        <v>5</v>
      </c>
      <c r="CB109" s="9">
        <v>12</v>
      </c>
      <c r="CC109" s="167">
        <f>'HourGH-SEP'!N15</f>
        <v>0.61</v>
      </c>
      <c r="CD109" s="263">
        <v>108</v>
      </c>
      <c r="CE109" s="9">
        <v>5</v>
      </c>
      <c r="CF109" s="9">
        <v>12</v>
      </c>
      <c r="CG109" s="167">
        <f>'HourGH-OCT'!N15</f>
        <v>0.88</v>
      </c>
      <c r="CH109" s="9">
        <v>108</v>
      </c>
      <c r="CI109" s="9">
        <v>5</v>
      </c>
      <c r="CJ109" s="9">
        <v>12</v>
      </c>
      <c r="CK109" s="167">
        <f>'HourGH-NOV'!N15</f>
        <v>0.81</v>
      </c>
      <c r="CL109" s="263">
        <v>108</v>
      </c>
      <c r="CM109" s="9">
        <v>5</v>
      </c>
      <c r="CN109" s="9">
        <v>12</v>
      </c>
      <c r="CO109" s="167">
        <f>'HourGH-DEC'!N15</f>
        <v>0.52</v>
      </c>
      <c r="CP109" s="263">
        <v>108</v>
      </c>
      <c r="CQ109" s="9">
        <v>5</v>
      </c>
      <c r="CR109" s="9">
        <v>12</v>
      </c>
      <c r="CS109" s="167">
        <f>'HourGH-JAN'!N15</f>
        <v>0.43</v>
      </c>
      <c r="CT109" s="9">
        <v>108</v>
      </c>
      <c r="CU109" s="9">
        <v>5</v>
      </c>
      <c r="CV109" s="9">
        <v>12</v>
      </c>
      <c r="CW109" s="167">
        <f>'HourGH-FEB'!N15</f>
        <v>0.32</v>
      </c>
      <c r="CX109" s="263">
        <v>108</v>
      </c>
      <c r="CY109" s="9">
        <v>5</v>
      </c>
      <c r="CZ109" s="9">
        <v>12</v>
      </c>
      <c r="DA109" s="167">
        <f>'HourGH-MAR'!N15</f>
        <v>0.26</v>
      </c>
    </row>
    <row r="110" spans="58:105">
      <c r="BF110" s="9">
        <v>109</v>
      </c>
      <c r="BG110" s="9">
        <v>5</v>
      </c>
      <c r="BH110" s="9">
        <v>13</v>
      </c>
      <c r="BI110" s="167">
        <f>'HourGH-APR'!O15</f>
        <v>0.56999999999999995</v>
      </c>
      <c r="BJ110" s="263">
        <v>109</v>
      </c>
      <c r="BK110" s="9">
        <v>5</v>
      </c>
      <c r="BL110" s="9">
        <v>13</v>
      </c>
      <c r="BM110" s="167">
        <f>'HourGH-MAY'!O15</f>
        <v>0.56000000000000005</v>
      </c>
      <c r="BN110" s="9">
        <v>109</v>
      </c>
      <c r="BO110" s="9">
        <v>5</v>
      </c>
      <c r="BP110" s="9">
        <v>13</v>
      </c>
      <c r="BQ110" s="167">
        <f>'HourGH-JUN'!O15</f>
        <v>0.2</v>
      </c>
      <c r="BR110" s="263">
        <v>109</v>
      </c>
      <c r="BS110" s="9">
        <v>5</v>
      </c>
      <c r="BT110" s="9">
        <v>13</v>
      </c>
      <c r="BU110" s="167">
        <f>'HourGH-JUL'!O15</f>
        <v>0.27</v>
      </c>
      <c r="BV110" s="263">
        <v>109</v>
      </c>
      <c r="BW110" s="9">
        <v>5</v>
      </c>
      <c r="BX110" s="9">
        <v>13</v>
      </c>
      <c r="BY110" s="167">
        <f>'HourGH-AUG'!O15</f>
        <v>0.52</v>
      </c>
      <c r="BZ110" s="9">
        <v>109</v>
      </c>
      <c r="CA110" s="9">
        <v>5</v>
      </c>
      <c r="CB110" s="9">
        <v>13</v>
      </c>
      <c r="CC110" s="167">
        <f>'HourGH-SEP'!O15</f>
        <v>0.61</v>
      </c>
      <c r="CD110" s="263">
        <v>109</v>
      </c>
      <c r="CE110" s="9">
        <v>5</v>
      </c>
      <c r="CF110" s="9">
        <v>13</v>
      </c>
      <c r="CG110" s="167">
        <f>'HourGH-OCT'!O15</f>
        <v>0.88</v>
      </c>
      <c r="CH110" s="9">
        <v>109</v>
      </c>
      <c r="CI110" s="9">
        <v>5</v>
      </c>
      <c r="CJ110" s="9">
        <v>13</v>
      </c>
      <c r="CK110" s="167">
        <f>'HourGH-NOV'!O15</f>
        <v>0.8</v>
      </c>
      <c r="CL110" s="263">
        <v>109</v>
      </c>
      <c r="CM110" s="9">
        <v>5</v>
      </c>
      <c r="CN110" s="9">
        <v>13</v>
      </c>
      <c r="CO110" s="167">
        <f>'HourGH-DEC'!O15</f>
        <v>0.52</v>
      </c>
      <c r="CP110" s="263">
        <v>109</v>
      </c>
      <c r="CQ110" s="9">
        <v>5</v>
      </c>
      <c r="CR110" s="9">
        <v>13</v>
      </c>
      <c r="CS110" s="167">
        <f>'HourGH-JAN'!O15</f>
        <v>0.43</v>
      </c>
      <c r="CT110" s="9">
        <v>109</v>
      </c>
      <c r="CU110" s="9">
        <v>5</v>
      </c>
      <c r="CV110" s="9">
        <v>13</v>
      </c>
      <c r="CW110" s="167">
        <f>'HourGH-FEB'!O15</f>
        <v>0.32</v>
      </c>
      <c r="CX110" s="263">
        <v>109</v>
      </c>
      <c r="CY110" s="9">
        <v>5</v>
      </c>
      <c r="CZ110" s="9">
        <v>13</v>
      </c>
      <c r="DA110" s="167">
        <f>'HourGH-MAR'!O15</f>
        <v>0.26</v>
      </c>
    </row>
    <row r="111" spans="58:105">
      <c r="BF111" s="9">
        <v>110</v>
      </c>
      <c r="BG111" s="9">
        <v>5</v>
      </c>
      <c r="BH111" s="9">
        <v>14</v>
      </c>
      <c r="BI111" s="167">
        <f>'HourGH-APR'!P15</f>
        <v>0.56999999999999995</v>
      </c>
      <c r="BJ111" s="263">
        <v>110</v>
      </c>
      <c r="BK111" s="9">
        <v>5</v>
      </c>
      <c r="BL111" s="9">
        <v>14</v>
      </c>
      <c r="BM111" s="167">
        <f>'HourGH-MAY'!P15</f>
        <v>0.56000000000000005</v>
      </c>
      <c r="BN111" s="9">
        <v>110</v>
      </c>
      <c r="BO111" s="9">
        <v>5</v>
      </c>
      <c r="BP111" s="9">
        <v>14</v>
      </c>
      <c r="BQ111" s="167">
        <f>'HourGH-JUN'!P15</f>
        <v>0.2</v>
      </c>
      <c r="BR111" s="263">
        <v>110</v>
      </c>
      <c r="BS111" s="9">
        <v>5</v>
      </c>
      <c r="BT111" s="9">
        <v>14</v>
      </c>
      <c r="BU111" s="167">
        <f>'HourGH-JUL'!P15</f>
        <v>0.27</v>
      </c>
      <c r="BV111" s="263">
        <v>110</v>
      </c>
      <c r="BW111" s="9">
        <v>5</v>
      </c>
      <c r="BX111" s="9">
        <v>14</v>
      </c>
      <c r="BY111" s="167">
        <f>'HourGH-AUG'!P15</f>
        <v>0.52</v>
      </c>
      <c r="BZ111" s="9">
        <v>110</v>
      </c>
      <c r="CA111" s="9">
        <v>5</v>
      </c>
      <c r="CB111" s="9">
        <v>14</v>
      </c>
      <c r="CC111" s="167">
        <f>'HourGH-SEP'!P15</f>
        <v>0.6</v>
      </c>
      <c r="CD111" s="263">
        <v>110</v>
      </c>
      <c r="CE111" s="9">
        <v>5</v>
      </c>
      <c r="CF111" s="9">
        <v>14</v>
      </c>
      <c r="CG111" s="167">
        <f>'HourGH-OCT'!P15</f>
        <v>0.88</v>
      </c>
      <c r="CH111" s="9">
        <v>110</v>
      </c>
      <c r="CI111" s="9">
        <v>5</v>
      </c>
      <c r="CJ111" s="9">
        <v>14</v>
      </c>
      <c r="CK111" s="167">
        <f>'HourGH-NOV'!P15</f>
        <v>0.8</v>
      </c>
      <c r="CL111" s="263">
        <v>110</v>
      </c>
      <c r="CM111" s="9">
        <v>5</v>
      </c>
      <c r="CN111" s="9">
        <v>14</v>
      </c>
      <c r="CO111" s="167">
        <f>'HourGH-DEC'!P15</f>
        <v>0.52</v>
      </c>
      <c r="CP111" s="263">
        <v>110</v>
      </c>
      <c r="CQ111" s="9">
        <v>5</v>
      </c>
      <c r="CR111" s="9">
        <v>14</v>
      </c>
      <c r="CS111" s="167">
        <f>'HourGH-JAN'!P15</f>
        <v>0.43</v>
      </c>
      <c r="CT111" s="9">
        <v>110</v>
      </c>
      <c r="CU111" s="9">
        <v>5</v>
      </c>
      <c r="CV111" s="9">
        <v>14</v>
      </c>
      <c r="CW111" s="167">
        <f>'HourGH-FEB'!P15</f>
        <v>0.32</v>
      </c>
      <c r="CX111" s="263">
        <v>110</v>
      </c>
      <c r="CY111" s="9">
        <v>5</v>
      </c>
      <c r="CZ111" s="9">
        <v>14</v>
      </c>
      <c r="DA111" s="167">
        <f>'HourGH-MAR'!P15</f>
        <v>0.26</v>
      </c>
    </row>
    <row r="112" spans="58:105">
      <c r="BF112" s="9">
        <v>111</v>
      </c>
      <c r="BG112" s="9">
        <v>5</v>
      </c>
      <c r="BH112" s="9">
        <v>15</v>
      </c>
      <c r="BI112" s="167">
        <f>'HourGH-APR'!Q15</f>
        <v>0.56999999999999995</v>
      </c>
      <c r="BJ112" s="263">
        <v>111</v>
      </c>
      <c r="BK112" s="9">
        <v>5</v>
      </c>
      <c r="BL112" s="9">
        <v>15</v>
      </c>
      <c r="BM112" s="167">
        <f>'HourGH-MAY'!Q15</f>
        <v>0.56000000000000005</v>
      </c>
      <c r="BN112" s="9">
        <v>111</v>
      </c>
      <c r="BO112" s="9">
        <v>5</v>
      </c>
      <c r="BP112" s="9">
        <v>15</v>
      </c>
      <c r="BQ112" s="167">
        <f>'HourGH-JUN'!Q15</f>
        <v>0.2</v>
      </c>
      <c r="BR112" s="263">
        <v>111</v>
      </c>
      <c r="BS112" s="9">
        <v>5</v>
      </c>
      <c r="BT112" s="9">
        <v>15</v>
      </c>
      <c r="BU112" s="167">
        <f>'HourGH-JUL'!Q15</f>
        <v>0.27</v>
      </c>
      <c r="BV112" s="263">
        <v>111</v>
      </c>
      <c r="BW112" s="9">
        <v>5</v>
      </c>
      <c r="BX112" s="9">
        <v>15</v>
      </c>
      <c r="BY112" s="167">
        <f>'HourGH-AUG'!Q15</f>
        <v>0.53</v>
      </c>
      <c r="BZ112" s="9">
        <v>111</v>
      </c>
      <c r="CA112" s="9">
        <v>5</v>
      </c>
      <c r="CB112" s="9">
        <v>15</v>
      </c>
      <c r="CC112" s="167">
        <f>'HourGH-SEP'!Q15</f>
        <v>0.6</v>
      </c>
      <c r="CD112" s="263">
        <v>111</v>
      </c>
      <c r="CE112" s="9">
        <v>5</v>
      </c>
      <c r="CF112" s="9">
        <v>15</v>
      </c>
      <c r="CG112" s="167">
        <f>'HourGH-OCT'!Q15</f>
        <v>0.89</v>
      </c>
      <c r="CH112" s="9">
        <v>111</v>
      </c>
      <c r="CI112" s="9">
        <v>5</v>
      </c>
      <c r="CJ112" s="9">
        <v>15</v>
      </c>
      <c r="CK112" s="167">
        <f>'HourGH-NOV'!Q15</f>
        <v>0.8</v>
      </c>
      <c r="CL112" s="263">
        <v>111</v>
      </c>
      <c r="CM112" s="9">
        <v>5</v>
      </c>
      <c r="CN112" s="9">
        <v>15</v>
      </c>
      <c r="CO112" s="167">
        <f>'HourGH-DEC'!Q15</f>
        <v>0.52</v>
      </c>
      <c r="CP112" s="263">
        <v>111</v>
      </c>
      <c r="CQ112" s="9">
        <v>5</v>
      </c>
      <c r="CR112" s="9">
        <v>15</v>
      </c>
      <c r="CS112" s="167">
        <f>'HourGH-JAN'!Q15</f>
        <v>0.43</v>
      </c>
      <c r="CT112" s="9">
        <v>111</v>
      </c>
      <c r="CU112" s="9">
        <v>5</v>
      </c>
      <c r="CV112" s="9">
        <v>15</v>
      </c>
      <c r="CW112" s="167">
        <f>'HourGH-FEB'!Q15</f>
        <v>0.32</v>
      </c>
      <c r="CX112" s="263">
        <v>111</v>
      </c>
      <c r="CY112" s="9">
        <v>5</v>
      </c>
      <c r="CZ112" s="9">
        <v>15</v>
      </c>
      <c r="DA112" s="167">
        <f>'HourGH-MAR'!Q15</f>
        <v>0.26</v>
      </c>
    </row>
    <row r="113" spans="58:105">
      <c r="BF113" s="9">
        <v>112</v>
      </c>
      <c r="BG113" s="9">
        <v>5</v>
      </c>
      <c r="BH113" s="9">
        <v>16</v>
      </c>
      <c r="BI113" s="167">
        <f>'HourGH-APR'!R15</f>
        <v>0.56999999999999995</v>
      </c>
      <c r="BJ113" s="263">
        <v>112</v>
      </c>
      <c r="BK113" s="9">
        <v>5</v>
      </c>
      <c r="BL113" s="9">
        <v>16</v>
      </c>
      <c r="BM113" s="167">
        <f>'HourGH-MAY'!R15</f>
        <v>0.56000000000000005</v>
      </c>
      <c r="BN113" s="9">
        <v>112</v>
      </c>
      <c r="BO113" s="9">
        <v>5</v>
      </c>
      <c r="BP113" s="9">
        <v>16</v>
      </c>
      <c r="BQ113" s="167">
        <f>'HourGH-JUN'!R15</f>
        <v>0.2</v>
      </c>
      <c r="BR113" s="263">
        <v>112</v>
      </c>
      <c r="BS113" s="9">
        <v>5</v>
      </c>
      <c r="BT113" s="9">
        <v>16</v>
      </c>
      <c r="BU113" s="167">
        <f>'HourGH-JUL'!R15</f>
        <v>0.27</v>
      </c>
      <c r="BV113" s="263">
        <v>112</v>
      </c>
      <c r="BW113" s="9">
        <v>5</v>
      </c>
      <c r="BX113" s="9">
        <v>16</v>
      </c>
      <c r="BY113" s="167">
        <f>'HourGH-AUG'!R15</f>
        <v>0.53</v>
      </c>
      <c r="BZ113" s="9">
        <v>112</v>
      </c>
      <c r="CA113" s="9">
        <v>5</v>
      </c>
      <c r="CB113" s="9">
        <v>16</v>
      </c>
      <c r="CC113" s="167">
        <f>'HourGH-SEP'!R15</f>
        <v>0.6</v>
      </c>
      <c r="CD113" s="263">
        <v>112</v>
      </c>
      <c r="CE113" s="9">
        <v>5</v>
      </c>
      <c r="CF113" s="9">
        <v>16</v>
      </c>
      <c r="CG113" s="167">
        <f>'HourGH-OCT'!R15</f>
        <v>0.89</v>
      </c>
      <c r="CH113" s="9">
        <v>112</v>
      </c>
      <c r="CI113" s="9">
        <v>5</v>
      </c>
      <c r="CJ113" s="9">
        <v>16</v>
      </c>
      <c r="CK113" s="167">
        <f>'HourGH-NOV'!R15</f>
        <v>0.8</v>
      </c>
      <c r="CL113" s="263">
        <v>112</v>
      </c>
      <c r="CM113" s="9">
        <v>5</v>
      </c>
      <c r="CN113" s="9">
        <v>16</v>
      </c>
      <c r="CO113" s="167">
        <f>'HourGH-DEC'!R15</f>
        <v>0.52</v>
      </c>
      <c r="CP113" s="263">
        <v>112</v>
      </c>
      <c r="CQ113" s="9">
        <v>5</v>
      </c>
      <c r="CR113" s="9">
        <v>16</v>
      </c>
      <c r="CS113" s="167">
        <f>'HourGH-JAN'!R15</f>
        <v>0.43</v>
      </c>
      <c r="CT113" s="9">
        <v>112</v>
      </c>
      <c r="CU113" s="9">
        <v>5</v>
      </c>
      <c r="CV113" s="9">
        <v>16</v>
      </c>
      <c r="CW113" s="167">
        <f>'HourGH-FEB'!R15</f>
        <v>0.32</v>
      </c>
      <c r="CX113" s="263">
        <v>112</v>
      </c>
      <c r="CY113" s="9">
        <v>5</v>
      </c>
      <c r="CZ113" s="9">
        <v>16</v>
      </c>
      <c r="DA113" s="167">
        <f>'HourGH-MAR'!R15</f>
        <v>0.26</v>
      </c>
    </row>
    <row r="114" spans="58:105">
      <c r="BF114" s="9">
        <v>113</v>
      </c>
      <c r="BG114" s="9">
        <v>5</v>
      </c>
      <c r="BH114" s="9">
        <v>17</v>
      </c>
      <c r="BI114" s="167">
        <f>'HourGH-APR'!S15</f>
        <v>0.56000000000000005</v>
      </c>
      <c r="BJ114" s="263">
        <v>113</v>
      </c>
      <c r="BK114" s="9">
        <v>5</v>
      </c>
      <c r="BL114" s="9">
        <v>17</v>
      </c>
      <c r="BM114" s="167">
        <f>'HourGH-MAY'!S15</f>
        <v>0.56000000000000005</v>
      </c>
      <c r="BN114" s="9">
        <v>113</v>
      </c>
      <c r="BO114" s="9">
        <v>5</v>
      </c>
      <c r="BP114" s="9">
        <v>17</v>
      </c>
      <c r="BQ114" s="167">
        <f>'HourGH-JUN'!S15</f>
        <v>0.2</v>
      </c>
      <c r="BR114" s="263">
        <v>113</v>
      </c>
      <c r="BS114" s="9">
        <v>5</v>
      </c>
      <c r="BT114" s="9">
        <v>17</v>
      </c>
      <c r="BU114" s="167">
        <f>'HourGH-JUL'!S15</f>
        <v>0.27</v>
      </c>
      <c r="BV114" s="263">
        <v>113</v>
      </c>
      <c r="BW114" s="9">
        <v>5</v>
      </c>
      <c r="BX114" s="9">
        <v>17</v>
      </c>
      <c r="BY114" s="167">
        <f>'HourGH-AUG'!S15</f>
        <v>0.54</v>
      </c>
      <c r="BZ114" s="9">
        <v>113</v>
      </c>
      <c r="CA114" s="9">
        <v>5</v>
      </c>
      <c r="CB114" s="9">
        <v>17</v>
      </c>
      <c r="CC114" s="167">
        <f>'HourGH-SEP'!S15</f>
        <v>0.6</v>
      </c>
      <c r="CD114" s="263">
        <v>113</v>
      </c>
      <c r="CE114" s="9">
        <v>5</v>
      </c>
      <c r="CF114" s="9">
        <v>17</v>
      </c>
      <c r="CG114" s="167">
        <f>'HourGH-OCT'!S15</f>
        <v>0.9</v>
      </c>
      <c r="CH114" s="9">
        <v>113</v>
      </c>
      <c r="CI114" s="9">
        <v>5</v>
      </c>
      <c r="CJ114" s="9">
        <v>17</v>
      </c>
      <c r="CK114" s="167">
        <f>'HourGH-NOV'!S15</f>
        <v>0.8</v>
      </c>
      <c r="CL114" s="263">
        <v>113</v>
      </c>
      <c r="CM114" s="9">
        <v>5</v>
      </c>
      <c r="CN114" s="9">
        <v>17</v>
      </c>
      <c r="CO114" s="167">
        <f>'HourGH-DEC'!S15</f>
        <v>0.52</v>
      </c>
      <c r="CP114" s="263">
        <v>113</v>
      </c>
      <c r="CQ114" s="9">
        <v>5</v>
      </c>
      <c r="CR114" s="9">
        <v>17</v>
      </c>
      <c r="CS114" s="167">
        <f>'HourGH-JAN'!S15</f>
        <v>0.43</v>
      </c>
      <c r="CT114" s="9">
        <v>113</v>
      </c>
      <c r="CU114" s="9">
        <v>5</v>
      </c>
      <c r="CV114" s="9">
        <v>17</v>
      </c>
      <c r="CW114" s="167">
        <f>'HourGH-FEB'!S15</f>
        <v>0.32</v>
      </c>
      <c r="CX114" s="263">
        <v>113</v>
      </c>
      <c r="CY114" s="9">
        <v>5</v>
      </c>
      <c r="CZ114" s="9">
        <v>17</v>
      </c>
      <c r="DA114" s="167">
        <f>'HourGH-MAR'!S15</f>
        <v>0.26</v>
      </c>
    </row>
    <row r="115" spans="58:105">
      <c r="BF115" s="9">
        <v>114</v>
      </c>
      <c r="BG115" s="9">
        <v>5</v>
      </c>
      <c r="BH115" s="9">
        <v>18</v>
      </c>
      <c r="BI115" s="167">
        <f>'HourGH-APR'!T15</f>
        <v>0.56000000000000005</v>
      </c>
      <c r="BJ115" s="263">
        <v>114</v>
      </c>
      <c r="BK115" s="9">
        <v>5</v>
      </c>
      <c r="BL115" s="9">
        <v>18</v>
      </c>
      <c r="BM115" s="167">
        <f>'HourGH-MAY'!T15</f>
        <v>0.56000000000000005</v>
      </c>
      <c r="BN115" s="9">
        <v>114</v>
      </c>
      <c r="BO115" s="9">
        <v>5</v>
      </c>
      <c r="BP115" s="9">
        <v>18</v>
      </c>
      <c r="BQ115" s="167">
        <f>'HourGH-JUN'!T15</f>
        <v>0.2</v>
      </c>
      <c r="BR115" s="263">
        <v>114</v>
      </c>
      <c r="BS115" s="9">
        <v>5</v>
      </c>
      <c r="BT115" s="9">
        <v>18</v>
      </c>
      <c r="BU115" s="167">
        <f>'HourGH-JUL'!T15</f>
        <v>0.27</v>
      </c>
      <c r="BV115" s="263">
        <v>114</v>
      </c>
      <c r="BW115" s="9">
        <v>5</v>
      </c>
      <c r="BX115" s="9">
        <v>18</v>
      </c>
      <c r="BY115" s="167">
        <f>'HourGH-AUG'!T15</f>
        <v>0.54</v>
      </c>
      <c r="BZ115" s="9">
        <v>114</v>
      </c>
      <c r="CA115" s="9">
        <v>5</v>
      </c>
      <c r="CB115" s="9">
        <v>18</v>
      </c>
      <c r="CC115" s="167">
        <f>'HourGH-SEP'!T15</f>
        <v>0.6</v>
      </c>
      <c r="CD115" s="263">
        <v>114</v>
      </c>
      <c r="CE115" s="9">
        <v>5</v>
      </c>
      <c r="CF115" s="9">
        <v>18</v>
      </c>
      <c r="CG115" s="167">
        <f>'HourGH-OCT'!T15</f>
        <v>0.9</v>
      </c>
      <c r="CH115" s="9">
        <v>114</v>
      </c>
      <c r="CI115" s="9">
        <v>5</v>
      </c>
      <c r="CJ115" s="9">
        <v>18</v>
      </c>
      <c r="CK115" s="167">
        <f>'HourGH-NOV'!T15</f>
        <v>0.8</v>
      </c>
      <c r="CL115" s="263">
        <v>114</v>
      </c>
      <c r="CM115" s="9">
        <v>5</v>
      </c>
      <c r="CN115" s="9">
        <v>18</v>
      </c>
      <c r="CO115" s="167">
        <f>'HourGH-DEC'!T15</f>
        <v>0.52</v>
      </c>
      <c r="CP115" s="263">
        <v>114</v>
      </c>
      <c r="CQ115" s="9">
        <v>5</v>
      </c>
      <c r="CR115" s="9">
        <v>18</v>
      </c>
      <c r="CS115" s="167">
        <f>'HourGH-JAN'!T15</f>
        <v>0.43</v>
      </c>
      <c r="CT115" s="9">
        <v>114</v>
      </c>
      <c r="CU115" s="9">
        <v>5</v>
      </c>
      <c r="CV115" s="9">
        <v>18</v>
      </c>
      <c r="CW115" s="167">
        <f>'HourGH-FEB'!T15</f>
        <v>0.32</v>
      </c>
      <c r="CX115" s="263">
        <v>114</v>
      </c>
      <c r="CY115" s="9">
        <v>5</v>
      </c>
      <c r="CZ115" s="9">
        <v>18</v>
      </c>
      <c r="DA115" s="167">
        <f>'HourGH-MAR'!T15</f>
        <v>0.26</v>
      </c>
    </row>
    <row r="116" spans="58:105">
      <c r="BF116" s="9">
        <v>115</v>
      </c>
      <c r="BG116" s="9">
        <v>5</v>
      </c>
      <c r="BH116" s="9">
        <v>19</v>
      </c>
      <c r="BI116" s="167">
        <f>'HourGH-APR'!U15</f>
        <v>0.56000000000000005</v>
      </c>
      <c r="BJ116" s="263">
        <v>115</v>
      </c>
      <c r="BK116" s="9">
        <v>5</v>
      </c>
      <c r="BL116" s="9">
        <v>19</v>
      </c>
      <c r="BM116" s="167">
        <f>'HourGH-MAY'!U15</f>
        <v>0.55000000000000004</v>
      </c>
      <c r="BN116" s="9">
        <v>115</v>
      </c>
      <c r="BO116" s="9">
        <v>5</v>
      </c>
      <c r="BP116" s="9">
        <v>19</v>
      </c>
      <c r="BQ116" s="167">
        <f>'HourGH-JUN'!U15</f>
        <v>0.2</v>
      </c>
      <c r="BR116" s="263">
        <v>115</v>
      </c>
      <c r="BS116" s="9">
        <v>5</v>
      </c>
      <c r="BT116" s="9">
        <v>19</v>
      </c>
      <c r="BU116" s="167">
        <f>'HourGH-JUL'!U15</f>
        <v>0.27</v>
      </c>
      <c r="BV116" s="263">
        <v>115</v>
      </c>
      <c r="BW116" s="9">
        <v>5</v>
      </c>
      <c r="BX116" s="9">
        <v>19</v>
      </c>
      <c r="BY116" s="167">
        <f>'HourGH-AUG'!U15</f>
        <v>0.55000000000000004</v>
      </c>
      <c r="BZ116" s="9">
        <v>115</v>
      </c>
      <c r="CA116" s="9">
        <v>5</v>
      </c>
      <c r="CB116" s="9">
        <v>19</v>
      </c>
      <c r="CC116" s="167">
        <f>'HourGH-SEP'!U15</f>
        <v>0.6</v>
      </c>
      <c r="CD116" s="263">
        <v>115</v>
      </c>
      <c r="CE116" s="9">
        <v>5</v>
      </c>
      <c r="CF116" s="9">
        <v>19</v>
      </c>
      <c r="CG116" s="167">
        <f>'HourGH-OCT'!U15</f>
        <v>0.91</v>
      </c>
      <c r="CH116" s="9">
        <v>115</v>
      </c>
      <c r="CI116" s="9">
        <v>5</v>
      </c>
      <c r="CJ116" s="9">
        <v>19</v>
      </c>
      <c r="CK116" s="167">
        <f>'HourGH-NOV'!U15</f>
        <v>0.79</v>
      </c>
      <c r="CL116" s="263">
        <v>115</v>
      </c>
      <c r="CM116" s="9">
        <v>5</v>
      </c>
      <c r="CN116" s="9">
        <v>19</v>
      </c>
      <c r="CO116" s="167">
        <f>'HourGH-DEC'!U15</f>
        <v>0.52</v>
      </c>
      <c r="CP116" s="263">
        <v>115</v>
      </c>
      <c r="CQ116" s="9">
        <v>5</v>
      </c>
      <c r="CR116" s="9">
        <v>19</v>
      </c>
      <c r="CS116" s="167">
        <f>'HourGH-JAN'!U15</f>
        <v>0.43</v>
      </c>
      <c r="CT116" s="9">
        <v>115</v>
      </c>
      <c r="CU116" s="9">
        <v>5</v>
      </c>
      <c r="CV116" s="9">
        <v>19</v>
      </c>
      <c r="CW116" s="167">
        <f>'HourGH-FEB'!U15</f>
        <v>0.32</v>
      </c>
      <c r="CX116" s="263">
        <v>115</v>
      </c>
      <c r="CY116" s="9">
        <v>5</v>
      </c>
      <c r="CZ116" s="9">
        <v>19</v>
      </c>
      <c r="DA116" s="167">
        <f>'HourGH-MAR'!U15</f>
        <v>0.26</v>
      </c>
    </row>
    <row r="117" spans="58:105">
      <c r="BF117" s="9">
        <v>116</v>
      </c>
      <c r="BG117" s="9">
        <v>5</v>
      </c>
      <c r="BH117" s="9">
        <v>20</v>
      </c>
      <c r="BI117" s="167">
        <f>'HourGH-APR'!V15</f>
        <v>0.56000000000000005</v>
      </c>
      <c r="BJ117" s="263">
        <v>116</v>
      </c>
      <c r="BK117" s="9">
        <v>5</v>
      </c>
      <c r="BL117" s="9">
        <v>20</v>
      </c>
      <c r="BM117" s="167">
        <f>'HourGH-MAY'!V15</f>
        <v>0.55000000000000004</v>
      </c>
      <c r="BN117" s="9">
        <v>116</v>
      </c>
      <c r="BO117" s="9">
        <v>5</v>
      </c>
      <c r="BP117" s="9">
        <v>20</v>
      </c>
      <c r="BQ117" s="167">
        <f>'HourGH-JUN'!V15</f>
        <v>0.2</v>
      </c>
      <c r="BR117" s="263">
        <v>116</v>
      </c>
      <c r="BS117" s="9">
        <v>5</v>
      </c>
      <c r="BT117" s="9">
        <v>20</v>
      </c>
      <c r="BU117" s="167">
        <f>'HourGH-JUL'!V15</f>
        <v>0.27</v>
      </c>
      <c r="BV117" s="263">
        <v>116</v>
      </c>
      <c r="BW117" s="9">
        <v>5</v>
      </c>
      <c r="BX117" s="9">
        <v>20</v>
      </c>
      <c r="BY117" s="167">
        <f>'HourGH-AUG'!V15</f>
        <v>0.56000000000000005</v>
      </c>
      <c r="BZ117" s="9">
        <v>116</v>
      </c>
      <c r="CA117" s="9">
        <v>5</v>
      </c>
      <c r="CB117" s="9">
        <v>20</v>
      </c>
      <c r="CC117" s="167">
        <f>'HourGH-SEP'!V15</f>
        <v>0.6</v>
      </c>
      <c r="CD117" s="263">
        <v>116</v>
      </c>
      <c r="CE117" s="9">
        <v>5</v>
      </c>
      <c r="CF117" s="9">
        <v>20</v>
      </c>
      <c r="CG117" s="167">
        <f>'HourGH-OCT'!V15</f>
        <v>0.92</v>
      </c>
      <c r="CH117" s="9">
        <v>116</v>
      </c>
      <c r="CI117" s="9">
        <v>5</v>
      </c>
      <c r="CJ117" s="9">
        <v>20</v>
      </c>
      <c r="CK117" s="167">
        <f>'HourGH-NOV'!V15</f>
        <v>0.79</v>
      </c>
      <c r="CL117" s="263">
        <v>116</v>
      </c>
      <c r="CM117" s="9">
        <v>5</v>
      </c>
      <c r="CN117" s="9">
        <v>20</v>
      </c>
      <c r="CO117" s="167">
        <f>'HourGH-DEC'!V15</f>
        <v>0.52</v>
      </c>
      <c r="CP117" s="263">
        <v>116</v>
      </c>
      <c r="CQ117" s="9">
        <v>5</v>
      </c>
      <c r="CR117" s="9">
        <v>20</v>
      </c>
      <c r="CS117" s="167">
        <f>'HourGH-JAN'!V15</f>
        <v>0.43</v>
      </c>
      <c r="CT117" s="9">
        <v>116</v>
      </c>
      <c r="CU117" s="9">
        <v>5</v>
      </c>
      <c r="CV117" s="9">
        <v>20</v>
      </c>
      <c r="CW117" s="167">
        <f>'HourGH-FEB'!V15</f>
        <v>0.32</v>
      </c>
      <c r="CX117" s="263">
        <v>116</v>
      </c>
      <c r="CY117" s="9">
        <v>5</v>
      </c>
      <c r="CZ117" s="9">
        <v>20</v>
      </c>
      <c r="DA117" s="167">
        <f>'HourGH-MAR'!V15</f>
        <v>0.26</v>
      </c>
    </row>
    <row r="118" spans="58:105">
      <c r="BF118" s="9">
        <v>117</v>
      </c>
      <c r="BG118" s="9">
        <v>5</v>
      </c>
      <c r="BH118" s="9">
        <v>21</v>
      </c>
      <c r="BI118" s="167">
        <f>'HourGH-APR'!W15</f>
        <v>0.56000000000000005</v>
      </c>
      <c r="BJ118" s="263">
        <v>117</v>
      </c>
      <c r="BK118" s="9">
        <v>5</v>
      </c>
      <c r="BL118" s="9">
        <v>21</v>
      </c>
      <c r="BM118" s="167">
        <f>'HourGH-MAY'!W15</f>
        <v>0.55000000000000004</v>
      </c>
      <c r="BN118" s="9">
        <v>117</v>
      </c>
      <c r="BO118" s="9">
        <v>5</v>
      </c>
      <c r="BP118" s="9">
        <v>21</v>
      </c>
      <c r="BQ118" s="167">
        <f>'HourGH-JUN'!W15</f>
        <v>0.2</v>
      </c>
      <c r="BR118" s="263">
        <v>117</v>
      </c>
      <c r="BS118" s="9">
        <v>5</v>
      </c>
      <c r="BT118" s="9">
        <v>21</v>
      </c>
      <c r="BU118" s="167">
        <f>'HourGH-JUL'!W15</f>
        <v>0.27</v>
      </c>
      <c r="BV118" s="263">
        <v>117</v>
      </c>
      <c r="BW118" s="9">
        <v>5</v>
      </c>
      <c r="BX118" s="9">
        <v>21</v>
      </c>
      <c r="BY118" s="167">
        <f>'HourGH-AUG'!W15</f>
        <v>0.56999999999999995</v>
      </c>
      <c r="BZ118" s="9">
        <v>117</v>
      </c>
      <c r="CA118" s="9">
        <v>5</v>
      </c>
      <c r="CB118" s="9">
        <v>21</v>
      </c>
      <c r="CC118" s="167">
        <f>'HourGH-SEP'!W15</f>
        <v>0.61</v>
      </c>
      <c r="CD118" s="263">
        <v>117</v>
      </c>
      <c r="CE118" s="9">
        <v>5</v>
      </c>
      <c r="CF118" s="9">
        <v>21</v>
      </c>
      <c r="CG118" s="167">
        <f>'HourGH-OCT'!W15</f>
        <v>0.92</v>
      </c>
      <c r="CH118" s="9">
        <v>117</v>
      </c>
      <c r="CI118" s="9">
        <v>5</v>
      </c>
      <c r="CJ118" s="9">
        <v>21</v>
      </c>
      <c r="CK118" s="167">
        <f>'HourGH-NOV'!W15</f>
        <v>0.79</v>
      </c>
      <c r="CL118" s="263">
        <v>117</v>
      </c>
      <c r="CM118" s="9">
        <v>5</v>
      </c>
      <c r="CN118" s="9">
        <v>21</v>
      </c>
      <c r="CO118" s="167">
        <f>'HourGH-DEC'!W15</f>
        <v>0.52</v>
      </c>
      <c r="CP118" s="263">
        <v>117</v>
      </c>
      <c r="CQ118" s="9">
        <v>5</v>
      </c>
      <c r="CR118" s="9">
        <v>21</v>
      </c>
      <c r="CS118" s="167">
        <f>'HourGH-JAN'!W15</f>
        <v>0.43</v>
      </c>
      <c r="CT118" s="9">
        <v>117</v>
      </c>
      <c r="CU118" s="9">
        <v>5</v>
      </c>
      <c r="CV118" s="9">
        <v>21</v>
      </c>
      <c r="CW118" s="167">
        <f>'HourGH-FEB'!W15</f>
        <v>0.32</v>
      </c>
      <c r="CX118" s="263">
        <v>117</v>
      </c>
      <c r="CY118" s="9">
        <v>5</v>
      </c>
      <c r="CZ118" s="9">
        <v>21</v>
      </c>
      <c r="DA118" s="167">
        <f>'HourGH-MAR'!W15</f>
        <v>0.26</v>
      </c>
    </row>
    <row r="119" spans="58:105">
      <c r="BF119" s="9">
        <v>118</v>
      </c>
      <c r="BG119" s="9">
        <v>5</v>
      </c>
      <c r="BH119" s="9">
        <v>22</v>
      </c>
      <c r="BI119" s="167">
        <f>'HourGH-APR'!X15</f>
        <v>0.56000000000000005</v>
      </c>
      <c r="BJ119" s="263">
        <v>118</v>
      </c>
      <c r="BK119" s="9">
        <v>5</v>
      </c>
      <c r="BL119" s="9">
        <v>22</v>
      </c>
      <c r="BM119" s="167">
        <f>'HourGH-MAY'!X15</f>
        <v>0.55000000000000004</v>
      </c>
      <c r="BN119" s="9">
        <v>118</v>
      </c>
      <c r="BO119" s="9">
        <v>5</v>
      </c>
      <c r="BP119" s="9">
        <v>22</v>
      </c>
      <c r="BQ119" s="167">
        <f>'HourGH-JUN'!X15</f>
        <v>0.2</v>
      </c>
      <c r="BR119" s="263">
        <v>118</v>
      </c>
      <c r="BS119" s="9">
        <v>5</v>
      </c>
      <c r="BT119" s="9">
        <v>22</v>
      </c>
      <c r="BU119" s="167">
        <f>'HourGH-JUL'!X15</f>
        <v>0.27</v>
      </c>
      <c r="BV119" s="263">
        <v>118</v>
      </c>
      <c r="BW119" s="9">
        <v>5</v>
      </c>
      <c r="BX119" s="9">
        <v>22</v>
      </c>
      <c r="BY119" s="167">
        <f>'HourGH-AUG'!X15</f>
        <v>0.57999999999999996</v>
      </c>
      <c r="BZ119" s="9">
        <v>118</v>
      </c>
      <c r="CA119" s="9">
        <v>5</v>
      </c>
      <c r="CB119" s="9">
        <v>22</v>
      </c>
      <c r="CC119" s="167">
        <f>'HourGH-SEP'!X15</f>
        <v>0.61</v>
      </c>
      <c r="CD119" s="263">
        <v>118</v>
      </c>
      <c r="CE119" s="9">
        <v>5</v>
      </c>
      <c r="CF119" s="9">
        <v>22</v>
      </c>
      <c r="CG119" s="167">
        <f>'HourGH-OCT'!X15</f>
        <v>0.93</v>
      </c>
      <c r="CH119" s="9">
        <v>118</v>
      </c>
      <c r="CI119" s="9">
        <v>5</v>
      </c>
      <c r="CJ119" s="9">
        <v>22</v>
      </c>
      <c r="CK119" s="167">
        <f>'HourGH-NOV'!X15</f>
        <v>0.79</v>
      </c>
      <c r="CL119" s="263">
        <v>118</v>
      </c>
      <c r="CM119" s="9">
        <v>5</v>
      </c>
      <c r="CN119" s="9">
        <v>22</v>
      </c>
      <c r="CO119" s="167">
        <f>'HourGH-DEC'!X15</f>
        <v>0.52</v>
      </c>
      <c r="CP119" s="263">
        <v>118</v>
      </c>
      <c r="CQ119" s="9">
        <v>5</v>
      </c>
      <c r="CR119" s="9">
        <v>22</v>
      </c>
      <c r="CS119" s="167">
        <f>'HourGH-JAN'!X15</f>
        <v>0.43</v>
      </c>
      <c r="CT119" s="9">
        <v>118</v>
      </c>
      <c r="CU119" s="9">
        <v>5</v>
      </c>
      <c r="CV119" s="9">
        <v>22</v>
      </c>
      <c r="CW119" s="167">
        <f>'HourGH-FEB'!X15</f>
        <v>0.32</v>
      </c>
      <c r="CX119" s="263">
        <v>118</v>
      </c>
      <c r="CY119" s="9">
        <v>5</v>
      </c>
      <c r="CZ119" s="9">
        <v>22</v>
      </c>
      <c r="DA119" s="167">
        <f>'HourGH-MAR'!X15</f>
        <v>0.26</v>
      </c>
    </row>
    <row r="120" spans="58:105">
      <c r="BF120" s="9">
        <v>119</v>
      </c>
      <c r="BG120" s="9">
        <v>5</v>
      </c>
      <c r="BH120" s="9">
        <v>23</v>
      </c>
      <c r="BI120" s="167">
        <f>'HourGH-APR'!Y15</f>
        <v>0.56000000000000005</v>
      </c>
      <c r="BJ120" s="263">
        <v>119</v>
      </c>
      <c r="BK120" s="9">
        <v>5</v>
      </c>
      <c r="BL120" s="9">
        <v>23</v>
      </c>
      <c r="BM120" s="167">
        <f>'HourGH-MAY'!Y15</f>
        <v>0.55000000000000004</v>
      </c>
      <c r="BN120" s="9">
        <v>119</v>
      </c>
      <c r="BO120" s="9">
        <v>5</v>
      </c>
      <c r="BP120" s="9">
        <v>23</v>
      </c>
      <c r="BQ120" s="167">
        <f>'HourGH-JUN'!Y15</f>
        <v>0.2</v>
      </c>
      <c r="BR120" s="263">
        <v>119</v>
      </c>
      <c r="BS120" s="9">
        <v>5</v>
      </c>
      <c r="BT120" s="9">
        <v>23</v>
      </c>
      <c r="BU120" s="167">
        <f>'HourGH-JUL'!Y15</f>
        <v>0.27</v>
      </c>
      <c r="BV120" s="263">
        <v>119</v>
      </c>
      <c r="BW120" s="9">
        <v>5</v>
      </c>
      <c r="BX120" s="9">
        <v>23</v>
      </c>
      <c r="BY120" s="167">
        <f>'HourGH-AUG'!Y15</f>
        <v>0.59</v>
      </c>
      <c r="BZ120" s="9">
        <v>119</v>
      </c>
      <c r="CA120" s="9">
        <v>5</v>
      </c>
      <c r="CB120" s="9">
        <v>23</v>
      </c>
      <c r="CC120" s="167">
        <f>'HourGH-SEP'!Y15</f>
        <v>0.61</v>
      </c>
      <c r="CD120" s="263">
        <v>119</v>
      </c>
      <c r="CE120" s="9">
        <v>5</v>
      </c>
      <c r="CF120" s="9">
        <v>23</v>
      </c>
      <c r="CG120" s="167">
        <f>'HourGH-OCT'!Y15</f>
        <v>0.93</v>
      </c>
      <c r="CH120" s="9">
        <v>119</v>
      </c>
      <c r="CI120" s="9">
        <v>5</v>
      </c>
      <c r="CJ120" s="9">
        <v>23</v>
      </c>
      <c r="CK120" s="167">
        <f>'HourGH-NOV'!Y15</f>
        <v>0.79</v>
      </c>
      <c r="CL120" s="263">
        <v>119</v>
      </c>
      <c r="CM120" s="9">
        <v>5</v>
      </c>
      <c r="CN120" s="9">
        <v>23</v>
      </c>
      <c r="CO120" s="167">
        <f>'HourGH-DEC'!Y15</f>
        <v>0.52</v>
      </c>
      <c r="CP120" s="263">
        <v>119</v>
      </c>
      <c r="CQ120" s="9">
        <v>5</v>
      </c>
      <c r="CR120" s="9">
        <v>23</v>
      </c>
      <c r="CS120" s="167">
        <f>'HourGH-JAN'!Y15</f>
        <v>0.43</v>
      </c>
      <c r="CT120" s="9">
        <v>119</v>
      </c>
      <c r="CU120" s="9">
        <v>5</v>
      </c>
      <c r="CV120" s="9">
        <v>23</v>
      </c>
      <c r="CW120" s="167">
        <f>'HourGH-FEB'!Y15</f>
        <v>0.32</v>
      </c>
      <c r="CX120" s="263">
        <v>119</v>
      </c>
      <c r="CY120" s="9">
        <v>5</v>
      </c>
      <c r="CZ120" s="9">
        <v>23</v>
      </c>
      <c r="DA120" s="167">
        <f>'HourGH-MAR'!Y15</f>
        <v>0.26</v>
      </c>
    </row>
    <row r="121" spans="58:105">
      <c r="BF121" s="9">
        <v>120</v>
      </c>
      <c r="BG121" s="9">
        <v>5</v>
      </c>
      <c r="BH121" s="9">
        <v>24</v>
      </c>
      <c r="BI121" s="167">
        <f>'HourGH-APR'!Z15</f>
        <v>0.56000000000000005</v>
      </c>
      <c r="BJ121" s="263">
        <v>120</v>
      </c>
      <c r="BK121" s="9">
        <v>5</v>
      </c>
      <c r="BL121" s="9">
        <v>24</v>
      </c>
      <c r="BM121" s="167">
        <f>'HourGH-MAY'!Z15</f>
        <v>0.55000000000000004</v>
      </c>
      <c r="BN121" s="9">
        <v>120</v>
      </c>
      <c r="BO121" s="9">
        <v>5</v>
      </c>
      <c r="BP121" s="9">
        <v>24</v>
      </c>
      <c r="BQ121" s="167">
        <f>'HourGH-JUN'!Z15</f>
        <v>0.2</v>
      </c>
      <c r="BR121" s="263">
        <v>120</v>
      </c>
      <c r="BS121" s="9">
        <v>5</v>
      </c>
      <c r="BT121" s="9">
        <v>24</v>
      </c>
      <c r="BU121" s="167">
        <f>'HourGH-JUL'!Z15</f>
        <v>0.27</v>
      </c>
      <c r="BV121" s="263">
        <v>120</v>
      </c>
      <c r="BW121" s="9">
        <v>5</v>
      </c>
      <c r="BX121" s="9">
        <v>24</v>
      </c>
      <c r="BY121" s="167">
        <f>'HourGH-AUG'!Z15</f>
        <v>0.61</v>
      </c>
      <c r="BZ121" s="9">
        <v>120</v>
      </c>
      <c r="CA121" s="9">
        <v>5</v>
      </c>
      <c r="CB121" s="9">
        <v>24</v>
      </c>
      <c r="CC121" s="167">
        <f>'HourGH-SEP'!Z15</f>
        <v>0.61</v>
      </c>
      <c r="CD121" s="263">
        <v>120</v>
      </c>
      <c r="CE121" s="9">
        <v>5</v>
      </c>
      <c r="CF121" s="9">
        <v>24</v>
      </c>
      <c r="CG121" s="167">
        <f>'HourGH-OCT'!Z15</f>
        <v>0.94</v>
      </c>
      <c r="CH121" s="9">
        <v>120</v>
      </c>
      <c r="CI121" s="9">
        <v>5</v>
      </c>
      <c r="CJ121" s="9">
        <v>24</v>
      </c>
      <c r="CK121" s="167">
        <f>'HourGH-NOV'!Z15</f>
        <v>0.79</v>
      </c>
      <c r="CL121" s="263">
        <v>120</v>
      </c>
      <c r="CM121" s="9">
        <v>5</v>
      </c>
      <c r="CN121" s="9">
        <v>24</v>
      </c>
      <c r="CO121" s="167">
        <f>'HourGH-DEC'!Z15</f>
        <v>0.52</v>
      </c>
      <c r="CP121" s="263">
        <v>120</v>
      </c>
      <c r="CQ121" s="9">
        <v>5</v>
      </c>
      <c r="CR121" s="9">
        <v>24</v>
      </c>
      <c r="CS121" s="167">
        <f>'HourGH-JAN'!Z15</f>
        <v>0.43</v>
      </c>
      <c r="CT121" s="9">
        <v>120</v>
      </c>
      <c r="CU121" s="9">
        <v>5</v>
      </c>
      <c r="CV121" s="9">
        <v>24</v>
      </c>
      <c r="CW121" s="167">
        <f>'HourGH-FEB'!Z15</f>
        <v>0.32</v>
      </c>
      <c r="CX121" s="263">
        <v>120</v>
      </c>
      <c r="CY121" s="9">
        <v>5</v>
      </c>
      <c r="CZ121" s="9">
        <v>24</v>
      </c>
      <c r="DA121" s="167">
        <f>'HourGH-MAR'!Z15</f>
        <v>0.26</v>
      </c>
    </row>
    <row r="122" spans="58:105">
      <c r="BF122" s="9">
        <v>121</v>
      </c>
      <c r="BG122" s="9">
        <v>6</v>
      </c>
      <c r="BH122" s="9">
        <v>1</v>
      </c>
      <c r="BI122" s="167">
        <f>'HourGH-APR'!C16</f>
        <v>0.56000000000000005</v>
      </c>
      <c r="BJ122" s="263">
        <v>121</v>
      </c>
      <c r="BK122" s="9">
        <v>6</v>
      </c>
      <c r="BL122" s="9">
        <v>1</v>
      </c>
      <c r="BM122" s="167">
        <f>'HourGH-MAY'!C16</f>
        <v>0.54</v>
      </c>
      <c r="BN122" s="9">
        <v>121</v>
      </c>
      <c r="BO122" s="9">
        <v>6</v>
      </c>
      <c r="BP122" s="9">
        <v>1</v>
      </c>
      <c r="BQ122" s="167">
        <f>'HourGH-JUN'!C16</f>
        <v>0.2</v>
      </c>
      <c r="BR122" s="263">
        <v>121</v>
      </c>
      <c r="BS122" s="9">
        <v>6</v>
      </c>
      <c r="BT122" s="9">
        <v>1</v>
      </c>
      <c r="BU122" s="167">
        <f>'HourGH-JUL'!C16</f>
        <v>0.27</v>
      </c>
      <c r="BV122" s="263">
        <v>121</v>
      </c>
      <c r="BW122" s="9">
        <v>6</v>
      </c>
      <c r="BX122" s="9">
        <v>1</v>
      </c>
      <c r="BY122" s="167">
        <f>'HourGH-AUG'!C16</f>
        <v>0.62</v>
      </c>
      <c r="BZ122" s="9">
        <v>121</v>
      </c>
      <c r="CA122" s="9">
        <v>6</v>
      </c>
      <c r="CB122" s="9">
        <v>1</v>
      </c>
      <c r="CC122" s="167">
        <f>'HourGH-SEP'!C16</f>
        <v>0.61</v>
      </c>
      <c r="CD122" s="263">
        <v>121</v>
      </c>
      <c r="CE122" s="9">
        <v>6</v>
      </c>
      <c r="CF122" s="9">
        <v>1</v>
      </c>
      <c r="CG122" s="167">
        <f>'HourGH-OCT'!C16</f>
        <v>0.95</v>
      </c>
      <c r="CH122" s="9">
        <v>121</v>
      </c>
      <c r="CI122" s="9">
        <v>6</v>
      </c>
      <c r="CJ122" s="9">
        <v>1</v>
      </c>
      <c r="CK122" s="167">
        <f>'HourGH-NOV'!C16</f>
        <v>0.78</v>
      </c>
      <c r="CL122" s="263">
        <v>121</v>
      </c>
      <c r="CM122" s="9">
        <v>6</v>
      </c>
      <c r="CN122" s="9">
        <v>1</v>
      </c>
      <c r="CO122" s="167">
        <f>'HourGH-DEC'!C16</f>
        <v>0.51</v>
      </c>
      <c r="CP122" s="263">
        <v>121</v>
      </c>
      <c r="CQ122" s="9">
        <v>6</v>
      </c>
      <c r="CR122" s="9">
        <v>1</v>
      </c>
      <c r="CS122" s="167">
        <f>'HourGH-JAN'!C16</f>
        <v>0.42</v>
      </c>
      <c r="CT122" s="9">
        <v>121</v>
      </c>
      <c r="CU122" s="9">
        <v>6</v>
      </c>
      <c r="CV122" s="9">
        <v>1</v>
      </c>
      <c r="CW122" s="167">
        <f>'HourGH-FEB'!C16</f>
        <v>0.32</v>
      </c>
      <c r="CX122" s="263">
        <v>121</v>
      </c>
      <c r="CY122" s="9">
        <v>6</v>
      </c>
      <c r="CZ122" s="9">
        <v>1</v>
      </c>
      <c r="DA122" s="167">
        <f>'HourGH-MAR'!C16</f>
        <v>0.26</v>
      </c>
    </row>
    <row r="123" spans="58:105">
      <c r="BF123" s="9">
        <v>122</v>
      </c>
      <c r="BG123" s="9">
        <v>6</v>
      </c>
      <c r="BH123" s="9">
        <v>2</v>
      </c>
      <c r="BI123" s="167">
        <f>'HourGH-APR'!D16</f>
        <v>0.56000000000000005</v>
      </c>
      <c r="BJ123" s="263">
        <v>122</v>
      </c>
      <c r="BK123" s="9">
        <v>6</v>
      </c>
      <c r="BL123" s="9">
        <v>2</v>
      </c>
      <c r="BM123" s="167">
        <f>'HourGH-MAY'!D16</f>
        <v>0.54</v>
      </c>
      <c r="BN123" s="9">
        <v>122</v>
      </c>
      <c r="BO123" s="9">
        <v>6</v>
      </c>
      <c r="BP123" s="9">
        <v>2</v>
      </c>
      <c r="BQ123" s="167">
        <f>'HourGH-JUN'!D16</f>
        <v>0.2</v>
      </c>
      <c r="BR123" s="263">
        <v>122</v>
      </c>
      <c r="BS123" s="9">
        <v>6</v>
      </c>
      <c r="BT123" s="9">
        <v>2</v>
      </c>
      <c r="BU123" s="167">
        <f>'HourGH-JUL'!D16</f>
        <v>0.27</v>
      </c>
      <c r="BV123" s="263">
        <v>122</v>
      </c>
      <c r="BW123" s="9">
        <v>6</v>
      </c>
      <c r="BX123" s="9">
        <v>2</v>
      </c>
      <c r="BY123" s="167">
        <f>'HourGH-AUG'!D16</f>
        <v>0.63</v>
      </c>
      <c r="BZ123" s="9">
        <v>122</v>
      </c>
      <c r="CA123" s="9">
        <v>6</v>
      </c>
      <c r="CB123" s="9">
        <v>2</v>
      </c>
      <c r="CC123" s="167">
        <f>'HourGH-SEP'!D16</f>
        <v>0.61</v>
      </c>
      <c r="CD123" s="263">
        <v>122</v>
      </c>
      <c r="CE123" s="9">
        <v>6</v>
      </c>
      <c r="CF123" s="9">
        <v>2</v>
      </c>
      <c r="CG123" s="167">
        <f>'HourGH-OCT'!D16</f>
        <v>0.95</v>
      </c>
      <c r="CH123" s="9">
        <v>122</v>
      </c>
      <c r="CI123" s="9">
        <v>6</v>
      </c>
      <c r="CJ123" s="9">
        <v>2</v>
      </c>
      <c r="CK123" s="167">
        <f>'HourGH-NOV'!D16</f>
        <v>0.78</v>
      </c>
      <c r="CL123" s="263">
        <v>122</v>
      </c>
      <c r="CM123" s="9">
        <v>6</v>
      </c>
      <c r="CN123" s="9">
        <v>2</v>
      </c>
      <c r="CO123" s="167">
        <f>'HourGH-DEC'!D16</f>
        <v>0.51</v>
      </c>
      <c r="CP123" s="263">
        <v>122</v>
      </c>
      <c r="CQ123" s="9">
        <v>6</v>
      </c>
      <c r="CR123" s="9">
        <v>2</v>
      </c>
      <c r="CS123" s="167">
        <f>'HourGH-JAN'!D16</f>
        <v>0.42</v>
      </c>
      <c r="CT123" s="9">
        <v>122</v>
      </c>
      <c r="CU123" s="9">
        <v>6</v>
      </c>
      <c r="CV123" s="9">
        <v>2</v>
      </c>
      <c r="CW123" s="167">
        <f>'HourGH-FEB'!D16</f>
        <v>0.32</v>
      </c>
      <c r="CX123" s="263">
        <v>122</v>
      </c>
      <c r="CY123" s="9">
        <v>6</v>
      </c>
      <c r="CZ123" s="9">
        <v>2</v>
      </c>
      <c r="DA123" s="167">
        <f>'HourGH-MAR'!D16</f>
        <v>0.26</v>
      </c>
    </row>
    <row r="124" spans="58:105">
      <c r="BF124" s="9">
        <v>123</v>
      </c>
      <c r="BG124" s="9">
        <v>6</v>
      </c>
      <c r="BH124" s="9">
        <v>3</v>
      </c>
      <c r="BI124" s="167">
        <f>'HourGH-APR'!E16</f>
        <v>0.56999999999999995</v>
      </c>
      <c r="BJ124" s="263">
        <v>123</v>
      </c>
      <c r="BK124" s="9">
        <v>6</v>
      </c>
      <c r="BL124" s="9">
        <v>3</v>
      </c>
      <c r="BM124" s="167">
        <f>'HourGH-MAY'!E16</f>
        <v>0.54</v>
      </c>
      <c r="BN124" s="9">
        <v>123</v>
      </c>
      <c r="BO124" s="9">
        <v>6</v>
      </c>
      <c r="BP124" s="9">
        <v>3</v>
      </c>
      <c r="BQ124" s="167">
        <f>'HourGH-JUN'!E16</f>
        <v>0.2</v>
      </c>
      <c r="BR124" s="263">
        <v>123</v>
      </c>
      <c r="BS124" s="9">
        <v>6</v>
      </c>
      <c r="BT124" s="9">
        <v>3</v>
      </c>
      <c r="BU124" s="167">
        <f>'HourGH-JUL'!E16</f>
        <v>0.27</v>
      </c>
      <c r="BV124" s="263">
        <v>123</v>
      </c>
      <c r="BW124" s="9">
        <v>6</v>
      </c>
      <c r="BX124" s="9">
        <v>3</v>
      </c>
      <c r="BY124" s="167">
        <f>'HourGH-AUG'!E16</f>
        <v>0.64</v>
      </c>
      <c r="BZ124" s="9">
        <v>123</v>
      </c>
      <c r="CA124" s="9">
        <v>6</v>
      </c>
      <c r="CB124" s="9">
        <v>3</v>
      </c>
      <c r="CC124" s="167">
        <f>'HourGH-SEP'!E16</f>
        <v>0.61</v>
      </c>
      <c r="CD124" s="263">
        <v>123</v>
      </c>
      <c r="CE124" s="9">
        <v>6</v>
      </c>
      <c r="CF124" s="9">
        <v>3</v>
      </c>
      <c r="CG124" s="167">
        <f>'HourGH-OCT'!E16</f>
        <v>0.96</v>
      </c>
      <c r="CH124" s="9">
        <v>123</v>
      </c>
      <c r="CI124" s="9">
        <v>6</v>
      </c>
      <c r="CJ124" s="9">
        <v>3</v>
      </c>
      <c r="CK124" s="167">
        <f>'HourGH-NOV'!E16</f>
        <v>0.78</v>
      </c>
      <c r="CL124" s="263">
        <v>123</v>
      </c>
      <c r="CM124" s="9">
        <v>6</v>
      </c>
      <c r="CN124" s="9">
        <v>3</v>
      </c>
      <c r="CO124" s="167">
        <f>'HourGH-DEC'!E16</f>
        <v>0.51</v>
      </c>
      <c r="CP124" s="263">
        <v>123</v>
      </c>
      <c r="CQ124" s="9">
        <v>6</v>
      </c>
      <c r="CR124" s="9">
        <v>3</v>
      </c>
      <c r="CS124" s="167">
        <f>'HourGH-JAN'!E16</f>
        <v>0.42</v>
      </c>
      <c r="CT124" s="9">
        <v>123</v>
      </c>
      <c r="CU124" s="9">
        <v>6</v>
      </c>
      <c r="CV124" s="9">
        <v>3</v>
      </c>
      <c r="CW124" s="167">
        <f>'HourGH-FEB'!E16</f>
        <v>0.32</v>
      </c>
      <c r="CX124" s="263">
        <v>123</v>
      </c>
      <c r="CY124" s="9">
        <v>6</v>
      </c>
      <c r="CZ124" s="9">
        <v>3</v>
      </c>
      <c r="DA124" s="167">
        <f>'HourGH-MAR'!E16</f>
        <v>0.26</v>
      </c>
    </row>
    <row r="125" spans="58:105">
      <c r="BF125" s="9">
        <v>124</v>
      </c>
      <c r="BG125" s="9">
        <v>6</v>
      </c>
      <c r="BH125" s="9">
        <v>4</v>
      </c>
      <c r="BI125" s="167">
        <f>'HourGH-APR'!F16</f>
        <v>0.56999999999999995</v>
      </c>
      <c r="BJ125" s="263">
        <v>124</v>
      </c>
      <c r="BK125" s="9">
        <v>6</v>
      </c>
      <c r="BL125" s="9">
        <v>4</v>
      </c>
      <c r="BM125" s="167">
        <f>'HourGH-MAY'!F16</f>
        <v>0.54</v>
      </c>
      <c r="BN125" s="9">
        <v>124</v>
      </c>
      <c r="BO125" s="9">
        <v>6</v>
      </c>
      <c r="BP125" s="9">
        <v>4</v>
      </c>
      <c r="BQ125" s="167">
        <f>'HourGH-JUN'!F16</f>
        <v>0.2</v>
      </c>
      <c r="BR125" s="263">
        <v>124</v>
      </c>
      <c r="BS125" s="9">
        <v>6</v>
      </c>
      <c r="BT125" s="9">
        <v>4</v>
      </c>
      <c r="BU125" s="167">
        <f>'HourGH-JUL'!F16</f>
        <v>0.27</v>
      </c>
      <c r="BV125" s="263">
        <v>124</v>
      </c>
      <c r="BW125" s="9">
        <v>6</v>
      </c>
      <c r="BX125" s="9">
        <v>4</v>
      </c>
      <c r="BY125" s="167">
        <f>'HourGH-AUG'!F16</f>
        <v>0.65</v>
      </c>
      <c r="BZ125" s="9">
        <v>124</v>
      </c>
      <c r="CA125" s="9">
        <v>6</v>
      </c>
      <c r="CB125" s="9">
        <v>4</v>
      </c>
      <c r="CC125" s="167">
        <f>'HourGH-SEP'!F16</f>
        <v>0.62</v>
      </c>
      <c r="CD125" s="263">
        <v>124</v>
      </c>
      <c r="CE125" s="9">
        <v>6</v>
      </c>
      <c r="CF125" s="9">
        <v>4</v>
      </c>
      <c r="CG125" s="167">
        <f>'HourGH-OCT'!F16</f>
        <v>0.97</v>
      </c>
      <c r="CH125" s="9">
        <v>124</v>
      </c>
      <c r="CI125" s="9">
        <v>6</v>
      </c>
      <c r="CJ125" s="9">
        <v>4</v>
      </c>
      <c r="CK125" s="167">
        <f>'HourGH-NOV'!F16</f>
        <v>0.78</v>
      </c>
      <c r="CL125" s="263">
        <v>124</v>
      </c>
      <c r="CM125" s="9">
        <v>6</v>
      </c>
      <c r="CN125" s="9">
        <v>4</v>
      </c>
      <c r="CO125" s="167">
        <f>'HourGH-DEC'!F16</f>
        <v>0.51</v>
      </c>
      <c r="CP125" s="263">
        <v>124</v>
      </c>
      <c r="CQ125" s="9">
        <v>6</v>
      </c>
      <c r="CR125" s="9">
        <v>4</v>
      </c>
      <c r="CS125" s="167">
        <f>'HourGH-JAN'!F16</f>
        <v>0.42</v>
      </c>
      <c r="CT125" s="9">
        <v>124</v>
      </c>
      <c r="CU125" s="9">
        <v>6</v>
      </c>
      <c r="CV125" s="9">
        <v>4</v>
      </c>
      <c r="CW125" s="167">
        <f>'HourGH-FEB'!F16</f>
        <v>0.32</v>
      </c>
      <c r="CX125" s="263">
        <v>124</v>
      </c>
      <c r="CY125" s="9">
        <v>6</v>
      </c>
      <c r="CZ125" s="9">
        <v>4</v>
      </c>
      <c r="DA125" s="167">
        <f>'HourGH-MAR'!F16</f>
        <v>0.26</v>
      </c>
    </row>
    <row r="126" spans="58:105">
      <c r="BF126" s="9">
        <v>125</v>
      </c>
      <c r="BG126" s="9">
        <v>6</v>
      </c>
      <c r="BH126" s="9">
        <v>5</v>
      </c>
      <c r="BI126" s="167">
        <f>'HourGH-APR'!G16</f>
        <v>0.56999999999999995</v>
      </c>
      <c r="BJ126" s="263">
        <v>125</v>
      </c>
      <c r="BK126" s="9">
        <v>6</v>
      </c>
      <c r="BL126" s="9">
        <v>5</v>
      </c>
      <c r="BM126" s="167">
        <f>'HourGH-MAY'!G16</f>
        <v>0.54</v>
      </c>
      <c r="BN126" s="9">
        <v>125</v>
      </c>
      <c r="BO126" s="9">
        <v>6</v>
      </c>
      <c r="BP126" s="9">
        <v>5</v>
      </c>
      <c r="BQ126" s="167">
        <f>'HourGH-JUN'!G16</f>
        <v>0.2</v>
      </c>
      <c r="BR126" s="263">
        <v>125</v>
      </c>
      <c r="BS126" s="9">
        <v>6</v>
      </c>
      <c r="BT126" s="9">
        <v>5</v>
      </c>
      <c r="BU126" s="167">
        <f>'HourGH-JUL'!G16</f>
        <v>0.27</v>
      </c>
      <c r="BV126" s="263">
        <v>125</v>
      </c>
      <c r="BW126" s="9">
        <v>6</v>
      </c>
      <c r="BX126" s="9">
        <v>5</v>
      </c>
      <c r="BY126" s="167">
        <f>'HourGH-AUG'!G16</f>
        <v>0.66</v>
      </c>
      <c r="BZ126" s="9">
        <v>125</v>
      </c>
      <c r="CA126" s="9">
        <v>6</v>
      </c>
      <c r="CB126" s="9">
        <v>5</v>
      </c>
      <c r="CC126" s="167">
        <f>'HourGH-SEP'!G16</f>
        <v>0.62</v>
      </c>
      <c r="CD126" s="263">
        <v>125</v>
      </c>
      <c r="CE126" s="9">
        <v>6</v>
      </c>
      <c r="CF126" s="9">
        <v>5</v>
      </c>
      <c r="CG126" s="167">
        <f>'HourGH-OCT'!G16</f>
        <v>0.98</v>
      </c>
      <c r="CH126" s="9">
        <v>125</v>
      </c>
      <c r="CI126" s="9">
        <v>6</v>
      </c>
      <c r="CJ126" s="9">
        <v>5</v>
      </c>
      <c r="CK126" s="167">
        <f>'HourGH-NOV'!G16</f>
        <v>0.78</v>
      </c>
      <c r="CL126" s="263">
        <v>125</v>
      </c>
      <c r="CM126" s="9">
        <v>6</v>
      </c>
      <c r="CN126" s="9">
        <v>5</v>
      </c>
      <c r="CO126" s="167">
        <f>'HourGH-DEC'!G16</f>
        <v>0.51</v>
      </c>
      <c r="CP126" s="263">
        <v>125</v>
      </c>
      <c r="CQ126" s="9">
        <v>6</v>
      </c>
      <c r="CR126" s="9">
        <v>5</v>
      </c>
      <c r="CS126" s="167">
        <f>'HourGH-JAN'!G16</f>
        <v>0.42</v>
      </c>
      <c r="CT126" s="9">
        <v>125</v>
      </c>
      <c r="CU126" s="9">
        <v>6</v>
      </c>
      <c r="CV126" s="9">
        <v>5</v>
      </c>
      <c r="CW126" s="167">
        <f>'HourGH-FEB'!G16</f>
        <v>0.32</v>
      </c>
      <c r="CX126" s="263">
        <v>125</v>
      </c>
      <c r="CY126" s="9">
        <v>6</v>
      </c>
      <c r="CZ126" s="9">
        <v>5</v>
      </c>
      <c r="DA126" s="167">
        <f>'HourGH-MAR'!G16</f>
        <v>0.26</v>
      </c>
    </row>
    <row r="127" spans="58:105">
      <c r="BF127" s="9">
        <v>126</v>
      </c>
      <c r="BG127" s="9">
        <v>6</v>
      </c>
      <c r="BH127" s="9">
        <v>6</v>
      </c>
      <c r="BI127" s="167">
        <f>'HourGH-APR'!H16</f>
        <v>0.56999999999999995</v>
      </c>
      <c r="BJ127" s="263">
        <v>126</v>
      </c>
      <c r="BK127" s="9">
        <v>6</v>
      </c>
      <c r="BL127" s="9">
        <v>6</v>
      </c>
      <c r="BM127" s="167">
        <f>'HourGH-MAY'!H16</f>
        <v>0.54</v>
      </c>
      <c r="BN127" s="9">
        <v>126</v>
      </c>
      <c r="BO127" s="9">
        <v>6</v>
      </c>
      <c r="BP127" s="9">
        <v>6</v>
      </c>
      <c r="BQ127" s="167">
        <f>'HourGH-JUN'!H16</f>
        <v>0.2</v>
      </c>
      <c r="BR127" s="263">
        <v>126</v>
      </c>
      <c r="BS127" s="9">
        <v>6</v>
      </c>
      <c r="BT127" s="9">
        <v>6</v>
      </c>
      <c r="BU127" s="167">
        <f>'HourGH-JUL'!H16</f>
        <v>0.27</v>
      </c>
      <c r="BV127" s="263">
        <v>126</v>
      </c>
      <c r="BW127" s="9">
        <v>6</v>
      </c>
      <c r="BX127" s="9">
        <v>6</v>
      </c>
      <c r="BY127" s="167">
        <f>'HourGH-AUG'!H16</f>
        <v>0.67</v>
      </c>
      <c r="BZ127" s="9">
        <v>126</v>
      </c>
      <c r="CA127" s="9">
        <v>6</v>
      </c>
      <c r="CB127" s="9">
        <v>6</v>
      </c>
      <c r="CC127" s="167">
        <f>'HourGH-SEP'!H16</f>
        <v>0.62</v>
      </c>
      <c r="CD127" s="263">
        <v>126</v>
      </c>
      <c r="CE127" s="9">
        <v>6</v>
      </c>
      <c r="CF127" s="9">
        <v>6</v>
      </c>
      <c r="CG127" s="167">
        <f>'HourGH-OCT'!H16</f>
        <v>0.99</v>
      </c>
      <c r="CH127" s="9">
        <v>126</v>
      </c>
      <c r="CI127" s="9">
        <v>6</v>
      </c>
      <c r="CJ127" s="9">
        <v>6</v>
      </c>
      <c r="CK127" s="167">
        <f>'HourGH-NOV'!H16</f>
        <v>0.78</v>
      </c>
      <c r="CL127" s="263">
        <v>126</v>
      </c>
      <c r="CM127" s="9">
        <v>6</v>
      </c>
      <c r="CN127" s="9">
        <v>6</v>
      </c>
      <c r="CO127" s="167">
        <f>'HourGH-DEC'!H16</f>
        <v>0.51</v>
      </c>
      <c r="CP127" s="263">
        <v>126</v>
      </c>
      <c r="CQ127" s="9">
        <v>6</v>
      </c>
      <c r="CR127" s="9">
        <v>6</v>
      </c>
      <c r="CS127" s="167">
        <f>'HourGH-JAN'!H16</f>
        <v>0.42</v>
      </c>
      <c r="CT127" s="9">
        <v>126</v>
      </c>
      <c r="CU127" s="9">
        <v>6</v>
      </c>
      <c r="CV127" s="9">
        <v>6</v>
      </c>
      <c r="CW127" s="167">
        <f>'HourGH-FEB'!H16</f>
        <v>0.32</v>
      </c>
      <c r="CX127" s="263">
        <v>126</v>
      </c>
      <c r="CY127" s="9">
        <v>6</v>
      </c>
      <c r="CZ127" s="9">
        <v>6</v>
      </c>
      <c r="DA127" s="167">
        <f>'HourGH-MAR'!H16</f>
        <v>0.26</v>
      </c>
    </row>
    <row r="128" spans="58:105">
      <c r="BF128" s="9">
        <v>127</v>
      </c>
      <c r="BG128" s="9">
        <v>6</v>
      </c>
      <c r="BH128" s="9">
        <v>7</v>
      </c>
      <c r="BI128" s="167">
        <f>'HourGH-APR'!I16</f>
        <v>0.56999999999999995</v>
      </c>
      <c r="BJ128" s="263">
        <v>127</v>
      </c>
      <c r="BK128" s="9">
        <v>6</v>
      </c>
      <c r="BL128" s="9">
        <v>7</v>
      </c>
      <c r="BM128" s="167">
        <f>'HourGH-MAY'!I16</f>
        <v>0.53</v>
      </c>
      <c r="BN128" s="9">
        <v>127</v>
      </c>
      <c r="BO128" s="9">
        <v>6</v>
      </c>
      <c r="BP128" s="9">
        <v>7</v>
      </c>
      <c r="BQ128" s="167">
        <f>'HourGH-JUN'!I16</f>
        <v>0.21</v>
      </c>
      <c r="BR128" s="263">
        <v>127</v>
      </c>
      <c r="BS128" s="9">
        <v>6</v>
      </c>
      <c r="BT128" s="9">
        <v>7</v>
      </c>
      <c r="BU128" s="167">
        <f>'HourGH-JUL'!I16</f>
        <v>0.26</v>
      </c>
      <c r="BV128" s="263">
        <v>127</v>
      </c>
      <c r="BW128" s="9">
        <v>6</v>
      </c>
      <c r="BX128" s="9">
        <v>7</v>
      </c>
      <c r="BY128" s="167">
        <f>'HourGH-AUG'!I16</f>
        <v>0.68</v>
      </c>
      <c r="BZ128" s="9">
        <v>127</v>
      </c>
      <c r="CA128" s="9">
        <v>6</v>
      </c>
      <c r="CB128" s="9">
        <v>7</v>
      </c>
      <c r="CC128" s="167">
        <f>'HourGH-SEP'!I16</f>
        <v>0.62</v>
      </c>
      <c r="CD128" s="263">
        <v>127</v>
      </c>
      <c r="CE128" s="9">
        <v>6</v>
      </c>
      <c r="CF128" s="9">
        <v>7</v>
      </c>
      <c r="CG128" s="167">
        <f>'HourGH-OCT'!I16</f>
        <v>1</v>
      </c>
      <c r="CH128" s="9">
        <v>127</v>
      </c>
      <c r="CI128" s="9">
        <v>6</v>
      </c>
      <c r="CJ128" s="9">
        <v>7</v>
      </c>
      <c r="CK128" s="167">
        <f>'HourGH-NOV'!I16</f>
        <v>0.77</v>
      </c>
      <c r="CL128" s="263">
        <v>127</v>
      </c>
      <c r="CM128" s="9">
        <v>6</v>
      </c>
      <c r="CN128" s="9">
        <v>7</v>
      </c>
      <c r="CO128" s="167">
        <f>'HourGH-DEC'!I16</f>
        <v>0.51</v>
      </c>
      <c r="CP128" s="263">
        <v>127</v>
      </c>
      <c r="CQ128" s="9">
        <v>6</v>
      </c>
      <c r="CR128" s="9">
        <v>7</v>
      </c>
      <c r="CS128" s="167">
        <f>'HourGH-JAN'!I16</f>
        <v>0.41</v>
      </c>
      <c r="CT128" s="9">
        <v>127</v>
      </c>
      <c r="CU128" s="9">
        <v>6</v>
      </c>
      <c r="CV128" s="9">
        <v>7</v>
      </c>
      <c r="CW128" s="167">
        <f>'HourGH-FEB'!I16</f>
        <v>0.32</v>
      </c>
      <c r="CX128" s="263">
        <v>127</v>
      </c>
      <c r="CY128" s="9">
        <v>6</v>
      </c>
      <c r="CZ128" s="9">
        <v>7</v>
      </c>
      <c r="DA128" s="167">
        <f>'HourGH-MAR'!I16</f>
        <v>0.25</v>
      </c>
    </row>
    <row r="129" spans="58:105">
      <c r="BF129" s="9">
        <v>128</v>
      </c>
      <c r="BG129" s="9">
        <v>6</v>
      </c>
      <c r="BH129" s="9">
        <v>8</v>
      </c>
      <c r="BI129" s="167">
        <f>'HourGH-APR'!J16</f>
        <v>0.56999999999999995</v>
      </c>
      <c r="BJ129" s="263">
        <v>128</v>
      </c>
      <c r="BK129" s="9">
        <v>6</v>
      </c>
      <c r="BL129" s="9">
        <v>8</v>
      </c>
      <c r="BM129" s="167">
        <f>'HourGH-MAY'!J16</f>
        <v>0.53</v>
      </c>
      <c r="BN129" s="9">
        <v>128</v>
      </c>
      <c r="BO129" s="9">
        <v>6</v>
      </c>
      <c r="BP129" s="9">
        <v>8</v>
      </c>
      <c r="BQ129" s="167">
        <f>'HourGH-JUN'!J16</f>
        <v>0.21</v>
      </c>
      <c r="BR129" s="263">
        <v>128</v>
      </c>
      <c r="BS129" s="9">
        <v>6</v>
      </c>
      <c r="BT129" s="9">
        <v>8</v>
      </c>
      <c r="BU129" s="167">
        <f>'HourGH-JUL'!J16</f>
        <v>0.26</v>
      </c>
      <c r="BV129" s="263">
        <v>128</v>
      </c>
      <c r="BW129" s="9">
        <v>6</v>
      </c>
      <c r="BX129" s="9">
        <v>8</v>
      </c>
      <c r="BY129" s="167">
        <f>'HourGH-AUG'!J16</f>
        <v>0.69</v>
      </c>
      <c r="BZ129" s="9">
        <v>128</v>
      </c>
      <c r="CA129" s="9">
        <v>6</v>
      </c>
      <c r="CB129" s="9">
        <v>8</v>
      </c>
      <c r="CC129" s="167">
        <f>'HourGH-SEP'!J16</f>
        <v>0.63</v>
      </c>
      <c r="CD129" s="263">
        <v>128</v>
      </c>
      <c r="CE129" s="9">
        <v>6</v>
      </c>
      <c r="CF129" s="9">
        <v>8</v>
      </c>
      <c r="CG129" s="167">
        <f>'HourGH-OCT'!J16</f>
        <v>1.01</v>
      </c>
      <c r="CH129" s="9">
        <v>128</v>
      </c>
      <c r="CI129" s="9">
        <v>6</v>
      </c>
      <c r="CJ129" s="9">
        <v>8</v>
      </c>
      <c r="CK129" s="167">
        <f>'HourGH-NOV'!J16</f>
        <v>0.77</v>
      </c>
      <c r="CL129" s="263">
        <v>128</v>
      </c>
      <c r="CM129" s="9">
        <v>6</v>
      </c>
      <c r="CN129" s="9">
        <v>8</v>
      </c>
      <c r="CO129" s="167">
        <f>'HourGH-DEC'!J16</f>
        <v>0.51</v>
      </c>
      <c r="CP129" s="263">
        <v>128</v>
      </c>
      <c r="CQ129" s="9">
        <v>6</v>
      </c>
      <c r="CR129" s="9">
        <v>8</v>
      </c>
      <c r="CS129" s="167">
        <f>'HourGH-JAN'!J16</f>
        <v>0.41</v>
      </c>
      <c r="CT129" s="9">
        <v>128</v>
      </c>
      <c r="CU129" s="9">
        <v>6</v>
      </c>
      <c r="CV129" s="9">
        <v>8</v>
      </c>
      <c r="CW129" s="167">
        <f>'HourGH-FEB'!J16</f>
        <v>0.32</v>
      </c>
      <c r="CX129" s="263">
        <v>128</v>
      </c>
      <c r="CY129" s="9">
        <v>6</v>
      </c>
      <c r="CZ129" s="9">
        <v>8</v>
      </c>
      <c r="DA129" s="167">
        <f>'HourGH-MAR'!J16</f>
        <v>0.25</v>
      </c>
    </row>
    <row r="130" spans="58:105">
      <c r="BF130" s="9">
        <v>129</v>
      </c>
      <c r="BG130" s="9">
        <v>6</v>
      </c>
      <c r="BH130" s="9">
        <v>9</v>
      </c>
      <c r="BI130" s="167">
        <f>'HourGH-APR'!K16</f>
        <v>0.57999999999999996</v>
      </c>
      <c r="BJ130" s="263">
        <v>129</v>
      </c>
      <c r="BK130" s="9">
        <v>6</v>
      </c>
      <c r="BL130" s="9">
        <v>9</v>
      </c>
      <c r="BM130" s="167">
        <f>'HourGH-MAY'!K16</f>
        <v>0.53</v>
      </c>
      <c r="BN130" s="9">
        <v>129</v>
      </c>
      <c r="BO130" s="9">
        <v>6</v>
      </c>
      <c r="BP130" s="9">
        <v>9</v>
      </c>
      <c r="BQ130" s="167">
        <f>'HourGH-JUN'!K16</f>
        <v>0.21</v>
      </c>
      <c r="BR130" s="263">
        <v>129</v>
      </c>
      <c r="BS130" s="9">
        <v>6</v>
      </c>
      <c r="BT130" s="9">
        <v>9</v>
      </c>
      <c r="BU130" s="167">
        <f>'HourGH-JUL'!K16</f>
        <v>0.26</v>
      </c>
      <c r="BV130" s="263">
        <v>129</v>
      </c>
      <c r="BW130" s="9">
        <v>6</v>
      </c>
      <c r="BX130" s="9">
        <v>9</v>
      </c>
      <c r="BY130" s="167">
        <f>'HourGH-AUG'!K16</f>
        <v>0.7</v>
      </c>
      <c r="BZ130" s="9">
        <v>129</v>
      </c>
      <c r="CA130" s="9">
        <v>6</v>
      </c>
      <c r="CB130" s="9">
        <v>9</v>
      </c>
      <c r="CC130" s="167">
        <f>'HourGH-SEP'!K16</f>
        <v>0.63</v>
      </c>
      <c r="CD130" s="263">
        <v>129</v>
      </c>
      <c r="CE130" s="9">
        <v>6</v>
      </c>
      <c r="CF130" s="9">
        <v>9</v>
      </c>
      <c r="CG130" s="167">
        <f>'HourGH-OCT'!K16</f>
        <v>1.02</v>
      </c>
      <c r="CH130" s="9">
        <v>129</v>
      </c>
      <c r="CI130" s="9">
        <v>6</v>
      </c>
      <c r="CJ130" s="9">
        <v>9</v>
      </c>
      <c r="CK130" s="167">
        <f>'HourGH-NOV'!K16</f>
        <v>0.77</v>
      </c>
      <c r="CL130" s="263">
        <v>129</v>
      </c>
      <c r="CM130" s="9">
        <v>6</v>
      </c>
      <c r="CN130" s="9">
        <v>9</v>
      </c>
      <c r="CO130" s="167">
        <f>'HourGH-DEC'!K16</f>
        <v>0.51</v>
      </c>
      <c r="CP130" s="263">
        <v>129</v>
      </c>
      <c r="CQ130" s="9">
        <v>6</v>
      </c>
      <c r="CR130" s="9">
        <v>9</v>
      </c>
      <c r="CS130" s="167">
        <f>'HourGH-JAN'!K16</f>
        <v>0.41</v>
      </c>
      <c r="CT130" s="9">
        <v>129</v>
      </c>
      <c r="CU130" s="9">
        <v>6</v>
      </c>
      <c r="CV130" s="9">
        <v>9</v>
      </c>
      <c r="CW130" s="167">
        <f>'HourGH-FEB'!K16</f>
        <v>0.32</v>
      </c>
      <c r="CX130" s="263">
        <v>129</v>
      </c>
      <c r="CY130" s="9">
        <v>6</v>
      </c>
      <c r="CZ130" s="9">
        <v>9</v>
      </c>
      <c r="DA130" s="167">
        <f>'HourGH-MAR'!K16</f>
        <v>0.25</v>
      </c>
    </row>
    <row r="131" spans="58:105">
      <c r="BF131" s="9">
        <v>130</v>
      </c>
      <c r="BG131" s="9">
        <v>6</v>
      </c>
      <c r="BH131" s="9">
        <v>10</v>
      </c>
      <c r="BI131" s="167">
        <f>'HourGH-APR'!L16</f>
        <v>0.57999999999999996</v>
      </c>
      <c r="BJ131" s="263">
        <v>130</v>
      </c>
      <c r="BK131" s="9">
        <v>6</v>
      </c>
      <c r="BL131" s="9">
        <v>10</v>
      </c>
      <c r="BM131" s="167">
        <f>'HourGH-MAY'!L16</f>
        <v>0.53</v>
      </c>
      <c r="BN131" s="9">
        <v>130</v>
      </c>
      <c r="BO131" s="9">
        <v>6</v>
      </c>
      <c r="BP131" s="9">
        <v>10</v>
      </c>
      <c r="BQ131" s="167">
        <f>'HourGH-JUN'!L16</f>
        <v>0.21</v>
      </c>
      <c r="BR131" s="263">
        <v>130</v>
      </c>
      <c r="BS131" s="9">
        <v>6</v>
      </c>
      <c r="BT131" s="9">
        <v>10</v>
      </c>
      <c r="BU131" s="167">
        <f>'HourGH-JUL'!L16</f>
        <v>0.26</v>
      </c>
      <c r="BV131" s="263">
        <v>130</v>
      </c>
      <c r="BW131" s="9">
        <v>6</v>
      </c>
      <c r="BX131" s="9">
        <v>10</v>
      </c>
      <c r="BY131" s="167">
        <f>'HourGH-AUG'!L16</f>
        <v>0.7</v>
      </c>
      <c r="BZ131" s="9">
        <v>130</v>
      </c>
      <c r="CA131" s="9">
        <v>6</v>
      </c>
      <c r="CB131" s="9">
        <v>10</v>
      </c>
      <c r="CC131" s="167">
        <f>'HourGH-SEP'!L16</f>
        <v>0.64</v>
      </c>
      <c r="CD131" s="263">
        <v>130</v>
      </c>
      <c r="CE131" s="9">
        <v>6</v>
      </c>
      <c r="CF131" s="9">
        <v>10</v>
      </c>
      <c r="CG131" s="167">
        <f>'HourGH-OCT'!L16</f>
        <v>1.03</v>
      </c>
      <c r="CH131" s="9">
        <v>130</v>
      </c>
      <c r="CI131" s="9">
        <v>6</v>
      </c>
      <c r="CJ131" s="9">
        <v>10</v>
      </c>
      <c r="CK131" s="167">
        <f>'HourGH-NOV'!L16</f>
        <v>0.77</v>
      </c>
      <c r="CL131" s="263">
        <v>130</v>
      </c>
      <c r="CM131" s="9">
        <v>6</v>
      </c>
      <c r="CN131" s="9">
        <v>10</v>
      </c>
      <c r="CO131" s="167">
        <f>'HourGH-DEC'!L16</f>
        <v>0.51</v>
      </c>
      <c r="CP131" s="263">
        <v>130</v>
      </c>
      <c r="CQ131" s="9">
        <v>6</v>
      </c>
      <c r="CR131" s="9">
        <v>10</v>
      </c>
      <c r="CS131" s="167">
        <f>'HourGH-JAN'!L16</f>
        <v>0.41</v>
      </c>
      <c r="CT131" s="9">
        <v>130</v>
      </c>
      <c r="CU131" s="9">
        <v>6</v>
      </c>
      <c r="CV131" s="9">
        <v>10</v>
      </c>
      <c r="CW131" s="167">
        <f>'HourGH-FEB'!L16</f>
        <v>0.32</v>
      </c>
      <c r="CX131" s="263">
        <v>130</v>
      </c>
      <c r="CY131" s="9">
        <v>6</v>
      </c>
      <c r="CZ131" s="9">
        <v>10</v>
      </c>
      <c r="DA131" s="167">
        <f>'HourGH-MAR'!L16</f>
        <v>0.25</v>
      </c>
    </row>
    <row r="132" spans="58:105">
      <c r="BF132" s="9">
        <v>131</v>
      </c>
      <c r="BG132" s="9">
        <v>6</v>
      </c>
      <c r="BH132" s="9">
        <v>11</v>
      </c>
      <c r="BI132" s="167">
        <f>'HourGH-APR'!M16</f>
        <v>0.57999999999999996</v>
      </c>
      <c r="BJ132" s="263">
        <v>131</v>
      </c>
      <c r="BK132" s="9">
        <v>6</v>
      </c>
      <c r="BL132" s="9">
        <v>11</v>
      </c>
      <c r="BM132" s="167">
        <f>'HourGH-MAY'!M16</f>
        <v>0.52</v>
      </c>
      <c r="BN132" s="9">
        <v>131</v>
      </c>
      <c r="BO132" s="9">
        <v>6</v>
      </c>
      <c r="BP132" s="9">
        <v>11</v>
      </c>
      <c r="BQ132" s="167">
        <f>'HourGH-JUN'!M16</f>
        <v>0.21</v>
      </c>
      <c r="BR132" s="263">
        <v>131</v>
      </c>
      <c r="BS132" s="9">
        <v>6</v>
      </c>
      <c r="BT132" s="9">
        <v>11</v>
      </c>
      <c r="BU132" s="167">
        <f>'HourGH-JUL'!M16</f>
        <v>0.26</v>
      </c>
      <c r="BV132" s="263">
        <v>131</v>
      </c>
      <c r="BW132" s="9">
        <v>6</v>
      </c>
      <c r="BX132" s="9">
        <v>11</v>
      </c>
      <c r="BY132" s="167">
        <f>'HourGH-AUG'!M16</f>
        <v>0.7</v>
      </c>
      <c r="BZ132" s="9">
        <v>131</v>
      </c>
      <c r="CA132" s="9">
        <v>6</v>
      </c>
      <c r="CB132" s="9">
        <v>11</v>
      </c>
      <c r="CC132" s="167">
        <f>'HourGH-SEP'!M16</f>
        <v>0.65</v>
      </c>
      <c r="CD132" s="263">
        <v>131</v>
      </c>
      <c r="CE132" s="9">
        <v>6</v>
      </c>
      <c r="CF132" s="9">
        <v>11</v>
      </c>
      <c r="CG132" s="167">
        <f>'HourGH-OCT'!M16</f>
        <v>1.03</v>
      </c>
      <c r="CH132" s="9">
        <v>131</v>
      </c>
      <c r="CI132" s="9">
        <v>6</v>
      </c>
      <c r="CJ132" s="9">
        <v>11</v>
      </c>
      <c r="CK132" s="167">
        <f>'HourGH-NOV'!M16</f>
        <v>0.77</v>
      </c>
      <c r="CL132" s="263">
        <v>131</v>
      </c>
      <c r="CM132" s="9">
        <v>6</v>
      </c>
      <c r="CN132" s="9">
        <v>11</v>
      </c>
      <c r="CO132" s="167">
        <f>'HourGH-DEC'!M16</f>
        <v>0.51</v>
      </c>
      <c r="CP132" s="263">
        <v>131</v>
      </c>
      <c r="CQ132" s="9">
        <v>6</v>
      </c>
      <c r="CR132" s="9">
        <v>11</v>
      </c>
      <c r="CS132" s="167">
        <f>'HourGH-JAN'!M16</f>
        <v>0.41</v>
      </c>
      <c r="CT132" s="9">
        <v>131</v>
      </c>
      <c r="CU132" s="9">
        <v>6</v>
      </c>
      <c r="CV132" s="9">
        <v>11</v>
      </c>
      <c r="CW132" s="167">
        <f>'HourGH-FEB'!M16</f>
        <v>0.32</v>
      </c>
      <c r="CX132" s="263">
        <v>131</v>
      </c>
      <c r="CY132" s="9">
        <v>6</v>
      </c>
      <c r="CZ132" s="9">
        <v>11</v>
      </c>
      <c r="DA132" s="167">
        <f>'HourGH-MAR'!M16</f>
        <v>0.25</v>
      </c>
    </row>
    <row r="133" spans="58:105">
      <c r="BF133" s="9">
        <v>132</v>
      </c>
      <c r="BG133" s="9">
        <v>6</v>
      </c>
      <c r="BH133" s="9">
        <v>12</v>
      </c>
      <c r="BI133" s="167">
        <f>'HourGH-APR'!N16</f>
        <v>0.59</v>
      </c>
      <c r="BJ133" s="263">
        <v>132</v>
      </c>
      <c r="BK133" s="9">
        <v>6</v>
      </c>
      <c r="BL133" s="9">
        <v>12</v>
      </c>
      <c r="BM133" s="167">
        <f>'HourGH-MAY'!N16</f>
        <v>0.52</v>
      </c>
      <c r="BN133" s="9">
        <v>132</v>
      </c>
      <c r="BO133" s="9">
        <v>6</v>
      </c>
      <c r="BP133" s="9">
        <v>12</v>
      </c>
      <c r="BQ133" s="167">
        <f>'HourGH-JUN'!N16</f>
        <v>0.21</v>
      </c>
      <c r="BR133" s="263">
        <v>132</v>
      </c>
      <c r="BS133" s="9">
        <v>6</v>
      </c>
      <c r="BT133" s="9">
        <v>12</v>
      </c>
      <c r="BU133" s="167">
        <f>'HourGH-JUL'!N16</f>
        <v>0.26</v>
      </c>
      <c r="BV133" s="263">
        <v>132</v>
      </c>
      <c r="BW133" s="9">
        <v>6</v>
      </c>
      <c r="BX133" s="9">
        <v>12</v>
      </c>
      <c r="BY133" s="167">
        <f>'HourGH-AUG'!N16</f>
        <v>0.7</v>
      </c>
      <c r="BZ133" s="9">
        <v>132</v>
      </c>
      <c r="CA133" s="9">
        <v>6</v>
      </c>
      <c r="CB133" s="9">
        <v>12</v>
      </c>
      <c r="CC133" s="167">
        <f>'HourGH-SEP'!N16</f>
        <v>0.66</v>
      </c>
      <c r="CD133" s="263">
        <v>132</v>
      </c>
      <c r="CE133" s="9">
        <v>6</v>
      </c>
      <c r="CF133" s="9">
        <v>12</v>
      </c>
      <c r="CG133" s="167">
        <f>'HourGH-OCT'!N16</f>
        <v>1.04</v>
      </c>
      <c r="CH133" s="9">
        <v>132</v>
      </c>
      <c r="CI133" s="9">
        <v>6</v>
      </c>
      <c r="CJ133" s="9">
        <v>12</v>
      </c>
      <c r="CK133" s="167">
        <f>'HourGH-NOV'!N16</f>
        <v>0.77</v>
      </c>
      <c r="CL133" s="263">
        <v>132</v>
      </c>
      <c r="CM133" s="9">
        <v>6</v>
      </c>
      <c r="CN133" s="9">
        <v>12</v>
      </c>
      <c r="CO133" s="167">
        <f>'HourGH-DEC'!N16</f>
        <v>0.51</v>
      </c>
      <c r="CP133" s="263">
        <v>132</v>
      </c>
      <c r="CQ133" s="9">
        <v>6</v>
      </c>
      <c r="CR133" s="9">
        <v>12</v>
      </c>
      <c r="CS133" s="167">
        <f>'HourGH-JAN'!N16</f>
        <v>0.41</v>
      </c>
      <c r="CT133" s="9">
        <v>132</v>
      </c>
      <c r="CU133" s="9">
        <v>6</v>
      </c>
      <c r="CV133" s="9">
        <v>12</v>
      </c>
      <c r="CW133" s="167">
        <f>'HourGH-FEB'!N16</f>
        <v>0.32</v>
      </c>
      <c r="CX133" s="263">
        <v>132</v>
      </c>
      <c r="CY133" s="9">
        <v>6</v>
      </c>
      <c r="CZ133" s="9">
        <v>12</v>
      </c>
      <c r="DA133" s="167">
        <f>'HourGH-MAR'!N16</f>
        <v>0.25</v>
      </c>
    </row>
    <row r="134" spans="58:105">
      <c r="BF134" s="9">
        <v>133</v>
      </c>
      <c r="BG134" s="9">
        <v>6</v>
      </c>
      <c r="BH134" s="9">
        <v>13</v>
      </c>
      <c r="BI134" s="167">
        <f>'HourGH-APR'!O16</f>
        <v>0.59</v>
      </c>
      <c r="BJ134" s="263">
        <v>133</v>
      </c>
      <c r="BK134" s="9">
        <v>6</v>
      </c>
      <c r="BL134" s="9">
        <v>13</v>
      </c>
      <c r="BM134" s="167">
        <f>'HourGH-MAY'!O16</f>
        <v>0.52</v>
      </c>
      <c r="BN134" s="9">
        <v>133</v>
      </c>
      <c r="BO134" s="9">
        <v>6</v>
      </c>
      <c r="BP134" s="9">
        <v>13</v>
      </c>
      <c r="BQ134" s="167">
        <f>'HourGH-JUN'!O16</f>
        <v>0.22</v>
      </c>
      <c r="BR134" s="263">
        <v>133</v>
      </c>
      <c r="BS134" s="9">
        <v>6</v>
      </c>
      <c r="BT134" s="9">
        <v>13</v>
      </c>
      <c r="BU134" s="167">
        <f>'HourGH-JUL'!O16</f>
        <v>0.25</v>
      </c>
      <c r="BV134" s="263">
        <v>133</v>
      </c>
      <c r="BW134" s="9">
        <v>6</v>
      </c>
      <c r="BX134" s="9">
        <v>13</v>
      </c>
      <c r="BY134" s="167">
        <f>'HourGH-AUG'!O16</f>
        <v>0.7</v>
      </c>
      <c r="BZ134" s="9">
        <v>133</v>
      </c>
      <c r="CA134" s="9">
        <v>6</v>
      </c>
      <c r="CB134" s="9">
        <v>13</v>
      </c>
      <c r="CC134" s="167">
        <f>'HourGH-SEP'!O16</f>
        <v>0.67</v>
      </c>
      <c r="CD134" s="263">
        <v>133</v>
      </c>
      <c r="CE134" s="9">
        <v>6</v>
      </c>
      <c r="CF134" s="9">
        <v>13</v>
      </c>
      <c r="CG134" s="167">
        <f>'HourGH-OCT'!O16</f>
        <v>1.04</v>
      </c>
      <c r="CH134" s="9">
        <v>133</v>
      </c>
      <c r="CI134" s="9">
        <v>6</v>
      </c>
      <c r="CJ134" s="9">
        <v>13</v>
      </c>
      <c r="CK134" s="167">
        <f>'HourGH-NOV'!O16</f>
        <v>0.76</v>
      </c>
      <c r="CL134" s="263">
        <v>133</v>
      </c>
      <c r="CM134" s="9">
        <v>6</v>
      </c>
      <c r="CN134" s="9">
        <v>13</v>
      </c>
      <c r="CO134" s="167">
        <f>'HourGH-DEC'!O16</f>
        <v>0.51</v>
      </c>
      <c r="CP134" s="263">
        <v>133</v>
      </c>
      <c r="CQ134" s="9">
        <v>6</v>
      </c>
      <c r="CR134" s="9">
        <v>13</v>
      </c>
      <c r="CS134" s="167">
        <f>'HourGH-JAN'!O16</f>
        <v>0.41</v>
      </c>
      <c r="CT134" s="9">
        <v>133</v>
      </c>
      <c r="CU134" s="9">
        <v>6</v>
      </c>
      <c r="CV134" s="9">
        <v>13</v>
      </c>
      <c r="CW134" s="167">
        <f>'HourGH-FEB'!O16</f>
        <v>0.31</v>
      </c>
      <c r="CX134" s="263">
        <v>133</v>
      </c>
      <c r="CY134" s="9">
        <v>6</v>
      </c>
      <c r="CZ134" s="9">
        <v>13</v>
      </c>
      <c r="DA134" s="167">
        <f>'HourGH-MAR'!O16</f>
        <v>0.25</v>
      </c>
    </row>
    <row r="135" spans="58:105">
      <c r="BF135" s="9">
        <v>134</v>
      </c>
      <c r="BG135" s="9">
        <v>6</v>
      </c>
      <c r="BH135" s="9">
        <v>14</v>
      </c>
      <c r="BI135" s="167">
        <f>'HourGH-APR'!P16</f>
        <v>0.6</v>
      </c>
      <c r="BJ135" s="263">
        <v>134</v>
      </c>
      <c r="BK135" s="9">
        <v>6</v>
      </c>
      <c r="BL135" s="9">
        <v>14</v>
      </c>
      <c r="BM135" s="167">
        <f>'HourGH-MAY'!P16</f>
        <v>0.52</v>
      </c>
      <c r="BN135" s="9">
        <v>134</v>
      </c>
      <c r="BO135" s="9">
        <v>6</v>
      </c>
      <c r="BP135" s="9">
        <v>14</v>
      </c>
      <c r="BQ135" s="167">
        <f>'HourGH-JUN'!P16</f>
        <v>0.22</v>
      </c>
      <c r="BR135" s="263">
        <v>134</v>
      </c>
      <c r="BS135" s="9">
        <v>6</v>
      </c>
      <c r="BT135" s="9">
        <v>14</v>
      </c>
      <c r="BU135" s="167">
        <f>'HourGH-JUL'!P16</f>
        <v>0.25</v>
      </c>
      <c r="BV135" s="263">
        <v>134</v>
      </c>
      <c r="BW135" s="9">
        <v>6</v>
      </c>
      <c r="BX135" s="9">
        <v>14</v>
      </c>
      <c r="BY135" s="167">
        <f>'HourGH-AUG'!P16</f>
        <v>0.69</v>
      </c>
      <c r="BZ135" s="9">
        <v>134</v>
      </c>
      <c r="CA135" s="9">
        <v>6</v>
      </c>
      <c r="CB135" s="9">
        <v>14</v>
      </c>
      <c r="CC135" s="167">
        <f>'HourGH-SEP'!P16</f>
        <v>0.68</v>
      </c>
      <c r="CD135" s="263">
        <v>134</v>
      </c>
      <c r="CE135" s="9">
        <v>6</v>
      </c>
      <c r="CF135" s="9">
        <v>14</v>
      </c>
      <c r="CG135" s="167">
        <f>'HourGH-OCT'!P16</f>
        <v>1.04</v>
      </c>
      <c r="CH135" s="9">
        <v>134</v>
      </c>
      <c r="CI135" s="9">
        <v>6</v>
      </c>
      <c r="CJ135" s="9">
        <v>14</v>
      </c>
      <c r="CK135" s="167">
        <f>'HourGH-NOV'!P16</f>
        <v>0.76</v>
      </c>
      <c r="CL135" s="263">
        <v>134</v>
      </c>
      <c r="CM135" s="9">
        <v>6</v>
      </c>
      <c r="CN135" s="9">
        <v>14</v>
      </c>
      <c r="CO135" s="167">
        <f>'HourGH-DEC'!P16</f>
        <v>0.51</v>
      </c>
      <c r="CP135" s="263">
        <v>134</v>
      </c>
      <c r="CQ135" s="9">
        <v>6</v>
      </c>
      <c r="CR135" s="9">
        <v>14</v>
      </c>
      <c r="CS135" s="167">
        <f>'HourGH-JAN'!P16</f>
        <v>0.41</v>
      </c>
      <c r="CT135" s="9">
        <v>134</v>
      </c>
      <c r="CU135" s="9">
        <v>6</v>
      </c>
      <c r="CV135" s="9">
        <v>14</v>
      </c>
      <c r="CW135" s="167">
        <f>'HourGH-FEB'!P16</f>
        <v>0.31</v>
      </c>
      <c r="CX135" s="263">
        <v>134</v>
      </c>
      <c r="CY135" s="9">
        <v>6</v>
      </c>
      <c r="CZ135" s="9">
        <v>14</v>
      </c>
      <c r="DA135" s="167">
        <f>'HourGH-MAR'!P16</f>
        <v>0.25</v>
      </c>
    </row>
    <row r="136" spans="58:105">
      <c r="BF136" s="9">
        <v>135</v>
      </c>
      <c r="BG136" s="9">
        <v>6</v>
      </c>
      <c r="BH136" s="9">
        <v>15</v>
      </c>
      <c r="BI136" s="167">
        <f>'HourGH-APR'!Q16</f>
        <v>0.6</v>
      </c>
      <c r="BJ136" s="263">
        <v>135</v>
      </c>
      <c r="BK136" s="9">
        <v>6</v>
      </c>
      <c r="BL136" s="9">
        <v>15</v>
      </c>
      <c r="BM136" s="167">
        <f>'HourGH-MAY'!Q16</f>
        <v>0.51</v>
      </c>
      <c r="BN136" s="9">
        <v>135</v>
      </c>
      <c r="BO136" s="9">
        <v>6</v>
      </c>
      <c r="BP136" s="9">
        <v>15</v>
      </c>
      <c r="BQ136" s="167">
        <f>'HourGH-JUN'!Q16</f>
        <v>0.22</v>
      </c>
      <c r="BR136" s="263">
        <v>135</v>
      </c>
      <c r="BS136" s="9">
        <v>6</v>
      </c>
      <c r="BT136" s="9">
        <v>15</v>
      </c>
      <c r="BU136" s="167">
        <f>'HourGH-JUL'!Q16</f>
        <v>0.25</v>
      </c>
      <c r="BV136" s="263">
        <v>135</v>
      </c>
      <c r="BW136" s="9">
        <v>6</v>
      </c>
      <c r="BX136" s="9">
        <v>15</v>
      </c>
      <c r="BY136" s="167">
        <f>'HourGH-AUG'!Q16</f>
        <v>0.68</v>
      </c>
      <c r="BZ136" s="9">
        <v>135</v>
      </c>
      <c r="CA136" s="9">
        <v>6</v>
      </c>
      <c r="CB136" s="9">
        <v>15</v>
      </c>
      <c r="CC136" s="167">
        <f>'HourGH-SEP'!Q16</f>
        <v>0.69</v>
      </c>
      <c r="CD136" s="263">
        <v>135</v>
      </c>
      <c r="CE136" s="9">
        <v>6</v>
      </c>
      <c r="CF136" s="9">
        <v>15</v>
      </c>
      <c r="CG136" s="167">
        <f>'HourGH-OCT'!Q16</f>
        <v>1.04</v>
      </c>
      <c r="CH136" s="9">
        <v>135</v>
      </c>
      <c r="CI136" s="9">
        <v>6</v>
      </c>
      <c r="CJ136" s="9">
        <v>15</v>
      </c>
      <c r="CK136" s="167">
        <f>'HourGH-NOV'!Q16</f>
        <v>0.76</v>
      </c>
      <c r="CL136" s="263">
        <v>135</v>
      </c>
      <c r="CM136" s="9">
        <v>6</v>
      </c>
      <c r="CN136" s="9">
        <v>15</v>
      </c>
      <c r="CO136" s="167">
        <f>'HourGH-DEC'!Q16</f>
        <v>0.51</v>
      </c>
      <c r="CP136" s="263">
        <v>135</v>
      </c>
      <c r="CQ136" s="9">
        <v>6</v>
      </c>
      <c r="CR136" s="9">
        <v>15</v>
      </c>
      <c r="CS136" s="167">
        <f>'HourGH-JAN'!Q16</f>
        <v>0.41</v>
      </c>
      <c r="CT136" s="9">
        <v>135</v>
      </c>
      <c r="CU136" s="9">
        <v>6</v>
      </c>
      <c r="CV136" s="9">
        <v>15</v>
      </c>
      <c r="CW136" s="167">
        <f>'HourGH-FEB'!Q16</f>
        <v>0.31</v>
      </c>
      <c r="CX136" s="263">
        <v>135</v>
      </c>
      <c r="CY136" s="9">
        <v>6</v>
      </c>
      <c r="CZ136" s="9">
        <v>15</v>
      </c>
      <c r="DA136" s="167">
        <f>'HourGH-MAR'!Q16</f>
        <v>0.25</v>
      </c>
    </row>
    <row r="137" spans="58:105">
      <c r="BF137" s="9">
        <v>136</v>
      </c>
      <c r="BG137" s="9">
        <v>6</v>
      </c>
      <c r="BH137" s="9">
        <v>16</v>
      </c>
      <c r="BI137" s="167">
        <f>'HourGH-APR'!R16</f>
        <v>0.61</v>
      </c>
      <c r="BJ137" s="263">
        <v>136</v>
      </c>
      <c r="BK137" s="9">
        <v>6</v>
      </c>
      <c r="BL137" s="9">
        <v>16</v>
      </c>
      <c r="BM137" s="167">
        <f>'HourGH-MAY'!R16</f>
        <v>0.51</v>
      </c>
      <c r="BN137" s="9">
        <v>136</v>
      </c>
      <c r="BO137" s="9">
        <v>6</v>
      </c>
      <c r="BP137" s="9">
        <v>16</v>
      </c>
      <c r="BQ137" s="167">
        <f>'HourGH-JUN'!R16</f>
        <v>0.22</v>
      </c>
      <c r="BR137" s="263">
        <v>136</v>
      </c>
      <c r="BS137" s="9">
        <v>6</v>
      </c>
      <c r="BT137" s="9">
        <v>16</v>
      </c>
      <c r="BU137" s="167">
        <f>'HourGH-JUL'!R16</f>
        <v>0.25</v>
      </c>
      <c r="BV137" s="263">
        <v>136</v>
      </c>
      <c r="BW137" s="9">
        <v>6</v>
      </c>
      <c r="BX137" s="9">
        <v>16</v>
      </c>
      <c r="BY137" s="167">
        <f>'HourGH-AUG'!R16</f>
        <v>0.67</v>
      </c>
      <c r="BZ137" s="9">
        <v>136</v>
      </c>
      <c r="CA137" s="9">
        <v>6</v>
      </c>
      <c r="CB137" s="9">
        <v>16</v>
      </c>
      <c r="CC137" s="167">
        <f>'HourGH-SEP'!R16</f>
        <v>0.71</v>
      </c>
      <c r="CD137" s="263">
        <v>136</v>
      </c>
      <c r="CE137" s="9">
        <v>6</v>
      </c>
      <c r="CF137" s="9">
        <v>16</v>
      </c>
      <c r="CG137" s="167">
        <f>'HourGH-OCT'!R16</f>
        <v>1.04</v>
      </c>
      <c r="CH137" s="9">
        <v>136</v>
      </c>
      <c r="CI137" s="9">
        <v>6</v>
      </c>
      <c r="CJ137" s="9">
        <v>16</v>
      </c>
      <c r="CK137" s="167">
        <f>'HourGH-NOV'!R16</f>
        <v>0.76</v>
      </c>
      <c r="CL137" s="263">
        <v>136</v>
      </c>
      <c r="CM137" s="9">
        <v>6</v>
      </c>
      <c r="CN137" s="9">
        <v>16</v>
      </c>
      <c r="CO137" s="167">
        <f>'HourGH-DEC'!R16</f>
        <v>0.51</v>
      </c>
      <c r="CP137" s="263">
        <v>136</v>
      </c>
      <c r="CQ137" s="9">
        <v>6</v>
      </c>
      <c r="CR137" s="9">
        <v>16</v>
      </c>
      <c r="CS137" s="167">
        <f>'HourGH-JAN'!R16</f>
        <v>0.41</v>
      </c>
      <c r="CT137" s="9">
        <v>136</v>
      </c>
      <c r="CU137" s="9">
        <v>6</v>
      </c>
      <c r="CV137" s="9">
        <v>16</v>
      </c>
      <c r="CW137" s="167">
        <f>'HourGH-FEB'!R16</f>
        <v>0.31</v>
      </c>
      <c r="CX137" s="263">
        <v>136</v>
      </c>
      <c r="CY137" s="9">
        <v>6</v>
      </c>
      <c r="CZ137" s="9">
        <v>16</v>
      </c>
      <c r="DA137" s="167">
        <f>'HourGH-MAR'!R16</f>
        <v>0.25</v>
      </c>
    </row>
    <row r="138" spans="58:105">
      <c r="BF138" s="9">
        <v>137</v>
      </c>
      <c r="BG138" s="9">
        <v>6</v>
      </c>
      <c r="BH138" s="9">
        <v>17</v>
      </c>
      <c r="BI138" s="167">
        <f>'HourGH-APR'!S16</f>
        <v>0.61</v>
      </c>
      <c r="BJ138" s="263">
        <v>137</v>
      </c>
      <c r="BK138" s="9">
        <v>6</v>
      </c>
      <c r="BL138" s="9">
        <v>17</v>
      </c>
      <c r="BM138" s="167">
        <f>'HourGH-MAY'!S16</f>
        <v>0.51</v>
      </c>
      <c r="BN138" s="9">
        <v>137</v>
      </c>
      <c r="BO138" s="9">
        <v>6</v>
      </c>
      <c r="BP138" s="9">
        <v>17</v>
      </c>
      <c r="BQ138" s="167">
        <f>'HourGH-JUN'!S16</f>
        <v>0.22</v>
      </c>
      <c r="BR138" s="263">
        <v>137</v>
      </c>
      <c r="BS138" s="9">
        <v>6</v>
      </c>
      <c r="BT138" s="9">
        <v>17</v>
      </c>
      <c r="BU138" s="167">
        <f>'HourGH-JUL'!S16</f>
        <v>0.25</v>
      </c>
      <c r="BV138" s="263">
        <v>137</v>
      </c>
      <c r="BW138" s="9">
        <v>6</v>
      </c>
      <c r="BX138" s="9">
        <v>17</v>
      </c>
      <c r="BY138" s="167">
        <f>'HourGH-AUG'!S16</f>
        <v>0.66</v>
      </c>
      <c r="BZ138" s="9">
        <v>137</v>
      </c>
      <c r="CA138" s="9">
        <v>6</v>
      </c>
      <c r="CB138" s="9">
        <v>17</v>
      </c>
      <c r="CC138" s="167">
        <f>'HourGH-SEP'!S16</f>
        <v>0.72</v>
      </c>
      <c r="CD138" s="263">
        <v>137</v>
      </c>
      <c r="CE138" s="9">
        <v>6</v>
      </c>
      <c r="CF138" s="9">
        <v>17</v>
      </c>
      <c r="CG138" s="167">
        <f>'HourGH-OCT'!S16</f>
        <v>1.04</v>
      </c>
      <c r="CH138" s="9">
        <v>137</v>
      </c>
      <c r="CI138" s="9">
        <v>6</v>
      </c>
      <c r="CJ138" s="9">
        <v>17</v>
      </c>
      <c r="CK138" s="167">
        <f>'HourGH-NOV'!S16</f>
        <v>0.76</v>
      </c>
      <c r="CL138" s="263">
        <v>137</v>
      </c>
      <c r="CM138" s="9">
        <v>6</v>
      </c>
      <c r="CN138" s="9">
        <v>17</v>
      </c>
      <c r="CO138" s="167">
        <f>'HourGH-DEC'!S16</f>
        <v>0.51</v>
      </c>
      <c r="CP138" s="263">
        <v>137</v>
      </c>
      <c r="CQ138" s="9">
        <v>6</v>
      </c>
      <c r="CR138" s="9">
        <v>17</v>
      </c>
      <c r="CS138" s="167">
        <f>'HourGH-JAN'!S16</f>
        <v>0.41</v>
      </c>
      <c r="CT138" s="9">
        <v>137</v>
      </c>
      <c r="CU138" s="9">
        <v>6</v>
      </c>
      <c r="CV138" s="9">
        <v>17</v>
      </c>
      <c r="CW138" s="167">
        <f>'HourGH-FEB'!S16</f>
        <v>0.31</v>
      </c>
      <c r="CX138" s="263">
        <v>137</v>
      </c>
      <c r="CY138" s="9">
        <v>6</v>
      </c>
      <c r="CZ138" s="9">
        <v>17</v>
      </c>
      <c r="DA138" s="167">
        <f>'HourGH-MAR'!S16</f>
        <v>0.25</v>
      </c>
    </row>
    <row r="139" spans="58:105">
      <c r="BF139" s="9">
        <v>138</v>
      </c>
      <c r="BG139" s="9">
        <v>6</v>
      </c>
      <c r="BH139" s="9">
        <v>18</v>
      </c>
      <c r="BI139" s="167">
        <f>'HourGH-APR'!T16</f>
        <v>0.62</v>
      </c>
      <c r="BJ139" s="263">
        <v>138</v>
      </c>
      <c r="BK139" s="9">
        <v>6</v>
      </c>
      <c r="BL139" s="9">
        <v>18</v>
      </c>
      <c r="BM139" s="167">
        <f>'HourGH-MAY'!T16</f>
        <v>0.51</v>
      </c>
      <c r="BN139" s="9">
        <v>138</v>
      </c>
      <c r="BO139" s="9">
        <v>6</v>
      </c>
      <c r="BP139" s="9">
        <v>18</v>
      </c>
      <c r="BQ139" s="167">
        <f>'HourGH-JUN'!T16</f>
        <v>0.22</v>
      </c>
      <c r="BR139" s="263">
        <v>138</v>
      </c>
      <c r="BS139" s="9">
        <v>6</v>
      </c>
      <c r="BT139" s="9">
        <v>18</v>
      </c>
      <c r="BU139" s="167">
        <f>'HourGH-JUL'!T16</f>
        <v>0.25</v>
      </c>
      <c r="BV139" s="263">
        <v>138</v>
      </c>
      <c r="BW139" s="9">
        <v>6</v>
      </c>
      <c r="BX139" s="9">
        <v>18</v>
      </c>
      <c r="BY139" s="167">
        <f>'HourGH-AUG'!T16</f>
        <v>0.65</v>
      </c>
      <c r="BZ139" s="9">
        <v>138</v>
      </c>
      <c r="CA139" s="9">
        <v>6</v>
      </c>
      <c r="CB139" s="9">
        <v>18</v>
      </c>
      <c r="CC139" s="167">
        <f>'HourGH-SEP'!T16</f>
        <v>0.74</v>
      </c>
      <c r="CD139" s="263">
        <v>138</v>
      </c>
      <c r="CE139" s="9">
        <v>6</v>
      </c>
      <c r="CF139" s="9">
        <v>18</v>
      </c>
      <c r="CG139" s="167">
        <f>'HourGH-OCT'!T16</f>
        <v>1.04</v>
      </c>
      <c r="CH139" s="9">
        <v>138</v>
      </c>
      <c r="CI139" s="9">
        <v>6</v>
      </c>
      <c r="CJ139" s="9">
        <v>18</v>
      </c>
      <c r="CK139" s="167">
        <f>'HourGH-NOV'!T16</f>
        <v>0.76</v>
      </c>
      <c r="CL139" s="263">
        <v>138</v>
      </c>
      <c r="CM139" s="9">
        <v>6</v>
      </c>
      <c r="CN139" s="9">
        <v>18</v>
      </c>
      <c r="CO139" s="167">
        <f>'HourGH-DEC'!T16</f>
        <v>0.51</v>
      </c>
      <c r="CP139" s="263">
        <v>138</v>
      </c>
      <c r="CQ139" s="9">
        <v>6</v>
      </c>
      <c r="CR139" s="9">
        <v>18</v>
      </c>
      <c r="CS139" s="167">
        <f>'HourGH-JAN'!T16</f>
        <v>0.41</v>
      </c>
      <c r="CT139" s="9">
        <v>138</v>
      </c>
      <c r="CU139" s="9">
        <v>6</v>
      </c>
      <c r="CV139" s="9">
        <v>18</v>
      </c>
      <c r="CW139" s="167">
        <f>'HourGH-FEB'!T16</f>
        <v>0.31</v>
      </c>
      <c r="CX139" s="263">
        <v>138</v>
      </c>
      <c r="CY139" s="9">
        <v>6</v>
      </c>
      <c r="CZ139" s="9">
        <v>18</v>
      </c>
      <c r="DA139" s="167">
        <f>'HourGH-MAR'!T16</f>
        <v>0.24</v>
      </c>
    </row>
    <row r="140" spans="58:105">
      <c r="BF140" s="9">
        <v>139</v>
      </c>
      <c r="BG140" s="9">
        <v>6</v>
      </c>
      <c r="BH140" s="9">
        <v>19</v>
      </c>
      <c r="BI140" s="167">
        <f>'HourGH-APR'!U16</f>
        <v>0.62</v>
      </c>
      <c r="BJ140" s="263">
        <v>139</v>
      </c>
      <c r="BK140" s="9">
        <v>6</v>
      </c>
      <c r="BL140" s="9">
        <v>19</v>
      </c>
      <c r="BM140" s="167">
        <f>'HourGH-MAY'!U16</f>
        <v>0.5</v>
      </c>
      <c r="BN140" s="9">
        <v>139</v>
      </c>
      <c r="BO140" s="9">
        <v>6</v>
      </c>
      <c r="BP140" s="9">
        <v>19</v>
      </c>
      <c r="BQ140" s="167">
        <f>'HourGH-JUN'!U16</f>
        <v>0.23</v>
      </c>
      <c r="BR140" s="263">
        <v>139</v>
      </c>
      <c r="BS140" s="9">
        <v>6</v>
      </c>
      <c r="BT140" s="9">
        <v>19</v>
      </c>
      <c r="BU140" s="167">
        <f>'HourGH-JUL'!U16</f>
        <v>0.24</v>
      </c>
      <c r="BV140" s="263">
        <v>139</v>
      </c>
      <c r="BW140" s="9">
        <v>6</v>
      </c>
      <c r="BX140" s="9">
        <v>19</v>
      </c>
      <c r="BY140" s="167">
        <f>'HourGH-AUG'!U16</f>
        <v>0.64</v>
      </c>
      <c r="BZ140" s="9">
        <v>139</v>
      </c>
      <c r="CA140" s="9">
        <v>6</v>
      </c>
      <c r="CB140" s="9">
        <v>19</v>
      </c>
      <c r="CC140" s="167">
        <f>'HourGH-SEP'!U16</f>
        <v>0.75</v>
      </c>
      <c r="CD140" s="263">
        <v>139</v>
      </c>
      <c r="CE140" s="9">
        <v>6</v>
      </c>
      <c r="CF140" s="9">
        <v>19</v>
      </c>
      <c r="CG140" s="167">
        <f>'HourGH-OCT'!U16</f>
        <v>1.03</v>
      </c>
      <c r="CH140" s="9">
        <v>139</v>
      </c>
      <c r="CI140" s="9">
        <v>6</v>
      </c>
      <c r="CJ140" s="9">
        <v>19</v>
      </c>
      <c r="CK140" s="167">
        <f>'HourGH-NOV'!U16</f>
        <v>0.75</v>
      </c>
      <c r="CL140" s="263">
        <v>139</v>
      </c>
      <c r="CM140" s="9">
        <v>6</v>
      </c>
      <c r="CN140" s="9">
        <v>19</v>
      </c>
      <c r="CO140" s="167">
        <f>'HourGH-DEC'!U16</f>
        <v>0.51</v>
      </c>
      <c r="CP140" s="263">
        <v>139</v>
      </c>
      <c r="CQ140" s="9">
        <v>6</v>
      </c>
      <c r="CR140" s="9">
        <v>19</v>
      </c>
      <c r="CS140" s="167">
        <f>'HourGH-JAN'!U16</f>
        <v>0.41</v>
      </c>
      <c r="CT140" s="9">
        <v>139</v>
      </c>
      <c r="CU140" s="9">
        <v>6</v>
      </c>
      <c r="CV140" s="9">
        <v>19</v>
      </c>
      <c r="CW140" s="167">
        <f>'HourGH-FEB'!U16</f>
        <v>0.31</v>
      </c>
      <c r="CX140" s="263">
        <v>139</v>
      </c>
      <c r="CY140" s="9">
        <v>6</v>
      </c>
      <c r="CZ140" s="9">
        <v>19</v>
      </c>
      <c r="DA140" s="167">
        <f>'HourGH-MAR'!U16</f>
        <v>0.24</v>
      </c>
    </row>
    <row r="141" spans="58:105">
      <c r="BF141" s="9">
        <v>140</v>
      </c>
      <c r="BG141" s="9">
        <v>6</v>
      </c>
      <c r="BH141" s="9">
        <v>20</v>
      </c>
      <c r="BI141" s="167">
        <f>'HourGH-APR'!V16</f>
        <v>0.63</v>
      </c>
      <c r="BJ141" s="263">
        <v>140</v>
      </c>
      <c r="BK141" s="9">
        <v>6</v>
      </c>
      <c r="BL141" s="9">
        <v>20</v>
      </c>
      <c r="BM141" s="167">
        <f>'HourGH-MAY'!V16</f>
        <v>0.5</v>
      </c>
      <c r="BN141" s="9">
        <v>140</v>
      </c>
      <c r="BO141" s="9">
        <v>6</v>
      </c>
      <c r="BP141" s="9">
        <v>20</v>
      </c>
      <c r="BQ141" s="167">
        <f>'HourGH-JUN'!V16</f>
        <v>0.23</v>
      </c>
      <c r="BR141" s="263">
        <v>140</v>
      </c>
      <c r="BS141" s="9">
        <v>6</v>
      </c>
      <c r="BT141" s="9">
        <v>20</v>
      </c>
      <c r="BU141" s="167">
        <f>'HourGH-JUL'!V16</f>
        <v>0.24</v>
      </c>
      <c r="BV141" s="263">
        <v>140</v>
      </c>
      <c r="BW141" s="9">
        <v>6</v>
      </c>
      <c r="BX141" s="9">
        <v>20</v>
      </c>
      <c r="BY141" s="167">
        <f>'HourGH-AUG'!V16</f>
        <v>0.63</v>
      </c>
      <c r="BZ141" s="9">
        <v>140</v>
      </c>
      <c r="CA141" s="9">
        <v>6</v>
      </c>
      <c r="CB141" s="9">
        <v>20</v>
      </c>
      <c r="CC141" s="167">
        <f>'HourGH-SEP'!V16</f>
        <v>0.77</v>
      </c>
      <c r="CD141" s="263">
        <v>140</v>
      </c>
      <c r="CE141" s="9">
        <v>6</v>
      </c>
      <c r="CF141" s="9">
        <v>20</v>
      </c>
      <c r="CG141" s="167">
        <f>'HourGH-OCT'!V16</f>
        <v>1.03</v>
      </c>
      <c r="CH141" s="9">
        <v>140</v>
      </c>
      <c r="CI141" s="9">
        <v>6</v>
      </c>
      <c r="CJ141" s="9">
        <v>20</v>
      </c>
      <c r="CK141" s="167">
        <f>'HourGH-NOV'!V16</f>
        <v>0.75</v>
      </c>
      <c r="CL141" s="263">
        <v>140</v>
      </c>
      <c r="CM141" s="9">
        <v>6</v>
      </c>
      <c r="CN141" s="9">
        <v>20</v>
      </c>
      <c r="CO141" s="167">
        <f>'HourGH-DEC'!V16</f>
        <v>0.51</v>
      </c>
      <c r="CP141" s="263">
        <v>140</v>
      </c>
      <c r="CQ141" s="9">
        <v>6</v>
      </c>
      <c r="CR141" s="9">
        <v>20</v>
      </c>
      <c r="CS141" s="167">
        <f>'HourGH-JAN'!V16</f>
        <v>0.41</v>
      </c>
      <c r="CT141" s="9">
        <v>140</v>
      </c>
      <c r="CU141" s="9">
        <v>6</v>
      </c>
      <c r="CV141" s="9">
        <v>20</v>
      </c>
      <c r="CW141" s="167">
        <f>'HourGH-FEB'!V16</f>
        <v>0.31</v>
      </c>
      <c r="CX141" s="263">
        <v>140</v>
      </c>
      <c r="CY141" s="9">
        <v>6</v>
      </c>
      <c r="CZ141" s="9">
        <v>20</v>
      </c>
      <c r="DA141" s="167">
        <f>'HourGH-MAR'!V16</f>
        <v>0.24</v>
      </c>
    </row>
    <row r="142" spans="58:105">
      <c r="BF142" s="9">
        <v>141</v>
      </c>
      <c r="BG142" s="9">
        <v>6</v>
      </c>
      <c r="BH142" s="9">
        <v>21</v>
      </c>
      <c r="BI142" s="167">
        <f>'HourGH-APR'!W16</f>
        <v>0.63</v>
      </c>
      <c r="BJ142" s="263">
        <v>141</v>
      </c>
      <c r="BK142" s="9">
        <v>6</v>
      </c>
      <c r="BL142" s="9">
        <v>21</v>
      </c>
      <c r="BM142" s="167">
        <f>'HourGH-MAY'!W16</f>
        <v>0.5</v>
      </c>
      <c r="BN142" s="9">
        <v>141</v>
      </c>
      <c r="BO142" s="9">
        <v>6</v>
      </c>
      <c r="BP142" s="9">
        <v>21</v>
      </c>
      <c r="BQ142" s="167">
        <f>'HourGH-JUN'!W16</f>
        <v>0.23</v>
      </c>
      <c r="BR142" s="263">
        <v>141</v>
      </c>
      <c r="BS142" s="9">
        <v>6</v>
      </c>
      <c r="BT142" s="9">
        <v>21</v>
      </c>
      <c r="BU142" s="167">
        <f>'HourGH-JUL'!W16</f>
        <v>0.24</v>
      </c>
      <c r="BV142" s="263">
        <v>141</v>
      </c>
      <c r="BW142" s="9">
        <v>6</v>
      </c>
      <c r="BX142" s="9">
        <v>21</v>
      </c>
      <c r="BY142" s="167">
        <f>'HourGH-AUG'!W16</f>
        <v>0.62</v>
      </c>
      <c r="BZ142" s="9">
        <v>141</v>
      </c>
      <c r="CA142" s="9">
        <v>6</v>
      </c>
      <c r="CB142" s="9">
        <v>21</v>
      </c>
      <c r="CC142" s="167">
        <f>'HourGH-SEP'!W16</f>
        <v>0.79</v>
      </c>
      <c r="CD142" s="263">
        <v>141</v>
      </c>
      <c r="CE142" s="9">
        <v>6</v>
      </c>
      <c r="CF142" s="9">
        <v>21</v>
      </c>
      <c r="CG142" s="167">
        <f>'HourGH-OCT'!W16</f>
        <v>1.02</v>
      </c>
      <c r="CH142" s="9">
        <v>141</v>
      </c>
      <c r="CI142" s="9">
        <v>6</v>
      </c>
      <c r="CJ142" s="9">
        <v>21</v>
      </c>
      <c r="CK142" s="167">
        <f>'HourGH-NOV'!W16</f>
        <v>0.75</v>
      </c>
      <c r="CL142" s="263">
        <v>141</v>
      </c>
      <c r="CM142" s="9">
        <v>6</v>
      </c>
      <c r="CN142" s="9">
        <v>21</v>
      </c>
      <c r="CO142" s="167">
        <f>'HourGH-DEC'!W16</f>
        <v>0.51</v>
      </c>
      <c r="CP142" s="263">
        <v>141</v>
      </c>
      <c r="CQ142" s="9">
        <v>6</v>
      </c>
      <c r="CR142" s="9">
        <v>21</v>
      </c>
      <c r="CS142" s="167">
        <f>'HourGH-JAN'!W16</f>
        <v>0.41</v>
      </c>
      <c r="CT142" s="9">
        <v>141</v>
      </c>
      <c r="CU142" s="9">
        <v>6</v>
      </c>
      <c r="CV142" s="9">
        <v>21</v>
      </c>
      <c r="CW142" s="167">
        <f>'HourGH-FEB'!W16</f>
        <v>0.31</v>
      </c>
      <c r="CX142" s="263">
        <v>141</v>
      </c>
      <c r="CY142" s="9">
        <v>6</v>
      </c>
      <c r="CZ142" s="9">
        <v>21</v>
      </c>
      <c r="DA142" s="167">
        <f>'HourGH-MAR'!W16</f>
        <v>0.24</v>
      </c>
    </row>
    <row r="143" spans="58:105">
      <c r="BF143" s="9">
        <v>142</v>
      </c>
      <c r="BG143" s="9">
        <v>6</v>
      </c>
      <c r="BH143" s="9">
        <v>22</v>
      </c>
      <c r="BI143" s="167">
        <f>'HourGH-APR'!X16</f>
        <v>0.64</v>
      </c>
      <c r="BJ143" s="263">
        <v>142</v>
      </c>
      <c r="BK143" s="9">
        <v>6</v>
      </c>
      <c r="BL143" s="9">
        <v>22</v>
      </c>
      <c r="BM143" s="167">
        <f>'HourGH-MAY'!X16</f>
        <v>0.5</v>
      </c>
      <c r="BN143" s="9">
        <v>142</v>
      </c>
      <c r="BO143" s="9">
        <v>6</v>
      </c>
      <c r="BP143" s="9">
        <v>22</v>
      </c>
      <c r="BQ143" s="167">
        <f>'HourGH-JUN'!X16</f>
        <v>0.23</v>
      </c>
      <c r="BR143" s="263">
        <v>142</v>
      </c>
      <c r="BS143" s="9">
        <v>6</v>
      </c>
      <c r="BT143" s="9">
        <v>22</v>
      </c>
      <c r="BU143" s="167">
        <f>'HourGH-JUL'!X16</f>
        <v>0.24</v>
      </c>
      <c r="BV143" s="263">
        <v>142</v>
      </c>
      <c r="BW143" s="9">
        <v>6</v>
      </c>
      <c r="BX143" s="9">
        <v>22</v>
      </c>
      <c r="BY143" s="167">
        <f>'HourGH-AUG'!X16</f>
        <v>0.61</v>
      </c>
      <c r="BZ143" s="9">
        <v>142</v>
      </c>
      <c r="CA143" s="9">
        <v>6</v>
      </c>
      <c r="CB143" s="9">
        <v>22</v>
      </c>
      <c r="CC143" s="167">
        <f>'HourGH-SEP'!X16</f>
        <v>0.8</v>
      </c>
      <c r="CD143" s="263">
        <v>142</v>
      </c>
      <c r="CE143" s="9">
        <v>6</v>
      </c>
      <c r="CF143" s="9">
        <v>22</v>
      </c>
      <c r="CG143" s="167">
        <f>'HourGH-OCT'!X16</f>
        <v>1.01</v>
      </c>
      <c r="CH143" s="9">
        <v>142</v>
      </c>
      <c r="CI143" s="9">
        <v>6</v>
      </c>
      <c r="CJ143" s="9">
        <v>22</v>
      </c>
      <c r="CK143" s="167">
        <f>'HourGH-NOV'!X16</f>
        <v>0.75</v>
      </c>
      <c r="CL143" s="263">
        <v>142</v>
      </c>
      <c r="CM143" s="9">
        <v>6</v>
      </c>
      <c r="CN143" s="9">
        <v>22</v>
      </c>
      <c r="CO143" s="167">
        <f>'HourGH-DEC'!X16</f>
        <v>0.51</v>
      </c>
      <c r="CP143" s="263">
        <v>142</v>
      </c>
      <c r="CQ143" s="9">
        <v>6</v>
      </c>
      <c r="CR143" s="9">
        <v>22</v>
      </c>
      <c r="CS143" s="167">
        <f>'HourGH-JAN'!X16</f>
        <v>0.41</v>
      </c>
      <c r="CT143" s="9">
        <v>142</v>
      </c>
      <c r="CU143" s="9">
        <v>6</v>
      </c>
      <c r="CV143" s="9">
        <v>22</v>
      </c>
      <c r="CW143" s="167">
        <f>'HourGH-FEB'!X16</f>
        <v>0.31</v>
      </c>
      <c r="CX143" s="263">
        <v>142</v>
      </c>
      <c r="CY143" s="9">
        <v>6</v>
      </c>
      <c r="CZ143" s="9">
        <v>22</v>
      </c>
      <c r="DA143" s="167">
        <f>'HourGH-MAR'!X16</f>
        <v>0.24</v>
      </c>
    </row>
    <row r="144" spans="58:105">
      <c r="BF144" s="9">
        <v>143</v>
      </c>
      <c r="BG144" s="9">
        <v>6</v>
      </c>
      <c r="BH144" s="9">
        <v>23</v>
      </c>
      <c r="BI144" s="167">
        <f>'HourGH-APR'!Y16</f>
        <v>0.65</v>
      </c>
      <c r="BJ144" s="263">
        <v>143</v>
      </c>
      <c r="BK144" s="9">
        <v>6</v>
      </c>
      <c r="BL144" s="9">
        <v>23</v>
      </c>
      <c r="BM144" s="167">
        <f>'HourGH-MAY'!Y16</f>
        <v>0.5</v>
      </c>
      <c r="BN144" s="9">
        <v>143</v>
      </c>
      <c r="BO144" s="9">
        <v>6</v>
      </c>
      <c r="BP144" s="9">
        <v>23</v>
      </c>
      <c r="BQ144" s="167">
        <f>'HourGH-JUN'!Y16</f>
        <v>0.23</v>
      </c>
      <c r="BR144" s="263">
        <v>143</v>
      </c>
      <c r="BS144" s="9">
        <v>6</v>
      </c>
      <c r="BT144" s="9">
        <v>23</v>
      </c>
      <c r="BU144" s="167">
        <f>'HourGH-JUL'!Y16</f>
        <v>0.24</v>
      </c>
      <c r="BV144" s="263">
        <v>143</v>
      </c>
      <c r="BW144" s="9">
        <v>6</v>
      </c>
      <c r="BX144" s="9">
        <v>23</v>
      </c>
      <c r="BY144" s="167">
        <f>'HourGH-AUG'!Y16</f>
        <v>0.61</v>
      </c>
      <c r="BZ144" s="9">
        <v>143</v>
      </c>
      <c r="CA144" s="9">
        <v>6</v>
      </c>
      <c r="CB144" s="9">
        <v>23</v>
      </c>
      <c r="CC144" s="167">
        <f>'HourGH-SEP'!Y16</f>
        <v>0.82</v>
      </c>
      <c r="CD144" s="263">
        <v>143</v>
      </c>
      <c r="CE144" s="9">
        <v>6</v>
      </c>
      <c r="CF144" s="9">
        <v>23</v>
      </c>
      <c r="CG144" s="167">
        <f>'HourGH-OCT'!Y16</f>
        <v>1</v>
      </c>
      <c r="CH144" s="9">
        <v>143</v>
      </c>
      <c r="CI144" s="9">
        <v>6</v>
      </c>
      <c r="CJ144" s="9">
        <v>23</v>
      </c>
      <c r="CK144" s="167">
        <f>'HourGH-NOV'!Y16</f>
        <v>0.75</v>
      </c>
      <c r="CL144" s="263">
        <v>143</v>
      </c>
      <c r="CM144" s="9">
        <v>6</v>
      </c>
      <c r="CN144" s="9">
        <v>23</v>
      </c>
      <c r="CO144" s="167">
        <f>'HourGH-DEC'!Y16</f>
        <v>0.51</v>
      </c>
      <c r="CP144" s="263">
        <v>143</v>
      </c>
      <c r="CQ144" s="9">
        <v>6</v>
      </c>
      <c r="CR144" s="9">
        <v>23</v>
      </c>
      <c r="CS144" s="167">
        <f>'HourGH-JAN'!Y16</f>
        <v>0.41</v>
      </c>
      <c r="CT144" s="9">
        <v>143</v>
      </c>
      <c r="CU144" s="9">
        <v>6</v>
      </c>
      <c r="CV144" s="9">
        <v>23</v>
      </c>
      <c r="CW144" s="167">
        <f>'HourGH-FEB'!Y16</f>
        <v>0.31</v>
      </c>
      <c r="CX144" s="263">
        <v>143</v>
      </c>
      <c r="CY144" s="9">
        <v>6</v>
      </c>
      <c r="CZ144" s="9">
        <v>23</v>
      </c>
      <c r="DA144" s="167">
        <f>'HourGH-MAR'!Y16</f>
        <v>0.24</v>
      </c>
    </row>
    <row r="145" spans="58:105">
      <c r="BF145" s="9">
        <v>144</v>
      </c>
      <c r="BG145" s="9">
        <v>6</v>
      </c>
      <c r="BH145" s="9">
        <v>24</v>
      </c>
      <c r="BI145" s="167">
        <f>'HourGH-APR'!Z16</f>
        <v>0.66</v>
      </c>
      <c r="BJ145" s="263">
        <v>144</v>
      </c>
      <c r="BK145" s="9">
        <v>6</v>
      </c>
      <c r="BL145" s="9">
        <v>24</v>
      </c>
      <c r="BM145" s="167">
        <f>'HourGH-MAY'!Z16</f>
        <v>0.5</v>
      </c>
      <c r="BN145" s="9">
        <v>144</v>
      </c>
      <c r="BO145" s="9">
        <v>6</v>
      </c>
      <c r="BP145" s="9">
        <v>24</v>
      </c>
      <c r="BQ145" s="167">
        <f>'HourGH-JUN'!Z16</f>
        <v>0.23</v>
      </c>
      <c r="BR145" s="263">
        <v>144</v>
      </c>
      <c r="BS145" s="9">
        <v>6</v>
      </c>
      <c r="BT145" s="9">
        <v>24</v>
      </c>
      <c r="BU145" s="167">
        <f>'HourGH-JUL'!Z16</f>
        <v>0.24</v>
      </c>
      <c r="BV145" s="263">
        <v>144</v>
      </c>
      <c r="BW145" s="9">
        <v>6</v>
      </c>
      <c r="BX145" s="9">
        <v>24</v>
      </c>
      <c r="BY145" s="167">
        <f>'HourGH-AUG'!Z16</f>
        <v>0.6</v>
      </c>
      <c r="BZ145" s="9">
        <v>144</v>
      </c>
      <c r="CA145" s="9">
        <v>6</v>
      </c>
      <c r="CB145" s="9">
        <v>24</v>
      </c>
      <c r="CC145" s="167">
        <f>'HourGH-SEP'!Z16</f>
        <v>0.85</v>
      </c>
      <c r="CD145" s="263">
        <v>144</v>
      </c>
      <c r="CE145" s="9">
        <v>6</v>
      </c>
      <c r="CF145" s="9">
        <v>24</v>
      </c>
      <c r="CG145" s="167">
        <f>'HourGH-OCT'!Z16</f>
        <v>0.99</v>
      </c>
      <c r="CH145" s="9">
        <v>144</v>
      </c>
      <c r="CI145" s="9">
        <v>6</v>
      </c>
      <c r="CJ145" s="9">
        <v>24</v>
      </c>
      <c r="CK145" s="167">
        <f>'HourGH-NOV'!Z16</f>
        <v>0.75</v>
      </c>
      <c r="CL145" s="263">
        <v>144</v>
      </c>
      <c r="CM145" s="9">
        <v>6</v>
      </c>
      <c r="CN145" s="9">
        <v>24</v>
      </c>
      <c r="CO145" s="167">
        <f>'HourGH-DEC'!Z16</f>
        <v>0.51</v>
      </c>
      <c r="CP145" s="263">
        <v>144</v>
      </c>
      <c r="CQ145" s="9">
        <v>6</v>
      </c>
      <c r="CR145" s="9">
        <v>24</v>
      </c>
      <c r="CS145" s="167">
        <f>'HourGH-JAN'!Z16</f>
        <v>0.41</v>
      </c>
      <c r="CT145" s="9">
        <v>144</v>
      </c>
      <c r="CU145" s="9">
        <v>6</v>
      </c>
      <c r="CV145" s="9">
        <v>24</v>
      </c>
      <c r="CW145" s="167">
        <f>'HourGH-FEB'!Z16</f>
        <v>0.31</v>
      </c>
      <c r="CX145" s="263">
        <v>144</v>
      </c>
      <c r="CY145" s="9">
        <v>6</v>
      </c>
      <c r="CZ145" s="9">
        <v>24</v>
      </c>
      <c r="DA145" s="167">
        <f>'HourGH-MAR'!Z16</f>
        <v>0.24</v>
      </c>
    </row>
    <row r="146" spans="58:105">
      <c r="BF146" s="9">
        <v>145</v>
      </c>
      <c r="BG146" s="9">
        <v>7</v>
      </c>
      <c r="BH146" s="9">
        <v>1</v>
      </c>
      <c r="BI146" s="167">
        <f>'HourGH-APR'!C17</f>
        <v>0.66</v>
      </c>
      <c r="BJ146" s="263">
        <v>145</v>
      </c>
      <c r="BK146" s="9">
        <v>7</v>
      </c>
      <c r="BL146" s="9">
        <v>1</v>
      </c>
      <c r="BM146" s="167">
        <f>'HourGH-MAY'!C17</f>
        <v>0.49</v>
      </c>
      <c r="BN146" s="9">
        <v>145</v>
      </c>
      <c r="BO146" s="9">
        <v>7</v>
      </c>
      <c r="BP146" s="9">
        <v>1</v>
      </c>
      <c r="BQ146" s="167">
        <f>'HourGH-JUN'!C17</f>
        <v>0.24</v>
      </c>
      <c r="BR146" s="263">
        <v>145</v>
      </c>
      <c r="BS146" s="9">
        <v>7</v>
      </c>
      <c r="BT146" s="9">
        <v>1</v>
      </c>
      <c r="BU146" s="167">
        <f>'HourGH-JUL'!C17</f>
        <v>0.24</v>
      </c>
      <c r="BV146" s="263">
        <v>145</v>
      </c>
      <c r="BW146" s="9">
        <v>7</v>
      </c>
      <c r="BX146" s="9">
        <v>1</v>
      </c>
      <c r="BY146" s="167">
        <f>'HourGH-AUG'!C17</f>
        <v>0.6</v>
      </c>
      <c r="BZ146" s="9">
        <v>145</v>
      </c>
      <c r="CA146" s="9">
        <v>7</v>
      </c>
      <c r="CB146" s="9">
        <v>1</v>
      </c>
      <c r="CC146" s="167">
        <f>'HourGH-SEP'!C17</f>
        <v>0.88</v>
      </c>
      <c r="CD146" s="263">
        <v>145</v>
      </c>
      <c r="CE146" s="9">
        <v>7</v>
      </c>
      <c r="CF146" s="9">
        <v>1</v>
      </c>
      <c r="CG146" s="167">
        <f>'HourGH-OCT'!C17</f>
        <v>0.97</v>
      </c>
      <c r="CH146" s="9">
        <v>145</v>
      </c>
      <c r="CI146" s="9">
        <v>7</v>
      </c>
      <c r="CJ146" s="9">
        <v>1</v>
      </c>
      <c r="CK146" s="167">
        <f>'HourGH-NOV'!C17</f>
        <v>0.74</v>
      </c>
      <c r="CL146" s="263">
        <v>145</v>
      </c>
      <c r="CM146" s="9">
        <v>7</v>
      </c>
      <c r="CN146" s="9">
        <v>1</v>
      </c>
      <c r="CO146" s="167">
        <f>'HourGH-DEC'!C17</f>
        <v>0.5</v>
      </c>
      <c r="CP146" s="263">
        <v>145</v>
      </c>
      <c r="CQ146" s="9">
        <v>7</v>
      </c>
      <c r="CR146" s="9">
        <v>1</v>
      </c>
      <c r="CS146" s="167">
        <f>'HourGH-JAN'!C17</f>
        <v>0.42</v>
      </c>
      <c r="CT146" s="9">
        <v>145</v>
      </c>
      <c r="CU146" s="9">
        <v>7</v>
      </c>
      <c r="CV146" s="9">
        <v>1</v>
      </c>
      <c r="CW146" s="167">
        <f>'HourGH-FEB'!C17</f>
        <v>0.3</v>
      </c>
      <c r="CX146" s="263">
        <v>145</v>
      </c>
      <c r="CY146" s="9">
        <v>7</v>
      </c>
      <c r="CZ146" s="9">
        <v>1</v>
      </c>
      <c r="DA146" s="167">
        <f>'HourGH-MAR'!C17</f>
        <v>0.24</v>
      </c>
    </row>
    <row r="147" spans="58:105">
      <c r="BF147" s="9">
        <v>146</v>
      </c>
      <c r="BG147" s="9">
        <v>7</v>
      </c>
      <c r="BH147" s="9">
        <v>2</v>
      </c>
      <c r="BI147" s="167">
        <f>'HourGH-APR'!D17</f>
        <v>0.67</v>
      </c>
      <c r="BJ147" s="263">
        <v>146</v>
      </c>
      <c r="BK147" s="9">
        <v>7</v>
      </c>
      <c r="BL147" s="9">
        <v>2</v>
      </c>
      <c r="BM147" s="167">
        <f>'HourGH-MAY'!D17</f>
        <v>0.49</v>
      </c>
      <c r="BN147" s="9">
        <v>146</v>
      </c>
      <c r="BO147" s="9">
        <v>7</v>
      </c>
      <c r="BP147" s="9">
        <v>2</v>
      </c>
      <c r="BQ147" s="167">
        <f>'HourGH-JUN'!D17</f>
        <v>0.24</v>
      </c>
      <c r="BR147" s="263">
        <v>146</v>
      </c>
      <c r="BS147" s="9">
        <v>7</v>
      </c>
      <c r="BT147" s="9">
        <v>2</v>
      </c>
      <c r="BU147" s="167">
        <f>'HourGH-JUL'!D17</f>
        <v>0.24</v>
      </c>
      <c r="BV147" s="263">
        <v>146</v>
      </c>
      <c r="BW147" s="9">
        <v>7</v>
      </c>
      <c r="BX147" s="9">
        <v>2</v>
      </c>
      <c r="BY147" s="167">
        <f>'HourGH-AUG'!D17</f>
        <v>0.6</v>
      </c>
      <c r="BZ147" s="9">
        <v>146</v>
      </c>
      <c r="CA147" s="9">
        <v>7</v>
      </c>
      <c r="CB147" s="9">
        <v>2</v>
      </c>
      <c r="CC147" s="167">
        <f>'HourGH-SEP'!D17</f>
        <v>0.91</v>
      </c>
      <c r="CD147" s="263">
        <v>146</v>
      </c>
      <c r="CE147" s="9">
        <v>7</v>
      </c>
      <c r="CF147" s="9">
        <v>2</v>
      </c>
      <c r="CG147" s="167">
        <f>'HourGH-OCT'!D17</f>
        <v>0.96</v>
      </c>
      <c r="CH147" s="9">
        <v>146</v>
      </c>
      <c r="CI147" s="9">
        <v>7</v>
      </c>
      <c r="CJ147" s="9">
        <v>2</v>
      </c>
      <c r="CK147" s="167">
        <f>'HourGH-NOV'!D17</f>
        <v>0.74</v>
      </c>
      <c r="CL147" s="263">
        <v>146</v>
      </c>
      <c r="CM147" s="9">
        <v>7</v>
      </c>
      <c r="CN147" s="9">
        <v>2</v>
      </c>
      <c r="CO147" s="167">
        <f>'HourGH-DEC'!D17</f>
        <v>0.5</v>
      </c>
      <c r="CP147" s="263">
        <v>146</v>
      </c>
      <c r="CQ147" s="9">
        <v>7</v>
      </c>
      <c r="CR147" s="9">
        <v>2</v>
      </c>
      <c r="CS147" s="167">
        <f>'HourGH-JAN'!D17</f>
        <v>0.42</v>
      </c>
      <c r="CT147" s="9">
        <v>146</v>
      </c>
      <c r="CU147" s="9">
        <v>7</v>
      </c>
      <c r="CV147" s="9">
        <v>2</v>
      </c>
      <c r="CW147" s="167">
        <f>'HourGH-FEB'!D17</f>
        <v>0.3</v>
      </c>
      <c r="CX147" s="263">
        <v>146</v>
      </c>
      <c r="CY147" s="9">
        <v>7</v>
      </c>
      <c r="CZ147" s="9">
        <v>2</v>
      </c>
      <c r="DA147" s="167">
        <f>'HourGH-MAR'!D17</f>
        <v>0.24</v>
      </c>
    </row>
    <row r="148" spans="58:105">
      <c r="BF148" s="9">
        <v>147</v>
      </c>
      <c r="BG148" s="9">
        <v>7</v>
      </c>
      <c r="BH148" s="9">
        <v>3</v>
      </c>
      <c r="BI148" s="167">
        <f>'HourGH-APR'!E17</f>
        <v>0.67</v>
      </c>
      <c r="BJ148" s="263">
        <v>147</v>
      </c>
      <c r="BK148" s="9">
        <v>7</v>
      </c>
      <c r="BL148" s="9">
        <v>3</v>
      </c>
      <c r="BM148" s="167">
        <f>'HourGH-MAY'!E17</f>
        <v>0.49</v>
      </c>
      <c r="BN148" s="9">
        <v>147</v>
      </c>
      <c r="BO148" s="9">
        <v>7</v>
      </c>
      <c r="BP148" s="9">
        <v>3</v>
      </c>
      <c r="BQ148" s="167">
        <f>'HourGH-JUN'!E17</f>
        <v>0.24</v>
      </c>
      <c r="BR148" s="263">
        <v>147</v>
      </c>
      <c r="BS148" s="9">
        <v>7</v>
      </c>
      <c r="BT148" s="9">
        <v>3</v>
      </c>
      <c r="BU148" s="167">
        <f>'HourGH-JUL'!E17</f>
        <v>0.24</v>
      </c>
      <c r="BV148" s="263">
        <v>147</v>
      </c>
      <c r="BW148" s="9">
        <v>7</v>
      </c>
      <c r="BX148" s="9">
        <v>3</v>
      </c>
      <c r="BY148" s="167">
        <f>'HourGH-AUG'!E17</f>
        <v>0.6</v>
      </c>
      <c r="BZ148" s="9">
        <v>147</v>
      </c>
      <c r="CA148" s="9">
        <v>7</v>
      </c>
      <c r="CB148" s="9">
        <v>3</v>
      </c>
      <c r="CC148" s="167">
        <f>'HourGH-SEP'!E17</f>
        <v>0.94</v>
      </c>
      <c r="CD148" s="263">
        <v>147</v>
      </c>
      <c r="CE148" s="9">
        <v>7</v>
      </c>
      <c r="CF148" s="9">
        <v>3</v>
      </c>
      <c r="CG148" s="167">
        <f>'HourGH-OCT'!E17</f>
        <v>0.95</v>
      </c>
      <c r="CH148" s="9">
        <v>147</v>
      </c>
      <c r="CI148" s="9">
        <v>7</v>
      </c>
      <c r="CJ148" s="9">
        <v>3</v>
      </c>
      <c r="CK148" s="167">
        <f>'HourGH-NOV'!E17</f>
        <v>0.74</v>
      </c>
      <c r="CL148" s="263">
        <v>147</v>
      </c>
      <c r="CM148" s="9">
        <v>7</v>
      </c>
      <c r="CN148" s="9">
        <v>3</v>
      </c>
      <c r="CO148" s="167">
        <f>'HourGH-DEC'!E17</f>
        <v>0.5</v>
      </c>
      <c r="CP148" s="263">
        <v>147</v>
      </c>
      <c r="CQ148" s="9">
        <v>7</v>
      </c>
      <c r="CR148" s="9">
        <v>3</v>
      </c>
      <c r="CS148" s="167">
        <f>'HourGH-JAN'!E17</f>
        <v>0.42</v>
      </c>
      <c r="CT148" s="9">
        <v>147</v>
      </c>
      <c r="CU148" s="9">
        <v>7</v>
      </c>
      <c r="CV148" s="9">
        <v>3</v>
      </c>
      <c r="CW148" s="167">
        <f>'HourGH-FEB'!E17</f>
        <v>0.3</v>
      </c>
      <c r="CX148" s="263">
        <v>147</v>
      </c>
      <c r="CY148" s="9">
        <v>7</v>
      </c>
      <c r="CZ148" s="9">
        <v>3</v>
      </c>
      <c r="DA148" s="167">
        <f>'HourGH-MAR'!E17</f>
        <v>0.24</v>
      </c>
    </row>
    <row r="149" spans="58:105">
      <c r="BF149" s="9">
        <v>148</v>
      </c>
      <c r="BG149" s="9">
        <v>7</v>
      </c>
      <c r="BH149" s="9">
        <v>4</v>
      </c>
      <c r="BI149" s="167">
        <f>'HourGH-APR'!F17</f>
        <v>0.68</v>
      </c>
      <c r="BJ149" s="263">
        <v>148</v>
      </c>
      <c r="BK149" s="9">
        <v>7</v>
      </c>
      <c r="BL149" s="9">
        <v>4</v>
      </c>
      <c r="BM149" s="167">
        <f>'HourGH-MAY'!F17</f>
        <v>0.49</v>
      </c>
      <c r="BN149" s="9">
        <v>148</v>
      </c>
      <c r="BO149" s="9">
        <v>7</v>
      </c>
      <c r="BP149" s="9">
        <v>4</v>
      </c>
      <c r="BQ149" s="167">
        <f>'HourGH-JUN'!F17</f>
        <v>0.24</v>
      </c>
      <c r="BR149" s="263">
        <v>148</v>
      </c>
      <c r="BS149" s="9">
        <v>7</v>
      </c>
      <c r="BT149" s="9">
        <v>4</v>
      </c>
      <c r="BU149" s="167">
        <f>'HourGH-JUL'!F17</f>
        <v>0.24</v>
      </c>
      <c r="BV149" s="263">
        <v>148</v>
      </c>
      <c r="BW149" s="9">
        <v>7</v>
      </c>
      <c r="BX149" s="9">
        <v>4</v>
      </c>
      <c r="BY149" s="167">
        <f>'HourGH-AUG'!F17</f>
        <v>0.59</v>
      </c>
      <c r="BZ149" s="9">
        <v>148</v>
      </c>
      <c r="CA149" s="9">
        <v>7</v>
      </c>
      <c r="CB149" s="9">
        <v>4</v>
      </c>
      <c r="CC149" s="167">
        <f>'HourGH-SEP'!F17</f>
        <v>0.97</v>
      </c>
      <c r="CD149" s="263">
        <v>148</v>
      </c>
      <c r="CE149" s="9">
        <v>7</v>
      </c>
      <c r="CF149" s="9">
        <v>4</v>
      </c>
      <c r="CG149" s="167">
        <f>'HourGH-OCT'!F17</f>
        <v>0.94</v>
      </c>
      <c r="CH149" s="9">
        <v>148</v>
      </c>
      <c r="CI149" s="9">
        <v>7</v>
      </c>
      <c r="CJ149" s="9">
        <v>4</v>
      </c>
      <c r="CK149" s="167">
        <f>'HourGH-NOV'!F17</f>
        <v>0.74</v>
      </c>
      <c r="CL149" s="263">
        <v>148</v>
      </c>
      <c r="CM149" s="9">
        <v>7</v>
      </c>
      <c r="CN149" s="9">
        <v>4</v>
      </c>
      <c r="CO149" s="167">
        <f>'HourGH-DEC'!F17</f>
        <v>0.5</v>
      </c>
      <c r="CP149" s="263">
        <v>148</v>
      </c>
      <c r="CQ149" s="9">
        <v>7</v>
      </c>
      <c r="CR149" s="9">
        <v>4</v>
      </c>
      <c r="CS149" s="167">
        <f>'HourGH-JAN'!F17</f>
        <v>0.42</v>
      </c>
      <c r="CT149" s="9">
        <v>148</v>
      </c>
      <c r="CU149" s="9">
        <v>7</v>
      </c>
      <c r="CV149" s="9">
        <v>4</v>
      </c>
      <c r="CW149" s="167">
        <f>'HourGH-FEB'!F17</f>
        <v>0.3</v>
      </c>
      <c r="CX149" s="263">
        <v>148</v>
      </c>
      <c r="CY149" s="9">
        <v>7</v>
      </c>
      <c r="CZ149" s="9">
        <v>4</v>
      </c>
      <c r="DA149" s="167">
        <f>'HourGH-MAR'!F17</f>
        <v>0.24</v>
      </c>
    </row>
    <row r="150" spans="58:105">
      <c r="BF150" s="9">
        <v>149</v>
      </c>
      <c r="BG150" s="9">
        <v>7</v>
      </c>
      <c r="BH150" s="9">
        <v>5</v>
      </c>
      <c r="BI150" s="167">
        <f>'HourGH-APR'!G17</f>
        <v>0.68</v>
      </c>
      <c r="BJ150" s="263">
        <v>149</v>
      </c>
      <c r="BK150" s="9">
        <v>7</v>
      </c>
      <c r="BL150" s="9">
        <v>5</v>
      </c>
      <c r="BM150" s="167">
        <f>'HourGH-MAY'!G17</f>
        <v>0.49</v>
      </c>
      <c r="BN150" s="9">
        <v>149</v>
      </c>
      <c r="BO150" s="9">
        <v>7</v>
      </c>
      <c r="BP150" s="9">
        <v>5</v>
      </c>
      <c r="BQ150" s="167">
        <f>'HourGH-JUN'!G17</f>
        <v>0.24</v>
      </c>
      <c r="BR150" s="263">
        <v>149</v>
      </c>
      <c r="BS150" s="9">
        <v>7</v>
      </c>
      <c r="BT150" s="9">
        <v>5</v>
      </c>
      <c r="BU150" s="167">
        <f>'HourGH-JUL'!G17</f>
        <v>0.24</v>
      </c>
      <c r="BV150" s="263">
        <v>149</v>
      </c>
      <c r="BW150" s="9">
        <v>7</v>
      </c>
      <c r="BX150" s="9">
        <v>5</v>
      </c>
      <c r="BY150" s="167">
        <f>'HourGH-AUG'!G17</f>
        <v>0.59</v>
      </c>
      <c r="BZ150" s="9">
        <v>149</v>
      </c>
      <c r="CA150" s="9">
        <v>7</v>
      </c>
      <c r="CB150" s="9">
        <v>5</v>
      </c>
      <c r="CC150" s="167">
        <f>'HourGH-SEP'!G17</f>
        <v>0.99</v>
      </c>
      <c r="CD150" s="263">
        <v>149</v>
      </c>
      <c r="CE150" s="9">
        <v>7</v>
      </c>
      <c r="CF150" s="9">
        <v>5</v>
      </c>
      <c r="CG150" s="167">
        <f>'HourGH-OCT'!G17</f>
        <v>0.93</v>
      </c>
      <c r="CH150" s="9">
        <v>149</v>
      </c>
      <c r="CI150" s="9">
        <v>7</v>
      </c>
      <c r="CJ150" s="9">
        <v>5</v>
      </c>
      <c r="CK150" s="167">
        <f>'HourGH-NOV'!G17</f>
        <v>0.74</v>
      </c>
      <c r="CL150" s="263">
        <v>149</v>
      </c>
      <c r="CM150" s="9">
        <v>7</v>
      </c>
      <c r="CN150" s="9">
        <v>5</v>
      </c>
      <c r="CO150" s="167">
        <f>'HourGH-DEC'!G17</f>
        <v>0.5</v>
      </c>
      <c r="CP150" s="263">
        <v>149</v>
      </c>
      <c r="CQ150" s="9">
        <v>7</v>
      </c>
      <c r="CR150" s="9">
        <v>5</v>
      </c>
      <c r="CS150" s="167">
        <f>'HourGH-JAN'!G17</f>
        <v>0.42</v>
      </c>
      <c r="CT150" s="9">
        <v>149</v>
      </c>
      <c r="CU150" s="9">
        <v>7</v>
      </c>
      <c r="CV150" s="9">
        <v>5</v>
      </c>
      <c r="CW150" s="167">
        <f>'HourGH-FEB'!G17</f>
        <v>0.3</v>
      </c>
      <c r="CX150" s="263">
        <v>149</v>
      </c>
      <c r="CY150" s="9">
        <v>7</v>
      </c>
      <c r="CZ150" s="9">
        <v>5</v>
      </c>
      <c r="DA150" s="167">
        <f>'HourGH-MAR'!G17</f>
        <v>0.24</v>
      </c>
    </row>
    <row r="151" spans="58:105">
      <c r="BF151" s="9">
        <v>150</v>
      </c>
      <c r="BG151" s="9">
        <v>7</v>
      </c>
      <c r="BH151" s="9">
        <v>6</v>
      </c>
      <c r="BI151" s="167">
        <f>'HourGH-APR'!H17</f>
        <v>0.69</v>
      </c>
      <c r="BJ151" s="263">
        <v>150</v>
      </c>
      <c r="BK151" s="9">
        <v>7</v>
      </c>
      <c r="BL151" s="9">
        <v>6</v>
      </c>
      <c r="BM151" s="167">
        <f>'HourGH-MAY'!H17</f>
        <v>0.49</v>
      </c>
      <c r="BN151" s="9">
        <v>150</v>
      </c>
      <c r="BO151" s="9">
        <v>7</v>
      </c>
      <c r="BP151" s="9">
        <v>6</v>
      </c>
      <c r="BQ151" s="167">
        <f>'HourGH-JUN'!H17</f>
        <v>0.24</v>
      </c>
      <c r="BR151" s="263">
        <v>150</v>
      </c>
      <c r="BS151" s="9">
        <v>7</v>
      </c>
      <c r="BT151" s="9">
        <v>6</v>
      </c>
      <c r="BU151" s="167">
        <f>'HourGH-JUL'!H17</f>
        <v>0.24</v>
      </c>
      <c r="BV151" s="263">
        <v>150</v>
      </c>
      <c r="BW151" s="9">
        <v>7</v>
      </c>
      <c r="BX151" s="9">
        <v>6</v>
      </c>
      <c r="BY151" s="167">
        <f>'HourGH-AUG'!H17</f>
        <v>0.59</v>
      </c>
      <c r="BZ151" s="9">
        <v>150</v>
      </c>
      <c r="CA151" s="9">
        <v>7</v>
      </c>
      <c r="CB151" s="9">
        <v>6</v>
      </c>
      <c r="CC151" s="167">
        <f>'HourGH-SEP'!H17</f>
        <v>1.02</v>
      </c>
      <c r="CD151" s="263">
        <v>150</v>
      </c>
      <c r="CE151" s="9">
        <v>7</v>
      </c>
      <c r="CF151" s="9">
        <v>6</v>
      </c>
      <c r="CG151" s="167">
        <f>'HourGH-OCT'!H17</f>
        <v>0.92</v>
      </c>
      <c r="CH151" s="9">
        <v>150</v>
      </c>
      <c r="CI151" s="9">
        <v>7</v>
      </c>
      <c r="CJ151" s="9">
        <v>6</v>
      </c>
      <c r="CK151" s="167">
        <f>'HourGH-NOV'!H17</f>
        <v>0.74</v>
      </c>
      <c r="CL151" s="263">
        <v>150</v>
      </c>
      <c r="CM151" s="9">
        <v>7</v>
      </c>
      <c r="CN151" s="9">
        <v>6</v>
      </c>
      <c r="CO151" s="167">
        <f>'HourGH-DEC'!H17</f>
        <v>0.5</v>
      </c>
      <c r="CP151" s="263">
        <v>150</v>
      </c>
      <c r="CQ151" s="9">
        <v>7</v>
      </c>
      <c r="CR151" s="9">
        <v>6</v>
      </c>
      <c r="CS151" s="167">
        <f>'HourGH-JAN'!H17</f>
        <v>0.42</v>
      </c>
      <c r="CT151" s="9">
        <v>150</v>
      </c>
      <c r="CU151" s="9">
        <v>7</v>
      </c>
      <c r="CV151" s="9">
        <v>6</v>
      </c>
      <c r="CW151" s="167">
        <f>'HourGH-FEB'!H17</f>
        <v>0.3</v>
      </c>
      <c r="CX151" s="263">
        <v>150</v>
      </c>
      <c r="CY151" s="9">
        <v>7</v>
      </c>
      <c r="CZ151" s="9">
        <v>6</v>
      </c>
      <c r="DA151" s="167">
        <f>'HourGH-MAR'!H17</f>
        <v>0.24</v>
      </c>
    </row>
    <row r="152" spans="58:105">
      <c r="BF152" s="9">
        <v>151</v>
      </c>
      <c r="BG152" s="9">
        <v>7</v>
      </c>
      <c r="BH152" s="9">
        <v>7</v>
      </c>
      <c r="BI152" s="167">
        <f>'HourGH-APR'!I17</f>
        <v>0.69</v>
      </c>
      <c r="BJ152" s="263">
        <v>151</v>
      </c>
      <c r="BK152" s="9">
        <v>7</v>
      </c>
      <c r="BL152" s="9">
        <v>7</v>
      </c>
      <c r="BM152" s="167">
        <f>'HourGH-MAY'!I17</f>
        <v>0.49</v>
      </c>
      <c r="BN152" s="9">
        <v>151</v>
      </c>
      <c r="BO152" s="9">
        <v>7</v>
      </c>
      <c r="BP152" s="9">
        <v>7</v>
      </c>
      <c r="BQ152" s="167">
        <f>'HourGH-JUN'!I17</f>
        <v>0.24</v>
      </c>
      <c r="BR152" s="263">
        <v>151</v>
      </c>
      <c r="BS152" s="9">
        <v>7</v>
      </c>
      <c r="BT152" s="9">
        <v>7</v>
      </c>
      <c r="BU152" s="167">
        <f>'HourGH-JUL'!I17</f>
        <v>0.25</v>
      </c>
      <c r="BV152" s="263">
        <v>151</v>
      </c>
      <c r="BW152" s="9">
        <v>7</v>
      </c>
      <c r="BX152" s="9">
        <v>7</v>
      </c>
      <c r="BY152" s="167">
        <f>'HourGH-AUG'!I17</f>
        <v>0.59</v>
      </c>
      <c r="BZ152" s="9">
        <v>151</v>
      </c>
      <c r="CA152" s="9">
        <v>7</v>
      </c>
      <c r="CB152" s="9">
        <v>7</v>
      </c>
      <c r="CC152" s="167">
        <f>'HourGH-SEP'!I17</f>
        <v>1.06</v>
      </c>
      <c r="CD152" s="263">
        <v>151</v>
      </c>
      <c r="CE152" s="9">
        <v>7</v>
      </c>
      <c r="CF152" s="9">
        <v>7</v>
      </c>
      <c r="CG152" s="167">
        <f>'HourGH-OCT'!I17</f>
        <v>0.92</v>
      </c>
      <c r="CH152" s="9">
        <v>151</v>
      </c>
      <c r="CI152" s="9">
        <v>7</v>
      </c>
      <c r="CJ152" s="9">
        <v>7</v>
      </c>
      <c r="CK152" s="167">
        <f>'HourGH-NOV'!I17</f>
        <v>0.74</v>
      </c>
      <c r="CL152" s="263">
        <v>151</v>
      </c>
      <c r="CM152" s="9">
        <v>7</v>
      </c>
      <c r="CN152" s="9">
        <v>7</v>
      </c>
      <c r="CO152" s="167">
        <f>'HourGH-DEC'!I17</f>
        <v>0.5</v>
      </c>
      <c r="CP152" s="263">
        <v>151</v>
      </c>
      <c r="CQ152" s="9">
        <v>7</v>
      </c>
      <c r="CR152" s="9">
        <v>7</v>
      </c>
      <c r="CS152" s="167">
        <f>'HourGH-JAN'!I17</f>
        <v>0.42</v>
      </c>
      <c r="CT152" s="9">
        <v>151</v>
      </c>
      <c r="CU152" s="9">
        <v>7</v>
      </c>
      <c r="CV152" s="9">
        <v>7</v>
      </c>
      <c r="CW152" s="167">
        <f>'HourGH-FEB'!I17</f>
        <v>0.31</v>
      </c>
      <c r="CX152" s="263">
        <v>151</v>
      </c>
      <c r="CY152" s="9">
        <v>7</v>
      </c>
      <c r="CZ152" s="9">
        <v>7</v>
      </c>
      <c r="DA152" s="167">
        <f>'HourGH-MAR'!I17</f>
        <v>0.24</v>
      </c>
    </row>
    <row r="153" spans="58:105">
      <c r="BF153" s="9">
        <v>152</v>
      </c>
      <c r="BG153" s="9">
        <v>7</v>
      </c>
      <c r="BH153" s="9">
        <v>8</v>
      </c>
      <c r="BI153" s="167">
        <f>'HourGH-APR'!J17</f>
        <v>0.69</v>
      </c>
      <c r="BJ153" s="263">
        <v>152</v>
      </c>
      <c r="BK153" s="9">
        <v>7</v>
      </c>
      <c r="BL153" s="9">
        <v>8</v>
      </c>
      <c r="BM153" s="167">
        <f>'HourGH-MAY'!J17</f>
        <v>0.49</v>
      </c>
      <c r="BN153" s="9">
        <v>152</v>
      </c>
      <c r="BO153" s="9">
        <v>7</v>
      </c>
      <c r="BP153" s="9">
        <v>8</v>
      </c>
      <c r="BQ153" s="167">
        <f>'HourGH-JUN'!J17</f>
        <v>0.24</v>
      </c>
      <c r="BR153" s="263">
        <v>152</v>
      </c>
      <c r="BS153" s="9">
        <v>7</v>
      </c>
      <c r="BT153" s="9">
        <v>8</v>
      </c>
      <c r="BU153" s="167">
        <f>'HourGH-JUL'!J17</f>
        <v>0.25</v>
      </c>
      <c r="BV153" s="263">
        <v>152</v>
      </c>
      <c r="BW153" s="9">
        <v>7</v>
      </c>
      <c r="BX153" s="9">
        <v>8</v>
      </c>
      <c r="BY153" s="167">
        <f>'HourGH-AUG'!J17</f>
        <v>0.57999999999999996</v>
      </c>
      <c r="BZ153" s="9">
        <v>152</v>
      </c>
      <c r="CA153" s="9">
        <v>7</v>
      </c>
      <c r="CB153" s="9">
        <v>8</v>
      </c>
      <c r="CC153" s="167">
        <f>'HourGH-SEP'!J17</f>
        <v>1.0900000000000001</v>
      </c>
      <c r="CD153" s="263">
        <v>152</v>
      </c>
      <c r="CE153" s="9">
        <v>7</v>
      </c>
      <c r="CF153" s="9">
        <v>8</v>
      </c>
      <c r="CG153" s="167">
        <f>'HourGH-OCT'!J17</f>
        <v>0.91</v>
      </c>
      <c r="CH153" s="9">
        <v>152</v>
      </c>
      <c r="CI153" s="9">
        <v>7</v>
      </c>
      <c r="CJ153" s="9">
        <v>8</v>
      </c>
      <c r="CK153" s="167">
        <f>'HourGH-NOV'!J17</f>
        <v>0.74</v>
      </c>
      <c r="CL153" s="263">
        <v>152</v>
      </c>
      <c r="CM153" s="9">
        <v>7</v>
      </c>
      <c r="CN153" s="9">
        <v>8</v>
      </c>
      <c r="CO153" s="167">
        <f>'HourGH-DEC'!J17</f>
        <v>0.5</v>
      </c>
      <c r="CP153" s="263">
        <v>152</v>
      </c>
      <c r="CQ153" s="9">
        <v>7</v>
      </c>
      <c r="CR153" s="9">
        <v>8</v>
      </c>
      <c r="CS153" s="167">
        <f>'HourGH-JAN'!J17</f>
        <v>0.42</v>
      </c>
      <c r="CT153" s="9">
        <v>152</v>
      </c>
      <c r="CU153" s="9">
        <v>7</v>
      </c>
      <c r="CV153" s="9">
        <v>8</v>
      </c>
      <c r="CW153" s="167">
        <f>'HourGH-FEB'!J17</f>
        <v>0.32</v>
      </c>
      <c r="CX153" s="263">
        <v>152</v>
      </c>
      <c r="CY153" s="9">
        <v>7</v>
      </c>
      <c r="CZ153" s="9">
        <v>8</v>
      </c>
      <c r="DA153" s="167">
        <f>'HourGH-MAR'!J17</f>
        <v>0.25</v>
      </c>
    </row>
    <row r="154" spans="58:105">
      <c r="BF154" s="9">
        <v>153</v>
      </c>
      <c r="BG154" s="9">
        <v>7</v>
      </c>
      <c r="BH154" s="9">
        <v>9</v>
      </c>
      <c r="BI154" s="167">
        <f>'HourGH-APR'!K17</f>
        <v>0.7</v>
      </c>
      <c r="BJ154" s="263">
        <v>153</v>
      </c>
      <c r="BK154" s="9">
        <v>7</v>
      </c>
      <c r="BL154" s="9">
        <v>9</v>
      </c>
      <c r="BM154" s="167">
        <f>'HourGH-MAY'!K17</f>
        <v>0.49</v>
      </c>
      <c r="BN154" s="9">
        <v>153</v>
      </c>
      <c r="BO154" s="9">
        <v>7</v>
      </c>
      <c r="BP154" s="9">
        <v>9</v>
      </c>
      <c r="BQ154" s="167">
        <f>'HourGH-JUN'!K17</f>
        <v>0.24</v>
      </c>
      <c r="BR154" s="263">
        <v>153</v>
      </c>
      <c r="BS154" s="9">
        <v>7</v>
      </c>
      <c r="BT154" s="9">
        <v>9</v>
      </c>
      <c r="BU154" s="167">
        <f>'HourGH-JUL'!K17</f>
        <v>0.25</v>
      </c>
      <c r="BV154" s="263">
        <v>153</v>
      </c>
      <c r="BW154" s="9">
        <v>7</v>
      </c>
      <c r="BX154" s="9">
        <v>9</v>
      </c>
      <c r="BY154" s="167">
        <f>'HourGH-AUG'!K17</f>
        <v>0.57999999999999996</v>
      </c>
      <c r="BZ154" s="9">
        <v>153</v>
      </c>
      <c r="CA154" s="9">
        <v>7</v>
      </c>
      <c r="CB154" s="9">
        <v>9</v>
      </c>
      <c r="CC154" s="167">
        <f>'HourGH-SEP'!K17</f>
        <v>1.1200000000000001</v>
      </c>
      <c r="CD154" s="263">
        <v>153</v>
      </c>
      <c r="CE154" s="9">
        <v>7</v>
      </c>
      <c r="CF154" s="9">
        <v>9</v>
      </c>
      <c r="CG154" s="167">
        <f>'HourGH-OCT'!K17</f>
        <v>0.91</v>
      </c>
      <c r="CH154" s="9">
        <v>153</v>
      </c>
      <c r="CI154" s="9">
        <v>7</v>
      </c>
      <c r="CJ154" s="9">
        <v>9</v>
      </c>
      <c r="CK154" s="167">
        <f>'HourGH-NOV'!K17</f>
        <v>0.74</v>
      </c>
      <c r="CL154" s="263">
        <v>153</v>
      </c>
      <c r="CM154" s="9">
        <v>7</v>
      </c>
      <c r="CN154" s="9">
        <v>9</v>
      </c>
      <c r="CO154" s="167">
        <f>'HourGH-DEC'!K17</f>
        <v>0.5</v>
      </c>
      <c r="CP154" s="263">
        <v>153</v>
      </c>
      <c r="CQ154" s="9">
        <v>7</v>
      </c>
      <c r="CR154" s="9">
        <v>9</v>
      </c>
      <c r="CS154" s="167">
        <f>'HourGH-JAN'!K17</f>
        <v>0.42</v>
      </c>
      <c r="CT154" s="9">
        <v>153</v>
      </c>
      <c r="CU154" s="9">
        <v>7</v>
      </c>
      <c r="CV154" s="9">
        <v>9</v>
      </c>
      <c r="CW154" s="167">
        <f>'HourGH-FEB'!K17</f>
        <v>0.34</v>
      </c>
      <c r="CX154" s="263">
        <v>153</v>
      </c>
      <c r="CY154" s="9">
        <v>7</v>
      </c>
      <c r="CZ154" s="9">
        <v>9</v>
      </c>
      <c r="DA154" s="167">
        <f>'HourGH-MAR'!K17</f>
        <v>0.25</v>
      </c>
    </row>
    <row r="155" spans="58:105">
      <c r="BF155" s="9">
        <v>154</v>
      </c>
      <c r="BG155" s="9">
        <v>7</v>
      </c>
      <c r="BH155" s="9">
        <v>10</v>
      </c>
      <c r="BI155" s="167">
        <f>'HourGH-APR'!L17</f>
        <v>0.7</v>
      </c>
      <c r="BJ155" s="263">
        <v>154</v>
      </c>
      <c r="BK155" s="9">
        <v>7</v>
      </c>
      <c r="BL155" s="9">
        <v>10</v>
      </c>
      <c r="BM155" s="167">
        <f>'HourGH-MAY'!L17</f>
        <v>0.49</v>
      </c>
      <c r="BN155" s="9">
        <v>154</v>
      </c>
      <c r="BO155" s="9">
        <v>7</v>
      </c>
      <c r="BP155" s="9">
        <v>10</v>
      </c>
      <c r="BQ155" s="167">
        <f>'HourGH-JUN'!L17</f>
        <v>0.24</v>
      </c>
      <c r="BR155" s="263">
        <v>154</v>
      </c>
      <c r="BS155" s="9">
        <v>7</v>
      </c>
      <c r="BT155" s="9">
        <v>10</v>
      </c>
      <c r="BU155" s="167">
        <f>'HourGH-JUL'!L17</f>
        <v>0.25</v>
      </c>
      <c r="BV155" s="263">
        <v>154</v>
      </c>
      <c r="BW155" s="9">
        <v>7</v>
      </c>
      <c r="BX155" s="9">
        <v>10</v>
      </c>
      <c r="BY155" s="167">
        <f>'HourGH-AUG'!L17</f>
        <v>0.57999999999999996</v>
      </c>
      <c r="BZ155" s="9">
        <v>154</v>
      </c>
      <c r="CA155" s="9">
        <v>7</v>
      </c>
      <c r="CB155" s="9">
        <v>10</v>
      </c>
      <c r="CC155" s="167">
        <f>'HourGH-SEP'!L17</f>
        <v>1.1399999999999999</v>
      </c>
      <c r="CD155" s="263">
        <v>154</v>
      </c>
      <c r="CE155" s="9">
        <v>7</v>
      </c>
      <c r="CF155" s="9">
        <v>10</v>
      </c>
      <c r="CG155" s="167">
        <f>'HourGH-OCT'!L17</f>
        <v>0.9</v>
      </c>
      <c r="CH155" s="9">
        <v>154</v>
      </c>
      <c r="CI155" s="9">
        <v>7</v>
      </c>
      <c r="CJ155" s="9">
        <v>10</v>
      </c>
      <c r="CK155" s="167">
        <f>'HourGH-NOV'!L17</f>
        <v>0.74</v>
      </c>
      <c r="CL155" s="263">
        <v>154</v>
      </c>
      <c r="CM155" s="9">
        <v>7</v>
      </c>
      <c r="CN155" s="9">
        <v>10</v>
      </c>
      <c r="CO155" s="167">
        <f>'HourGH-DEC'!L17</f>
        <v>0.5</v>
      </c>
      <c r="CP155" s="263">
        <v>154</v>
      </c>
      <c r="CQ155" s="9">
        <v>7</v>
      </c>
      <c r="CR155" s="9">
        <v>10</v>
      </c>
      <c r="CS155" s="167">
        <f>'HourGH-JAN'!L17</f>
        <v>0.42</v>
      </c>
      <c r="CT155" s="9">
        <v>154</v>
      </c>
      <c r="CU155" s="9">
        <v>7</v>
      </c>
      <c r="CV155" s="9">
        <v>10</v>
      </c>
      <c r="CW155" s="167">
        <f>'HourGH-FEB'!L17</f>
        <v>0.35</v>
      </c>
      <c r="CX155" s="263">
        <v>154</v>
      </c>
      <c r="CY155" s="9">
        <v>7</v>
      </c>
      <c r="CZ155" s="9">
        <v>10</v>
      </c>
      <c r="DA155" s="167">
        <f>'HourGH-MAR'!L17</f>
        <v>0.26</v>
      </c>
    </row>
    <row r="156" spans="58:105">
      <c r="BF156" s="9">
        <v>155</v>
      </c>
      <c r="BG156" s="9">
        <v>7</v>
      </c>
      <c r="BH156" s="9">
        <v>11</v>
      </c>
      <c r="BI156" s="167">
        <f>'HourGH-APR'!M17</f>
        <v>0.7</v>
      </c>
      <c r="BJ156" s="263">
        <v>155</v>
      </c>
      <c r="BK156" s="9">
        <v>7</v>
      </c>
      <c r="BL156" s="9">
        <v>11</v>
      </c>
      <c r="BM156" s="167">
        <f>'HourGH-MAY'!M17</f>
        <v>0.49</v>
      </c>
      <c r="BN156" s="9">
        <v>155</v>
      </c>
      <c r="BO156" s="9">
        <v>7</v>
      </c>
      <c r="BP156" s="9">
        <v>11</v>
      </c>
      <c r="BQ156" s="167">
        <f>'HourGH-JUN'!M17</f>
        <v>0.24</v>
      </c>
      <c r="BR156" s="263">
        <v>155</v>
      </c>
      <c r="BS156" s="9">
        <v>7</v>
      </c>
      <c r="BT156" s="9">
        <v>11</v>
      </c>
      <c r="BU156" s="167">
        <f>'HourGH-JUL'!M17</f>
        <v>0.25</v>
      </c>
      <c r="BV156" s="263">
        <v>155</v>
      </c>
      <c r="BW156" s="9">
        <v>7</v>
      </c>
      <c r="BX156" s="9">
        <v>11</v>
      </c>
      <c r="BY156" s="167">
        <f>'HourGH-AUG'!M17</f>
        <v>0.57999999999999996</v>
      </c>
      <c r="BZ156" s="9">
        <v>155</v>
      </c>
      <c r="CA156" s="9">
        <v>7</v>
      </c>
      <c r="CB156" s="9">
        <v>11</v>
      </c>
      <c r="CC156" s="167">
        <f>'HourGH-SEP'!M17</f>
        <v>1.1599999999999999</v>
      </c>
      <c r="CD156" s="263">
        <v>155</v>
      </c>
      <c r="CE156" s="9">
        <v>7</v>
      </c>
      <c r="CF156" s="9">
        <v>11</v>
      </c>
      <c r="CG156" s="167">
        <f>'HourGH-OCT'!M17</f>
        <v>0.9</v>
      </c>
      <c r="CH156" s="9">
        <v>155</v>
      </c>
      <c r="CI156" s="9">
        <v>7</v>
      </c>
      <c r="CJ156" s="9">
        <v>11</v>
      </c>
      <c r="CK156" s="167">
        <f>'HourGH-NOV'!M17</f>
        <v>0.74</v>
      </c>
      <c r="CL156" s="263">
        <v>155</v>
      </c>
      <c r="CM156" s="9">
        <v>7</v>
      </c>
      <c r="CN156" s="9">
        <v>11</v>
      </c>
      <c r="CO156" s="167">
        <f>'HourGH-DEC'!M17</f>
        <v>0.5</v>
      </c>
      <c r="CP156" s="263">
        <v>155</v>
      </c>
      <c r="CQ156" s="9">
        <v>7</v>
      </c>
      <c r="CR156" s="9">
        <v>11</v>
      </c>
      <c r="CS156" s="167">
        <f>'HourGH-JAN'!M17</f>
        <v>0.42</v>
      </c>
      <c r="CT156" s="9">
        <v>155</v>
      </c>
      <c r="CU156" s="9">
        <v>7</v>
      </c>
      <c r="CV156" s="9">
        <v>11</v>
      </c>
      <c r="CW156" s="167">
        <f>'HourGH-FEB'!M17</f>
        <v>0.36</v>
      </c>
      <c r="CX156" s="263">
        <v>155</v>
      </c>
      <c r="CY156" s="9">
        <v>7</v>
      </c>
      <c r="CZ156" s="9">
        <v>11</v>
      </c>
      <c r="DA156" s="167">
        <f>'HourGH-MAR'!M17</f>
        <v>0.27</v>
      </c>
    </row>
    <row r="157" spans="58:105">
      <c r="BF157" s="9">
        <v>156</v>
      </c>
      <c r="BG157" s="9">
        <v>7</v>
      </c>
      <c r="BH157" s="9">
        <v>12</v>
      </c>
      <c r="BI157" s="167">
        <f>'HourGH-APR'!N17</f>
        <v>0.71</v>
      </c>
      <c r="BJ157" s="263">
        <v>156</v>
      </c>
      <c r="BK157" s="9">
        <v>7</v>
      </c>
      <c r="BL157" s="9">
        <v>12</v>
      </c>
      <c r="BM157" s="167">
        <f>'HourGH-MAY'!N17</f>
        <v>0.48</v>
      </c>
      <c r="BN157" s="9">
        <v>156</v>
      </c>
      <c r="BO157" s="9">
        <v>7</v>
      </c>
      <c r="BP157" s="9">
        <v>12</v>
      </c>
      <c r="BQ157" s="167">
        <f>'HourGH-JUN'!N17</f>
        <v>0.24</v>
      </c>
      <c r="BR157" s="263">
        <v>156</v>
      </c>
      <c r="BS157" s="9">
        <v>7</v>
      </c>
      <c r="BT157" s="9">
        <v>12</v>
      </c>
      <c r="BU157" s="167">
        <f>'HourGH-JUL'!N17</f>
        <v>0.25</v>
      </c>
      <c r="BV157" s="263">
        <v>156</v>
      </c>
      <c r="BW157" s="9">
        <v>7</v>
      </c>
      <c r="BX157" s="9">
        <v>12</v>
      </c>
      <c r="BY157" s="167">
        <f>'HourGH-AUG'!N17</f>
        <v>0.56999999999999995</v>
      </c>
      <c r="BZ157" s="9">
        <v>156</v>
      </c>
      <c r="CA157" s="9">
        <v>7</v>
      </c>
      <c r="CB157" s="9">
        <v>12</v>
      </c>
      <c r="CC157" s="167">
        <f>'HourGH-SEP'!N17</f>
        <v>1.19</v>
      </c>
      <c r="CD157" s="263">
        <v>156</v>
      </c>
      <c r="CE157" s="9">
        <v>7</v>
      </c>
      <c r="CF157" s="9">
        <v>12</v>
      </c>
      <c r="CG157" s="167">
        <f>'HourGH-OCT'!N17</f>
        <v>0.89</v>
      </c>
      <c r="CH157" s="9">
        <v>156</v>
      </c>
      <c r="CI157" s="9">
        <v>7</v>
      </c>
      <c r="CJ157" s="9">
        <v>12</v>
      </c>
      <c r="CK157" s="167">
        <f>'HourGH-NOV'!N17</f>
        <v>0.74</v>
      </c>
      <c r="CL157" s="263">
        <v>156</v>
      </c>
      <c r="CM157" s="9">
        <v>7</v>
      </c>
      <c r="CN157" s="9">
        <v>12</v>
      </c>
      <c r="CO157" s="167">
        <f>'HourGH-DEC'!N17</f>
        <v>0.5</v>
      </c>
      <c r="CP157" s="263">
        <v>156</v>
      </c>
      <c r="CQ157" s="9">
        <v>7</v>
      </c>
      <c r="CR157" s="9">
        <v>12</v>
      </c>
      <c r="CS157" s="167">
        <f>'HourGH-JAN'!N17</f>
        <v>0.42</v>
      </c>
      <c r="CT157" s="9">
        <v>156</v>
      </c>
      <c r="CU157" s="9">
        <v>7</v>
      </c>
      <c r="CV157" s="9">
        <v>12</v>
      </c>
      <c r="CW157" s="167">
        <f>'HourGH-FEB'!N17</f>
        <v>0.37</v>
      </c>
      <c r="CX157" s="263">
        <v>156</v>
      </c>
      <c r="CY157" s="9">
        <v>7</v>
      </c>
      <c r="CZ157" s="9">
        <v>12</v>
      </c>
      <c r="DA157" s="167">
        <f>'HourGH-MAR'!N17</f>
        <v>0.27</v>
      </c>
    </row>
    <row r="158" spans="58:105">
      <c r="BF158" s="9">
        <v>157</v>
      </c>
      <c r="BG158" s="9">
        <v>7</v>
      </c>
      <c r="BH158" s="9">
        <v>13</v>
      </c>
      <c r="BI158" s="167">
        <f>'HourGH-APR'!O17</f>
        <v>0.71</v>
      </c>
      <c r="BJ158" s="263">
        <v>157</v>
      </c>
      <c r="BK158" s="9">
        <v>7</v>
      </c>
      <c r="BL158" s="9">
        <v>13</v>
      </c>
      <c r="BM158" s="167">
        <f>'HourGH-MAY'!O17</f>
        <v>0.48</v>
      </c>
      <c r="BN158" s="9">
        <v>157</v>
      </c>
      <c r="BO158" s="9">
        <v>7</v>
      </c>
      <c r="BP158" s="9">
        <v>13</v>
      </c>
      <c r="BQ158" s="167">
        <f>'HourGH-JUN'!O17</f>
        <v>0.24</v>
      </c>
      <c r="BR158" s="263">
        <v>157</v>
      </c>
      <c r="BS158" s="9">
        <v>7</v>
      </c>
      <c r="BT158" s="9">
        <v>13</v>
      </c>
      <c r="BU158" s="167">
        <f>'HourGH-JUL'!O17</f>
        <v>0.26</v>
      </c>
      <c r="BV158" s="263">
        <v>157</v>
      </c>
      <c r="BW158" s="9">
        <v>7</v>
      </c>
      <c r="BX158" s="9">
        <v>13</v>
      </c>
      <c r="BY158" s="167">
        <f>'HourGH-AUG'!O17</f>
        <v>0.56999999999999995</v>
      </c>
      <c r="BZ158" s="9">
        <v>157</v>
      </c>
      <c r="CA158" s="9">
        <v>7</v>
      </c>
      <c r="CB158" s="9">
        <v>13</v>
      </c>
      <c r="CC158" s="167">
        <f>'HourGH-SEP'!O17</f>
        <v>1.21</v>
      </c>
      <c r="CD158" s="263">
        <v>157</v>
      </c>
      <c r="CE158" s="9">
        <v>7</v>
      </c>
      <c r="CF158" s="9">
        <v>13</v>
      </c>
      <c r="CG158" s="167">
        <f>'HourGH-OCT'!O17</f>
        <v>0.88</v>
      </c>
      <c r="CH158" s="9">
        <v>157</v>
      </c>
      <c r="CI158" s="9">
        <v>7</v>
      </c>
      <c r="CJ158" s="9">
        <v>13</v>
      </c>
      <c r="CK158" s="167">
        <f>'HourGH-NOV'!O17</f>
        <v>0.73</v>
      </c>
      <c r="CL158" s="263">
        <v>157</v>
      </c>
      <c r="CM158" s="9">
        <v>7</v>
      </c>
      <c r="CN158" s="9">
        <v>13</v>
      </c>
      <c r="CO158" s="167">
        <f>'HourGH-DEC'!O17</f>
        <v>0.5</v>
      </c>
      <c r="CP158" s="263">
        <v>157</v>
      </c>
      <c r="CQ158" s="9">
        <v>7</v>
      </c>
      <c r="CR158" s="9">
        <v>13</v>
      </c>
      <c r="CS158" s="167">
        <f>'HourGH-JAN'!O17</f>
        <v>0.42</v>
      </c>
      <c r="CT158" s="9">
        <v>157</v>
      </c>
      <c r="CU158" s="9">
        <v>7</v>
      </c>
      <c r="CV158" s="9">
        <v>13</v>
      </c>
      <c r="CW158" s="167">
        <f>'HourGH-FEB'!O17</f>
        <v>0.41</v>
      </c>
      <c r="CX158" s="263">
        <v>157</v>
      </c>
      <c r="CY158" s="9">
        <v>7</v>
      </c>
      <c r="CZ158" s="9">
        <v>13</v>
      </c>
      <c r="DA158" s="167">
        <f>'HourGH-MAR'!O17</f>
        <v>0.28000000000000003</v>
      </c>
    </row>
    <row r="159" spans="58:105">
      <c r="BF159" s="9">
        <v>158</v>
      </c>
      <c r="BG159" s="9">
        <v>7</v>
      </c>
      <c r="BH159" s="9">
        <v>14</v>
      </c>
      <c r="BI159" s="167">
        <f>'HourGH-APR'!P17</f>
        <v>0.71</v>
      </c>
      <c r="BJ159" s="263">
        <v>158</v>
      </c>
      <c r="BK159" s="9">
        <v>7</v>
      </c>
      <c r="BL159" s="9">
        <v>14</v>
      </c>
      <c r="BM159" s="167">
        <f>'HourGH-MAY'!P17</f>
        <v>0.48</v>
      </c>
      <c r="BN159" s="9">
        <v>158</v>
      </c>
      <c r="BO159" s="9">
        <v>7</v>
      </c>
      <c r="BP159" s="9">
        <v>14</v>
      </c>
      <c r="BQ159" s="167">
        <f>'HourGH-JUN'!P17</f>
        <v>0.24</v>
      </c>
      <c r="BR159" s="263">
        <v>158</v>
      </c>
      <c r="BS159" s="9">
        <v>7</v>
      </c>
      <c r="BT159" s="9">
        <v>14</v>
      </c>
      <c r="BU159" s="167">
        <f>'HourGH-JUL'!P17</f>
        <v>0.26</v>
      </c>
      <c r="BV159" s="263">
        <v>158</v>
      </c>
      <c r="BW159" s="9">
        <v>7</v>
      </c>
      <c r="BX159" s="9">
        <v>14</v>
      </c>
      <c r="BY159" s="167">
        <f>'HourGH-AUG'!P17</f>
        <v>0.56999999999999995</v>
      </c>
      <c r="BZ159" s="9">
        <v>158</v>
      </c>
      <c r="CA159" s="9">
        <v>7</v>
      </c>
      <c r="CB159" s="9">
        <v>14</v>
      </c>
      <c r="CC159" s="167">
        <f>'HourGH-SEP'!P17</f>
        <v>1.23</v>
      </c>
      <c r="CD159" s="263">
        <v>158</v>
      </c>
      <c r="CE159" s="9">
        <v>7</v>
      </c>
      <c r="CF159" s="9">
        <v>14</v>
      </c>
      <c r="CG159" s="167">
        <f>'HourGH-OCT'!P17</f>
        <v>0.88</v>
      </c>
      <c r="CH159" s="9">
        <v>158</v>
      </c>
      <c r="CI159" s="9">
        <v>7</v>
      </c>
      <c r="CJ159" s="9">
        <v>14</v>
      </c>
      <c r="CK159" s="167">
        <f>'HourGH-NOV'!P17</f>
        <v>0.73</v>
      </c>
      <c r="CL159" s="263">
        <v>158</v>
      </c>
      <c r="CM159" s="9">
        <v>7</v>
      </c>
      <c r="CN159" s="9">
        <v>14</v>
      </c>
      <c r="CO159" s="167">
        <f>'HourGH-DEC'!P17</f>
        <v>0.5</v>
      </c>
      <c r="CP159" s="263">
        <v>158</v>
      </c>
      <c r="CQ159" s="9">
        <v>7</v>
      </c>
      <c r="CR159" s="9">
        <v>14</v>
      </c>
      <c r="CS159" s="167">
        <f>'HourGH-JAN'!P17</f>
        <v>0.42</v>
      </c>
      <c r="CT159" s="9">
        <v>158</v>
      </c>
      <c r="CU159" s="9">
        <v>7</v>
      </c>
      <c r="CV159" s="9">
        <v>14</v>
      </c>
      <c r="CW159" s="167">
        <f>'HourGH-FEB'!P17</f>
        <v>0.43</v>
      </c>
      <c r="CX159" s="263">
        <v>158</v>
      </c>
      <c r="CY159" s="9">
        <v>7</v>
      </c>
      <c r="CZ159" s="9">
        <v>14</v>
      </c>
      <c r="DA159" s="167">
        <f>'HourGH-MAR'!P17</f>
        <v>0.3</v>
      </c>
    </row>
    <row r="160" spans="58:105">
      <c r="BF160" s="9">
        <v>159</v>
      </c>
      <c r="BG160" s="9">
        <v>7</v>
      </c>
      <c r="BH160" s="9">
        <v>15</v>
      </c>
      <c r="BI160" s="167">
        <f>'HourGH-APR'!Q17</f>
        <v>0.71</v>
      </c>
      <c r="BJ160" s="263">
        <v>159</v>
      </c>
      <c r="BK160" s="9">
        <v>7</v>
      </c>
      <c r="BL160" s="9">
        <v>15</v>
      </c>
      <c r="BM160" s="167">
        <f>'HourGH-MAY'!Q17</f>
        <v>0.48</v>
      </c>
      <c r="BN160" s="9">
        <v>159</v>
      </c>
      <c r="BO160" s="9">
        <v>7</v>
      </c>
      <c r="BP160" s="9">
        <v>15</v>
      </c>
      <c r="BQ160" s="167">
        <f>'HourGH-JUN'!Q17</f>
        <v>0.24</v>
      </c>
      <c r="BR160" s="263">
        <v>159</v>
      </c>
      <c r="BS160" s="9">
        <v>7</v>
      </c>
      <c r="BT160" s="9">
        <v>15</v>
      </c>
      <c r="BU160" s="167">
        <f>'HourGH-JUL'!Q17</f>
        <v>0.26</v>
      </c>
      <c r="BV160" s="263">
        <v>159</v>
      </c>
      <c r="BW160" s="9">
        <v>7</v>
      </c>
      <c r="BX160" s="9">
        <v>15</v>
      </c>
      <c r="BY160" s="167">
        <f>'HourGH-AUG'!Q17</f>
        <v>0.56999999999999995</v>
      </c>
      <c r="BZ160" s="9">
        <v>159</v>
      </c>
      <c r="CA160" s="9">
        <v>7</v>
      </c>
      <c r="CB160" s="9">
        <v>15</v>
      </c>
      <c r="CC160" s="167">
        <f>'HourGH-SEP'!Q17</f>
        <v>1.25</v>
      </c>
      <c r="CD160" s="263">
        <v>159</v>
      </c>
      <c r="CE160" s="9">
        <v>7</v>
      </c>
      <c r="CF160" s="9">
        <v>15</v>
      </c>
      <c r="CG160" s="167">
        <f>'HourGH-OCT'!Q17</f>
        <v>0.87</v>
      </c>
      <c r="CH160" s="9">
        <v>159</v>
      </c>
      <c r="CI160" s="9">
        <v>7</v>
      </c>
      <c r="CJ160" s="9">
        <v>15</v>
      </c>
      <c r="CK160" s="167">
        <f>'HourGH-NOV'!Q17</f>
        <v>0.73</v>
      </c>
      <c r="CL160" s="263">
        <v>159</v>
      </c>
      <c r="CM160" s="9">
        <v>7</v>
      </c>
      <c r="CN160" s="9">
        <v>15</v>
      </c>
      <c r="CO160" s="167">
        <f>'HourGH-DEC'!Q17</f>
        <v>0.5</v>
      </c>
      <c r="CP160" s="263">
        <v>159</v>
      </c>
      <c r="CQ160" s="9">
        <v>7</v>
      </c>
      <c r="CR160" s="9">
        <v>15</v>
      </c>
      <c r="CS160" s="167">
        <f>'HourGH-JAN'!Q17</f>
        <v>0.42</v>
      </c>
      <c r="CT160" s="9">
        <v>159</v>
      </c>
      <c r="CU160" s="9">
        <v>7</v>
      </c>
      <c r="CV160" s="9">
        <v>15</v>
      </c>
      <c r="CW160" s="167">
        <f>'HourGH-FEB'!Q17</f>
        <v>0.45</v>
      </c>
      <c r="CX160" s="263">
        <v>159</v>
      </c>
      <c r="CY160" s="9">
        <v>7</v>
      </c>
      <c r="CZ160" s="9">
        <v>15</v>
      </c>
      <c r="DA160" s="167">
        <f>'HourGH-MAR'!Q17</f>
        <v>0.32</v>
      </c>
    </row>
    <row r="161" spans="58:105">
      <c r="BF161" s="9">
        <v>160</v>
      </c>
      <c r="BG161" s="9">
        <v>7</v>
      </c>
      <c r="BH161" s="9">
        <v>16</v>
      </c>
      <c r="BI161" s="167">
        <f>'HourGH-APR'!R17</f>
        <v>0.71</v>
      </c>
      <c r="BJ161" s="263">
        <v>160</v>
      </c>
      <c r="BK161" s="9">
        <v>7</v>
      </c>
      <c r="BL161" s="9">
        <v>16</v>
      </c>
      <c r="BM161" s="167">
        <f>'HourGH-MAY'!R17</f>
        <v>0.48</v>
      </c>
      <c r="BN161" s="9">
        <v>160</v>
      </c>
      <c r="BO161" s="9">
        <v>7</v>
      </c>
      <c r="BP161" s="9">
        <v>16</v>
      </c>
      <c r="BQ161" s="167">
        <f>'HourGH-JUN'!R17</f>
        <v>0.24</v>
      </c>
      <c r="BR161" s="263">
        <v>160</v>
      </c>
      <c r="BS161" s="9">
        <v>7</v>
      </c>
      <c r="BT161" s="9">
        <v>16</v>
      </c>
      <c r="BU161" s="167">
        <f>'HourGH-JUL'!R17</f>
        <v>0.26</v>
      </c>
      <c r="BV161" s="263">
        <v>160</v>
      </c>
      <c r="BW161" s="9">
        <v>7</v>
      </c>
      <c r="BX161" s="9">
        <v>16</v>
      </c>
      <c r="BY161" s="167">
        <f>'HourGH-AUG'!R17</f>
        <v>0.56999999999999995</v>
      </c>
      <c r="BZ161" s="9">
        <v>160</v>
      </c>
      <c r="CA161" s="9">
        <v>7</v>
      </c>
      <c r="CB161" s="9">
        <v>16</v>
      </c>
      <c r="CC161" s="167">
        <f>'HourGH-SEP'!R17</f>
        <v>1.28</v>
      </c>
      <c r="CD161" s="263">
        <v>160</v>
      </c>
      <c r="CE161" s="9">
        <v>7</v>
      </c>
      <c r="CF161" s="9">
        <v>16</v>
      </c>
      <c r="CG161" s="167">
        <f>'HourGH-OCT'!R17</f>
        <v>0.87</v>
      </c>
      <c r="CH161" s="9">
        <v>160</v>
      </c>
      <c r="CI161" s="9">
        <v>7</v>
      </c>
      <c r="CJ161" s="9">
        <v>16</v>
      </c>
      <c r="CK161" s="167">
        <f>'HourGH-NOV'!R17</f>
        <v>0.73</v>
      </c>
      <c r="CL161" s="263">
        <v>160</v>
      </c>
      <c r="CM161" s="9">
        <v>7</v>
      </c>
      <c r="CN161" s="9">
        <v>16</v>
      </c>
      <c r="CO161" s="167">
        <f>'HourGH-DEC'!R17</f>
        <v>0.5</v>
      </c>
      <c r="CP161" s="263">
        <v>160</v>
      </c>
      <c r="CQ161" s="9">
        <v>7</v>
      </c>
      <c r="CR161" s="9">
        <v>16</v>
      </c>
      <c r="CS161" s="167">
        <f>'HourGH-JAN'!R17</f>
        <v>0.42</v>
      </c>
      <c r="CT161" s="9">
        <v>160</v>
      </c>
      <c r="CU161" s="9">
        <v>7</v>
      </c>
      <c r="CV161" s="9">
        <v>16</v>
      </c>
      <c r="CW161" s="167">
        <f>'HourGH-FEB'!R17</f>
        <v>0.47</v>
      </c>
      <c r="CX161" s="263">
        <v>160</v>
      </c>
      <c r="CY161" s="9">
        <v>7</v>
      </c>
      <c r="CZ161" s="9">
        <v>16</v>
      </c>
      <c r="DA161" s="167">
        <f>'HourGH-MAR'!R17</f>
        <v>0.34</v>
      </c>
    </row>
    <row r="162" spans="58:105">
      <c r="BF162" s="9">
        <v>161</v>
      </c>
      <c r="BG162" s="9">
        <v>7</v>
      </c>
      <c r="BH162" s="9">
        <v>17</v>
      </c>
      <c r="BI162" s="167">
        <f>'HourGH-APR'!S17</f>
        <v>0.71</v>
      </c>
      <c r="BJ162" s="263">
        <v>161</v>
      </c>
      <c r="BK162" s="9">
        <v>7</v>
      </c>
      <c r="BL162" s="9">
        <v>17</v>
      </c>
      <c r="BM162" s="167">
        <f>'HourGH-MAY'!S17</f>
        <v>0.48</v>
      </c>
      <c r="BN162" s="9">
        <v>161</v>
      </c>
      <c r="BO162" s="9">
        <v>7</v>
      </c>
      <c r="BP162" s="9">
        <v>17</v>
      </c>
      <c r="BQ162" s="167">
        <f>'HourGH-JUN'!S17</f>
        <v>0.24</v>
      </c>
      <c r="BR162" s="263">
        <v>161</v>
      </c>
      <c r="BS162" s="9">
        <v>7</v>
      </c>
      <c r="BT162" s="9">
        <v>17</v>
      </c>
      <c r="BU162" s="167">
        <f>'HourGH-JUL'!S17</f>
        <v>0.26</v>
      </c>
      <c r="BV162" s="263">
        <v>161</v>
      </c>
      <c r="BW162" s="9">
        <v>7</v>
      </c>
      <c r="BX162" s="9">
        <v>17</v>
      </c>
      <c r="BY162" s="167">
        <f>'HourGH-AUG'!S17</f>
        <v>0.56999999999999995</v>
      </c>
      <c r="BZ162" s="9">
        <v>161</v>
      </c>
      <c r="CA162" s="9">
        <v>7</v>
      </c>
      <c r="CB162" s="9">
        <v>17</v>
      </c>
      <c r="CC162" s="167">
        <f>'HourGH-SEP'!S17</f>
        <v>1.3</v>
      </c>
      <c r="CD162" s="263">
        <v>161</v>
      </c>
      <c r="CE162" s="9">
        <v>7</v>
      </c>
      <c r="CF162" s="9">
        <v>17</v>
      </c>
      <c r="CG162" s="167">
        <f>'HourGH-OCT'!S17</f>
        <v>0.86</v>
      </c>
      <c r="CH162" s="9">
        <v>161</v>
      </c>
      <c r="CI162" s="9">
        <v>7</v>
      </c>
      <c r="CJ162" s="9">
        <v>17</v>
      </c>
      <c r="CK162" s="167">
        <f>'HourGH-NOV'!S17</f>
        <v>0.73</v>
      </c>
      <c r="CL162" s="263">
        <v>161</v>
      </c>
      <c r="CM162" s="9">
        <v>7</v>
      </c>
      <c r="CN162" s="9">
        <v>17</v>
      </c>
      <c r="CO162" s="167">
        <f>'HourGH-DEC'!S17</f>
        <v>0.5</v>
      </c>
      <c r="CP162" s="263">
        <v>161</v>
      </c>
      <c r="CQ162" s="9">
        <v>7</v>
      </c>
      <c r="CR162" s="9">
        <v>17</v>
      </c>
      <c r="CS162" s="167">
        <f>'HourGH-JAN'!S17</f>
        <v>0.42</v>
      </c>
      <c r="CT162" s="9">
        <v>161</v>
      </c>
      <c r="CU162" s="9">
        <v>7</v>
      </c>
      <c r="CV162" s="9">
        <v>17</v>
      </c>
      <c r="CW162" s="167">
        <f>'HourGH-FEB'!S17</f>
        <v>0.48</v>
      </c>
      <c r="CX162" s="263">
        <v>161</v>
      </c>
      <c r="CY162" s="9">
        <v>7</v>
      </c>
      <c r="CZ162" s="9">
        <v>17</v>
      </c>
      <c r="DA162" s="167">
        <f>'HourGH-MAR'!S17</f>
        <v>0.37</v>
      </c>
    </row>
    <row r="163" spans="58:105">
      <c r="BF163" s="9">
        <v>162</v>
      </c>
      <c r="BG163" s="9">
        <v>7</v>
      </c>
      <c r="BH163" s="9">
        <v>18</v>
      </c>
      <c r="BI163" s="167">
        <f>'HourGH-APR'!T17</f>
        <v>0.71</v>
      </c>
      <c r="BJ163" s="263">
        <v>162</v>
      </c>
      <c r="BK163" s="9">
        <v>7</v>
      </c>
      <c r="BL163" s="9">
        <v>18</v>
      </c>
      <c r="BM163" s="167">
        <f>'HourGH-MAY'!T17</f>
        <v>0.48</v>
      </c>
      <c r="BN163" s="9">
        <v>162</v>
      </c>
      <c r="BO163" s="9">
        <v>7</v>
      </c>
      <c r="BP163" s="9">
        <v>18</v>
      </c>
      <c r="BQ163" s="167">
        <f>'HourGH-JUN'!T17</f>
        <v>0.24</v>
      </c>
      <c r="BR163" s="263">
        <v>162</v>
      </c>
      <c r="BS163" s="9">
        <v>7</v>
      </c>
      <c r="BT163" s="9">
        <v>18</v>
      </c>
      <c r="BU163" s="167">
        <f>'HourGH-JUL'!T17</f>
        <v>0.26</v>
      </c>
      <c r="BV163" s="263">
        <v>162</v>
      </c>
      <c r="BW163" s="9">
        <v>7</v>
      </c>
      <c r="BX163" s="9">
        <v>18</v>
      </c>
      <c r="BY163" s="167">
        <f>'HourGH-AUG'!T17</f>
        <v>0.56999999999999995</v>
      </c>
      <c r="BZ163" s="9">
        <v>162</v>
      </c>
      <c r="CA163" s="9">
        <v>7</v>
      </c>
      <c r="CB163" s="9">
        <v>18</v>
      </c>
      <c r="CC163" s="167">
        <f>'HourGH-SEP'!T17</f>
        <v>1.32</v>
      </c>
      <c r="CD163" s="263">
        <v>162</v>
      </c>
      <c r="CE163" s="9">
        <v>7</v>
      </c>
      <c r="CF163" s="9">
        <v>18</v>
      </c>
      <c r="CG163" s="167">
        <f>'HourGH-OCT'!T17</f>
        <v>0.86</v>
      </c>
      <c r="CH163" s="9">
        <v>162</v>
      </c>
      <c r="CI163" s="9">
        <v>7</v>
      </c>
      <c r="CJ163" s="9">
        <v>18</v>
      </c>
      <c r="CK163" s="167">
        <f>'HourGH-NOV'!T17</f>
        <v>0.73</v>
      </c>
      <c r="CL163" s="263">
        <v>162</v>
      </c>
      <c r="CM163" s="9">
        <v>7</v>
      </c>
      <c r="CN163" s="9">
        <v>18</v>
      </c>
      <c r="CO163" s="167">
        <f>'HourGH-DEC'!T17</f>
        <v>0.5</v>
      </c>
      <c r="CP163" s="263">
        <v>162</v>
      </c>
      <c r="CQ163" s="9">
        <v>7</v>
      </c>
      <c r="CR163" s="9">
        <v>18</v>
      </c>
      <c r="CS163" s="167">
        <f>'HourGH-JAN'!T17</f>
        <v>0.42</v>
      </c>
      <c r="CT163" s="9">
        <v>162</v>
      </c>
      <c r="CU163" s="9">
        <v>7</v>
      </c>
      <c r="CV163" s="9">
        <v>18</v>
      </c>
      <c r="CW163" s="167">
        <f>'HourGH-FEB'!T17</f>
        <v>0.49</v>
      </c>
      <c r="CX163" s="263">
        <v>162</v>
      </c>
      <c r="CY163" s="9">
        <v>7</v>
      </c>
      <c r="CZ163" s="9">
        <v>18</v>
      </c>
      <c r="DA163" s="167">
        <f>'HourGH-MAR'!T17</f>
        <v>0.4</v>
      </c>
    </row>
    <row r="164" spans="58:105">
      <c r="BF164" s="9">
        <v>163</v>
      </c>
      <c r="BG164" s="9">
        <v>7</v>
      </c>
      <c r="BH164" s="9">
        <v>19</v>
      </c>
      <c r="BI164" s="167">
        <f>'HourGH-APR'!U17</f>
        <v>0.7</v>
      </c>
      <c r="BJ164" s="263">
        <v>163</v>
      </c>
      <c r="BK164" s="9">
        <v>7</v>
      </c>
      <c r="BL164" s="9">
        <v>19</v>
      </c>
      <c r="BM164" s="167">
        <f>'HourGH-MAY'!U17</f>
        <v>0.48</v>
      </c>
      <c r="BN164" s="9">
        <v>163</v>
      </c>
      <c r="BO164" s="9">
        <v>7</v>
      </c>
      <c r="BP164" s="9">
        <v>19</v>
      </c>
      <c r="BQ164" s="167">
        <f>'HourGH-JUN'!U17</f>
        <v>0.24</v>
      </c>
      <c r="BR164" s="263">
        <v>163</v>
      </c>
      <c r="BS164" s="9">
        <v>7</v>
      </c>
      <c r="BT164" s="9">
        <v>19</v>
      </c>
      <c r="BU164" s="167">
        <f>'HourGH-JUL'!U17</f>
        <v>0.27</v>
      </c>
      <c r="BV164" s="263">
        <v>163</v>
      </c>
      <c r="BW164" s="9">
        <v>7</v>
      </c>
      <c r="BX164" s="9">
        <v>19</v>
      </c>
      <c r="BY164" s="167">
        <f>'HourGH-AUG'!U17</f>
        <v>0.56000000000000005</v>
      </c>
      <c r="BZ164" s="9">
        <v>163</v>
      </c>
      <c r="CA164" s="9">
        <v>7</v>
      </c>
      <c r="CB164" s="9">
        <v>19</v>
      </c>
      <c r="CC164" s="167">
        <f>'HourGH-SEP'!U17</f>
        <v>1.34</v>
      </c>
      <c r="CD164" s="263">
        <v>163</v>
      </c>
      <c r="CE164" s="9">
        <v>7</v>
      </c>
      <c r="CF164" s="9">
        <v>19</v>
      </c>
      <c r="CG164" s="167">
        <f>'HourGH-OCT'!U17</f>
        <v>0.86</v>
      </c>
      <c r="CH164" s="9">
        <v>163</v>
      </c>
      <c r="CI164" s="9">
        <v>7</v>
      </c>
      <c r="CJ164" s="9">
        <v>19</v>
      </c>
      <c r="CK164" s="167">
        <f>'HourGH-NOV'!U17</f>
        <v>0.73</v>
      </c>
      <c r="CL164" s="263">
        <v>163</v>
      </c>
      <c r="CM164" s="9">
        <v>7</v>
      </c>
      <c r="CN164" s="9">
        <v>19</v>
      </c>
      <c r="CO164" s="167">
        <f>'HourGH-DEC'!U17</f>
        <v>0.5</v>
      </c>
      <c r="CP164" s="263">
        <v>163</v>
      </c>
      <c r="CQ164" s="9">
        <v>7</v>
      </c>
      <c r="CR164" s="9">
        <v>19</v>
      </c>
      <c r="CS164" s="167">
        <f>'HourGH-JAN'!U17</f>
        <v>0.42</v>
      </c>
      <c r="CT164" s="9">
        <v>163</v>
      </c>
      <c r="CU164" s="9">
        <v>7</v>
      </c>
      <c r="CV164" s="9">
        <v>19</v>
      </c>
      <c r="CW164" s="167">
        <f>'HourGH-FEB'!U17</f>
        <v>0.51</v>
      </c>
      <c r="CX164" s="263">
        <v>163</v>
      </c>
      <c r="CY164" s="9">
        <v>7</v>
      </c>
      <c r="CZ164" s="9">
        <v>19</v>
      </c>
      <c r="DA164" s="167">
        <f>'HourGH-MAR'!U17</f>
        <v>0.43</v>
      </c>
    </row>
    <row r="165" spans="58:105">
      <c r="BF165" s="9">
        <v>164</v>
      </c>
      <c r="BG165" s="9">
        <v>7</v>
      </c>
      <c r="BH165" s="9">
        <v>20</v>
      </c>
      <c r="BI165" s="167">
        <f>'HourGH-APR'!V17</f>
        <v>0.7</v>
      </c>
      <c r="BJ165" s="263">
        <v>164</v>
      </c>
      <c r="BK165" s="9">
        <v>7</v>
      </c>
      <c r="BL165" s="9">
        <v>20</v>
      </c>
      <c r="BM165" s="167">
        <f>'HourGH-MAY'!V17</f>
        <v>0.48</v>
      </c>
      <c r="BN165" s="9">
        <v>164</v>
      </c>
      <c r="BO165" s="9">
        <v>7</v>
      </c>
      <c r="BP165" s="9">
        <v>20</v>
      </c>
      <c r="BQ165" s="167">
        <f>'HourGH-JUN'!V17</f>
        <v>0.24</v>
      </c>
      <c r="BR165" s="263">
        <v>164</v>
      </c>
      <c r="BS165" s="9">
        <v>7</v>
      </c>
      <c r="BT165" s="9">
        <v>20</v>
      </c>
      <c r="BU165" s="167">
        <f>'HourGH-JUL'!V17</f>
        <v>0.27</v>
      </c>
      <c r="BV165" s="263">
        <v>164</v>
      </c>
      <c r="BW165" s="9">
        <v>7</v>
      </c>
      <c r="BX165" s="9">
        <v>20</v>
      </c>
      <c r="BY165" s="167">
        <f>'HourGH-AUG'!V17</f>
        <v>0.56000000000000005</v>
      </c>
      <c r="BZ165" s="9">
        <v>164</v>
      </c>
      <c r="CA165" s="9">
        <v>7</v>
      </c>
      <c r="CB165" s="9">
        <v>20</v>
      </c>
      <c r="CC165" s="167">
        <f>'HourGH-SEP'!V17</f>
        <v>1.36</v>
      </c>
      <c r="CD165" s="263">
        <v>164</v>
      </c>
      <c r="CE165" s="9">
        <v>7</v>
      </c>
      <c r="CF165" s="9">
        <v>20</v>
      </c>
      <c r="CG165" s="167">
        <f>'HourGH-OCT'!V17</f>
        <v>0.85</v>
      </c>
      <c r="CH165" s="9">
        <v>164</v>
      </c>
      <c r="CI165" s="9">
        <v>7</v>
      </c>
      <c r="CJ165" s="9">
        <v>20</v>
      </c>
      <c r="CK165" s="167">
        <f>'HourGH-NOV'!V17</f>
        <v>0.73</v>
      </c>
      <c r="CL165" s="263">
        <v>164</v>
      </c>
      <c r="CM165" s="9">
        <v>7</v>
      </c>
      <c r="CN165" s="9">
        <v>20</v>
      </c>
      <c r="CO165" s="167">
        <f>'HourGH-DEC'!V17</f>
        <v>0.5</v>
      </c>
      <c r="CP165" s="263">
        <v>164</v>
      </c>
      <c r="CQ165" s="9">
        <v>7</v>
      </c>
      <c r="CR165" s="9">
        <v>20</v>
      </c>
      <c r="CS165" s="167">
        <f>'HourGH-JAN'!V17</f>
        <v>0.42</v>
      </c>
      <c r="CT165" s="9">
        <v>164</v>
      </c>
      <c r="CU165" s="9">
        <v>7</v>
      </c>
      <c r="CV165" s="9">
        <v>20</v>
      </c>
      <c r="CW165" s="167">
        <f>'HourGH-FEB'!V17</f>
        <v>0.53</v>
      </c>
      <c r="CX165" s="263">
        <v>164</v>
      </c>
      <c r="CY165" s="9">
        <v>7</v>
      </c>
      <c r="CZ165" s="9">
        <v>20</v>
      </c>
      <c r="DA165" s="167">
        <f>'HourGH-MAR'!V17</f>
        <v>0.46</v>
      </c>
    </row>
    <row r="166" spans="58:105">
      <c r="BF166" s="9">
        <v>165</v>
      </c>
      <c r="BG166" s="9">
        <v>7</v>
      </c>
      <c r="BH166" s="9">
        <v>21</v>
      </c>
      <c r="BI166" s="167">
        <f>'HourGH-APR'!W17</f>
        <v>0.69</v>
      </c>
      <c r="BJ166" s="263">
        <v>165</v>
      </c>
      <c r="BK166" s="9">
        <v>7</v>
      </c>
      <c r="BL166" s="9">
        <v>21</v>
      </c>
      <c r="BM166" s="167">
        <f>'HourGH-MAY'!W17</f>
        <v>0.48</v>
      </c>
      <c r="BN166" s="9">
        <v>165</v>
      </c>
      <c r="BO166" s="9">
        <v>7</v>
      </c>
      <c r="BP166" s="9">
        <v>21</v>
      </c>
      <c r="BQ166" s="167">
        <f>'HourGH-JUN'!W17</f>
        <v>0.24</v>
      </c>
      <c r="BR166" s="263">
        <v>165</v>
      </c>
      <c r="BS166" s="9">
        <v>7</v>
      </c>
      <c r="BT166" s="9">
        <v>21</v>
      </c>
      <c r="BU166" s="167">
        <f>'HourGH-JUL'!W17</f>
        <v>0.27</v>
      </c>
      <c r="BV166" s="263">
        <v>165</v>
      </c>
      <c r="BW166" s="9">
        <v>7</v>
      </c>
      <c r="BX166" s="9">
        <v>21</v>
      </c>
      <c r="BY166" s="167">
        <f>'HourGH-AUG'!W17</f>
        <v>0.56000000000000005</v>
      </c>
      <c r="BZ166" s="9">
        <v>165</v>
      </c>
      <c r="CA166" s="9">
        <v>7</v>
      </c>
      <c r="CB166" s="9">
        <v>21</v>
      </c>
      <c r="CC166" s="167">
        <f>'HourGH-SEP'!W17</f>
        <v>1.38</v>
      </c>
      <c r="CD166" s="263">
        <v>165</v>
      </c>
      <c r="CE166" s="9">
        <v>7</v>
      </c>
      <c r="CF166" s="9">
        <v>21</v>
      </c>
      <c r="CG166" s="167">
        <f>'HourGH-OCT'!W17</f>
        <v>0.85</v>
      </c>
      <c r="CH166" s="9">
        <v>165</v>
      </c>
      <c r="CI166" s="9">
        <v>7</v>
      </c>
      <c r="CJ166" s="9">
        <v>21</v>
      </c>
      <c r="CK166" s="167">
        <f>'HourGH-NOV'!W17</f>
        <v>0.73</v>
      </c>
      <c r="CL166" s="263">
        <v>165</v>
      </c>
      <c r="CM166" s="9">
        <v>7</v>
      </c>
      <c r="CN166" s="9">
        <v>21</v>
      </c>
      <c r="CO166" s="167">
        <f>'HourGH-DEC'!W17</f>
        <v>0.5</v>
      </c>
      <c r="CP166" s="263">
        <v>165</v>
      </c>
      <c r="CQ166" s="9">
        <v>7</v>
      </c>
      <c r="CR166" s="9">
        <v>21</v>
      </c>
      <c r="CS166" s="167">
        <f>'HourGH-JAN'!W17</f>
        <v>0.42</v>
      </c>
      <c r="CT166" s="9">
        <v>165</v>
      </c>
      <c r="CU166" s="9">
        <v>7</v>
      </c>
      <c r="CV166" s="9">
        <v>21</v>
      </c>
      <c r="CW166" s="167">
        <f>'HourGH-FEB'!W17</f>
        <v>0.55000000000000004</v>
      </c>
      <c r="CX166" s="263">
        <v>165</v>
      </c>
      <c r="CY166" s="9">
        <v>7</v>
      </c>
      <c r="CZ166" s="9">
        <v>21</v>
      </c>
      <c r="DA166" s="167">
        <f>'HourGH-MAR'!W17</f>
        <v>0.49</v>
      </c>
    </row>
    <row r="167" spans="58:105">
      <c r="BF167" s="9">
        <v>166</v>
      </c>
      <c r="BG167" s="9">
        <v>7</v>
      </c>
      <c r="BH167" s="9">
        <v>22</v>
      </c>
      <c r="BI167" s="167">
        <f>'HourGH-APR'!X17</f>
        <v>0.69</v>
      </c>
      <c r="BJ167" s="263">
        <v>166</v>
      </c>
      <c r="BK167" s="9">
        <v>7</v>
      </c>
      <c r="BL167" s="9">
        <v>22</v>
      </c>
      <c r="BM167" s="167">
        <f>'HourGH-MAY'!X17</f>
        <v>0.48</v>
      </c>
      <c r="BN167" s="9">
        <v>166</v>
      </c>
      <c r="BO167" s="9">
        <v>7</v>
      </c>
      <c r="BP167" s="9">
        <v>22</v>
      </c>
      <c r="BQ167" s="167">
        <f>'HourGH-JUN'!X17</f>
        <v>0.24</v>
      </c>
      <c r="BR167" s="263">
        <v>166</v>
      </c>
      <c r="BS167" s="9">
        <v>7</v>
      </c>
      <c r="BT167" s="9">
        <v>22</v>
      </c>
      <c r="BU167" s="167">
        <f>'HourGH-JUL'!X17</f>
        <v>0.27</v>
      </c>
      <c r="BV167" s="263">
        <v>166</v>
      </c>
      <c r="BW167" s="9">
        <v>7</v>
      </c>
      <c r="BX167" s="9">
        <v>22</v>
      </c>
      <c r="BY167" s="167">
        <f>'HourGH-AUG'!X17</f>
        <v>0.56000000000000005</v>
      </c>
      <c r="BZ167" s="9">
        <v>166</v>
      </c>
      <c r="CA167" s="9">
        <v>7</v>
      </c>
      <c r="CB167" s="9">
        <v>22</v>
      </c>
      <c r="CC167" s="167">
        <f>'HourGH-SEP'!X17</f>
        <v>1.4</v>
      </c>
      <c r="CD167" s="263">
        <v>166</v>
      </c>
      <c r="CE167" s="9">
        <v>7</v>
      </c>
      <c r="CF167" s="9">
        <v>22</v>
      </c>
      <c r="CG167" s="167">
        <f>'HourGH-OCT'!X17</f>
        <v>0.85</v>
      </c>
      <c r="CH167" s="9">
        <v>166</v>
      </c>
      <c r="CI167" s="9">
        <v>7</v>
      </c>
      <c r="CJ167" s="9">
        <v>22</v>
      </c>
      <c r="CK167" s="167">
        <f>'HourGH-NOV'!X17</f>
        <v>0.73</v>
      </c>
      <c r="CL167" s="263">
        <v>166</v>
      </c>
      <c r="CM167" s="9">
        <v>7</v>
      </c>
      <c r="CN167" s="9">
        <v>22</v>
      </c>
      <c r="CO167" s="167">
        <f>'HourGH-DEC'!X17</f>
        <v>0.5</v>
      </c>
      <c r="CP167" s="263">
        <v>166</v>
      </c>
      <c r="CQ167" s="9">
        <v>7</v>
      </c>
      <c r="CR167" s="9">
        <v>22</v>
      </c>
      <c r="CS167" s="167">
        <f>'HourGH-JAN'!X17</f>
        <v>0.42</v>
      </c>
      <c r="CT167" s="9">
        <v>166</v>
      </c>
      <c r="CU167" s="9">
        <v>7</v>
      </c>
      <c r="CV167" s="9">
        <v>22</v>
      </c>
      <c r="CW167" s="167">
        <f>'HourGH-FEB'!X17</f>
        <v>0.56999999999999995</v>
      </c>
      <c r="CX167" s="263">
        <v>166</v>
      </c>
      <c r="CY167" s="9">
        <v>7</v>
      </c>
      <c r="CZ167" s="9">
        <v>22</v>
      </c>
      <c r="DA167" s="167">
        <f>'HourGH-MAR'!X17</f>
        <v>0.52</v>
      </c>
    </row>
    <row r="168" spans="58:105">
      <c r="BF168" s="9">
        <v>167</v>
      </c>
      <c r="BG168" s="9">
        <v>7</v>
      </c>
      <c r="BH168" s="9">
        <v>23</v>
      </c>
      <c r="BI168" s="167">
        <f>'HourGH-APR'!Y17</f>
        <v>0.68</v>
      </c>
      <c r="BJ168" s="263">
        <v>167</v>
      </c>
      <c r="BK168" s="9">
        <v>7</v>
      </c>
      <c r="BL168" s="9">
        <v>23</v>
      </c>
      <c r="BM168" s="167">
        <f>'HourGH-MAY'!Y17</f>
        <v>0.48</v>
      </c>
      <c r="BN168" s="9">
        <v>167</v>
      </c>
      <c r="BO168" s="9">
        <v>7</v>
      </c>
      <c r="BP168" s="9">
        <v>23</v>
      </c>
      <c r="BQ168" s="167">
        <f>'HourGH-JUN'!Y17</f>
        <v>0.24</v>
      </c>
      <c r="BR168" s="263">
        <v>167</v>
      </c>
      <c r="BS168" s="9">
        <v>7</v>
      </c>
      <c r="BT168" s="9">
        <v>23</v>
      </c>
      <c r="BU168" s="167">
        <f>'HourGH-JUL'!Y17</f>
        <v>0.27</v>
      </c>
      <c r="BV168" s="263">
        <v>167</v>
      </c>
      <c r="BW168" s="9">
        <v>7</v>
      </c>
      <c r="BX168" s="9">
        <v>23</v>
      </c>
      <c r="BY168" s="167">
        <f>'HourGH-AUG'!Y17</f>
        <v>0.56000000000000005</v>
      </c>
      <c r="BZ168" s="9">
        <v>167</v>
      </c>
      <c r="CA168" s="9">
        <v>7</v>
      </c>
      <c r="CB168" s="9">
        <v>23</v>
      </c>
      <c r="CC168" s="167">
        <f>'HourGH-SEP'!Y17</f>
        <v>1.43</v>
      </c>
      <c r="CD168" s="263">
        <v>167</v>
      </c>
      <c r="CE168" s="9">
        <v>7</v>
      </c>
      <c r="CF168" s="9">
        <v>23</v>
      </c>
      <c r="CG168" s="167">
        <f>'HourGH-OCT'!Y17</f>
        <v>0.84</v>
      </c>
      <c r="CH168" s="9">
        <v>167</v>
      </c>
      <c r="CI168" s="9">
        <v>7</v>
      </c>
      <c r="CJ168" s="9">
        <v>23</v>
      </c>
      <c r="CK168" s="167">
        <f>'HourGH-NOV'!Y17</f>
        <v>0.73</v>
      </c>
      <c r="CL168" s="263">
        <v>167</v>
      </c>
      <c r="CM168" s="9">
        <v>7</v>
      </c>
      <c r="CN168" s="9">
        <v>23</v>
      </c>
      <c r="CO168" s="167">
        <f>'HourGH-DEC'!Y17</f>
        <v>0.5</v>
      </c>
      <c r="CP168" s="263">
        <v>167</v>
      </c>
      <c r="CQ168" s="9">
        <v>7</v>
      </c>
      <c r="CR168" s="9">
        <v>23</v>
      </c>
      <c r="CS168" s="167">
        <f>'HourGH-JAN'!Y17</f>
        <v>0.42</v>
      </c>
      <c r="CT168" s="9">
        <v>167</v>
      </c>
      <c r="CU168" s="9">
        <v>7</v>
      </c>
      <c r="CV168" s="9">
        <v>23</v>
      </c>
      <c r="CW168" s="167">
        <f>'HourGH-FEB'!Y17</f>
        <v>0.59</v>
      </c>
      <c r="CX168" s="263">
        <v>167</v>
      </c>
      <c r="CY168" s="9">
        <v>7</v>
      </c>
      <c r="CZ168" s="9">
        <v>23</v>
      </c>
      <c r="DA168" s="167">
        <f>'HourGH-MAR'!Y17</f>
        <v>0.54</v>
      </c>
    </row>
    <row r="169" spans="58:105">
      <c r="BF169" s="9">
        <v>168</v>
      </c>
      <c r="BG169" s="9">
        <v>7</v>
      </c>
      <c r="BH169" s="9">
        <v>24</v>
      </c>
      <c r="BI169" s="167">
        <f>'HourGH-APR'!Z17</f>
        <v>0.68</v>
      </c>
      <c r="BJ169" s="263">
        <v>168</v>
      </c>
      <c r="BK169" s="9">
        <v>7</v>
      </c>
      <c r="BL169" s="9">
        <v>24</v>
      </c>
      <c r="BM169" s="167">
        <f>'HourGH-MAY'!Z17</f>
        <v>0.48</v>
      </c>
      <c r="BN169" s="9">
        <v>168</v>
      </c>
      <c r="BO169" s="9">
        <v>7</v>
      </c>
      <c r="BP169" s="9">
        <v>24</v>
      </c>
      <c r="BQ169" s="167">
        <f>'HourGH-JUN'!Z17</f>
        <v>0.24</v>
      </c>
      <c r="BR169" s="263">
        <v>168</v>
      </c>
      <c r="BS169" s="9">
        <v>7</v>
      </c>
      <c r="BT169" s="9">
        <v>24</v>
      </c>
      <c r="BU169" s="167">
        <f>'HourGH-JUL'!Z17</f>
        <v>0.27</v>
      </c>
      <c r="BV169" s="263">
        <v>168</v>
      </c>
      <c r="BW169" s="9">
        <v>7</v>
      </c>
      <c r="BX169" s="9">
        <v>24</v>
      </c>
      <c r="BY169" s="167">
        <f>'HourGH-AUG'!Z17</f>
        <v>0.56000000000000005</v>
      </c>
      <c r="BZ169" s="9">
        <v>168</v>
      </c>
      <c r="CA169" s="9">
        <v>7</v>
      </c>
      <c r="CB169" s="9">
        <v>24</v>
      </c>
      <c r="CC169" s="167">
        <f>'HourGH-SEP'!Z17</f>
        <v>1.45</v>
      </c>
      <c r="CD169" s="263">
        <v>168</v>
      </c>
      <c r="CE169" s="9">
        <v>7</v>
      </c>
      <c r="CF169" s="9">
        <v>24</v>
      </c>
      <c r="CG169" s="167">
        <f>'HourGH-OCT'!Z17</f>
        <v>0.84</v>
      </c>
      <c r="CH169" s="9">
        <v>168</v>
      </c>
      <c r="CI169" s="9">
        <v>7</v>
      </c>
      <c r="CJ169" s="9">
        <v>24</v>
      </c>
      <c r="CK169" s="167">
        <f>'HourGH-NOV'!Z17</f>
        <v>0.73</v>
      </c>
      <c r="CL169" s="263">
        <v>168</v>
      </c>
      <c r="CM169" s="9">
        <v>7</v>
      </c>
      <c r="CN169" s="9">
        <v>24</v>
      </c>
      <c r="CO169" s="167">
        <f>'HourGH-DEC'!Z17</f>
        <v>0.5</v>
      </c>
      <c r="CP169" s="263">
        <v>168</v>
      </c>
      <c r="CQ169" s="9">
        <v>7</v>
      </c>
      <c r="CR169" s="9">
        <v>24</v>
      </c>
      <c r="CS169" s="167">
        <f>'HourGH-JAN'!Z17</f>
        <v>0.42</v>
      </c>
      <c r="CT169" s="9">
        <v>168</v>
      </c>
      <c r="CU169" s="9">
        <v>7</v>
      </c>
      <c r="CV169" s="9">
        <v>24</v>
      </c>
      <c r="CW169" s="167">
        <f>'HourGH-FEB'!Z17</f>
        <v>0.61</v>
      </c>
      <c r="CX169" s="263">
        <v>168</v>
      </c>
      <c r="CY169" s="9">
        <v>7</v>
      </c>
      <c r="CZ169" s="9">
        <v>24</v>
      </c>
      <c r="DA169" s="167">
        <f>'HourGH-MAR'!Z17</f>
        <v>0.56000000000000005</v>
      </c>
    </row>
    <row r="170" spans="58:105">
      <c r="BF170" s="9">
        <v>169</v>
      </c>
      <c r="BG170" s="9">
        <v>8</v>
      </c>
      <c r="BH170" s="9">
        <v>1</v>
      </c>
      <c r="BI170" s="167">
        <f>'HourGH-APR'!C18</f>
        <v>0.67</v>
      </c>
      <c r="BJ170" s="263">
        <v>169</v>
      </c>
      <c r="BK170" s="9">
        <v>8</v>
      </c>
      <c r="BL170" s="9">
        <v>1</v>
      </c>
      <c r="BM170" s="167">
        <f>'HourGH-MAY'!C18</f>
        <v>0.49</v>
      </c>
      <c r="BN170" s="9">
        <v>169</v>
      </c>
      <c r="BO170" s="9">
        <v>8</v>
      </c>
      <c r="BP170" s="9">
        <v>1</v>
      </c>
      <c r="BQ170" s="167">
        <f>'HourGH-JUN'!C18</f>
        <v>0.24</v>
      </c>
      <c r="BR170" s="263">
        <v>169</v>
      </c>
      <c r="BS170" s="9">
        <v>8</v>
      </c>
      <c r="BT170" s="9">
        <v>1</v>
      </c>
      <c r="BU170" s="167">
        <f>'HourGH-JUL'!C18</f>
        <v>0.28000000000000003</v>
      </c>
      <c r="BV170" s="263">
        <v>169</v>
      </c>
      <c r="BW170" s="9">
        <v>8</v>
      </c>
      <c r="BX170" s="9">
        <v>1</v>
      </c>
      <c r="BY170" s="167">
        <f>'HourGH-AUG'!C18</f>
        <v>0.56000000000000005</v>
      </c>
      <c r="BZ170" s="9">
        <v>169</v>
      </c>
      <c r="CA170" s="9">
        <v>8</v>
      </c>
      <c r="CB170" s="9">
        <v>1</v>
      </c>
      <c r="CC170" s="167">
        <f>'HourGH-SEP'!C18</f>
        <v>1.47</v>
      </c>
      <c r="CD170" s="263">
        <v>169</v>
      </c>
      <c r="CE170" s="9">
        <v>8</v>
      </c>
      <c r="CF170" s="9">
        <v>1</v>
      </c>
      <c r="CG170" s="167">
        <f>'HourGH-OCT'!C18</f>
        <v>0.84</v>
      </c>
      <c r="CH170" s="9">
        <v>169</v>
      </c>
      <c r="CI170" s="9">
        <v>8</v>
      </c>
      <c r="CJ170" s="9">
        <v>1</v>
      </c>
      <c r="CK170" s="167">
        <f>'HourGH-NOV'!C18</f>
        <v>0.72</v>
      </c>
      <c r="CL170" s="263">
        <v>169</v>
      </c>
      <c r="CM170" s="9">
        <v>8</v>
      </c>
      <c r="CN170" s="9">
        <v>1</v>
      </c>
      <c r="CO170" s="167">
        <f>'HourGH-DEC'!C18</f>
        <v>0.5</v>
      </c>
      <c r="CP170" s="263">
        <v>169</v>
      </c>
      <c r="CQ170" s="9">
        <v>8</v>
      </c>
      <c r="CR170" s="9">
        <v>1</v>
      </c>
      <c r="CS170" s="167">
        <f>'HourGH-JAN'!C18</f>
        <v>0.42</v>
      </c>
      <c r="CT170" s="9">
        <v>169</v>
      </c>
      <c r="CU170" s="9">
        <v>8</v>
      </c>
      <c r="CV170" s="9">
        <v>1</v>
      </c>
      <c r="CW170" s="167">
        <f>'HourGH-FEB'!C18</f>
        <v>0.62</v>
      </c>
      <c r="CX170" s="263">
        <v>169</v>
      </c>
      <c r="CY170" s="9">
        <v>8</v>
      </c>
      <c r="CZ170" s="9">
        <v>1</v>
      </c>
      <c r="DA170" s="167">
        <f>'HourGH-MAR'!C18</f>
        <v>0.57999999999999996</v>
      </c>
    </row>
    <row r="171" spans="58:105">
      <c r="BF171" s="9">
        <v>170</v>
      </c>
      <c r="BG171" s="9">
        <v>8</v>
      </c>
      <c r="BH171" s="9">
        <v>2</v>
      </c>
      <c r="BI171" s="167">
        <f>'HourGH-APR'!D18</f>
        <v>0.67</v>
      </c>
      <c r="BJ171" s="263">
        <v>170</v>
      </c>
      <c r="BK171" s="9">
        <v>8</v>
      </c>
      <c r="BL171" s="9">
        <v>2</v>
      </c>
      <c r="BM171" s="167">
        <f>'HourGH-MAY'!D18</f>
        <v>0.49</v>
      </c>
      <c r="BN171" s="9">
        <v>170</v>
      </c>
      <c r="BO171" s="9">
        <v>8</v>
      </c>
      <c r="BP171" s="9">
        <v>2</v>
      </c>
      <c r="BQ171" s="167">
        <f>'HourGH-JUN'!D18</f>
        <v>0.24</v>
      </c>
      <c r="BR171" s="263">
        <v>170</v>
      </c>
      <c r="BS171" s="9">
        <v>8</v>
      </c>
      <c r="BT171" s="9">
        <v>2</v>
      </c>
      <c r="BU171" s="167">
        <f>'HourGH-JUL'!D18</f>
        <v>0.28000000000000003</v>
      </c>
      <c r="BV171" s="263">
        <v>170</v>
      </c>
      <c r="BW171" s="9">
        <v>8</v>
      </c>
      <c r="BX171" s="9">
        <v>2</v>
      </c>
      <c r="BY171" s="167">
        <f>'HourGH-AUG'!D18</f>
        <v>0.56000000000000005</v>
      </c>
      <c r="BZ171" s="9">
        <v>170</v>
      </c>
      <c r="CA171" s="9">
        <v>8</v>
      </c>
      <c r="CB171" s="9">
        <v>2</v>
      </c>
      <c r="CC171" s="167">
        <f>'HourGH-SEP'!D18</f>
        <v>1.49</v>
      </c>
      <c r="CD171" s="263">
        <v>170</v>
      </c>
      <c r="CE171" s="9">
        <v>8</v>
      </c>
      <c r="CF171" s="9">
        <v>2</v>
      </c>
      <c r="CG171" s="167">
        <f>'HourGH-OCT'!D18</f>
        <v>0.83</v>
      </c>
      <c r="CH171" s="9">
        <v>170</v>
      </c>
      <c r="CI171" s="9">
        <v>8</v>
      </c>
      <c r="CJ171" s="9">
        <v>2</v>
      </c>
      <c r="CK171" s="167">
        <f>'HourGH-NOV'!D18</f>
        <v>0.72</v>
      </c>
      <c r="CL171" s="263">
        <v>170</v>
      </c>
      <c r="CM171" s="9">
        <v>8</v>
      </c>
      <c r="CN171" s="9">
        <v>2</v>
      </c>
      <c r="CO171" s="167">
        <f>'HourGH-DEC'!D18</f>
        <v>0.5</v>
      </c>
      <c r="CP171" s="263">
        <v>170</v>
      </c>
      <c r="CQ171" s="9">
        <v>8</v>
      </c>
      <c r="CR171" s="9">
        <v>2</v>
      </c>
      <c r="CS171" s="167">
        <f>'HourGH-JAN'!D18</f>
        <v>0.42</v>
      </c>
      <c r="CT171" s="9">
        <v>170</v>
      </c>
      <c r="CU171" s="9">
        <v>8</v>
      </c>
      <c r="CV171" s="9">
        <v>2</v>
      </c>
      <c r="CW171" s="167">
        <f>'HourGH-FEB'!D18</f>
        <v>0.63</v>
      </c>
      <c r="CX171" s="263">
        <v>170</v>
      </c>
      <c r="CY171" s="9">
        <v>8</v>
      </c>
      <c r="CZ171" s="9">
        <v>2</v>
      </c>
      <c r="DA171" s="167">
        <f>'HourGH-MAR'!D18</f>
        <v>0.6</v>
      </c>
    </row>
    <row r="172" spans="58:105">
      <c r="BF172" s="9">
        <v>171</v>
      </c>
      <c r="BG172" s="9">
        <v>8</v>
      </c>
      <c r="BH172" s="9">
        <v>3</v>
      </c>
      <c r="BI172" s="167">
        <f>'HourGH-APR'!E18</f>
        <v>0.66</v>
      </c>
      <c r="BJ172" s="263">
        <v>171</v>
      </c>
      <c r="BK172" s="9">
        <v>8</v>
      </c>
      <c r="BL172" s="9">
        <v>3</v>
      </c>
      <c r="BM172" s="167">
        <f>'HourGH-MAY'!E18</f>
        <v>0.49</v>
      </c>
      <c r="BN172" s="9">
        <v>171</v>
      </c>
      <c r="BO172" s="9">
        <v>8</v>
      </c>
      <c r="BP172" s="9">
        <v>3</v>
      </c>
      <c r="BQ172" s="167">
        <f>'HourGH-JUN'!E18</f>
        <v>0.24</v>
      </c>
      <c r="BR172" s="263">
        <v>171</v>
      </c>
      <c r="BS172" s="9">
        <v>8</v>
      </c>
      <c r="BT172" s="9">
        <v>3</v>
      </c>
      <c r="BU172" s="167">
        <f>'HourGH-JUL'!E18</f>
        <v>0.28000000000000003</v>
      </c>
      <c r="BV172" s="263">
        <v>171</v>
      </c>
      <c r="BW172" s="9">
        <v>8</v>
      </c>
      <c r="BX172" s="9">
        <v>3</v>
      </c>
      <c r="BY172" s="167">
        <f>'HourGH-AUG'!E18</f>
        <v>0.56000000000000005</v>
      </c>
      <c r="BZ172" s="9">
        <v>171</v>
      </c>
      <c r="CA172" s="9">
        <v>8</v>
      </c>
      <c r="CB172" s="9">
        <v>3</v>
      </c>
      <c r="CC172" s="167">
        <f>'HourGH-SEP'!E18</f>
        <v>1.52</v>
      </c>
      <c r="CD172" s="263">
        <v>171</v>
      </c>
      <c r="CE172" s="9">
        <v>8</v>
      </c>
      <c r="CF172" s="9">
        <v>3</v>
      </c>
      <c r="CG172" s="167">
        <f>'HourGH-OCT'!E18</f>
        <v>0.83</v>
      </c>
      <c r="CH172" s="9">
        <v>171</v>
      </c>
      <c r="CI172" s="9">
        <v>8</v>
      </c>
      <c r="CJ172" s="9">
        <v>3</v>
      </c>
      <c r="CK172" s="167">
        <f>'HourGH-NOV'!E18</f>
        <v>0.72</v>
      </c>
      <c r="CL172" s="263">
        <v>171</v>
      </c>
      <c r="CM172" s="9">
        <v>8</v>
      </c>
      <c r="CN172" s="9">
        <v>3</v>
      </c>
      <c r="CO172" s="167">
        <f>'HourGH-DEC'!E18</f>
        <v>0.5</v>
      </c>
      <c r="CP172" s="263">
        <v>171</v>
      </c>
      <c r="CQ172" s="9">
        <v>8</v>
      </c>
      <c r="CR172" s="9">
        <v>3</v>
      </c>
      <c r="CS172" s="167">
        <f>'HourGH-JAN'!E18</f>
        <v>0.42</v>
      </c>
      <c r="CT172" s="9">
        <v>171</v>
      </c>
      <c r="CU172" s="9">
        <v>8</v>
      </c>
      <c r="CV172" s="9">
        <v>3</v>
      </c>
      <c r="CW172" s="167">
        <f>'HourGH-FEB'!E18</f>
        <v>0.64</v>
      </c>
      <c r="CX172" s="263">
        <v>171</v>
      </c>
      <c r="CY172" s="9">
        <v>8</v>
      </c>
      <c r="CZ172" s="9">
        <v>3</v>
      </c>
      <c r="DA172" s="167">
        <f>'HourGH-MAR'!E18</f>
        <v>0.62</v>
      </c>
    </row>
    <row r="173" spans="58:105">
      <c r="BF173" s="9">
        <v>172</v>
      </c>
      <c r="BG173" s="9">
        <v>8</v>
      </c>
      <c r="BH173" s="9">
        <v>4</v>
      </c>
      <c r="BI173" s="167">
        <f>'HourGH-APR'!F18</f>
        <v>0.66</v>
      </c>
      <c r="BJ173" s="263">
        <v>172</v>
      </c>
      <c r="BK173" s="9">
        <v>8</v>
      </c>
      <c r="BL173" s="9">
        <v>4</v>
      </c>
      <c r="BM173" s="167">
        <f>'HourGH-MAY'!F18</f>
        <v>0.49</v>
      </c>
      <c r="BN173" s="9">
        <v>172</v>
      </c>
      <c r="BO173" s="9">
        <v>8</v>
      </c>
      <c r="BP173" s="9">
        <v>4</v>
      </c>
      <c r="BQ173" s="167">
        <f>'HourGH-JUN'!F18</f>
        <v>0.24</v>
      </c>
      <c r="BR173" s="263">
        <v>172</v>
      </c>
      <c r="BS173" s="9">
        <v>8</v>
      </c>
      <c r="BT173" s="9">
        <v>4</v>
      </c>
      <c r="BU173" s="167">
        <f>'HourGH-JUL'!F18</f>
        <v>0.28000000000000003</v>
      </c>
      <c r="BV173" s="263">
        <v>172</v>
      </c>
      <c r="BW173" s="9">
        <v>8</v>
      </c>
      <c r="BX173" s="9">
        <v>4</v>
      </c>
      <c r="BY173" s="167">
        <f>'HourGH-AUG'!F18</f>
        <v>0.56000000000000005</v>
      </c>
      <c r="BZ173" s="9">
        <v>172</v>
      </c>
      <c r="CA173" s="9">
        <v>8</v>
      </c>
      <c r="CB173" s="9">
        <v>4</v>
      </c>
      <c r="CC173" s="167">
        <f>'HourGH-SEP'!F18</f>
        <v>1.54</v>
      </c>
      <c r="CD173" s="263">
        <v>172</v>
      </c>
      <c r="CE173" s="9">
        <v>8</v>
      </c>
      <c r="CF173" s="9">
        <v>4</v>
      </c>
      <c r="CG173" s="167">
        <f>'HourGH-OCT'!F18</f>
        <v>0.83</v>
      </c>
      <c r="CH173" s="9">
        <v>172</v>
      </c>
      <c r="CI173" s="9">
        <v>8</v>
      </c>
      <c r="CJ173" s="9">
        <v>4</v>
      </c>
      <c r="CK173" s="167">
        <f>'HourGH-NOV'!F18</f>
        <v>0.72</v>
      </c>
      <c r="CL173" s="263">
        <v>172</v>
      </c>
      <c r="CM173" s="9">
        <v>8</v>
      </c>
      <c r="CN173" s="9">
        <v>4</v>
      </c>
      <c r="CO173" s="167">
        <f>'HourGH-DEC'!F18</f>
        <v>0.5</v>
      </c>
      <c r="CP173" s="263">
        <v>172</v>
      </c>
      <c r="CQ173" s="9">
        <v>8</v>
      </c>
      <c r="CR173" s="9">
        <v>4</v>
      </c>
      <c r="CS173" s="167">
        <f>'HourGH-JAN'!F18</f>
        <v>0.42</v>
      </c>
      <c r="CT173" s="9">
        <v>172</v>
      </c>
      <c r="CU173" s="9">
        <v>8</v>
      </c>
      <c r="CV173" s="9">
        <v>4</v>
      </c>
      <c r="CW173" s="167">
        <f>'HourGH-FEB'!F18</f>
        <v>0.65</v>
      </c>
      <c r="CX173" s="263">
        <v>172</v>
      </c>
      <c r="CY173" s="9">
        <v>8</v>
      </c>
      <c r="CZ173" s="9">
        <v>4</v>
      </c>
      <c r="DA173" s="167">
        <f>'HourGH-MAR'!F18</f>
        <v>0.63</v>
      </c>
    </row>
    <row r="174" spans="58:105">
      <c r="BF174" s="9">
        <v>173</v>
      </c>
      <c r="BG174" s="9">
        <v>8</v>
      </c>
      <c r="BH174" s="9">
        <v>5</v>
      </c>
      <c r="BI174" s="167">
        <f>'HourGH-APR'!G18</f>
        <v>0.65</v>
      </c>
      <c r="BJ174" s="263">
        <v>173</v>
      </c>
      <c r="BK174" s="9">
        <v>8</v>
      </c>
      <c r="BL174" s="9">
        <v>5</v>
      </c>
      <c r="BM174" s="167">
        <f>'HourGH-MAY'!G18</f>
        <v>0.49</v>
      </c>
      <c r="BN174" s="9">
        <v>173</v>
      </c>
      <c r="BO174" s="9">
        <v>8</v>
      </c>
      <c r="BP174" s="9">
        <v>5</v>
      </c>
      <c r="BQ174" s="167">
        <f>'HourGH-JUN'!G18</f>
        <v>0.24</v>
      </c>
      <c r="BR174" s="263">
        <v>173</v>
      </c>
      <c r="BS174" s="9">
        <v>8</v>
      </c>
      <c r="BT174" s="9">
        <v>5</v>
      </c>
      <c r="BU174" s="167">
        <f>'HourGH-JUL'!G18</f>
        <v>0.28000000000000003</v>
      </c>
      <c r="BV174" s="263">
        <v>173</v>
      </c>
      <c r="BW174" s="9">
        <v>8</v>
      </c>
      <c r="BX174" s="9">
        <v>5</v>
      </c>
      <c r="BY174" s="167">
        <f>'HourGH-AUG'!G18</f>
        <v>0.56000000000000005</v>
      </c>
      <c r="BZ174" s="9">
        <v>173</v>
      </c>
      <c r="CA174" s="9">
        <v>8</v>
      </c>
      <c r="CB174" s="9">
        <v>5</v>
      </c>
      <c r="CC174" s="167">
        <f>'HourGH-SEP'!G18</f>
        <v>1.56</v>
      </c>
      <c r="CD174" s="263">
        <v>173</v>
      </c>
      <c r="CE174" s="9">
        <v>8</v>
      </c>
      <c r="CF174" s="9">
        <v>5</v>
      </c>
      <c r="CG174" s="167">
        <f>'HourGH-OCT'!G18</f>
        <v>0.83</v>
      </c>
      <c r="CH174" s="9">
        <v>173</v>
      </c>
      <c r="CI174" s="9">
        <v>8</v>
      </c>
      <c r="CJ174" s="9">
        <v>5</v>
      </c>
      <c r="CK174" s="167">
        <f>'HourGH-NOV'!G18</f>
        <v>0.72</v>
      </c>
      <c r="CL174" s="263">
        <v>173</v>
      </c>
      <c r="CM174" s="9">
        <v>8</v>
      </c>
      <c r="CN174" s="9">
        <v>5</v>
      </c>
      <c r="CO174" s="167">
        <f>'HourGH-DEC'!G18</f>
        <v>0.5</v>
      </c>
      <c r="CP174" s="263">
        <v>173</v>
      </c>
      <c r="CQ174" s="9">
        <v>8</v>
      </c>
      <c r="CR174" s="9">
        <v>5</v>
      </c>
      <c r="CS174" s="167">
        <f>'HourGH-JAN'!G18</f>
        <v>0.42</v>
      </c>
      <c r="CT174" s="9">
        <v>173</v>
      </c>
      <c r="CU174" s="9">
        <v>8</v>
      </c>
      <c r="CV174" s="9">
        <v>5</v>
      </c>
      <c r="CW174" s="167">
        <f>'HourGH-FEB'!G18</f>
        <v>0.66</v>
      </c>
      <c r="CX174" s="263">
        <v>173</v>
      </c>
      <c r="CY174" s="9">
        <v>8</v>
      </c>
      <c r="CZ174" s="9">
        <v>5</v>
      </c>
      <c r="DA174" s="167">
        <f>'HourGH-MAR'!G18</f>
        <v>0.64</v>
      </c>
    </row>
    <row r="175" spans="58:105">
      <c r="BF175" s="9">
        <v>174</v>
      </c>
      <c r="BG175" s="9">
        <v>8</v>
      </c>
      <c r="BH175" s="9">
        <v>6</v>
      </c>
      <c r="BI175" s="167">
        <f>'HourGH-APR'!H18</f>
        <v>0.65</v>
      </c>
      <c r="BJ175" s="263">
        <v>174</v>
      </c>
      <c r="BK175" s="9">
        <v>8</v>
      </c>
      <c r="BL175" s="9">
        <v>6</v>
      </c>
      <c r="BM175" s="167">
        <f>'HourGH-MAY'!H18</f>
        <v>0.49</v>
      </c>
      <c r="BN175" s="9">
        <v>174</v>
      </c>
      <c r="BO175" s="9">
        <v>8</v>
      </c>
      <c r="BP175" s="9">
        <v>6</v>
      </c>
      <c r="BQ175" s="167">
        <f>'HourGH-JUN'!H18</f>
        <v>0.24</v>
      </c>
      <c r="BR175" s="263">
        <v>174</v>
      </c>
      <c r="BS175" s="9">
        <v>8</v>
      </c>
      <c r="BT175" s="9">
        <v>6</v>
      </c>
      <c r="BU175" s="167">
        <f>'HourGH-JUL'!H18</f>
        <v>0.28000000000000003</v>
      </c>
      <c r="BV175" s="263">
        <v>174</v>
      </c>
      <c r="BW175" s="9">
        <v>8</v>
      </c>
      <c r="BX175" s="9">
        <v>6</v>
      </c>
      <c r="BY175" s="167">
        <f>'HourGH-AUG'!H18</f>
        <v>0.56000000000000005</v>
      </c>
      <c r="BZ175" s="9">
        <v>174</v>
      </c>
      <c r="CA175" s="9">
        <v>8</v>
      </c>
      <c r="CB175" s="9">
        <v>6</v>
      </c>
      <c r="CC175" s="167">
        <f>'HourGH-SEP'!H18</f>
        <v>1.58</v>
      </c>
      <c r="CD175" s="263">
        <v>174</v>
      </c>
      <c r="CE175" s="9">
        <v>8</v>
      </c>
      <c r="CF175" s="9">
        <v>6</v>
      </c>
      <c r="CG175" s="167">
        <f>'HourGH-OCT'!H18</f>
        <v>0.83</v>
      </c>
      <c r="CH175" s="9">
        <v>174</v>
      </c>
      <c r="CI175" s="9">
        <v>8</v>
      </c>
      <c r="CJ175" s="9">
        <v>6</v>
      </c>
      <c r="CK175" s="167">
        <f>'HourGH-NOV'!H18</f>
        <v>0.72</v>
      </c>
      <c r="CL175" s="263">
        <v>174</v>
      </c>
      <c r="CM175" s="9">
        <v>8</v>
      </c>
      <c r="CN175" s="9">
        <v>6</v>
      </c>
      <c r="CO175" s="167">
        <f>'HourGH-DEC'!H18</f>
        <v>0.5</v>
      </c>
      <c r="CP175" s="263">
        <v>174</v>
      </c>
      <c r="CQ175" s="9">
        <v>8</v>
      </c>
      <c r="CR175" s="9">
        <v>6</v>
      </c>
      <c r="CS175" s="167">
        <f>'HourGH-JAN'!H18</f>
        <v>0.42</v>
      </c>
      <c r="CT175" s="9">
        <v>174</v>
      </c>
      <c r="CU175" s="9">
        <v>8</v>
      </c>
      <c r="CV175" s="9">
        <v>6</v>
      </c>
      <c r="CW175" s="167">
        <f>'HourGH-FEB'!H18</f>
        <v>0.67</v>
      </c>
      <c r="CX175" s="263">
        <v>174</v>
      </c>
      <c r="CY175" s="9">
        <v>8</v>
      </c>
      <c r="CZ175" s="9">
        <v>6</v>
      </c>
      <c r="DA175" s="167">
        <f>'HourGH-MAR'!H18</f>
        <v>0.65</v>
      </c>
    </row>
    <row r="176" spans="58:105">
      <c r="BF176" s="9">
        <v>175</v>
      </c>
      <c r="BG176" s="9">
        <v>8</v>
      </c>
      <c r="BH176" s="9">
        <v>7</v>
      </c>
      <c r="BI176" s="167">
        <f>'HourGH-APR'!I18</f>
        <v>0.65</v>
      </c>
      <c r="BJ176" s="263">
        <v>175</v>
      </c>
      <c r="BK176" s="9">
        <v>8</v>
      </c>
      <c r="BL176" s="9">
        <v>7</v>
      </c>
      <c r="BM176" s="167">
        <f>'HourGH-MAY'!I18</f>
        <v>0.49</v>
      </c>
      <c r="BN176" s="9">
        <v>175</v>
      </c>
      <c r="BO176" s="9">
        <v>8</v>
      </c>
      <c r="BP176" s="9">
        <v>7</v>
      </c>
      <c r="BQ176" s="167">
        <f>'HourGH-JUN'!I18</f>
        <v>0.24</v>
      </c>
      <c r="BR176" s="263">
        <v>175</v>
      </c>
      <c r="BS176" s="9">
        <v>8</v>
      </c>
      <c r="BT176" s="9">
        <v>7</v>
      </c>
      <c r="BU176" s="167">
        <f>'HourGH-JUL'!I18</f>
        <v>0.28000000000000003</v>
      </c>
      <c r="BV176" s="263">
        <v>175</v>
      </c>
      <c r="BW176" s="9">
        <v>8</v>
      </c>
      <c r="BX176" s="9">
        <v>7</v>
      </c>
      <c r="BY176" s="167">
        <f>'HourGH-AUG'!I18</f>
        <v>0.56000000000000005</v>
      </c>
      <c r="BZ176" s="9">
        <v>175</v>
      </c>
      <c r="CA176" s="9">
        <v>8</v>
      </c>
      <c r="CB176" s="9">
        <v>7</v>
      </c>
      <c r="CC176" s="167">
        <f>'HourGH-SEP'!I18</f>
        <v>1.58</v>
      </c>
      <c r="CD176" s="263">
        <v>175</v>
      </c>
      <c r="CE176" s="9">
        <v>8</v>
      </c>
      <c r="CF176" s="9">
        <v>7</v>
      </c>
      <c r="CG176" s="167">
        <f>'HourGH-OCT'!I18</f>
        <v>0.83</v>
      </c>
      <c r="CH176" s="9">
        <v>175</v>
      </c>
      <c r="CI176" s="9">
        <v>8</v>
      </c>
      <c r="CJ176" s="9">
        <v>7</v>
      </c>
      <c r="CK176" s="167">
        <f>'HourGH-NOV'!I18</f>
        <v>0.72</v>
      </c>
      <c r="CL176" s="263">
        <v>175</v>
      </c>
      <c r="CM176" s="9">
        <v>8</v>
      </c>
      <c r="CN176" s="9">
        <v>7</v>
      </c>
      <c r="CO176" s="167">
        <f>'HourGH-DEC'!I18</f>
        <v>0.5</v>
      </c>
      <c r="CP176" s="263">
        <v>175</v>
      </c>
      <c r="CQ176" s="9">
        <v>8</v>
      </c>
      <c r="CR176" s="9">
        <v>7</v>
      </c>
      <c r="CS176" s="167">
        <f>'HourGH-JAN'!I18</f>
        <v>0.42</v>
      </c>
      <c r="CT176" s="9">
        <v>175</v>
      </c>
      <c r="CU176" s="9">
        <v>8</v>
      </c>
      <c r="CV176" s="9">
        <v>7</v>
      </c>
      <c r="CW176" s="167">
        <f>'HourGH-FEB'!I18</f>
        <v>0.67</v>
      </c>
      <c r="CX176" s="263">
        <v>175</v>
      </c>
      <c r="CY176" s="9">
        <v>8</v>
      </c>
      <c r="CZ176" s="9">
        <v>7</v>
      </c>
      <c r="DA176" s="167">
        <f>'HourGH-MAR'!I18</f>
        <v>0.65</v>
      </c>
    </row>
    <row r="177" spans="58:105">
      <c r="BF177" s="9">
        <v>176</v>
      </c>
      <c r="BG177" s="9">
        <v>8</v>
      </c>
      <c r="BH177" s="9">
        <v>8</v>
      </c>
      <c r="BI177" s="167">
        <f>'HourGH-APR'!J18</f>
        <v>0.64</v>
      </c>
      <c r="BJ177" s="263">
        <v>176</v>
      </c>
      <c r="BK177" s="9">
        <v>8</v>
      </c>
      <c r="BL177" s="9">
        <v>8</v>
      </c>
      <c r="BM177" s="167">
        <f>'HourGH-MAY'!J18</f>
        <v>0.49</v>
      </c>
      <c r="BN177" s="9">
        <v>176</v>
      </c>
      <c r="BO177" s="9">
        <v>8</v>
      </c>
      <c r="BP177" s="9">
        <v>8</v>
      </c>
      <c r="BQ177" s="167">
        <f>'HourGH-JUN'!J18</f>
        <v>0.24</v>
      </c>
      <c r="BR177" s="263">
        <v>176</v>
      </c>
      <c r="BS177" s="9">
        <v>8</v>
      </c>
      <c r="BT177" s="9">
        <v>8</v>
      </c>
      <c r="BU177" s="167">
        <f>'HourGH-JUL'!J18</f>
        <v>0.28000000000000003</v>
      </c>
      <c r="BV177" s="263">
        <v>176</v>
      </c>
      <c r="BW177" s="9">
        <v>8</v>
      </c>
      <c r="BX177" s="9">
        <v>8</v>
      </c>
      <c r="BY177" s="167">
        <f>'HourGH-AUG'!J18</f>
        <v>0.56000000000000005</v>
      </c>
      <c r="BZ177" s="9">
        <v>176</v>
      </c>
      <c r="CA177" s="9">
        <v>8</v>
      </c>
      <c r="CB177" s="9">
        <v>8</v>
      </c>
      <c r="CC177" s="167">
        <f>'HourGH-SEP'!J18</f>
        <v>1.58</v>
      </c>
      <c r="CD177" s="263">
        <v>176</v>
      </c>
      <c r="CE177" s="9">
        <v>8</v>
      </c>
      <c r="CF177" s="9">
        <v>8</v>
      </c>
      <c r="CG177" s="167">
        <f>'HourGH-OCT'!J18</f>
        <v>0.83</v>
      </c>
      <c r="CH177" s="9">
        <v>176</v>
      </c>
      <c r="CI177" s="9">
        <v>8</v>
      </c>
      <c r="CJ177" s="9">
        <v>8</v>
      </c>
      <c r="CK177" s="167">
        <f>'HourGH-NOV'!J18</f>
        <v>0.72</v>
      </c>
      <c r="CL177" s="263">
        <v>176</v>
      </c>
      <c r="CM177" s="9">
        <v>8</v>
      </c>
      <c r="CN177" s="9">
        <v>8</v>
      </c>
      <c r="CO177" s="167">
        <f>'HourGH-DEC'!J18</f>
        <v>0.5</v>
      </c>
      <c r="CP177" s="263">
        <v>176</v>
      </c>
      <c r="CQ177" s="9">
        <v>8</v>
      </c>
      <c r="CR177" s="9">
        <v>8</v>
      </c>
      <c r="CS177" s="167">
        <f>'HourGH-JAN'!J18</f>
        <v>0.42</v>
      </c>
      <c r="CT177" s="9">
        <v>176</v>
      </c>
      <c r="CU177" s="9">
        <v>8</v>
      </c>
      <c r="CV177" s="9">
        <v>8</v>
      </c>
      <c r="CW177" s="167">
        <f>'HourGH-FEB'!J18</f>
        <v>0.67</v>
      </c>
      <c r="CX177" s="263">
        <v>176</v>
      </c>
      <c r="CY177" s="9">
        <v>8</v>
      </c>
      <c r="CZ177" s="9">
        <v>8</v>
      </c>
      <c r="DA177" s="167">
        <f>'HourGH-MAR'!J18</f>
        <v>0.65</v>
      </c>
    </row>
    <row r="178" spans="58:105">
      <c r="BF178" s="9">
        <v>177</v>
      </c>
      <c r="BG178" s="9">
        <v>8</v>
      </c>
      <c r="BH178" s="9">
        <v>9</v>
      </c>
      <c r="BI178" s="167">
        <f>'HourGH-APR'!K18</f>
        <v>0.64</v>
      </c>
      <c r="BJ178" s="263">
        <v>177</v>
      </c>
      <c r="BK178" s="9">
        <v>8</v>
      </c>
      <c r="BL178" s="9">
        <v>9</v>
      </c>
      <c r="BM178" s="167">
        <f>'HourGH-MAY'!K18</f>
        <v>0.49</v>
      </c>
      <c r="BN178" s="9">
        <v>177</v>
      </c>
      <c r="BO178" s="9">
        <v>8</v>
      </c>
      <c r="BP178" s="9">
        <v>9</v>
      </c>
      <c r="BQ178" s="167">
        <f>'HourGH-JUN'!K18</f>
        <v>0.24</v>
      </c>
      <c r="BR178" s="263">
        <v>177</v>
      </c>
      <c r="BS178" s="9">
        <v>8</v>
      </c>
      <c r="BT178" s="9">
        <v>9</v>
      </c>
      <c r="BU178" s="167">
        <f>'HourGH-JUL'!K18</f>
        <v>0.28000000000000003</v>
      </c>
      <c r="BV178" s="263">
        <v>177</v>
      </c>
      <c r="BW178" s="9">
        <v>8</v>
      </c>
      <c r="BX178" s="9">
        <v>9</v>
      </c>
      <c r="BY178" s="167">
        <f>'HourGH-AUG'!K18</f>
        <v>0.56000000000000005</v>
      </c>
      <c r="BZ178" s="9">
        <v>177</v>
      </c>
      <c r="CA178" s="9">
        <v>8</v>
      </c>
      <c r="CB178" s="9">
        <v>9</v>
      </c>
      <c r="CC178" s="167">
        <f>'HourGH-SEP'!K18</f>
        <v>1.59</v>
      </c>
      <c r="CD178" s="263">
        <v>177</v>
      </c>
      <c r="CE178" s="9">
        <v>8</v>
      </c>
      <c r="CF178" s="9">
        <v>9</v>
      </c>
      <c r="CG178" s="167">
        <f>'HourGH-OCT'!K18</f>
        <v>0.83</v>
      </c>
      <c r="CH178" s="9">
        <v>177</v>
      </c>
      <c r="CI178" s="9">
        <v>8</v>
      </c>
      <c r="CJ178" s="9">
        <v>9</v>
      </c>
      <c r="CK178" s="167">
        <f>'HourGH-NOV'!K18</f>
        <v>0.72</v>
      </c>
      <c r="CL178" s="263">
        <v>177</v>
      </c>
      <c r="CM178" s="9">
        <v>8</v>
      </c>
      <c r="CN178" s="9">
        <v>9</v>
      </c>
      <c r="CO178" s="167">
        <f>'HourGH-DEC'!K18</f>
        <v>0.5</v>
      </c>
      <c r="CP178" s="263">
        <v>177</v>
      </c>
      <c r="CQ178" s="9">
        <v>8</v>
      </c>
      <c r="CR178" s="9">
        <v>9</v>
      </c>
      <c r="CS178" s="167">
        <f>'HourGH-JAN'!K18</f>
        <v>0.42</v>
      </c>
      <c r="CT178" s="9">
        <v>177</v>
      </c>
      <c r="CU178" s="9">
        <v>8</v>
      </c>
      <c r="CV178" s="9">
        <v>9</v>
      </c>
      <c r="CW178" s="167">
        <f>'HourGH-FEB'!K18</f>
        <v>0.67</v>
      </c>
      <c r="CX178" s="263">
        <v>177</v>
      </c>
      <c r="CY178" s="9">
        <v>8</v>
      </c>
      <c r="CZ178" s="9">
        <v>9</v>
      </c>
      <c r="DA178" s="167">
        <f>'HourGH-MAR'!K18</f>
        <v>0.65</v>
      </c>
    </row>
    <row r="179" spans="58:105">
      <c r="BF179" s="9">
        <v>178</v>
      </c>
      <c r="BG179" s="9">
        <v>8</v>
      </c>
      <c r="BH179" s="9">
        <v>10</v>
      </c>
      <c r="BI179" s="167">
        <f>'HourGH-APR'!L18</f>
        <v>0.64</v>
      </c>
      <c r="BJ179" s="263">
        <v>178</v>
      </c>
      <c r="BK179" s="9">
        <v>8</v>
      </c>
      <c r="BL179" s="9">
        <v>10</v>
      </c>
      <c r="BM179" s="167">
        <f>'HourGH-MAY'!L18</f>
        <v>0.49</v>
      </c>
      <c r="BN179" s="9">
        <v>178</v>
      </c>
      <c r="BO179" s="9">
        <v>8</v>
      </c>
      <c r="BP179" s="9">
        <v>10</v>
      </c>
      <c r="BQ179" s="167">
        <f>'HourGH-JUN'!L18</f>
        <v>0.24</v>
      </c>
      <c r="BR179" s="263">
        <v>178</v>
      </c>
      <c r="BS179" s="9">
        <v>8</v>
      </c>
      <c r="BT179" s="9">
        <v>10</v>
      </c>
      <c r="BU179" s="167">
        <f>'HourGH-JUL'!L18</f>
        <v>0.28000000000000003</v>
      </c>
      <c r="BV179" s="263">
        <v>178</v>
      </c>
      <c r="BW179" s="9">
        <v>8</v>
      </c>
      <c r="BX179" s="9">
        <v>10</v>
      </c>
      <c r="BY179" s="167">
        <f>'HourGH-AUG'!L18</f>
        <v>0.56000000000000005</v>
      </c>
      <c r="BZ179" s="9">
        <v>178</v>
      </c>
      <c r="CA179" s="9">
        <v>8</v>
      </c>
      <c r="CB179" s="9">
        <v>10</v>
      </c>
      <c r="CC179" s="167">
        <f>'HourGH-SEP'!L18</f>
        <v>1.59</v>
      </c>
      <c r="CD179" s="263">
        <v>178</v>
      </c>
      <c r="CE179" s="9">
        <v>8</v>
      </c>
      <c r="CF179" s="9">
        <v>10</v>
      </c>
      <c r="CG179" s="167">
        <f>'HourGH-OCT'!L18</f>
        <v>0.83</v>
      </c>
      <c r="CH179" s="9">
        <v>178</v>
      </c>
      <c r="CI179" s="9">
        <v>8</v>
      </c>
      <c r="CJ179" s="9">
        <v>10</v>
      </c>
      <c r="CK179" s="167">
        <f>'HourGH-NOV'!L18</f>
        <v>0.72</v>
      </c>
      <c r="CL179" s="263">
        <v>178</v>
      </c>
      <c r="CM179" s="9">
        <v>8</v>
      </c>
      <c r="CN179" s="9">
        <v>10</v>
      </c>
      <c r="CO179" s="167">
        <f>'HourGH-DEC'!L18</f>
        <v>0.5</v>
      </c>
      <c r="CP179" s="263">
        <v>178</v>
      </c>
      <c r="CQ179" s="9">
        <v>8</v>
      </c>
      <c r="CR179" s="9">
        <v>10</v>
      </c>
      <c r="CS179" s="167">
        <f>'HourGH-JAN'!L18</f>
        <v>0.42</v>
      </c>
      <c r="CT179" s="9">
        <v>178</v>
      </c>
      <c r="CU179" s="9">
        <v>8</v>
      </c>
      <c r="CV179" s="9">
        <v>10</v>
      </c>
      <c r="CW179" s="167">
        <f>'HourGH-FEB'!L18</f>
        <v>0.67</v>
      </c>
      <c r="CX179" s="263">
        <v>178</v>
      </c>
      <c r="CY179" s="9">
        <v>8</v>
      </c>
      <c r="CZ179" s="9">
        <v>10</v>
      </c>
      <c r="DA179" s="167">
        <f>'HourGH-MAR'!L18</f>
        <v>0.65</v>
      </c>
    </row>
    <row r="180" spans="58:105">
      <c r="BF180" s="9">
        <v>179</v>
      </c>
      <c r="BG180" s="9">
        <v>8</v>
      </c>
      <c r="BH180" s="9">
        <v>11</v>
      </c>
      <c r="BI180" s="167">
        <f>'HourGH-APR'!M18</f>
        <v>0.63</v>
      </c>
      <c r="BJ180" s="263">
        <v>179</v>
      </c>
      <c r="BK180" s="9">
        <v>8</v>
      </c>
      <c r="BL180" s="9">
        <v>11</v>
      </c>
      <c r="BM180" s="167">
        <f>'HourGH-MAY'!M18</f>
        <v>0.49</v>
      </c>
      <c r="BN180" s="9">
        <v>179</v>
      </c>
      <c r="BO180" s="9">
        <v>8</v>
      </c>
      <c r="BP180" s="9">
        <v>11</v>
      </c>
      <c r="BQ180" s="167">
        <f>'HourGH-JUN'!M18</f>
        <v>0.24</v>
      </c>
      <c r="BR180" s="263">
        <v>179</v>
      </c>
      <c r="BS180" s="9">
        <v>8</v>
      </c>
      <c r="BT180" s="9">
        <v>11</v>
      </c>
      <c r="BU180" s="167">
        <f>'HourGH-JUL'!M18</f>
        <v>0.28000000000000003</v>
      </c>
      <c r="BV180" s="263">
        <v>179</v>
      </c>
      <c r="BW180" s="9">
        <v>8</v>
      </c>
      <c r="BX180" s="9">
        <v>11</v>
      </c>
      <c r="BY180" s="167">
        <f>'HourGH-AUG'!M18</f>
        <v>0.56000000000000005</v>
      </c>
      <c r="BZ180" s="9">
        <v>179</v>
      </c>
      <c r="CA180" s="9">
        <v>8</v>
      </c>
      <c r="CB180" s="9">
        <v>11</v>
      </c>
      <c r="CC180" s="167">
        <f>'HourGH-SEP'!M18</f>
        <v>1.59</v>
      </c>
      <c r="CD180" s="263">
        <v>179</v>
      </c>
      <c r="CE180" s="9">
        <v>8</v>
      </c>
      <c r="CF180" s="9">
        <v>11</v>
      </c>
      <c r="CG180" s="167">
        <f>'HourGH-OCT'!M18</f>
        <v>0.83</v>
      </c>
      <c r="CH180" s="9">
        <v>179</v>
      </c>
      <c r="CI180" s="9">
        <v>8</v>
      </c>
      <c r="CJ180" s="9">
        <v>11</v>
      </c>
      <c r="CK180" s="167">
        <f>'HourGH-NOV'!M18</f>
        <v>0.72</v>
      </c>
      <c r="CL180" s="263">
        <v>179</v>
      </c>
      <c r="CM180" s="9">
        <v>8</v>
      </c>
      <c r="CN180" s="9">
        <v>11</v>
      </c>
      <c r="CO180" s="167">
        <f>'HourGH-DEC'!M18</f>
        <v>0.5</v>
      </c>
      <c r="CP180" s="263">
        <v>179</v>
      </c>
      <c r="CQ180" s="9">
        <v>8</v>
      </c>
      <c r="CR180" s="9">
        <v>11</v>
      </c>
      <c r="CS180" s="167">
        <f>'HourGH-JAN'!M18</f>
        <v>0.42</v>
      </c>
      <c r="CT180" s="9">
        <v>179</v>
      </c>
      <c r="CU180" s="9">
        <v>8</v>
      </c>
      <c r="CV180" s="9">
        <v>11</v>
      </c>
      <c r="CW180" s="167">
        <f>'HourGH-FEB'!M18</f>
        <v>0.67</v>
      </c>
      <c r="CX180" s="263">
        <v>179</v>
      </c>
      <c r="CY180" s="9">
        <v>8</v>
      </c>
      <c r="CZ180" s="9">
        <v>11</v>
      </c>
      <c r="DA180" s="167">
        <f>'HourGH-MAR'!M18</f>
        <v>0.65</v>
      </c>
    </row>
    <row r="181" spans="58:105">
      <c r="BF181" s="9">
        <v>180</v>
      </c>
      <c r="BG181" s="9">
        <v>8</v>
      </c>
      <c r="BH181" s="9">
        <v>12</v>
      </c>
      <c r="BI181" s="167">
        <f>'HourGH-APR'!N18</f>
        <v>0.63</v>
      </c>
      <c r="BJ181" s="263">
        <v>180</v>
      </c>
      <c r="BK181" s="9">
        <v>8</v>
      </c>
      <c r="BL181" s="9">
        <v>12</v>
      </c>
      <c r="BM181" s="167">
        <f>'HourGH-MAY'!N18</f>
        <v>0.49</v>
      </c>
      <c r="BN181" s="9">
        <v>180</v>
      </c>
      <c r="BO181" s="9">
        <v>8</v>
      </c>
      <c r="BP181" s="9">
        <v>12</v>
      </c>
      <c r="BQ181" s="167">
        <f>'HourGH-JUN'!N18</f>
        <v>0.24</v>
      </c>
      <c r="BR181" s="263">
        <v>180</v>
      </c>
      <c r="BS181" s="9">
        <v>8</v>
      </c>
      <c r="BT181" s="9">
        <v>12</v>
      </c>
      <c r="BU181" s="167">
        <f>'HourGH-JUL'!N18</f>
        <v>0.28000000000000003</v>
      </c>
      <c r="BV181" s="263">
        <v>180</v>
      </c>
      <c r="BW181" s="9">
        <v>8</v>
      </c>
      <c r="BX181" s="9">
        <v>12</v>
      </c>
      <c r="BY181" s="167">
        <f>'HourGH-AUG'!N18</f>
        <v>0.56000000000000005</v>
      </c>
      <c r="BZ181" s="9">
        <v>180</v>
      </c>
      <c r="CA181" s="9">
        <v>8</v>
      </c>
      <c r="CB181" s="9">
        <v>12</v>
      </c>
      <c r="CC181" s="167">
        <f>'HourGH-SEP'!N18</f>
        <v>1.59</v>
      </c>
      <c r="CD181" s="263">
        <v>180</v>
      </c>
      <c r="CE181" s="9">
        <v>8</v>
      </c>
      <c r="CF181" s="9">
        <v>12</v>
      </c>
      <c r="CG181" s="167">
        <f>'HourGH-OCT'!N18</f>
        <v>0.82</v>
      </c>
      <c r="CH181" s="9">
        <v>180</v>
      </c>
      <c r="CI181" s="9">
        <v>8</v>
      </c>
      <c r="CJ181" s="9">
        <v>12</v>
      </c>
      <c r="CK181" s="167">
        <f>'HourGH-NOV'!N18</f>
        <v>0.72</v>
      </c>
      <c r="CL181" s="263">
        <v>180</v>
      </c>
      <c r="CM181" s="9">
        <v>8</v>
      </c>
      <c r="CN181" s="9">
        <v>12</v>
      </c>
      <c r="CO181" s="167">
        <f>'HourGH-DEC'!N18</f>
        <v>0.5</v>
      </c>
      <c r="CP181" s="263">
        <v>180</v>
      </c>
      <c r="CQ181" s="9">
        <v>8</v>
      </c>
      <c r="CR181" s="9">
        <v>12</v>
      </c>
      <c r="CS181" s="167">
        <f>'HourGH-JAN'!N18</f>
        <v>0.42</v>
      </c>
      <c r="CT181" s="9">
        <v>180</v>
      </c>
      <c r="CU181" s="9">
        <v>8</v>
      </c>
      <c r="CV181" s="9">
        <v>12</v>
      </c>
      <c r="CW181" s="167">
        <f>'HourGH-FEB'!N18</f>
        <v>0.67</v>
      </c>
      <c r="CX181" s="263">
        <v>180</v>
      </c>
      <c r="CY181" s="9">
        <v>8</v>
      </c>
      <c r="CZ181" s="9">
        <v>12</v>
      </c>
      <c r="DA181" s="167">
        <f>'HourGH-MAR'!N18</f>
        <v>0.65</v>
      </c>
    </row>
    <row r="182" spans="58:105">
      <c r="BF182" s="9">
        <v>181</v>
      </c>
      <c r="BG182" s="9">
        <v>8</v>
      </c>
      <c r="BH182" s="9">
        <v>13</v>
      </c>
      <c r="BI182" s="167">
        <f>'HourGH-APR'!O18</f>
        <v>0.63</v>
      </c>
      <c r="BJ182" s="263">
        <v>181</v>
      </c>
      <c r="BK182" s="9">
        <v>8</v>
      </c>
      <c r="BL182" s="9">
        <v>13</v>
      </c>
      <c r="BM182" s="167">
        <f>'HourGH-MAY'!O18</f>
        <v>0.49</v>
      </c>
      <c r="BN182" s="9">
        <v>181</v>
      </c>
      <c r="BO182" s="9">
        <v>8</v>
      </c>
      <c r="BP182" s="9">
        <v>13</v>
      </c>
      <c r="BQ182" s="167">
        <f>'HourGH-JUN'!O18</f>
        <v>0.24</v>
      </c>
      <c r="BR182" s="263">
        <v>181</v>
      </c>
      <c r="BS182" s="9">
        <v>8</v>
      </c>
      <c r="BT182" s="9">
        <v>13</v>
      </c>
      <c r="BU182" s="167">
        <f>'HourGH-JUL'!O18</f>
        <v>0.27</v>
      </c>
      <c r="BV182" s="263">
        <v>181</v>
      </c>
      <c r="BW182" s="9">
        <v>8</v>
      </c>
      <c r="BX182" s="9">
        <v>13</v>
      </c>
      <c r="BY182" s="167">
        <f>'HourGH-AUG'!O18</f>
        <v>0.56999999999999995</v>
      </c>
      <c r="BZ182" s="9">
        <v>181</v>
      </c>
      <c r="CA182" s="9">
        <v>8</v>
      </c>
      <c r="CB182" s="9">
        <v>13</v>
      </c>
      <c r="CC182" s="167">
        <f>'HourGH-SEP'!O18</f>
        <v>1.61</v>
      </c>
      <c r="CD182" s="263">
        <v>181</v>
      </c>
      <c r="CE182" s="9">
        <v>8</v>
      </c>
      <c r="CF182" s="9">
        <v>13</v>
      </c>
      <c r="CG182" s="167">
        <f>'HourGH-OCT'!O18</f>
        <v>0.82</v>
      </c>
      <c r="CH182" s="9">
        <v>181</v>
      </c>
      <c r="CI182" s="9">
        <v>8</v>
      </c>
      <c r="CJ182" s="9">
        <v>13</v>
      </c>
      <c r="CK182" s="167">
        <f>'HourGH-NOV'!O18</f>
        <v>0.71</v>
      </c>
      <c r="CL182" s="263">
        <v>181</v>
      </c>
      <c r="CM182" s="9">
        <v>8</v>
      </c>
      <c r="CN182" s="9">
        <v>13</v>
      </c>
      <c r="CO182" s="167">
        <f>'HourGH-DEC'!O18</f>
        <v>0.5</v>
      </c>
      <c r="CP182" s="263">
        <v>181</v>
      </c>
      <c r="CQ182" s="9">
        <v>8</v>
      </c>
      <c r="CR182" s="9">
        <v>13</v>
      </c>
      <c r="CS182" s="167">
        <f>'HourGH-JAN'!O18</f>
        <v>0.42</v>
      </c>
      <c r="CT182" s="9">
        <v>181</v>
      </c>
      <c r="CU182" s="9">
        <v>8</v>
      </c>
      <c r="CV182" s="9">
        <v>13</v>
      </c>
      <c r="CW182" s="167">
        <f>'HourGH-FEB'!O18</f>
        <v>0.67</v>
      </c>
      <c r="CX182" s="263">
        <v>181</v>
      </c>
      <c r="CY182" s="9">
        <v>8</v>
      </c>
      <c r="CZ182" s="9">
        <v>13</v>
      </c>
      <c r="DA182" s="167">
        <f>'HourGH-MAR'!O18</f>
        <v>0.65</v>
      </c>
    </row>
    <row r="183" spans="58:105">
      <c r="BF183" s="9">
        <v>182</v>
      </c>
      <c r="BG183" s="9">
        <v>8</v>
      </c>
      <c r="BH183" s="9">
        <v>14</v>
      </c>
      <c r="BI183" s="167">
        <f>'HourGH-APR'!P18</f>
        <v>0.63</v>
      </c>
      <c r="BJ183" s="263">
        <v>182</v>
      </c>
      <c r="BK183" s="9">
        <v>8</v>
      </c>
      <c r="BL183" s="9">
        <v>14</v>
      </c>
      <c r="BM183" s="167">
        <f>'HourGH-MAY'!P18</f>
        <v>0.49</v>
      </c>
      <c r="BN183" s="9">
        <v>182</v>
      </c>
      <c r="BO183" s="9">
        <v>8</v>
      </c>
      <c r="BP183" s="9">
        <v>14</v>
      </c>
      <c r="BQ183" s="167">
        <f>'HourGH-JUN'!P18</f>
        <v>0.24</v>
      </c>
      <c r="BR183" s="263">
        <v>182</v>
      </c>
      <c r="BS183" s="9">
        <v>8</v>
      </c>
      <c r="BT183" s="9">
        <v>14</v>
      </c>
      <c r="BU183" s="167">
        <f>'HourGH-JUL'!P18</f>
        <v>0.27</v>
      </c>
      <c r="BV183" s="263">
        <v>182</v>
      </c>
      <c r="BW183" s="9">
        <v>8</v>
      </c>
      <c r="BX183" s="9">
        <v>14</v>
      </c>
      <c r="BY183" s="167">
        <f>'HourGH-AUG'!P18</f>
        <v>0.56999999999999995</v>
      </c>
      <c r="BZ183" s="9">
        <v>182</v>
      </c>
      <c r="CA183" s="9">
        <v>8</v>
      </c>
      <c r="CB183" s="9">
        <v>14</v>
      </c>
      <c r="CC183" s="167">
        <f>'HourGH-SEP'!P18</f>
        <v>1.65</v>
      </c>
      <c r="CD183" s="263">
        <v>182</v>
      </c>
      <c r="CE183" s="9">
        <v>8</v>
      </c>
      <c r="CF183" s="9">
        <v>14</v>
      </c>
      <c r="CG183" s="167">
        <f>'HourGH-OCT'!P18</f>
        <v>0.82</v>
      </c>
      <c r="CH183" s="9">
        <v>182</v>
      </c>
      <c r="CI183" s="9">
        <v>8</v>
      </c>
      <c r="CJ183" s="9">
        <v>14</v>
      </c>
      <c r="CK183" s="167">
        <f>'HourGH-NOV'!P18</f>
        <v>0.71</v>
      </c>
      <c r="CL183" s="263">
        <v>182</v>
      </c>
      <c r="CM183" s="9">
        <v>8</v>
      </c>
      <c r="CN183" s="9">
        <v>14</v>
      </c>
      <c r="CO183" s="167">
        <f>'HourGH-DEC'!P18</f>
        <v>0.5</v>
      </c>
      <c r="CP183" s="263">
        <v>182</v>
      </c>
      <c r="CQ183" s="9">
        <v>8</v>
      </c>
      <c r="CR183" s="9">
        <v>14</v>
      </c>
      <c r="CS183" s="167">
        <f>'HourGH-JAN'!P18</f>
        <v>0.42</v>
      </c>
      <c r="CT183" s="9">
        <v>182</v>
      </c>
      <c r="CU183" s="9">
        <v>8</v>
      </c>
      <c r="CV183" s="9">
        <v>14</v>
      </c>
      <c r="CW183" s="167">
        <f>'HourGH-FEB'!P18</f>
        <v>0.67</v>
      </c>
      <c r="CX183" s="263">
        <v>182</v>
      </c>
      <c r="CY183" s="9">
        <v>8</v>
      </c>
      <c r="CZ183" s="9">
        <v>14</v>
      </c>
      <c r="DA183" s="167">
        <f>'HourGH-MAR'!P18</f>
        <v>0.65</v>
      </c>
    </row>
    <row r="184" spans="58:105">
      <c r="BF184" s="9">
        <v>183</v>
      </c>
      <c r="BG184" s="9">
        <v>8</v>
      </c>
      <c r="BH184" s="9">
        <v>15</v>
      </c>
      <c r="BI184" s="167">
        <f>'HourGH-APR'!Q18</f>
        <v>0.63</v>
      </c>
      <c r="BJ184" s="263">
        <v>183</v>
      </c>
      <c r="BK184" s="9">
        <v>8</v>
      </c>
      <c r="BL184" s="9">
        <v>15</v>
      </c>
      <c r="BM184" s="167">
        <f>'HourGH-MAY'!Q18</f>
        <v>0.49</v>
      </c>
      <c r="BN184" s="9">
        <v>183</v>
      </c>
      <c r="BO184" s="9">
        <v>8</v>
      </c>
      <c r="BP184" s="9">
        <v>15</v>
      </c>
      <c r="BQ184" s="167">
        <f>'HourGH-JUN'!Q18</f>
        <v>0.24</v>
      </c>
      <c r="BR184" s="263">
        <v>183</v>
      </c>
      <c r="BS184" s="9">
        <v>8</v>
      </c>
      <c r="BT184" s="9">
        <v>15</v>
      </c>
      <c r="BU184" s="167">
        <f>'HourGH-JUL'!Q18</f>
        <v>0.27</v>
      </c>
      <c r="BV184" s="263">
        <v>183</v>
      </c>
      <c r="BW184" s="9">
        <v>8</v>
      </c>
      <c r="BX184" s="9">
        <v>15</v>
      </c>
      <c r="BY184" s="167">
        <f>'HourGH-AUG'!Q18</f>
        <v>0.56999999999999995</v>
      </c>
      <c r="BZ184" s="9">
        <v>183</v>
      </c>
      <c r="CA184" s="9">
        <v>8</v>
      </c>
      <c r="CB184" s="9">
        <v>15</v>
      </c>
      <c r="CC184" s="167">
        <f>'HourGH-SEP'!Q18</f>
        <v>1.78</v>
      </c>
      <c r="CD184" s="263">
        <v>183</v>
      </c>
      <c r="CE184" s="9">
        <v>8</v>
      </c>
      <c r="CF184" s="9">
        <v>15</v>
      </c>
      <c r="CG184" s="167">
        <f>'HourGH-OCT'!Q18</f>
        <v>0.81</v>
      </c>
      <c r="CH184" s="9">
        <v>183</v>
      </c>
      <c r="CI184" s="9">
        <v>8</v>
      </c>
      <c r="CJ184" s="9">
        <v>15</v>
      </c>
      <c r="CK184" s="167">
        <f>'HourGH-NOV'!Q18</f>
        <v>0.71</v>
      </c>
      <c r="CL184" s="263">
        <v>183</v>
      </c>
      <c r="CM184" s="9">
        <v>8</v>
      </c>
      <c r="CN184" s="9">
        <v>15</v>
      </c>
      <c r="CO184" s="167">
        <f>'HourGH-DEC'!Q18</f>
        <v>0.5</v>
      </c>
      <c r="CP184" s="263">
        <v>183</v>
      </c>
      <c r="CQ184" s="9">
        <v>8</v>
      </c>
      <c r="CR184" s="9">
        <v>15</v>
      </c>
      <c r="CS184" s="167">
        <f>'HourGH-JAN'!Q18</f>
        <v>0.42</v>
      </c>
      <c r="CT184" s="9">
        <v>183</v>
      </c>
      <c r="CU184" s="9">
        <v>8</v>
      </c>
      <c r="CV184" s="9">
        <v>15</v>
      </c>
      <c r="CW184" s="167">
        <f>'HourGH-FEB'!Q18</f>
        <v>0.67</v>
      </c>
      <c r="CX184" s="263">
        <v>183</v>
      </c>
      <c r="CY184" s="9">
        <v>8</v>
      </c>
      <c r="CZ184" s="9">
        <v>15</v>
      </c>
      <c r="DA184" s="167">
        <f>'HourGH-MAR'!Q18</f>
        <v>0.65</v>
      </c>
    </row>
    <row r="185" spans="58:105">
      <c r="BF185" s="9">
        <v>184</v>
      </c>
      <c r="BG185" s="9">
        <v>8</v>
      </c>
      <c r="BH185" s="9">
        <v>16</v>
      </c>
      <c r="BI185" s="167">
        <f>'HourGH-APR'!R18</f>
        <v>0.62</v>
      </c>
      <c r="BJ185" s="263">
        <v>184</v>
      </c>
      <c r="BK185" s="9">
        <v>8</v>
      </c>
      <c r="BL185" s="9">
        <v>16</v>
      </c>
      <c r="BM185" s="167">
        <f>'HourGH-MAY'!R18</f>
        <v>0.49</v>
      </c>
      <c r="BN185" s="9">
        <v>184</v>
      </c>
      <c r="BO185" s="9">
        <v>8</v>
      </c>
      <c r="BP185" s="9">
        <v>16</v>
      </c>
      <c r="BQ185" s="167">
        <f>'HourGH-JUN'!R18</f>
        <v>0.24</v>
      </c>
      <c r="BR185" s="263">
        <v>184</v>
      </c>
      <c r="BS185" s="9">
        <v>8</v>
      </c>
      <c r="BT185" s="9">
        <v>16</v>
      </c>
      <c r="BU185" s="167">
        <f>'HourGH-JUL'!R18</f>
        <v>0.27</v>
      </c>
      <c r="BV185" s="263">
        <v>184</v>
      </c>
      <c r="BW185" s="9">
        <v>8</v>
      </c>
      <c r="BX185" s="9">
        <v>16</v>
      </c>
      <c r="BY185" s="167">
        <f>'HourGH-AUG'!R18</f>
        <v>0.56999999999999995</v>
      </c>
      <c r="BZ185" s="9">
        <v>184</v>
      </c>
      <c r="CA185" s="9">
        <v>8</v>
      </c>
      <c r="CB185" s="9">
        <v>16</v>
      </c>
      <c r="CC185" s="167">
        <f>'HourGH-SEP'!R18</f>
        <v>1.8</v>
      </c>
      <c r="CD185" s="263">
        <v>184</v>
      </c>
      <c r="CE185" s="9">
        <v>8</v>
      </c>
      <c r="CF185" s="9">
        <v>16</v>
      </c>
      <c r="CG185" s="167">
        <f>'HourGH-OCT'!R18</f>
        <v>0.81</v>
      </c>
      <c r="CH185" s="9">
        <v>184</v>
      </c>
      <c r="CI185" s="9">
        <v>8</v>
      </c>
      <c r="CJ185" s="9">
        <v>16</v>
      </c>
      <c r="CK185" s="167">
        <f>'HourGH-NOV'!R18</f>
        <v>0.71</v>
      </c>
      <c r="CL185" s="263">
        <v>184</v>
      </c>
      <c r="CM185" s="9">
        <v>8</v>
      </c>
      <c r="CN185" s="9">
        <v>16</v>
      </c>
      <c r="CO185" s="167">
        <f>'HourGH-DEC'!R18</f>
        <v>0.5</v>
      </c>
      <c r="CP185" s="263">
        <v>184</v>
      </c>
      <c r="CQ185" s="9">
        <v>8</v>
      </c>
      <c r="CR185" s="9">
        <v>16</v>
      </c>
      <c r="CS185" s="167">
        <f>'HourGH-JAN'!R18</f>
        <v>0.42</v>
      </c>
      <c r="CT185" s="9">
        <v>184</v>
      </c>
      <c r="CU185" s="9">
        <v>8</v>
      </c>
      <c r="CV185" s="9">
        <v>16</v>
      </c>
      <c r="CW185" s="167">
        <f>'HourGH-FEB'!R18</f>
        <v>0.67</v>
      </c>
      <c r="CX185" s="263">
        <v>184</v>
      </c>
      <c r="CY185" s="9">
        <v>8</v>
      </c>
      <c r="CZ185" s="9">
        <v>16</v>
      </c>
      <c r="DA185" s="167">
        <f>'HourGH-MAR'!R18</f>
        <v>0.65</v>
      </c>
    </row>
    <row r="186" spans="58:105">
      <c r="BF186" s="9">
        <v>185</v>
      </c>
      <c r="BG186" s="9">
        <v>8</v>
      </c>
      <c r="BH186" s="9">
        <v>17</v>
      </c>
      <c r="BI186" s="167">
        <f>'HourGH-APR'!S18</f>
        <v>0.62</v>
      </c>
      <c r="BJ186" s="263">
        <v>185</v>
      </c>
      <c r="BK186" s="9">
        <v>8</v>
      </c>
      <c r="BL186" s="9">
        <v>17</v>
      </c>
      <c r="BM186" s="167">
        <f>'HourGH-MAY'!S18</f>
        <v>0.49</v>
      </c>
      <c r="BN186" s="9">
        <v>185</v>
      </c>
      <c r="BO186" s="9">
        <v>8</v>
      </c>
      <c r="BP186" s="9">
        <v>17</v>
      </c>
      <c r="BQ186" s="167">
        <f>'HourGH-JUN'!S18</f>
        <v>0.24</v>
      </c>
      <c r="BR186" s="263">
        <v>185</v>
      </c>
      <c r="BS186" s="9">
        <v>8</v>
      </c>
      <c r="BT186" s="9">
        <v>17</v>
      </c>
      <c r="BU186" s="167">
        <f>'HourGH-JUL'!S18</f>
        <v>0.27</v>
      </c>
      <c r="BV186" s="263">
        <v>185</v>
      </c>
      <c r="BW186" s="9">
        <v>8</v>
      </c>
      <c r="BX186" s="9">
        <v>17</v>
      </c>
      <c r="BY186" s="167">
        <f>'HourGH-AUG'!S18</f>
        <v>0.56999999999999995</v>
      </c>
      <c r="BZ186" s="9">
        <v>185</v>
      </c>
      <c r="CA186" s="9">
        <v>8</v>
      </c>
      <c r="CB186" s="9">
        <v>17</v>
      </c>
      <c r="CC186" s="167">
        <f>'HourGH-SEP'!S18</f>
        <v>1.83</v>
      </c>
      <c r="CD186" s="263">
        <v>185</v>
      </c>
      <c r="CE186" s="9">
        <v>8</v>
      </c>
      <c r="CF186" s="9">
        <v>17</v>
      </c>
      <c r="CG186" s="167">
        <f>'HourGH-OCT'!S18</f>
        <v>0.81</v>
      </c>
      <c r="CH186" s="9">
        <v>185</v>
      </c>
      <c r="CI186" s="9">
        <v>8</v>
      </c>
      <c r="CJ186" s="9">
        <v>17</v>
      </c>
      <c r="CK186" s="167">
        <f>'HourGH-NOV'!S18</f>
        <v>0.71</v>
      </c>
      <c r="CL186" s="263">
        <v>185</v>
      </c>
      <c r="CM186" s="9">
        <v>8</v>
      </c>
      <c r="CN186" s="9">
        <v>17</v>
      </c>
      <c r="CO186" s="167">
        <f>'HourGH-DEC'!S18</f>
        <v>0.5</v>
      </c>
      <c r="CP186" s="263">
        <v>185</v>
      </c>
      <c r="CQ186" s="9">
        <v>8</v>
      </c>
      <c r="CR186" s="9">
        <v>17</v>
      </c>
      <c r="CS186" s="167">
        <f>'HourGH-JAN'!S18</f>
        <v>0.42</v>
      </c>
      <c r="CT186" s="9">
        <v>185</v>
      </c>
      <c r="CU186" s="9">
        <v>8</v>
      </c>
      <c r="CV186" s="9">
        <v>17</v>
      </c>
      <c r="CW186" s="167">
        <f>'HourGH-FEB'!S18</f>
        <v>0.67</v>
      </c>
      <c r="CX186" s="263">
        <v>185</v>
      </c>
      <c r="CY186" s="9">
        <v>8</v>
      </c>
      <c r="CZ186" s="9">
        <v>17</v>
      </c>
      <c r="DA186" s="167">
        <f>'HourGH-MAR'!S18</f>
        <v>0.65</v>
      </c>
    </row>
    <row r="187" spans="58:105">
      <c r="BF187" s="9">
        <v>186</v>
      </c>
      <c r="BG187" s="9">
        <v>8</v>
      </c>
      <c r="BH187" s="9">
        <v>18</v>
      </c>
      <c r="BI187" s="167">
        <f>'HourGH-APR'!T18</f>
        <v>0.62</v>
      </c>
      <c r="BJ187" s="263">
        <v>186</v>
      </c>
      <c r="BK187" s="9">
        <v>8</v>
      </c>
      <c r="BL187" s="9">
        <v>18</v>
      </c>
      <c r="BM187" s="167">
        <f>'HourGH-MAY'!T18</f>
        <v>0.49</v>
      </c>
      <c r="BN187" s="9">
        <v>186</v>
      </c>
      <c r="BO187" s="9">
        <v>8</v>
      </c>
      <c r="BP187" s="9">
        <v>18</v>
      </c>
      <c r="BQ187" s="167">
        <f>'HourGH-JUN'!T18</f>
        <v>0.24</v>
      </c>
      <c r="BR187" s="263">
        <v>186</v>
      </c>
      <c r="BS187" s="9">
        <v>8</v>
      </c>
      <c r="BT187" s="9">
        <v>18</v>
      </c>
      <c r="BU187" s="167">
        <f>'HourGH-JUL'!T18</f>
        <v>0.27</v>
      </c>
      <c r="BV187" s="263">
        <v>186</v>
      </c>
      <c r="BW187" s="9">
        <v>8</v>
      </c>
      <c r="BX187" s="9">
        <v>18</v>
      </c>
      <c r="BY187" s="167">
        <f>'HourGH-AUG'!T18</f>
        <v>0.56999999999999995</v>
      </c>
      <c r="BZ187" s="9">
        <v>186</v>
      </c>
      <c r="CA187" s="9">
        <v>8</v>
      </c>
      <c r="CB187" s="9">
        <v>18</v>
      </c>
      <c r="CC187" s="167">
        <f>'HourGH-SEP'!T18</f>
        <v>1.85</v>
      </c>
      <c r="CD187" s="263">
        <v>186</v>
      </c>
      <c r="CE187" s="9">
        <v>8</v>
      </c>
      <c r="CF187" s="9">
        <v>18</v>
      </c>
      <c r="CG187" s="167">
        <f>'HourGH-OCT'!T18</f>
        <v>0.81</v>
      </c>
      <c r="CH187" s="9">
        <v>186</v>
      </c>
      <c r="CI187" s="9">
        <v>8</v>
      </c>
      <c r="CJ187" s="9">
        <v>18</v>
      </c>
      <c r="CK187" s="167">
        <f>'HourGH-NOV'!T18</f>
        <v>0.71</v>
      </c>
      <c r="CL187" s="263">
        <v>186</v>
      </c>
      <c r="CM187" s="9">
        <v>8</v>
      </c>
      <c r="CN187" s="9">
        <v>18</v>
      </c>
      <c r="CO187" s="167">
        <f>'HourGH-DEC'!T18</f>
        <v>0.5</v>
      </c>
      <c r="CP187" s="263">
        <v>186</v>
      </c>
      <c r="CQ187" s="9">
        <v>8</v>
      </c>
      <c r="CR187" s="9">
        <v>18</v>
      </c>
      <c r="CS187" s="167">
        <f>'HourGH-JAN'!T18</f>
        <v>0.42</v>
      </c>
      <c r="CT187" s="9">
        <v>186</v>
      </c>
      <c r="CU187" s="9">
        <v>8</v>
      </c>
      <c r="CV187" s="9">
        <v>18</v>
      </c>
      <c r="CW187" s="167">
        <f>'HourGH-FEB'!T18</f>
        <v>0.67</v>
      </c>
      <c r="CX187" s="263">
        <v>186</v>
      </c>
      <c r="CY187" s="9">
        <v>8</v>
      </c>
      <c r="CZ187" s="9">
        <v>18</v>
      </c>
      <c r="DA187" s="167">
        <f>'HourGH-MAR'!T18</f>
        <v>0.65</v>
      </c>
    </row>
    <row r="188" spans="58:105">
      <c r="BF188" s="9">
        <v>187</v>
      </c>
      <c r="BG188" s="9">
        <v>8</v>
      </c>
      <c r="BH188" s="9">
        <v>19</v>
      </c>
      <c r="BI188" s="167">
        <f>'HourGH-APR'!U18</f>
        <v>0.62</v>
      </c>
      <c r="BJ188" s="263">
        <v>187</v>
      </c>
      <c r="BK188" s="9">
        <v>8</v>
      </c>
      <c r="BL188" s="9">
        <v>19</v>
      </c>
      <c r="BM188" s="167">
        <f>'HourGH-MAY'!U18</f>
        <v>0.49</v>
      </c>
      <c r="BN188" s="9">
        <v>187</v>
      </c>
      <c r="BO188" s="9">
        <v>8</v>
      </c>
      <c r="BP188" s="9">
        <v>19</v>
      </c>
      <c r="BQ188" s="167">
        <f>'HourGH-JUN'!U18</f>
        <v>0.24</v>
      </c>
      <c r="BR188" s="263">
        <v>187</v>
      </c>
      <c r="BS188" s="9">
        <v>8</v>
      </c>
      <c r="BT188" s="9">
        <v>19</v>
      </c>
      <c r="BU188" s="167">
        <f>'HourGH-JUL'!U18</f>
        <v>0.27</v>
      </c>
      <c r="BV188" s="263">
        <v>187</v>
      </c>
      <c r="BW188" s="9">
        <v>8</v>
      </c>
      <c r="BX188" s="9">
        <v>19</v>
      </c>
      <c r="BY188" s="167">
        <f>'HourGH-AUG'!U18</f>
        <v>0.57999999999999996</v>
      </c>
      <c r="BZ188" s="9">
        <v>187</v>
      </c>
      <c r="CA188" s="9">
        <v>8</v>
      </c>
      <c r="CB188" s="9">
        <v>19</v>
      </c>
      <c r="CC188" s="167">
        <f>'HourGH-SEP'!U18</f>
        <v>1.88</v>
      </c>
      <c r="CD188" s="263">
        <v>187</v>
      </c>
      <c r="CE188" s="9">
        <v>8</v>
      </c>
      <c r="CF188" s="9">
        <v>19</v>
      </c>
      <c r="CG188" s="167">
        <f>'HourGH-OCT'!U18</f>
        <v>0.81</v>
      </c>
      <c r="CH188" s="9">
        <v>187</v>
      </c>
      <c r="CI188" s="9">
        <v>8</v>
      </c>
      <c r="CJ188" s="9">
        <v>19</v>
      </c>
      <c r="CK188" s="167">
        <f>'HourGH-NOV'!U18</f>
        <v>0.71</v>
      </c>
      <c r="CL188" s="263">
        <v>187</v>
      </c>
      <c r="CM188" s="9">
        <v>8</v>
      </c>
      <c r="CN188" s="9">
        <v>19</v>
      </c>
      <c r="CO188" s="167">
        <f>'HourGH-DEC'!U18</f>
        <v>0.5</v>
      </c>
      <c r="CP188" s="263">
        <v>187</v>
      </c>
      <c r="CQ188" s="9">
        <v>8</v>
      </c>
      <c r="CR188" s="9">
        <v>19</v>
      </c>
      <c r="CS188" s="167">
        <f>'HourGH-JAN'!U18</f>
        <v>0.42</v>
      </c>
      <c r="CT188" s="9">
        <v>187</v>
      </c>
      <c r="CU188" s="9">
        <v>8</v>
      </c>
      <c r="CV188" s="9">
        <v>19</v>
      </c>
      <c r="CW188" s="167">
        <f>'HourGH-FEB'!U18</f>
        <v>0.67</v>
      </c>
      <c r="CX188" s="263">
        <v>187</v>
      </c>
      <c r="CY188" s="9">
        <v>8</v>
      </c>
      <c r="CZ188" s="9">
        <v>19</v>
      </c>
      <c r="DA188" s="167">
        <f>'HourGH-MAR'!U18</f>
        <v>0.65</v>
      </c>
    </row>
    <row r="189" spans="58:105">
      <c r="BF189" s="9">
        <v>188</v>
      </c>
      <c r="BG189" s="9">
        <v>8</v>
      </c>
      <c r="BH189" s="9">
        <v>20</v>
      </c>
      <c r="BI189" s="167">
        <f>'HourGH-APR'!V18</f>
        <v>0.61</v>
      </c>
      <c r="BJ189" s="263">
        <v>188</v>
      </c>
      <c r="BK189" s="9">
        <v>8</v>
      </c>
      <c r="BL189" s="9">
        <v>20</v>
      </c>
      <c r="BM189" s="167">
        <f>'HourGH-MAY'!V18</f>
        <v>0.49</v>
      </c>
      <c r="BN189" s="9">
        <v>188</v>
      </c>
      <c r="BO189" s="9">
        <v>8</v>
      </c>
      <c r="BP189" s="9">
        <v>20</v>
      </c>
      <c r="BQ189" s="167">
        <f>'HourGH-JUN'!V18</f>
        <v>0.24</v>
      </c>
      <c r="BR189" s="263">
        <v>188</v>
      </c>
      <c r="BS189" s="9">
        <v>8</v>
      </c>
      <c r="BT189" s="9">
        <v>20</v>
      </c>
      <c r="BU189" s="167">
        <f>'HourGH-JUL'!V18</f>
        <v>0.27</v>
      </c>
      <c r="BV189" s="263">
        <v>188</v>
      </c>
      <c r="BW189" s="9">
        <v>8</v>
      </c>
      <c r="BX189" s="9">
        <v>20</v>
      </c>
      <c r="BY189" s="167">
        <f>'HourGH-AUG'!V18</f>
        <v>0.57999999999999996</v>
      </c>
      <c r="BZ189" s="9">
        <v>188</v>
      </c>
      <c r="CA189" s="9">
        <v>8</v>
      </c>
      <c r="CB189" s="9">
        <v>20</v>
      </c>
      <c r="CC189" s="167">
        <f>'HourGH-SEP'!V18</f>
        <v>1.91</v>
      </c>
      <c r="CD189" s="263">
        <v>188</v>
      </c>
      <c r="CE189" s="9">
        <v>8</v>
      </c>
      <c r="CF189" s="9">
        <v>20</v>
      </c>
      <c r="CG189" s="167">
        <f>'HourGH-OCT'!V18</f>
        <v>0.8</v>
      </c>
      <c r="CH189" s="9">
        <v>188</v>
      </c>
      <c r="CI189" s="9">
        <v>8</v>
      </c>
      <c r="CJ189" s="9">
        <v>20</v>
      </c>
      <c r="CK189" s="167">
        <f>'HourGH-NOV'!V18</f>
        <v>0.71</v>
      </c>
      <c r="CL189" s="263">
        <v>188</v>
      </c>
      <c r="CM189" s="9">
        <v>8</v>
      </c>
      <c r="CN189" s="9">
        <v>20</v>
      </c>
      <c r="CO189" s="167">
        <f>'HourGH-DEC'!V18</f>
        <v>0.5</v>
      </c>
      <c r="CP189" s="263">
        <v>188</v>
      </c>
      <c r="CQ189" s="9">
        <v>8</v>
      </c>
      <c r="CR189" s="9">
        <v>20</v>
      </c>
      <c r="CS189" s="167">
        <f>'HourGH-JAN'!V18</f>
        <v>0.42</v>
      </c>
      <c r="CT189" s="9">
        <v>188</v>
      </c>
      <c r="CU189" s="9">
        <v>8</v>
      </c>
      <c r="CV189" s="9">
        <v>20</v>
      </c>
      <c r="CW189" s="167">
        <f>'HourGH-FEB'!V18</f>
        <v>0.67</v>
      </c>
      <c r="CX189" s="263">
        <v>188</v>
      </c>
      <c r="CY189" s="9">
        <v>8</v>
      </c>
      <c r="CZ189" s="9">
        <v>20</v>
      </c>
      <c r="DA189" s="167">
        <f>'HourGH-MAR'!V18</f>
        <v>0.65</v>
      </c>
    </row>
    <row r="190" spans="58:105">
      <c r="BF190" s="9">
        <v>189</v>
      </c>
      <c r="BG190" s="9">
        <v>8</v>
      </c>
      <c r="BH190" s="9">
        <v>21</v>
      </c>
      <c r="BI190" s="167">
        <f>'HourGH-APR'!W18</f>
        <v>0.61</v>
      </c>
      <c r="BJ190" s="263">
        <v>189</v>
      </c>
      <c r="BK190" s="9">
        <v>8</v>
      </c>
      <c r="BL190" s="9">
        <v>21</v>
      </c>
      <c r="BM190" s="167">
        <f>'HourGH-MAY'!W18</f>
        <v>0.49</v>
      </c>
      <c r="BN190" s="9">
        <v>189</v>
      </c>
      <c r="BO190" s="9">
        <v>8</v>
      </c>
      <c r="BP190" s="9">
        <v>21</v>
      </c>
      <c r="BQ190" s="167">
        <f>'HourGH-JUN'!W18</f>
        <v>0.24</v>
      </c>
      <c r="BR190" s="263">
        <v>189</v>
      </c>
      <c r="BS190" s="9">
        <v>8</v>
      </c>
      <c r="BT190" s="9">
        <v>21</v>
      </c>
      <c r="BU190" s="167">
        <f>'HourGH-JUL'!W18</f>
        <v>0.27</v>
      </c>
      <c r="BV190" s="263">
        <v>189</v>
      </c>
      <c r="BW190" s="9">
        <v>8</v>
      </c>
      <c r="BX190" s="9">
        <v>21</v>
      </c>
      <c r="BY190" s="167">
        <f>'HourGH-AUG'!W18</f>
        <v>0.59</v>
      </c>
      <c r="BZ190" s="9">
        <v>189</v>
      </c>
      <c r="CA190" s="9">
        <v>8</v>
      </c>
      <c r="CB190" s="9">
        <v>21</v>
      </c>
      <c r="CC190" s="167">
        <f>'HourGH-SEP'!W18</f>
        <v>1.94</v>
      </c>
      <c r="CD190" s="263">
        <v>189</v>
      </c>
      <c r="CE190" s="9">
        <v>8</v>
      </c>
      <c r="CF190" s="9">
        <v>21</v>
      </c>
      <c r="CG190" s="167">
        <f>'HourGH-OCT'!W18</f>
        <v>0.8</v>
      </c>
      <c r="CH190" s="9">
        <v>189</v>
      </c>
      <c r="CI190" s="9">
        <v>8</v>
      </c>
      <c r="CJ190" s="9">
        <v>21</v>
      </c>
      <c r="CK190" s="167">
        <f>'HourGH-NOV'!W18</f>
        <v>0.71</v>
      </c>
      <c r="CL190" s="263">
        <v>189</v>
      </c>
      <c r="CM190" s="9">
        <v>8</v>
      </c>
      <c r="CN190" s="9">
        <v>21</v>
      </c>
      <c r="CO190" s="167">
        <f>'HourGH-DEC'!W18</f>
        <v>0.5</v>
      </c>
      <c r="CP190" s="263">
        <v>189</v>
      </c>
      <c r="CQ190" s="9">
        <v>8</v>
      </c>
      <c r="CR190" s="9">
        <v>21</v>
      </c>
      <c r="CS190" s="167">
        <f>'HourGH-JAN'!W18</f>
        <v>0.42</v>
      </c>
      <c r="CT190" s="9">
        <v>189</v>
      </c>
      <c r="CU190" s="9">
        <v>8</v>
      </c>
      <c r="CV190" s="9">
        <v>21</v>
      </c>
      <c r="CW190" s="167">
        <f>'HourGH-FEB'!W18</f>
        <v>0.67</v>
      </c>
      <c r="CX190" s="263">
        <v>189</v>
      </c>
      <c r="CY190" s="9">
        <v>8</v>
      </c>
      <c r="CZ190" s="9">
        <v>21</v>
      </c>
      <c r="DA190" s="167">
        <f>'HourGH-MAR'!W18</f>
        <v>0.65</v>
      </c>
    </row>
    <row r="191" spans="58:105">
      <c r="BF191" s="9">
        <v>190</v>
      </c>
      <c r="BG191" s="9">
        <v>8</v>
      </c>
      <c r="BH191" s="9">
        <v>22</v>
      </c>
      <c r="BI191" s="167">
        <f>'HourGH-APR'!X18</f>
        <v>0.61</v>
      </c>
      <c r="BJ191" s="263">
        <v>190</v>
      </c>
      <c r="BK191" s="9">
        <v>8</v>
      </c>
      <c r="BL191" s="9">
        <v>22</v>
      </c>
      <c r="BM191" s="167">
        <f>'HourGH-MAY'!X18</f>
        <v>0.49</v>
      </c>
      <c r="BN191" s="9">
        <v>190</v>
      </c>
      <c r="BO191" s="9">
        <v>8</v>
      </c>
      <c r="BP191" s="9">
        <v>22</v>
      </c>
      <c r="BQ191" s="167">
        <f>'HourGH-JUN'!X18</f>
        <v>0.24</v>
      </c>
      <c r="BR191" s="263">
        <v>190</v>
      </c>
      <c r="BS191" s="9">
        <v>8</v>
      </c>
      <c r="BT191" s="9">
        <v>22</v>
      </c>
      <c r="BU191" s="167">
        <f>'HourGH-JUL'!X18</f>
        <v>0.27</v>
      </c>
      <c r="BV191" s="263">
        <v>190</v>
      </c>
      <c r="BW191" s="9">
        <v>8</v>
      </c>
      <c r="BX191" s="9">
        <v>22</v>
      </c>
      <c r="BY191" s="167">
        <f>'HourGH-AUG'!X18</f>
        <v>0.59</v>
      </c>
      <c r="BZ191" s="9">
        <v>190</v>
      </c>
      <c r="CA191" s="9">
        <v>8</v>
      </c>
      <c r="CB191" s="9">
        <v>22</v>
      </c>
      <c r="CC191" s="167">
        <f>'HourGH-SEP'!X18</f>
        <v>1.97</v>
      </c>
      <c r="CD191" s="263">
        <v>190</v>
      </c>
      <c r="CE191" s="9">
        <v>8</v>
      </c>
      <c r="CF191" s="9">
        <v>22</v>
      </c>
      <c r="CG191" s="167">
        <f>'HourGH-OCT'!X18</f>
        <v>0.8</v>
      </c>
      <c r="CH191" s="9">
        <v>190</v>
      </c>
      <c r="CI191" s="9">
        <v>8</v>
      </c>
      <c r="CJ191" s="9">
        <v>22</v>
      </c>
      <c r="CK191" s="167">
        <f>'HourGH-NOV'!X18</f>
        <v>0.71</v>
      </c>
      <c r="CL191" s="263">
        <v>190</v>
      </c>
      <c r="CM191" s="9">
        <v>8</v>
      </c>
      <c r="CN191" s="9">
        <v>22</v>
      </c>
      <c r="CO191" s="167">
        <f>'HourGH-DEC'!X18</f>
        <v>0.5</v>
      </c>
      <c r="CP191" s="263">
        <v>190</v>
      </c>
      <c r="CQ191" s="9">
        <v>8</v>
      </c>
      <c r="CR191" s="9">
        <v>22</v>
      </c>
      <c r="CS191" s="167">
        <f>'HourGH-JAN'!X18</f>
        <v>0.42</v>
      </c>
      <c r="CT191" s="9">
        <v>190</v>
      </c>
      <c r="CU191" s="9">
        <v>8</v>
      </c>
      <c r="CV191" s="9">
        <v>22</v>
      </c>
      <c r="CW191" s="167">
        <f>'HourGH-FEB'!X18</f>
        <v>0.67</v>
      </c>
      <c r="CX191" s="263">
        <v>190</v>
      </c>
      <c r="CY191" s="9">
        <v>8</v>
      </c>
      <c r="CZ191" s="9">
        <v>22</v>
      </c>
      <c r="DA191" s="167">
        <f>'HourGH-MAR'!X18</f>
        <v>0.65</v>
      </c>
    </row>
    <row r="192" spans="58:105">
      <c r="BF192" s="9">
        <v>191</v>
      </c>
      <c r="BG192" s="9">
        <v>8</v>
      </c>
      <c r="BH192" s="9">
        <v>23</v>
      </c>
      <c r="BI192" s="167">
        <f>'HourGH-APR'!Y18</f>
        <v>0.61</v>
      </c>
      <c r="BJ192" s="263">
        <v>191</v>
      </c>
      <c r="BK192" s="9">
        <v>8</v>
      </c>
      <c r="BL192" s="9">
        <v>23</v>
      </c>
      <c r="BM192" s="167">
        <f>'HourGH-MAY'!Y18</f>
        <v>0.49</v>
      </c>
      <c r="BN192" s="9">
        <v>191</v>
      </c>
      <c r="BO192" s="9">
        <v>8</v>
      </c>
      <c r="BP192" s="9">
        <v>23</v>
      </c>
      <c r="BQ192" s="167">
        <f>'HourGH-JUN'!Y18</f>
        <v>0.24</v>
      </c>
      <c r="BR192" s="263">
        <v>191</v>
      </c>
      <c r="BS192" s="9">
        <v>8</v>
      </c>
      <c r="BT192" s="9">
        <v>23</v>
      </c>
      <c r="BU192" s="167">
        <f>'HourGH-JUL'!Y18</f>
        <v>0.27</v>
      </c>
      <c r="BV192" s="263">
        <v>191</v>
      </c>
      <c r="BW192" s="9">
        <v>8</v>
      </c>
      <c r="BX192" s="9">
        <v>23</v>
      </c>
      <c r="BY192" s="167">
        <f>'HourGH-AUG'!Y18</f>
        <v>0.6</v>
      </c>
      <c r="BZ192" s="9">
        <v>191</v>
      </c>
      <c r="CA192" s="9">
        <v>8</v>
      </c>
      <c r="CB192" s="9">
        <v>23</v>
      </c>
      <c r="CC192" s="167">
        <f>'HourGH-SEP'!Y18</f>
        <v>2</v>
      </c>
      <c r="CD192" s="263">
        <v>191</v>
      </c>
      <c r="CE192" s="9">
        <v>8</v>
      </c>
      <c r="CF192" s="9">
        <v>23</v>
      </c>
      <c r="CG192" s="167">
        <f>'HourGH-OCT'!Y18</f>
        <v>0.8</v>
      </c>
      <c r="CH192" s="9">
        <v>191</v>
      </c>
      <c r="CI192" s="9">
        <v>8</v>
      </c>
      <c r="CJ192" s="9">
        <v>23</v>
      </c>
      <c r="CK192" s="167">
        <f>'HourGH-NOV'!Y18</f>
        <v>0.71</v>
      </c>
      <c r="CL192" s="263">
        <v>191</v>
      </c>
      <c r="CM192" s="9">
        <v>8</v>
      </c>
      <c r="CN192" s="9">
        <v>23</v>
      </c>
      <c r="CO192" s="167">
        <f>'HourGH-DEC'!Y18</f>
        <v>0.5</v>
      </c>
      <c r="CP192" s="263">
        <v>191</v>
      </c>
      <c r="CQ192" s="9">
        <v>8</v>
      </c>
      <c r="CR192" s="9">
        <v>23</v>
      </c>
      <c r="CS192" s="167">
        <f>'HourGH-JAN'!Y18</f>
        <v>0.42</v>
      </c>
      <c r="CT192" s="9">
        <v>191</v>
      </c>
      <c r="CU192" s="9">
        <v>8</v>
      </c>
      <c r="CV192" s="9">
        <v>23</v>
      </c>
      <c r="CW192" s="167">
        <f>'HourGH-FEB'!Y18</f>
        <v>0.67</v>
      </c>
      <c r="CX192" s="263">
        <v>191</v>
      </c>
      <c r="CY192" s="9">
        <v>8</v>
      </c>
      <c r="CZ192" s="9">
        <v>23</v>
      </c>
      <c r="DA192" s="167">
        <f>'HourGH-MAR'!Y18</f>
        <v>0.65</v>
      </c>
    </row>
    <row r="193" spans="58:105">
      <c r="BF193" s="9">
        <v>192</v>
      </c>
      <c r="BG193" s="9">
        <v>8</v>
      </c>
      <c r="BH193" s="9">
        <v>24</v>
      </c>
      <c r="BI193" s="167">
        <f>'HourGH-APR'!Z18</f>
        <v>0.61</v>
      </c>
      <c r="BJ193" s="263">
        <v>192</v>
      </c>
      <c r="BK193" s="9">
        <v>8</v>
      </c>
      <c r="BL193" s="9">
        <v>24</v>
      </c>
      <c r="BM193" s="167">
        <f>'HourGH-MAY'!Z18</f>
        <v>0.49</v>
      </c>
      <c r="BN193" s="9">
        <v>192</v>
      </c>
      <c r="BO193" s="9">
        <v>8</v>
      </c>
      <c r="BP193" s="9">
        <v>24</v>
      </c>
      <c r="BQ193" s="167">
        <f>'HourGH-JUN'!Z18</f>
        <v>0.24</v>
      </c>
      <c r="BR193" s="263">
        <v>192</v>
      </c>
      <c r="BS193" s="9">
        <v>8</v>
      </c>
      <c r="BT193" s="9">
        <v>24</v>
      </c>
      <c r="BU193" s="167">
        <f>'HourGH-JUL'!Z18</f>
        <v>0.27</v>
      </c>
      <c r="BV193" s="263">
        <v>192</v>
      </c>
      <c r="BW193" s="9">
        <v>8</v>
      </c>
      <c r="BX193" s="9">
        <v>24</v>
      </c>
      <c r="BY193" s="167">
        <f>'HourGH-AUG'!Z18</f>
        <v>0.6</v>
      </c>
      <c r="BZ193" s="9">
        <v>192</v>
      </c>
      <c r="CA193" s="9">
        <v>8</v>
      </c>
      <c r="CB193" s="9">
        <v>24</v>
      </c>
      <c r="CC193" s="167">
        <f>'HourGH-SEP'!Z18</f>
        <v>2.0299999999999998</v>
      </c>
      <c r="CD193" s="263">
        <v>192</v>
      </c>
      <c r="CE193" s="9">
        <v>8</v>
      </c>
      <c r="CF193" s="9">
        <v>24</v>
      </c>
      <c r="CG193" s="167">
        <f>'HourGH-OCT'!Z18</f>
        <v>0.79</v>
      </c>
      <c r="CH193" s="9">
        <v>192</v>
      </c>
      <c r="CI193" s="9">
        <v>8</v>
      </c>
      <c r="CJ193" s="9">
        <v>24</v>
      </c>
      <c r="CK193" s="167">
        <f>'HourGH-NOV'!Z18</f>
        <v>0.71</v>
      </c>
      <c r="CL193" s="263">
        <v>192</v>
      </c>
      <c r="CM193" s="9">
        <v>8</v>
      </c>
      <c r="CN193" s="9">
        <v>24</v>
      </c>
      <c r="CO193" s="167">
        <f>'HourGH-DEC'!Z18</f>
        <v>0.5</v>
      </c>
      <c r="CP193" s="263">
        <v>192</v>
      </c>
      <c r="CQ193" s="9">
        <v>8</v>
      </c>
      <c r="CR193" s="9">
        <v>24</v>
      </c>
      <c r="CS193" s="167">
        <f>'HourGH-JAN'!Z18</f>
        <v>0.42</v>
      </c>
      <c r="CT193" s="9">
        <v>192</v>
      </c>
      <c r="CU193" s="9">
        <v>8</v>
      </c>
      <c r="CV193" s="9">
        <v>24</v>
      </c>
      <c r="CW193" s="167">
        <f>'HourGH-FEB'!Z18</f>
        <v>0.67</v>
      </c>
      <c r="CX193" s="263">
        <v>192</v>
      </c>
      <c r="CY193" s="9">
        <v>8</v>
      </c>
      <c r="CZ193" s="9">
        <v>24</v>
      </c>
      <c r="DA193" s="167">
        <f>'HourGH-MAR'!Z18</f>
        <v>0.65</v>
      </c>
    </row>
    <row r="194" spans="58:105">
      <c r="BF194" s="9">
        <v>193</v>
      </c>
      <c r="BG194" s="9">
        <v>9</v>
      </c>
      <c r="BH194" s="9">
        <v>1</v>
      </c>
      <c r="BI194" s="167">
        <f>'HourGH-APR'!C19</f>
        <v>0.6</v>
      </c>
      <c r="BJ194" s="263">
        <v>193</v>
      </c>
      <c r="BK194" s="9">
        <v>9</v>
      </c>
      <c r="BL194" s="9">
        <v>1</v>
      </c>
      <c r="BM194" s="167">
        <f>'HourGH-MAY'!C19</f>
        <v>0.48</v>
      </c>
      <c r="BN194" s="9">
        <v>193</v>
      </c>
      <c r="BO194" s="9">
        <v>9</v>
      </c>
      <c r="BP194" s="9">
        <v>1</v>
      </c>
      <c r="BQ194" s="167">
        <f>'HourGH-JUN'!C19</f>
        <v>0.24</v>
      </c>
      <c r="BR194" s="263">
        <v>193</v>
      </c>
      <c r="BS194" s="9">
        <v>9</v>
      </c>
      <c r="BT194" s="9">
        <v>1</v>
      </c>
      <c r="BU194" s="167">
        <f>'HourGH-JUL'!C19</f>
        <v>0.26</v>
      </c>
      <c r="BV194" s="263">
        <v>193</v>
      </c>
      <c r="BW194" s="9">
        <v>9</v>
      </c>
      <c r="BX194" s="9">
        <v>1</v>
      </c>
      <c r="BY194" s="167">
        <f>'HourGH-AUG'!C19</f>
        <v>0.61</v>
      </c>
      <c r="BZ194" s="9">
        <v>193</v>
      </c>
      <c r="CA194" s="9">
        <v>9</v>
      </c>
      <c r="CB194" s="9">
        <v>1</v>
      </c>
      <c r="CC194" s="167">
        <f>'HourGH-SEP'!C19</f>
        <v>2.0699999999999998</v>
      </c>
      <c r="CD194" s="263">
        <v>193</v>
      </c>
      <c r="CE194" s="9">
        <v>9</v>
      </c>
      <c r="CF194" s="9">
        <v>1</v>
      </c>
      <c r="CG194" s="167">
        <f>'HourGH-OCT'!C19</f>
        <v>0.79</v>
      </c>
      <c r="CH194" s="9">
        <v>193</v>
      </c>
      <c r="CI194" s="9">
        <v>9</v>
      </c>
      <c r="CJ194" s="9">
        <v>1</v>
      </c>
      <c r="CK194" s="167">
        <f>'HourGH-NOV'!C19</f>
        <v>0.7</v>
      </c>
      <c r="CL194" s="263">
        <v>193</v>
      </c>
      <c r="CM194" s="9">
        <v>9</v>
      </c>
      <c r="CN194" s="9">
        <v>1</v>
      </c>
      <c r="CO194" s="167">
        <f>'HourGH-DEC'!C19</f>
        <v>0.49</v>
      </c>
      <c r="CP194" s="263">
        <v>193</v>
      </c>
      <c r="CQ194" s="9">
        <v>9</v>
      </c>
      <c r="CR194" s="9">
        <v>1</v>
      </c>
      <c r="CS194" s="167">
        <f>'HourGH-JAN'!C19</f>
        <v>0.41</v>
      </c>
      <c r="CT194" s="9">
        <v>193</v>
      </c>
      <c r="CU194" s="9">
        <v>9</v>
      </c>
      <c r="CV194" s="9">
        <v>1</v>
      </c>
      <c r="CW194" s="167">
        <f>'HourGH-FEB'!C19</f>
        <v>0.67</v>
      </c>
      <c r="CX194" s="263">
        <v>193</v>
      </c>
      <c r="CY194" s="9">
        <v>9</v>
      </c>
      <c r="CZ194" s="9">
        <v>1</v>
      </c>
      <c r="DA194" s="167">
        <f>'HourGH-MAR'!C19</f>
        <v>0.65</v>
      </c>
    </row>
    <row r="195" spans="58:105">
      <c r="BF195" s="9">
        <v>194</v>
      </c>
      <c r="BG195" s="9">
        <v>9</v>
      </c>
      <c r="BH195" s="9">
        <v>2</v>
      </c>
      <c r="BI195" s="167">
        <f>'HourGH-APR'!D19</f>
        <v>0.6</v>
      </c>
      <c r="BJ195" s="263">
        <v>194</v>
      </c>
      <c r="BK195" s="9">
        <v>9</v>
      </c>
      <c r="BL195" s="9">
        <v>2</v>
      </c>
      <c r="BM195" s="167">
        <f>'HourGH-MAY'!D19</f>
        <v>0.48</v>
      </c>
      <c r="BN195" s="9">
        <v>194</v>
      </c>
      <c r="BO195" s="9">
        <v>9</v>
      </c>
      <c r="BP195" s="9">
        <v>2</v>
      </c>
      <c r="BQ195" s="167">
        <f>'HourGH-JUN'!D19</f>
        <v>0.24</v>
      </c>
      <c r="BR195" s="263">
        <v>194</v>
      </c>
      <c r="BS195" s="9">
        <v>9</v>
      </c>
      <c r="BT195" s="9">
        <v>2</v>
      </c>
      <c r="BU195" s="167">
        <f>'HourGH-JUL'!D19</f>
        <v>0.26</v>
      </c>
      <c r="BV195" s="263">
        <v>194</v>
      </c>
      <c r="BW195" s="9">
        <v>9</v>
      </c>
      <c r="BX195" s="9">
        <v>2</v>
      </c>
      <c r="BY195" s="167">
        <f>'HourGH-AUG'!D19</f>
        <v>0.61</v>
      </c>
      <c r="BZ195" s="9">
        <v>194</v>
      </c>
      <c r="CA195" s="9">
        <v>9</v>
      </c>
      <c r="CB195" s="9">
        <v>2</v>
      </c>
      <c r="CC195" s="167">
        <f>'HourGH-SEP'!D19</f>
        <v>2.1</v>
      </c>
      <c r="CD195" s="263">
        <v>194</v>
      </c>
      <c r="CE195" s="9">
        <v>9</v>
      </c>
      <c r="CF195" s="9">
        <v>2</v>
      </c>
      <c r="CG195" s="167">
        <f>'HourGH-OCT'!D19</f>
        <v>0.78</v>
      </c>
      <c r="CH195" s="9">
        <v>194</v>
      </c>
      <c r="CI195" s="9">
        <v>9</v>
      </c>
      <c r="CJ195" s="9">
        <v>2</v>
      </c>
      <c r="CK195" s="167">
        <f>'HourGH-NOV'!D19</f>
        <v>0.7</v>
      </c>
      <c r="CL195" s="263">
        <v>194</v>
      </c>
      <c r="CM195" s="9">
        <v>9</v>
      </c>
      <c r="CN195" s="9">
        <v>2</v>
      </c>
      <c r="CO195" s="167">
        <f>'HourGH-DEC'!D19</f>
        <v>0.49</v>
      </c>
      <c r="CP195" s="263">
        <v>194</v>
      </c>
      <c r="CQ195" s="9">
        <v>9</v>
      </c>
      <c r="CR195" s="9">
        <v>2</v>
      </c>
      <c r="CS195" s="167">
        <f>'HourGH-JAN'!D19</f>
        <v>0.41</v>
      </c>
      <c r="CT195" s="9">
        <v>194</v>
      </c>
      <c r="CU195" s="9">
        <v>9</v>
      </c>
      <c r="CV195" s="9">
        <v>2</v>
      </c>
      <c r="CW195" s="167">
        <f>'HourGH-FEB'!D19</f>
        <v>0.67</v>
      </c>
      <c r="CX195" s="263">
        <v>194</v>
      </c>
      <c r="CY195" s="9">
        <v>9</v>
      </c>
      <c r="CZ195" s="9">
        <v>2</v>
      </c>
      <c r="DA195" s="167">
        <f>'HourGH-MAR'!D19</f>
        <v>0.65</v>
      </c>
    </row>
    <row r="196" spans="58:105">
      <c r="BF196" s="9">
        <v>195</v>
      </c>
      <c r="BG196" s="9">
        <v>9</v>
      </c>
      <c r="BH196" s="9">
        <v>3</v>
      </c>
      <c r="BI196" s="167">
        <f>'HourGH-APR'!E19</f>
        <v>0.6</v>
      </c>
      <c r="BJ196" s="263">
        <v>195</v>
      </c>
      <c r="BK196" s="9">
        <v>9</v>
      </c>
      <c r="BL196" s="9">
        <v>3</v>
      </c>
      <c r="BM196" s="167">
        <f>'HourGH-MAY'!E19</f>
        <v>0.48</v>
      </c>
      <c r="BN196" s="9">
        <v>195</v>
      </c>
      <c r="BO196" s="9">
        <v>9</v>
      </c>
      <c r="BP196" s="9">
        <v>3</v>
      </c>
      <c r="BQ196" s="167">
        <f>'HourGH-JUN'!E19</f>
        <v>0.24</v>
      </c>
      <c r="BR196" s="263">
        <v>195</v>
      </c>
      <c r="BS196" s="9">
        <v>9</v>
      </c>
      <c r="BT196" s="9">
        <v>3</v>
      </c>
      <c r="BU196" s="167">
        <f>'HourGH-JUL'!E19</f>
        <v>0.26</v>
      </c>
      <c r="BV196" s="263">
        <v>195</v>
      </c>
      <c r="BW196" s="9">
        <v>9</v>
      </c>
      <c r="BX196" s="9">
        <v>3</v>
      </c>
      <c r="BY196" s="167">
        <f>'HourGH-AUG'!E19</f>
        <v>0.62</v>
      </c>
      <c r="BZ196" s="9">
        <v>195</v>
      </c>
      <c r="CA196" s="9">
        <v>9</v>
      </c>
      <c r="CB196" s="9">
        <v>3</v>
      </c>
      <c r="CC196" s="167">
        <f>'HourGH-SEP'!E19</f>
        <v>2.13</v>
      </c>
      <c r="CD196" s="263">
        <v>195</v>
      </c>
      <c r="CE196" s="9">
        <v>9</v>
      </c>
      <c r="CF196" s="9">
        <v>3</v>
      </c>
      <c r="CG196" s="167">
        <f>'HourGH-OCT'!E19</f>
        <v>0.78</v>
      </c>
      <c r="CH196" s="9">
        <v>195</v>
      </c>
      <c r="CI196" s="9">
        <v>9</v>
      </c>
      <c r="CJ196" s="9">
        <v>3</v>
      </c>
      <c r="CK196" s="167">
        <f>'HourGH-NOV'!E19</f>
        <v>0.7</v>
      </c>
      <c r="CL196" s="263">
        <v>195</v>
      </c>
      <c r="CM196" s="9">
        <v>9</v>
      </c>
      <c r="CN196" s="9">
        <v>3</v>
      </c>
      <c r="CO196" s="167">
        <f>'HourGH-DEC'!E19</f>
        <v>0.49</v>
      </c>
      <c r="CP196" s="263">
        <v>195</v>
      </c>
      <c r="CQ196" s="9">
        <v>9</v>
      </c>
      <c r="CR196" s="9">
        <v>3</v>
      </c>
      <c r="CS196" s="167">
        <f>'HourGH-JAN'!E19</f>
        <v>0.41</v>
      </c>
      <c r="CT196" s="9">
        <v>195</v>
      </c>
      <c r="CU196" s="9">
        <v>9</v>
      </c>
      <c r="CV196" s="9">
        <v>3</v>
      </c>
      <c r="CW196" s="167">
        <f>'HourGH-FEB'!E19</f>
        <v>0.67</v>
      </c>
      <c r="CX196" s="263">
        <v>195</v>
      </c>
      <c r="CY196" s="9">
        <v>9</v>
      </c>
      <c r="CZ196" s="9">
        <v>3</v>
      </c>
      <c r="DA196" s="167">
        <f>'HourGH-MAR'!E19</f>
        <v>0.65</v>
      </c>
    </row>
    <row r="197" spans="58:105">
      <c r="BF197" s="9">
        <v>196</v>
      </c>
      <c r="BG197" s="9">
        <v>9</v>
      </c>
      <c r="BH197" s="9">
        <v>4</v>
      </c>
      <c r="BI197" s="167">
        <f>'HourGH-APR'!F19</f>
        <v>0.6</v>
      </c>
      <c r="BJ197" s="263">
        <v>196</v>
      </c>
      <c r="BK197" s="9">
        <v>9</v>
      </c>
      <c r="BL197" s="9">
        <v>4</v>
      </c>
      <c r="BM197" s="167">
        <f>'HourGH-MAY'!F19</f>
        <v>0.48</v>
      </c>
      <c r="BN197" s="9">
        <v>196</v>
      </c>
      <c r="BO197" s="9">
        <v>9</v>
      </c>
      <c r="BP197" s="9">
        <v>4</v>
      </c>
      <c r="BQ197" s="167">
        <f>'HourGH-JUN'!F19</f>
        <v>0.24</v>
      </c>
      <c r="BR197" s="263">
        <v>196</v>
      </c>
      <c r="BS197" s="9">
        <v>9</v>
      </c>
      <c r="BT197" s="9">
        <v>4</v>
      </c>
      <c r="BU197" s="167">
        <f>'HourGH-JUL'!F19</f>
        <v>0.26</v>
      </c>
      <c r="BV197" s="263">
        <v>196</v>
      </c>
      <c r="BW197" s="9">
        <v>9</v>
      </c>
      <c r="BX197" s="9">
        <v>4</v>
      </c>
      <c r="BY197" s="167">
        <f>'HourGH-AUG'!F19</f>
        <v>0.62</v>
      </c>
      <c r="BZ197" s="9">
        <v>196</v>
      </c>
      <c r="CA197" s="9">
        <v>9</v>
      </c>
      <c r="CB197" s="9">
        <v>4</v>
      </c>
      <c r="CC197" s="167">
        <f>'HourGH-SEP'!F19</f>
        <v>2.16</v>
      </c>
      <c r="CD197" s="263">
        <v>196</v>
      </c>
      <c r="CE197" s="9">
        <v>9</v>
      </c>
      <c r="CF197" s="9">
        <v>4</v>
      </c>
      <c r="CG197" s="167">
        <f>'HourGH-OCT'!F19</f>
        <v>0.77</v>
      </c>
      <c r="CH197" s="9">
        <v>196</v>
      </c>
      <c r="CI197" s="9">
        <v>9</v>
      </c>
      <c r="CJ197" s="9">
        <v>4</v>
      </c>
      <c r="CK197" s="167">
        <f>'HourGH-NOV'!F19</f>
        <v>0.7</v>
      </c>
      <c r="CL197" s="263">
        <v>196</v>
      </c>
      <c r="CM197" s="9">
        <v>9</v>
      </c>
      <c r="CN197" s="9">
        <v>4</v>
      </c>
      <c r="CO197" s="167">
        <f>'HourGH-DEC'!F19</f>
        <v>0.49</v>
      </c>
      <c r="CP197" s="263">
        <v>196</v>
      </c>
      <c r="CQ197" s="9">
        <v>9</v>
      </c>
      <c r="CR197" s="9">
        <v>4</v>
      </c>
      <c r="CS197" s="167">
        <f>'HourGH-JAN'!F19</f>
        <v>0.41</v>
      </c>
      <c r="CT197" s="9">
        <v>196</v>
      </c>
      <c r="CU197" s="9">
        <v>9</v>
      </c>
      <c r="CV197" s="9">
        <v>4</v>
      </c>
      <c r="CW197" s="167">
        <f>'HourGH-FEB'!F19</f>
        <v>0.67</v>
      </c>
      <c r="CX197" s="263">
        <v>196</v>
      </c>
      <c r="CY197" s="9">
        <v>9</v>
      </c>
      <c r="CZ197" s="9">
        <v>4</v>
      </c>
      <c r="DA197" s="167">
        <f>'HourGH-MAR'!F19</f>
        <v>0.65</v>
      </c>
    </row>
    <row r="198" spans="58:105">
      <c r="BF198" s="9">
        <v>197</v>
      </c>
      <c r="BG198" s="9">
        <v>9</v>
      </c>
      <c r="BH198" s="9">
        <v>5</v>
      </c>
      <c r="BI198" s="167">
        <f>'HourGH-APR'!G19</f>
        <v>0.6</v>
      </c>
      <c r="BJ198" s="263">
        <v>197</v>
      </c>
      <c r="BK198" s="9">
        <v>9</v>
      </c>
      <c r="BL198" s="9">
        <v>5</v>
      </c>
      <c r="BM198" s="167">
        <f>'HourGH-MAY'!G19</f>
        <v>0.48</v>
      </c>
      <c r="BN198" s="9">
        <v>197</v>
      </c>
      <c r="BO198" s="9">
        <v>9</v>
      </c>
      <c r="BP198" s="9">
        <v>5</v>
      </c>
      <c r="BQ198" s="167">
        <f>'HourGH-JUN'!G19</f>
        <v>0.24</v>
      </c>
      <c r="BR198" s="263">
        <v>197</v>
      </c>
      <c r="BS198" s="9">
        <v>9</v>
      </c>
      <c r="BT198" s="9">
        <v>5</v>
      </c>
      <c r="BU198" s="167">
        <f>'HourGH-JUL'!G19</f>
        <v>0.26</v>
      </c>
      <c r="BV198" s="263">
        <v>197</v>
      </c>
      <c r="BW198" s="9">
        <v>9</v>
      </c>
      <c r="BX198" s="9">
        <v>5</v>
      </c>
      <c r="BY198" s="167">
        <f>'HourGH-AUG'!G19</f>
        <v>0.63</v>
      </c>
      <c r="BZ198" s="9">
        <v>197</v>
      </c>
      <c r="CA198" s="9">
        <v>9</v>
      </c>
      <c r="CB198" s="9">
        <v>5</v>
      </c>
      <c r="CC198" s="167">
        <f>'HourGH-SEP'!G19</f>
        <v>2.19</v>
      </c>
      <c r="CD198" s="263">
        <v>197</v>
      </c>
      <c r="CE198" s="9">
        <v>9</v>
      </c>
      <c r="CF198" s="9">
        <v>5</v>
      </c>
      <c r="CG198" s="167">
        <f>'HourGH-OCT'!G19</f>
        <v>0.77</v>
      </c>
      <c r="CH198" s="9">
        <v>197</v>
      </c>
      <c r="CI198" s="9">
        <v>9</v>
      </c>
      <c r="CJ198" s="9">
        <v>5</v>
      </c>
      <c r="CK198" s="167">
        <f>'HourGH-NOV'!G19</f>
        <v>0.7</v>
      </c>
      <c r="CL198" s="263">
        <v>197</v>
      </c>
      <c r="CM198" s="9">
        <v>9</v>
      </c>
      <c r="CN198" s="9">
        <v>5</v>
      </c>
      <c r="CO198" s="167">
        <f>'HourGH-DEC'!G19</f>
        <v>0.49</v>
      </c>
      <c r="CP198" s="263">
        <v>197</v>
      </c>
      <c r="CQ198" s="9">
        <v>9</v>
      </c>
      <c r="CR198" s="9">
        <v>5</v>
      </c>
      <c r="CS198" s="167">
        <f>'HourGH-JAN'!G19</f>
        <v>0.41</v>
      </c>
      <c r="CT198" s="9">
        <v>197</v>
      </c>
      <c r="CU198" s="9">
        <v>9</v>
      </c>
      <c r="CV198" s="9">
        <v>5</v>
      </c>
      <c r="CW198" s="167">
        <f>'HourGH-FEB'!G19</f>
        <v>0.67</v>
      </c>
      <c r="CX198" s="263">
        <v>197</v>
      </c>
      <c r="CY198" s="9">
        <v>9</v>
      </c>
      <c r="CZ198" s="9">
        <v>5</v>
      </c>
      <c r="DA198" s="167">
        <f>'HourGH-MAR'!G19</f>
        <v>0.65</v>
      </c>
    </row>
    <row r="199" spans="58:105">
      <c r="BF199" s="9">
        <v>198</v>
      </c>
      <c r="BG199" s="9">
        <v>9</v>
      </c>
      <c r="BH199" s="9">
        <v>6</v>
      </c>
      <c r="BI199" s="167">
        <f>'HourGH-APR'!H19</f>
        <v>0.6</v>
      </c>
      <c r="BJ199" s="263">
        <v>198</v>
      </c>
      <c r="BK199" s="9">
        <v>9</v>
      </c>
      <c r="BL199" s="9">
        <v>6</v>
      </c>
      <c r="BM199" s="167">
        <f>'HourGH-MAY'!H19</f>
        <v>0.48</v>
      </c>
      <c r="BN199" s="9">
        <v>198</v>
      </c>
      <c r="BO199" s="9">
        <v>9</v>
      </c>
      <c r="BP199" s="9">
        <v>6</v>
      </c>
      <c r="BQ199" s="167">
        <f>'HourGH-JUN'!H19</f>
        <v>0.24</v>
      </c>
      <c r="BR199" s="263">
        <v>198</v>
      </c>
      <c r="BS199" s="9">
        <v>9</v>
      </c>
      <c r="BT199" s="9">
        <v>6</v>
      </c>
      <c r="BU199" s="167">
        <f>'HourGH-JUL'!H19</f>
        <v>0.26</v>
      </c>
      <c r="BV199" s="263">
        <v>198</v>
      </c>
      <c r="BW199" s="9">
        <v>9</v>
      </c>
      <c r="BX199" s="9">
        <v>6</v>
      </c>
      <c r="BY199" s="167">
        <f>'HourGH-AUG'!H19</f>
        <v>0.64</v>
      </c>
      <c r="BZ199" s="9">
        <v>198</v>
      </c>
      <c r="CA199" s="9">
        <v>9</v>
      </c>
      <c r="CB199" s="9">
        <v>6</v>
      </c>
      <c r="CC199" s="167">
        <f>'HourGH-SEP'!H19</f>
        <v>2.2200000000000002</v>
      </c>
      <c r="CD199" s="263">
        <v>198</v>
      </c>
      <c r="CE199" s="9">
        <v>9</v>
      </c>
      <c r="CF199" s="9">
        <v>6</v>
      </c>
      <c r="CG199" s="167">
        <f>'HourGH-OCT'!H19</f>
        <v>0.76</v>
      </c>
      <c r="CH199" s="9">
        <v>198</v>
      </c>
      <c r="CI199" s="9">
        <v>9</v>
      </c>
      <c r="CJ199" s="9">
        <v>6</v>
      </c>
      <c r="CK199" s="167">
        <f>'HourGH-NOV'!H19</f>
        <v>0.7</v>
      </c>
      <c r="CL199" s="263">
        <v>198</v>
      </c>
      <c r="CM199" s="9">
        <v>9</v>
      </c>
      <c r="CN199" s="9">
        <v>6</v>
      </c>
      <c r="CO199" s="167">
        <f>'HourGH-DEC'!H19</f>
        <v>0.49</v>
      </c>
      <c r="CP199" s="263">
        <v>198</v>
      </c>
      <c r="CQ199" s="9">
        <v>9</v>
      </c>
      <c r="CR199" s="9">
        <v>6</v>
      </c>
      <c r="CS199" s="167">
        <f>'HourGH-JAN'!H19</f>
        <v>0.41</v>
      </c>
      <c r="CT199" s="9">
        <v>198</v>
      </c>
      <c r="CU199" s="9">
        <v>9</v>
      </c>
      <c r="CV199" s="9">
        <v>6</v>
      </c>
      <c r="CW199" s="167">
        <f>'HourGH-FEB'!H19</f>
        <v>0.67</v>
      </c>
      <c r="CX199" s="263">
        <v>198</v>
      </c>
      <c r="CY199" s="9">
        <v>9</v>
      </c>
      <c r="CZ199" s="9">
        <v>6</v>
      </c>
      <c r="DA199" s="167">
        <f>'HourGH-MAR'!H19</f>
        <v>0.65</v>
      </c>
    </row>
    <row r="200" spans="58:105">
      <c r="BF200" s="9">
        <v>199</v>
      </c>
      <c r="BG200" s="9">
        <v>9</v>
      </c>
      <c r="BH200" s="9">
        <v>7</v>
      </c>
      <c r="BI200" s="167">
        <f>'HourGH-APR'!I19</f>
        <v>0.6</v>
      </c>
      <c r="BJ200" s="263">
        <v>199</v>
      </c>
      <c r="BK200" s="9">
        <v>9</v>
      </c>
      <c r="BL200" s="9">
        <v>7</v>
      </c>
      <c r="BM200" s="167">
        <f>'HourGH-MAY'!I19</f>
        <v>0.48</v>
      </c>
      <c r="BN200" s="9">
        <v>199</v>
      </c>
      <c r="BO200" s="9">
        <v>9</v>
      </c>
      <c r="BP200" s="9">
        <v>7</v>
      </c>
      <c r="BQ200" s="167">
        <f>'HourGH-JUN'!I19</f>
        <v>0.24</v>
      </c>
      <c r="BR200" s="263">
        <v>199</v>
      </c>
      <c r="BS200" s="9">
        <v>9</v>
      </c>
      <c r="BT200" s="9">
        <v>7</v>
      </c>
      <c r="BU200" s="167">
        <f>'HourGH-JUL'!I19</f>
        <v>0.26</v>
      </c>
      <c r="BV200" s="263">
        <v>199</v>
      </c>
      <c r="BW200" s="9">
        <v>9</v>
      </c>
      <c r="BX200" s="9">
        <v>7</v>
      </c>
      <c r="BY200" s="167">
        <f>'HourGH-AUG'!I19</f>
        <v>0.66</v>
      </c>
      <c r="BZ200" s="9">
        <v>199</v>
      </c>
      <c r="CA200" s="9">
        <v>9</v>
      </c>
      <c r="CB200" s="9">
        <v>7</v>
      </c>
      <c r="CC200" s="167">
        <f>'HourGH-SEP'!I19</f>
        <v>2.2599999999999998</v>
      </c>
      <c r="CD200" s="263">
        <v>199</v>
      </c>
      <c r="CE200" s="9">
        <v>9</v>
      </c>
      <c r="CF200" s="9">
        <v>7</v>
      </c>
      <c r="CG200" s="167">
        <f>'HourGH-OCT'!I19</f>
        <v>0.76</v>
      </c>
      <c r="CH200" s="9">
        <v>199</v>
      </c>
      <c r="CI200" s="9">
        <v>9</v>
      </c>
      <c r="CJ200" s="9">
        <v>7</v>
      </c>
      <c r="CK200" s="167">
        <f>'HourGH-NOV'!I19</f>
        <v>0.7</v>
      </c>
      <c r="CL200" s="263">
        <v>199</v>
      </c>
      <c r="CM200" s="9">
        <v>9</v>
      </c>
      <c r="CN200" s="9">
        <v>7</v>
      </c>
      <c r="CO200" s="167">
        <f>'HourGH-DEC'!I19</f>
        <v>0.49</v>
      </c>
      <c r="CP200" s="263">
        <v>199</v>
      </c>
      <c r="CQ200" s="9">
        <v>9</v>
      </c>
      <c r="CR200" s="9">
        <v>7</v>
      </c>
      <c r="CS200" s="167">
        <f>'HourGH-JAN'!I19</f>
        <v>0.41</v>
      </c>
      <c r="CT200" s="9">
        <v>199</v>
      </c>
      <c r="CU200" s="9">
        <v>9</v>
      </c>
      <c r="CV200" s="9">
        <v>7</v>
      </c>
      <c r="CW200" s="167">
        <f>'HourGH-FEB'!I19</f>
        <v>0.67</v>
      </c>
      <c r="CX200" s="263">
        <v>199</v>
      </c>
      <c r="CY200" s="9">
        <v>9</v>
      </c>
      <c r="CZ200" s="9">
        <v>7</v>
      </c>
      <c r="DA200" s="167">
        <f>'HourGH-MAR'!I19</f>
        <v>0.65</v>
      </c>
    </row>
    <row r="201" spans="58:105">
      <c r="BF201" s="9">
        <v>200</v>
      </c>
      <c r="BG201" s="9">
        <v>9</v>
      </c>
      <c r="BH201" s="9">
        <v>8</v>
      </c>
      <c r="BI201" s="167">
        <f>'HourGH-APR'!J19</f>
        <v>0.6</v>
      </c>
      <c r="BJ201" s="263">
        <v>200</v>
      </c>
      <c r="BK201" s="9">
        <v>9</v>
      </c>
      <c r="BL201" s="9">
        <v>8</v>
      </c>
      <c r="BM201" s="167">
        <f>'HourGH-MAY'!J19</f>
        <v>0.49</v>
      </c>
      <c r="BN201" s="9">
        <v>200</v>
      </c>
      <c r="BO201" s="9">
        <v>9</v>
      </c>
      <c r="BP201" s="9">
        <v>8</v>
      </c>
      <c r="BQ201" s="167">
        <f>'HourGH-JUN'!J19</f>
        <v>0.24</v>
      </c>
      <c r="BR201" s="263">
        <v>200</v>
      </c>
      <c r="BS201" s="9">
        <v>9</v>
      </c>
      <c r="BT201" s="9">
        <v>8</v>
      </c>
      <c r="BU201" s="167">
        <f>'HourGH-JUL'!J19</f>
        <v>0.26</v>
      </c>
      <c r="BV201" s="263">
        <v>200</v>
      </c>
      <c r="BW201" s="9">
        <v>9</v>
      </c>
      <c r="BX201" s="9">
        <v>8</v>
      </c>
      <c r="BY201" s="167">
        <f>'HourGH-AUG'!J19</f>
        <v>0.68</v>
      </c>
      <c r="BZ201" s="9">
        <v>200</v>
      </c>
      <c r="CA201" s="9">
        <v>9</v>
      </c>
      <c r="CB201" s="9">
        <v>8</v>
      </c>
      <c r="CC201" s="167">
        <f>'HourGH-SEP'!J19</f>
        <v>2.29</v>
      </c>
      <c r="CD201" s="263">
        <v>200</v>
      </c>
      <c r="CE201" s="9">
        <v>9</v>
      </c>
      <c r="CF201" s="9">
        <v>8</v>
      </c>
      <c r="CG201" s="167">
        <f>'HourGH-OCT'!J19</f>
        <v>0.76</v>
      </c>
      <c r="CH201" s="9">
        <v>200</v>
      </c>
      <c r="CI201" s="9">
        <v>9</v>
      </c>
      <c r="CJ201" s="9">
        <v>8</v>
      </c>
      <c r="CK201" s="167">
        <f>'HourGH-NOV'!J19</f>
        <v>0.7</v>
      </c>
      <c r="CL201" s="263">
        <v>200</v>
      </c>
      <c r="CM201" s="9">
        <v>9</v>
      </c>
      <c r="CN201" s="9">
        <v>8</v>
      </c>
      <c r="CO201" s="167">
        <f>'HourGH-DEC'!J19</f>
        <v>0.49</v>
      </c>
      <c r="CP201" s="263">
        <v>200</v>
      </c>
      <c r="CQ201" s="9">
        <v>9</v>
      </c>
      <c r="CR201" s="9">
        <v>8</v>
      </c>
      <c r="CS201" s="167">
        <f>'HourGH-JAN'!J19</f>
        <v>0.41</v>
      </c>
      <c r="CT201" s="9">
        <v>200</v>
      </c>
      <c r="CU201" s="9">
        <v>9</v>
      </c>
      <c r="CV201" s="9">
        <v>8</v>
      </c>
      <c r="CW201" s="167">
        <f>'HourGH-FEB'!J19</f>
        <v>0.67</v>
      </c>
      <c r="CX201" s="263">
        <v>200</v>
      </c>
      <c r="CY201" s="9">
        <v>9</v>
      </c>
      <c r="CZ201" s="9">
        <v>8</v>
      </c>
      <c r="DA201" s="167">
        <f>'HourGH-MAR'!J19</f>
        <v>0.65</v>
      </c>
    </row>
    <row r="202" spans="58:105">
      <c r="BF202" s="9">
        <v>201</v>
      </c>
      <c r="BG202" s="9">
        <v>9</v>
      </c>
      <c r="BH202" s="9">
        <v>9</v>
      </c>
      <c r="BI202" s="167">
        <f>'HourGH-APR'!K19</f>
        <v>0.6</v>
      </c>
      <c r="BJ202" s="263">
        <v>201</v>
      </c>
      <c r="BK202" s="9">
        <v>9</v>
      </c>
      <c r="BL202" s="9">
        <v>9</v>
      </c>
      <c r="BM202" s="167">
        <f>'HourGH-MAY'!K19</f>
        <v>0.49</v>
      </c>
      <c r="BN202" s="9">
        <v>201</v>
      </c>
      <c r="BO202" s="9">
        <v>9</v>
      </c>
      <c r="BP202" s="9">
        <v>9</v>
      </c>
      <c r="BQ202" s="167">
        <f>'HourGH-JUN'!K19</f>
        <v>0.23</v>
      </c>
      <c r="BR202" s="263">
        <v>201</v>
      </c>
      <c r="BS202" s="9">
        <v>9</v>
      </c>
      <c r="BT202" s="9">
        <v>9</v>
      </c>
      <c r="BU202" s="167">
        <f>'HourGH-JUL'!K19</f>
        <v>0.26</v>
      </c>
      <c r="BV202" s="263">
        <v>201</v>
      </c>
      <c r="BW202" s="9">
        <v>9</v>
      </c>
      <c r="BX202" s="9">
        <v>9</v>
      </c>
      <c r="BY202" s="167">
        <f>'HourGH-AUG'!K19</f>
        <v>0.7</v>
      </c>
      <c r="BZ202" s="9">
        <v>201</v>
      </c>
      <c r="CA202" s="9">
        <v>9</v>
      </c>
      <c r="CB202" s="9">
        <v>9</v>
      </c>
      <c r="CC202" s="167">
        <f>'HourGH-SEP'!K19</f>
        <v>2.33</v>
      </c>
      <c r="CD202" s="263">
        <v>201</v>
      </c>
      <c r="CE202" s="9">
        <v>9</v>
      </c>
      <c r="CF202" s="9">
        <v>9</v>
      </c>
      <c r="CG202" s="167">
        <f>'HourGH-OCT'!K19</f>
        <v>0.75</v>
      </c>
      <c r="CH202" s="9">
        <v>201</v>
      </c>
      <c r="CI202" s="9">
        <v>9</v>
      </c>
      <c r="CJ202" s="9">
        <v>9</v>
      </c>
      <c r="CK202" s="167">
        <f>'HourGH-NOV'!K19</f>
        <v>0.7</v>
      </c>
      <c r="CL202" s="263">
        <v>201</v>
      </c>
      <c r="CM202" s="9">
        <v>9</v>
      </c>
      <c r="CN202" s="9">
        <v>9</v>
      </c>
      <c r="CO202" s="167">
        <f>'HourGH-DEC'!K19</f>
        <v>0.49</v>
      </c>
      <c r="CP202" s="263">
        <v>201</v>
      </c>
      <c r="CQ202" s="9">
        <v>9</v>
      </c>
      <c r="CR202" s="9">
        <v>9</v>
      </c>
      <c r="CS202" s="167">
        <f>'HourGH-JAN'!K19</f>
        <v>0.41</v>
      </c>
      <c r="CT202" s="9">
        <v>201</v>
      </c>
      <c r="CU202" s="9">
        <v>9</v>
      </c>
      <c r="CV202" s="9">
        <v>9</v>
      </c>
      <c r="CW202" s="167">
        <f>'HourGH-FEB'!K19</f>
        <v>0.67</v>
      </c>
      <c r="CX202" s="263">
        <v>201</v>
      </c>
      <c r="CY202" s="9">
        <v>9</v>
      </c>
      <c r="CZ202" s="9">
        <v>9</v>
      </c>
      <c r="DA202" s="167">
        <f>'HourGH-MAR'!K19</f>
        <v>0.65</v>
      </c>
    </row>
    <row r="203" spans="58:105">
      <c r="BF203" s="9">
        <v>202</v>
      </c>
      <c r="BG203" s="9">
        <v>9</v>
      </c>
      <c r="BH203" s="9">
        <v>10</v>
      </c>
      <c r="BI203" s="167">
        <f>'HourGH-APR'!L19</f>
        <v>0.6</v>
      </c>
      <c r="BJ203" s="263">
        <v>202</v>
      </c>
      <c r="BK203" s="9">
        <v>9</v>
      </c>
      <c r="BL203" s="9">
        <v>10</v>
      </c>
      <c r="BM203" s="167">
        <f>'HourGH-MAY'!L19</f>
        <v>0.49</v>
      </c>
      <c r="BN203" s="9">
        <v>202</v>
      </c>
      <c r="BO203" s="9">
        <v>9</v>
      </c>
      <c r="BP203" s="9">
        <v>10</v>
      </c>
      <c r="BQ203" s="167">
        <f>'HourGH-JUN'!L19</f>
        <v>0.23</v>
      </c>
      <c r="BR203" s="263">
        <v>202</v>
      </c>
      <c r="BS203" s="9">
        <v>9</v>
      </c>
      <c r="BT203" s="9">
        <v>10</v>
      </c>
      <c r="BU203" s="167">
        <f>'HourGH-JUL'!L19</f>
        <v>0.26</v>
      </c>
      <c r="BV203" s="263">
        <v>202</v>
      </c>
      <c r="BW203" s="9">
        <v>9</v>
      </c>
      <c r="BX203" s="9">
        <v>10</v>
      </c>
      <c r="BY203" s="167">
        <f>'HourGH-AUG'!L19</f>
        <v>0.72</v>
      </c>
      <c r="BZ203" s="9">
        <v>202</v>
      </c>
      <c r="CA203" s="9">
        <v>9</v>
      </c>
      <c r="CB203" s="9">
        <v>10</v>
      </c>
      <c r="CC203" s="167">
        <f>'HourGH-SEP'!L19</f>
        <v>2.36</v>
      </c>
      <c r="CD203" s="263">
        <v>202</v>
      </c>
      <c r="CE203" s="9">
        <v>9</v>
      </c>
      <c r="CF203" s="9">
        <v>10</v>
      </c>
      <c r="CG203" s="167">
        <f>'HourGH-OCT'!L19</f>
        <v>0.75</v>
      </c>
      <c r="CH203" s="9">
        <v>202</v>
      </c>
      <c r="CI203" s="9">
        <v>9</v>
      </c>
      <c r="CJ203" s="9">
        <v>10</v>
      </c>
      <c r="CK203" s="167">
        <f>'HourGH-NOV'!L19</f>
        <v>0.7</v>
      </c>
      <c r="CL203" s="263">
        <v>202</v>
      </c>
      <c r="CM203" s="9">
        <v>9</v>
      </c>
      <c r="CN203" s="9">
        <v>10</v>
      </c>
      <c r="CO203" s="167">
        <f>'HourGH-DEC'!L19</f>
        <v>0.49</v>
      </c>
      <c r="CP203" s="263">
        <v>202</v>
      </c>
      <c r="CQ203" s="9">
        <v>9</v>
      </c>
      <c r="CR203" s="9">
        <v>10</v>
      </c>
      <c r="CS203" s="167">
        <f>'HourGH-JAN'!L19</f>
        <v>0.41</v>
      </c>
      <c r="CT203" s="9">
        <v>202</v>
      </c>
      <c r="CU203" s="9">
        <v>9</v>
      </c>
      <c r="CV203" s="9">
        <v>10</v>
      </c>
      <c r="CW203" s="167">
        <f>'HourGH-FEB'!L19</f>
        <v>0.67</v>
      </c>
      <c r="CX203" s="263">
        <v>202</v>
      </c>
      <c r="CY203" s="9">
        <v>9</v>
      </c>
      <c r="CZ203" s="9">
        <v>10</v>
      </c>
      <c r="DA203" s="167">
        <f>'HourGH-MAR'!L19</f>
        <v>0.65</v>
      </c>
    </row>
    <row r="204" spans="58:105">
      <c r="BF204" s="9">
        <v>203</v>
      </c>
      <c r="BG204" s="9">
        <v>9</v>
      </c>
      <c r="BH204" s="9">
        <v>11</v>
      </c>
      <c r="BI204" s="167">
        <f>'HourGH-APR'!M19</f>
        <v>0.6</v>
      </c>
      <c r="BJ204" s="263">
        <v>203</v>
      </c>
      <c r="BK204" s="9">
        <v>9</v>
      </c>
      <c r="BL204" s="9">
        <v>11</v>
      </c>
      <c r="BM204" s="167">
        <f>'HourGH-MAY'!M19</f>
        <v>0.5</v>
      </c>
      <c r="BN204" s="9">
        <v>203</v>
      </c>
      <c r="BO204" s="9">
        <v>9</v>
      </c>
      <c r="BP204" s="9">
        <v>11</v>
      </c>
      <c r="BQ204" s="167">
        <f>'HourGH-JUN'!M19</f>
        <v>0.22</v>
      </c>
      <c r="BR204" s="263">
        <v>203</v>
      </c>
      <c r="BS204" s="9">
        <v>9</v>
      </c>
      <c r="BT204" s="9">
        <v>11</v>
      </c>
      <c r="BU204" s="167">
        <f>'HourGH-JUL'!M19</f>
        <v>0.26</v>
      </c>
      <c r="BV204" s="263">
        <v>203</v>
      </c>
      <c r="BW204" s="9">
        <v>9</v>
      </c>
      <c r="BX204" s="9">
        <v>11</v>
      </c>
      <c r="BY204" s="167">
        <f>'HourGH-AUG'!M19</f>
        <v>0.74</v>
      </c>
      <c r="BZ204" s="9">
        <v>203</v>
      </c>
      <c r="CA204" s="9">
        <v>9</v>
      </c>
      <c r="CB204" s="9">
        <v>11</v>
      </c>
      <c r="CC204" s="167">
        <f>'HourGH-SEP'!M19</f>
        <v>2.39</v>
      </c>
      <c r="CD204" s="263">
        <v>203</v>
      </c>
      <c r="CE204" s="9">
        <v>9</v>
      </c>
      <c r="CF204" s="9">
        <v>11</v>
      </c>
      <c r="CG204" s="167">
        <f>'HourGH-OCT'!M19</f>
        <v>0.75</v>
      </c>
      <c r="CH204" s="9">
        <v>203</v>
      </c>
      <c r="CI204" s="9">
        <v>9</v>
      </c>
      <c r="CJ204" s="9">
        <v>11</v>
      </c>
      <c r="CK204" s="167">
        <f>'HourGH-NOV'!M19</f>
        <v>0.7</v>
      </c>
      <c r="CL204" s="263">
        <v>203</v>
      </c>
      <c r="CM204" s="9">
        <v>9</v>
      </c>
      <c r="CN204" s="9">
        <v>11</v>
      </c>
      <c r="CO204" s="167">
        <f>'HourGH-DEC'!M19</f>
        <v>0.49</v>
      </c>
      <c r="CP204" s="263">
        <v>203</v>
      </c>
      <c r="CQ204" s="9">
        <v>9</v>
      </c>
      <c r="CR204" s="9">
        <v>11</v>
      </c>
      <c r="CS204" s="167">
        <f>'HourGH-JAN'!M19</f>
        <v>0.41</v>
      </c>
      <c r="CT204" s="9">
        <v>203</v>
      </c>
      <c r="CU204" s="9">
        <v>9</v>
      </c>
      <c r="CV204" s="9">
        <v>11</v>
      </c>
      <c r="CW204" s="167">
        <f>'HourGH-FEB'!M19</f>
        <v>0.67</v>
      </c>
      <c r="CX204" s="263">
        <v>203</v>
      </c>
      <c r="CY204" s="9">
        <v>9</v>
      </c>
      <c r="CZ204" s="9">
        <v>11</v>
      </c>
      <c r="DA204" s="167">
        <f>'HourGH-MAR'!M19</f>
        <v>0.65</v>
      </c>
    </row>
    <row r="205" spans="58:105">
      <c r="BF205" s="9">
        <v>204</v>
      </c>
      <c r="BG205" s="9">
        <v>9</v>
      </c>
      <c r="BH205" s="9">
        <v>12</v>
      </c>
      <c r="BI205" s="167">
        <f>'HourGH-APR'!N19</f>
        <v>0.6</v>
      </c>
      <c r="BJ205" s="263">
        <v>204</v>
      </c>
      <c r="BK205" s="9">
        <v>9</v>
      </c>
      <c r="BL205" s="9">
        <v>12</v>
      </c>
      <c r="BM205" s="167">
        <f>'HourGH-MAY'!N19</f>
        <v>0.5</v>
      </c>
      <c r="BN205" s="9">
        <v>204</v>
      </c>
      <c r="BO205" s="9">
        <v>9</v>
      </c>
      <c r="BP205" s="9">
        <v>12</v>
      </c>
      <c r="BQ205" s="167">
        <f>'HourGH-JUN'!N19</f>
        <v>0.22</v>
      </c>
      <c r="BR205" s="263">
        <v>204</v>
      </c>
      <c r="BS205" s="9">
        <v>9</v>
      </c>
      <c r="BT205" s="9">
        <v>12</v>
      </c>
      <c r="BU205" s="167">
        <f>'HourGH-JUL'!N19</f>
        <v>0.27</v>
      </c>
      <c r="BV205" s="263">
        <v>204</v>
      </c>
      <c r="BW205" s="9">
        <v>9</v>
      </c>
      <c r="BX205" s="9">
        <v>12</v>
      </c>
      <c r="BY205" s="167">
        <f>'HourGH-AUG'!N19</f>
        <v>0.76</v>
      </c>
      <c r="BZ205" s="9">
        <v>204</v>
      </c>
      <c r="CA205" s="9">
        <v>9</v>
      </c>
      <c r="CB205" s="9">
        <v>12</v>
      </c>
      <c r="CC205" s="167">
        <f>'HourGH-SEP'!N19</f>
        <v>2.41</v>
      </c>
      <c r="CD205" s="263">
        <v>204</v>
      </c>
      <c r="CE205" s="9">
        <v>9</v>
      </c>
      <c r="CF205" s="9">
        <v>12</v>
      </c>
      <c r="CG205" s="167">
        <f>'HourGH-OCT'!N19</f>
        <v>0.74</v>
      </c>
      <c r="CH205" s="9">
        <v>204</v>
      </c>
      <c r="CI205" s="9">
        <v>9</v>
      </c>
      <c r="CJ205" s="9">
        <v>12</v>
      </c>
      <c r="CK205" s="167">
        <f>'HourGH-NOV'!N19</f>
        <v>0.7</v>
      </c>
      <c r="CL205" s="263">
        <v>204</v>
      </c>
      <c r="CM205" s="9">
        <v>9</v>
      </c>
      <c r="CN205" s="9">
        <v>12</v>
      </c>
      <c r="CO205" s="167">
        <f>'HourGH-DEC'!N19</f>
        <v>0.49</v>
      </c>
      <c r="CP205" s="263">
        <v>204</v>
      </c>
      <c r="CQ205" s="9">
        <v>9</v>
      </c>
      <c r="CR205" s="9">
        <v>12</v>
      </c>
      <c r="CS205" s="167">
        <f>'HourGH-JAN'!N19</f>
        <v>0.41</v>
      </c>
      <c r="CT205" s="9">
        <v>204</v>
      </c>
      <c r="CU205" s="9">
        <v>9</v>
      </c>
      <c r="CV205" s="9">
        <v>12</v>
      </c>
      <c r="CW205" s="167">
        <f>'HourGH-FEB'!N19</f>
        <v>0.67</v>
      </c>
      <c r="CX205" s="263">
        <v>204</v>
      </c>
      <c r="CY205" s="9">
        <v>9</v>
      </c>
      <c r="CZ205" s="9">
        <v>12</v>
      </c>
      <c r="DA205" s="167">
        <f>'HourGH-MAR'!N19</f>
        <v>0.65</v>
      </c>
    </row>
    <row r="206" spans="58:105">
      <c r="BF206" s="9">
        <v>205</v>
      </c>
      <c r="BG206" s="9">
        <v>9</v>
      </c>
      <c r="BH206" s="9">
        <v>13</v>
      </c>
      <c r="BI206" s="167">
        <f>'HourGH-APR'!O19</f>
        <v>0.6</v>
      </c>
      <c r="BJ206" s="263">
        <v>205</v>
      </c>
      <c r="BK206" s="9">
        <v>9</v>
      </c>
      <c r="BL206" s="9">
        <v>13</v>
      </c>
      <c r="BM206" s="167">
        <f>'HourGH-MAY'!O19</f>
        <v>0.5</v>
      </c>
      <c r="BN206" s="9">
        <v>205</v>
      </c>
      <c r="BO206" s="9">
        <v>9</v>
      </c>
      <c r="BP206" s="9">
        <v>13</v>
      </c>
      <c r="BQ206" s="167">
        <f>'HourGH-JUN'!O19</f>
        <v>0.21</v>
      </c>
      <c r="BR206" s="263">
        <v>205</v>
      </c>
      <c r="BS206" s="9">
        <v>9</v>
      </c>
      <c r="BT206" s="9">
        <v>13</v>
      </c>
      <c r="BU206" s="167">
        <f>'HourGH-JUL'!O19</f>
        <v>0.27</v>
      </c>
      <c r="BV206" s="263">
        <v>205</v>
      </c>
      <c r="BW206" s="9">
        <v>9</v>
      </c>
      <c r="BX206" s="9">
        <v>13</v>
      </c>
      <c r="BY206" s="167">
        <f>'HourGH-AUG'!O19</f>
        <v>0.78</v>
      </c>
      <c r="BZ206" s="9">
        <v>205</v>
      </c>
      <c r="CA206" s="9">
        <v>9</v>
      </c>
      <c r="CB206" s="9">
        <v>13</v>
      </c>
      <c r="CC206" s="167">
        <f>'HourGH-SEP'!O19</f>
        <v>2.44</v>
      </c>
      <c r="CD206" s="263">
        <v>205</v>
      </c>
      <c r="CE206" s="9">
        <v>9</v>
      </c>
      <c r="CF206" s="9">
        <v>13</v>
      </c>
      <c r="CG206" s="167">
        <f>'HourGH-OCT'!O19</f>
        <v>0.74</v>
      </c>
      <c r="CH206" s="9">
        <v>205</v>
      </c>
      <c r="CI206" s="9">
        <v>9</v>
      </c>
      <c r="CJ206" s="9">
        <v>13</v>
      </c>
      <c r="CK206" s="167">
        <f>'HourGH-NOV'!O19</f>
        <v>0.69</v>
      </c>
      <c r="CL206" s="263">
        <v>205</v>
      </c>
      <c r="CM206" s="9">
        <v>9</v>
      </c>
      <c r="CN206" s="9">
        <v>13</v>
      </c>
      <c r="CO206" s="167">
        <f>'HourGH-DEC'!O19</f>
        <v>0.49</v>
      </c>
      <c r="CP206" s="263">
        <v>205</v>
      </c>
      <c r="CQ206" s="9">
        <v>9</v>
      </c>
      <c r="CR206" s="9">
        <v>13</v>
      </c>
      <c r="CS206" s="167">
        <f>'HourGH-JAN'!O19</f>
        <v>0.41</v>
      </c>
      <c r="CT206" s="9">
        <v>205</v>
      </c>
      <c r="CU206" s="9">
        <v>9</v>
      </c>
      <c r="CV206" s="9">
        <v>13</v>
      </c>
      <c r="CW206" s="167">
        <f>'HourGH-FEB'!O19</f>
        <v>0.67</v>
      </c>
      <c r="CX206" s="263">
        <v>205</v>
      </c>
      <c r="CY206" s="9">
        <v>9</v>
      </c>
      <c r="CZ206" s="9">
        <v>13</v>
      </c>
      <c r="DA206" s="167">
        <f>'HourGH-MAR'!O19</f>
        <v>0.65</v>
      </c>
    </row>
    <row r="207" spans="58:105">
      <c r="BF207" s="9">
        <v>206</v>
      </c>
      <c r="BG207" s="9">
        <v>9</v>
      </c>
      <c r="BH207" s="9">
        <v>14</v>
      </c>
      <c r="BI207" s="167">
        <f>'HourGH-APR'!P19</f>
        <v>0.6</v>
      </c>
      <c r="BJ207" s="263">
        <v>206</v>
      </c>
      <c r="BK207" s="9">
        <v>9</v>
      </c>
      <c r="BL207" s="9">
        <v>14</v>
      </c>
      <c r="BM207" s="167">
        <f>'HourGH-MAY'!P19</f>
        <v>0.5</v>
      </c>
      <c r="BN207" s="9">
        <v>206</v>
      </c>
      <c r="BO207" s="9">
        <v>9</v>
      </c>
      <c r="BP207" s="9">
        <v>14</v>
      </c>
      <c r="BQ207" s="167">
        <f>'HourGH-JUN'!P19</f>
        <v>0.21</v>
      </c>
      <c r="BR207" s="263">
        <v>206</v>
      </c>
      <c r="BS207" s="9">
        <v>9</v>
      </c>
      <c r="BT207" s="9">
        <v>14</v>
      </c>
      <c r="BU207" s="167">
        <f>'HourGH-JUL'!P19</f>
        <v>0.28000000000000003</v>
      </c>
      <c r="BV207" s="263">
        <v>206</v>
      </c>
      <c r="BW207" s="9">
        <v>9</v>
      </c>
      <c r="BX207" s="9">
        <v>14</v>
      </c>
      <c r="BY207" s="167">
        <f>'HourGH-AUG'!P19</f>
        <v>0.81</v>
      </c>
      <c r="BZ207" s="9">
        <v>206</v>
      </c>
      <c r="CA207" s="9">
        <v>9</v>
      </c>
      <c r="CB207" s="9">
        <v>14</v>
      </c>
      <c r="CC207" s="167">
        <f>'HourGH-SEP'!P19</f>
        <v>2.46</v>
      </c>
      <c r="CD207" s="263">
        <v>206</v>
      </c>
      <c r="CE207" s="9">
        <v>9</v>
      </c>
      <c r="CF207" s="9">
        <v>14</v>
      </c>
      <c r="CG207" s="167">
        <f>'HourGH-OCT'!P19</f>
        <v>0.74</v>
      </c>
      <c r="CH207" s="9">
        <v>206</v>
      </c>
      <c r="CI207" s="9">
        <v>9</v>
      </c>
      <c r="CJ207" s="9">
        <v>14</v>
      </c>
      <c r="CK207" s="167">
        <f>'HourGH-NOV'!P19</f>
        <v>0.69</v>
      </c>
      <c r="CL207" s="263">
        <v>206</v>
      </c>
      <c r="CM207" s="9">
        <v>9</v>
      </c>
      <c r="CN207" s="9">
        <v>14</v>
      </c>
      <c r="CO207" s="167">
        <f>'HourGH-DEC'!P19</f>
        <v>0.49</v>
      </c>
      <c r="CP207" s="263">
        <v>206</v>
      </c>
      <c r="CQ207" s="9">
        <v>9</v>
      </c>
      <c r="CR207" s="9">
        <v>14</v>
      </c>
      <c r="CS207" s="167">
        <f>'HourGH-JAN'!P19</f>
        <v>0.41</v>
      </c>
      <c r="CT207" s="9">
        <v>206</v>
      </c>
      <c r="CU207" s="9">
        <v>9</v>
      </c>
      <c r="CV207" s="9">
        <v>14</v>
      </c>
      <c r="CW207" s="167">
        <f>'HourGH-FEB'!P19</f>
        <v>0.67</v>
      </c>
      <c r="CX207" s="263">
        <v>206</v>
      </c>
      <c r="CY207" s="9">
        <v>9</v>
      </c>
      <c r="CZ207" s="9">
        <v>14</v>
      </c>
      <c r="DA207" s="167">
        <f>'HourGH-MAR'!P19</f>
        <v>0.65</v>
      </c>
    </row>
    <row r="208" spans="58:105">
      <c r="BF208" s="9">
        <v>207</v>
      </c>
      <c r="BG208" s="9">
        <v>9</v>
      </c>
      <c r="BH208" s="9">
        <v>15</v>
      </c>
      <c r="BI208" s="167">
        <f>'HourGH-APR'!Q19</f>
        <v>0.6</v>
      </c>
      <c r="BJ208" s="263">
        <v>207</v>
      </c>
      <c r="BK208" s="9">
        <v>9</v>
      </c>
      <c r="BL208" s="9">
        <v>15</v>
      </c>
      <c r="BM208" s="167">
        <f>'HourGH-MAY'!Q19</f>
        <v>0.51</v>
      </c>
      <c r="BN208" s="9">
        <v>207</v>
      </c>
      <c r="BO208" s="9">
        <v>9</v>
      </c>
      <c r="BP208" s="9">
        <v>15</v>
      </c>
      <c r="BQ208" s="167">
        <f>'HourGH-JUN'!Q19</f>
        <v>0.21</v>
      </c>
      <c r="BR208" s="263">
        <v>207</v>
      </c>
      <c r="BS208" s="9">
        <v>9</v>
      </c>
      <c r="BT208" s="9">
        <v>15</v>
      </c>
      <c r="BU208" s="167">
        <f>'HourGH-JUL'!Q19</f>
        <v>0.28000000000000003</v>
      </c>
      <c r="BV208" s="263">
        <v>207</v>
      </c>
      <c r="BW208" s="9">
        <v>9</v>
      </c>
      <c r="BX208" s="9">
        <v>15</v>
      </c>
      <c r="BY208" s="167">
        <f>'HourGH-AUG'!Q19</f>
        <v>0.84</v>
      </c>
      <c r="BZ208" s="9">
        <v>207</v>
      </c>
      <c r="CA208" s="9">
        <v>9</v>
      </c>
      <c r="CB208" s="9">
        <v>15</v>
      </c>
      <c r="CC208" s="167">
        <f>'HourGH-SEP'!Q19</f>
        <v>2.56</v>
      </c>
      <c r="CD208" s="263">
        <v>207</v>
      </c>
      <c r="CE208" s="9">
        <v>9</v>
      </c>
      <c r="CF208" s="9">
        <v>15</v>
      </c>
      <c r="CG208" s="167">
        <f>'HourGH-OCT'!Q19</f>
        <v>0.73</v>
      </c>
      <c r="CH208" s="9">
        <v>207</v>
      </c>
      <c r="CI208" s="9">
        <v>9</v>
      </c>
      <c r="CJ208" s="9">
        <v>15</v>
      </c>
      <c r="CK208" s="167">
        <f>'HourGH-NOV'!Q19</f>
        <v>0.69</v>
      </c>
      <c r="CL208" s="263">
        <v>207</v>
      </c>
      <c r="CM208" s="9">
        <v>9</v>
      </c>
      <c r="CN208" s="9">
        <v>15</v>
      </c>
      <c r="CO208" s="167">
        <f>'HourGH-DEC'!Q19</f>
        <v>0.49</v>
      </c>
      <c r="CP208" s="263">
        <v>207</v>
      </c>
      <c r="CQ208" s="9">
        <v>9</v>
      </c>
      <c r="CR208" s="9">
        <v>15</v>
      </c>
      <c r="CS208" s="167">
        <f>'HourGH-JAN'!Q19</f>
        <v>0.41</v>
      </c>
      <c r="CT208" s="9">
        <v>207</v>
      </c>
      <c r="CU208" s="9">
        <v>9</v>
      </c>
      <c r="CV208" s="9">
        <v>15</v>
      </c>
      <c r="CW208" s="167">
        <f>'HourGH-FEB'!Q19</f>
        <v>0.67</v>
      </c>
      <c r="CX208" s="263">
        <v>207</v>
      </c>
      <c r="CY208" s="9">
        <v>9</v>
      </c>
      <c r="CZ208" s="9">
        <v>15</v>
      </c>
      <c r="DA208" s="167">
        <f>'HourGH-MAR'!Q19</f>
        <v>0.65</v>
      </c>
    </row>
    <row r="209" spans="58:105">
      <c r="BF209" s="9">
        <v>208</v>
      </c>
      <c r="BG209" s="9">
        <v>9</v>
      </c>
      <c r="BH209" s="9">
        <v>16</v>
      </c>
      <c r="BI209" s="167">
        <f>'HourGH-APR'!R19</f>
        <v>0.6</v>
      </c>
      <c r="BJ209" s="263">
        <v>208</v>
      </c>
      <c r="BK209" s="9">
        <v>9</v>
      </c>
      <c r="BL209" s="9">
        <v>16</v>
      </c>
      <c r="BM209" s="167">
        <f>'HourGH-MAY'!R19</f>
        <v>0.51</v>
      </c>
      <c r="BN209" s="9">
        <v>208</v>
      </c>
      <c r="BO209" s="9">
        <v>9</v>
      </c>
      <c r="BP209" s="9">
        <v>16</v>
      </c>
      <c r="BQ209" s="167">
        <f>'HourGH-JUN'!R19</f>
        <v>0.21</v>
      </c>
      <c r="BR209" s="263">
        <v>208</v>
      </c>
      <c r="BS209" s="9">
        <v>9</v>
      </c>
      <c r="BT209" s="9">
        <v>16</v>
      </c>
      <c r="BU209" s="167">
        <f>'HourGH-JUL'!R19</f>
        <v>0.28999999999999998</v>
      </c>
      <c r="BV209" s="263">
        <v>208</v>
      </c>
      <c r="BW209" s="9">
        <v>9</v>
      </c>
      <c r="BX209" s="9">
        <v>16</v>
      </c>
      <c r="BY209" s="167">
        <f>'HourGH-AUG'!R19</f>
        <v>0.88</v>
      </c>
      <c r="BZ209" s="9">
        <v>208</v>
      </c>
      <c r="CA209" s="9">
        <v>9</v>
      </c>
      <c r="CB209" s="9">
        <v>16</v>
      </c>
      <c r="CC209" s="167">
        <f>'HourGH-SEP'!R19</f>
        <v>2.58</v>
      </c>
      <c r="CD209" s="263">
        <v>208</v>
      </c>
      <c r="CE209" s="9">
        <v>9</v>
      </c>
      <c r="CF209" s="9">
        <v>16</v>
      </c>
      <c r="CG209" s="167">
        <f>'HourGH-OCT'!R19</f>
        <v>0.73</v>
      </c>
      <c r="CH209" s="9">
        <v>208</v>
      </c>
      <c r="CI209" s="9">
        <v>9</v>
      </c>
      <c r="CJ209" s="9">
        <v>16</v>
      </c>
      <c r="CK209" s="167">
        <f>'HourGH-NOV'!R19</f>
        <v>0.69</v>
      </c>
      <c r="CL209" s="263">
        <v>208</v>
      </c>
      <c r="CM209" s="9">
        <v>9</v>
      </c>
      <c r="CN209" s="9">
        <v>16</v>
      </c>
      <c r="CO209" s="167">
        <f>'HourGH-DEC'!R19</f>
        <v>0.49</v>
      </c>
      <c r="CP209" s="263">
        <v>208</v>
      </c>
      <c r="CQ209" s="9">
        <v>9</v>
      </c>
      <c r="CR209" s="9">
        <v>16</v>
      </c>
      <c r="CS209" s="167">
        <f>'HourGH-JAN'!R19</f>
        <v>0.41</v>
      </c>
      <c r="CT209" s="9">
        <v>208</v>
      </c>
      <c r="CU209" s="9">
        <v>9</v>
      </c>
      <c r="CV209" s="9">
        <v>16</v>
      </c>
      <c r="CW209" s="167">
        <f>'HourGH-FEB'!R19</f>
        <v>0.67</v>
      </c>
      <c r="CX209" s="263">
        <v>208</v>
      </c>
      <c r="CY209" s="9">
        <v>9</v>
      </c>
      <c r="CZ209" s="9">
        <v>16</v>
      </c>
      <c r="DA209" s="167">
        <f>'HourGH-MAR'!R19</f>
        <v>0.65</v>
      </c>
    </row>
    <row r="210" spans="58:105">
      <c r="BF210" s="9">
        <v>209</v>
      </c>
      <c r="BG210" s="9">
        <v>9</v>
      </c>
      <c r="BH210" s="9">
        <v>17</v>
      </c>
      <c r="BI210" s="167">
        <f>'HourGH-APR'!S19</f>
        <v>0.6</v>
      </c>
      <c r="BJ210" s="263">
        <v>209</v>
      </c>
      <c r="BK210" s="9">
        <v>9</v>
      </c>
      <c r="BL210" s="9">
        <v>17</v>
      </c>
      <c r="BM210" s="167">
        <f>'HourGH-MAY'!S19</f>
        <v>0.52</v>
      </c>
      <c r="BN210" s="9">
        <v>209</v>
      </c>
      <c r="BO210" s="9">
        <v>9</v>
      </c>
      <c r="BP210" s="9">
        <v>17</v>
      </c>
      <c r="BQ210" s="167">
        <f>'HourGH-JUN'!S19</f>
        <v>0.2</v>
      </c>
      <c r="BR210" s="263">
        <v>209</v>
      </c>
      <c r="BS210" s="9">
        <v>9</v>
      </c>
      <c r="BT210" s="9">
        <v>17</v>
      </c>
      <c r="BU210" s="167">
        <f>'HourGH-JUL'!S19</f>
        <v>0.28999999999999998</v>
      </c>
      <c r="BV210" s="263">
        <v>209</v>
      </c>
      <c r="BW210" s="9">
        <v>9</v>
      </c>
      <c r="BX210" s="9">
        <v>17</v>
      </c>
      <c r="BY210" s="167">
        <f>'HourGH-AUG'!S19</f>
        <v>0.91</v>
      </c>
      <c r="BZ210" s="9">
        <v>209</v>
      </c>
      <c r="CA210" s="9">
        <v>9</v>
      </c>
      <c r="CB210" s="9">
        <v>17</v>
      </c>
      <c r="CC210" s="167">
        <f>'HourGH-SEP'!S19</f>
        <v>2.6</v>
      </c>
      <c r="CD210" s="263">
        <v>209</v>
      </c>
      <c r="CE210" s="9">
        <v>9</v>
      </c>
      <c r="CF210" s="9">
        <v>17</v>
      </c>
      <c r="CG210" s="167">
        <f>'HourGH-OCT'!S19</f>
        <v>0.73</v>
      </c>
      <c r="CH210" s="9">
        <v>209</v>
      </c>
      <c r="CI210" s="9">
        <v>9</v>
      </c>
      <c r="CJ210" s="9">
        <v>17</v>
      </c>
      <c r="CK210" s="167">
        <f>'HourGH-NOV'!S19</f>
        <v>0.69</v>
      </c>
      <c r="CL210" s="263">
        <v>209</v>
      </c>
      <c r="CM210" s="9">
        <v>9</v>
      </c>
      <c r="CN210" s="9">
        <v>17</v>
      </c>
      <c r="CO210" s="167">
        <f>'HourGH-DEC'!S19</f>
        <v>0.49</v>
      </c>
      <c r="CP210" s="263">
        <v>209</v>
      </c>
      <c r="CQ210" s="9">
        <v>9</v>
      </c>
      <c r="CR210" s="9">
        <v>17</v>
      </c>
      <c r="CS210" s="167">
        <f>'HourGH-JAN'!S19</f>
        <v>0.41</v>
      </c>
      <c r="CT210" s="9">
        <v>209</v>
      </c>
      <c r="CU210" s="9">
        <v>9</v>
      </c>
      <c r="CV210" s="9">
        <v>17</v>
      </c>
      <c r="CW210" s="167">
        <f>'HourGH-FEB'!S19</f>
        <v>0.67</v>
      </c>
      <c r="CX210" s="263">
        <v>209</v>
      </c>
      <c r="CY210" s="9">
        <v>9</v>
      </c>
      <c r="CZ210" s="9">
        <v>17</v>
      </c>
      <c r="DA210" s="167">
        <f>'HourGH-MAR'!S19</f>
        <v>0.65</v>
      </c>
    </row>
    <row r="211" spans="58:105">
      <c r="BF211" s="9">
        <v>210</v>
      </c>
      <c r="BG211" s="9">
        <v>9</v>
      </c>
      <c r="BH211" s="9">
        <v>18</v>
      </c>
      <c r="BI211" s="167">
        <f>'HourGH-APR'!T19</f>
        <v>0.6</v>
      </c>
      <c r="BJ211" s="263">
        <v>210</v>
      </c>
      <c r="BK211" s="9">
        <v>9</v>
      </c>
      <c r="BL211" s="9">
        <v>18</v>
      </c>
      <c r="BM211" s="167">
        <f>'HourGH-MAY'!T19</f>
        <v>0.52</v>
      </c>
      <c r="BN211" s="9">
        <v>210</v>
      </c>
      <c r="BO211" s="9">
        <v>9</v>
      </c>
      <c r="BP211" s="9">
        <v>18</v>
      </c>
      <c r="BQ211" s="167">
        <f>'HourGH-JUN'!T19</f>
        <v>0.2</v>
      </c>
      <c r="BR211" s="263">
        <v>210</v>
      </c>
      <c r="BS211" s="9">
        <v>9</v>
      </c>
      <c r="BT211" s="9">
        <v>18</v>
      </c>
      <c r="BU211" s="167">
        <f>'HourGH-JUL'!T19</f>
        <v>0.3</v>
      </c>
      <c r="BV211" s="263">
        <v>210</v>
      </c>
      <c r="BW211" s="9">
        <v>9</v>
      </c>
      <c r="BX211" s="9">
        <v>18</v>
      </c>
      <c r="BY211" s="167">
        <f>'HourGH-AUG'!T19</f>
        <v>0.95</v>
      </c>
      <c r="BZ211" s="9">
        <v>210</v>
      </c>
      <c r="CA211" s="9">
        <v>9</v>
      </c>
      <c r="CB211" s="9">
        <v>18</v>
      </c>
      <c r="CC211" s="167">
        <f>'HourGH-SEP'!T19</f>
        <v>2.62</v>
      </c>
      <c r="CD211" s="263">
        <v>210</v>
      </c>
      <c r="CE211" s="9">
        <v>9</v>
      </c>
      <c r="CF211" s="9">
        <v>18</v>
      </c>
      <c r="CG211" s="167">
        <f>'HourGH-OCT'!T19</f>
        <v>0.73</v>
      </c>
      <c r="CH211" s="9">
        <v>210</v>
      </c>
      <c r="CI211" s="9">
        <v>9</v>
      </c>
      <c r="CJ211" s="9">
        <v>18</v>
      </c>
      <c r="CK211" s="167">
        <f>'HourGH-NOV'!T19</f>
        <v>0.69</v>
      </c>
      <c r="CL211" s="263">
        <v>210</v>
      </c>
      <c r="CM211" s="9">
        <v>9</v>
      </c>
      <c r="CN211" s="9">
        <v>18</v>
      </c>
      <c r="CO211" s="167">
        <f>'HourGH-DEC'!T19</f>
        <v>0.49</v>
      </c>
      <c r="CP211" s="263">
        <v>210</v>
      </c>
      <c r="CQ211" s="9">
        <v>9</v>
      </c>
      <c r="CR211" s="9">
        <v>18</v>
      </c>
      <c r="CS211" s="167">
        <f>'HourGH-JAN'!T19</f>
        <v>0.41</v>
      </c>
      <c r="CT211" s="9">
        <v>210</v>
      </c>
      <c r="CU211" s="9">
        <v>9</v>
      </c>
      <c r="CV211" s="9">
        <v>18</v>
      </c>
      <c r="CW211" s="167">
        <f>'HourGH-FEB'!T19</f>
        <v>0.67</v>
      </c>
      <c r="CX211" s="263">
        <v>210</v>
      </c>
      <c r="CY211" s="9">
        <v>9</v>
      </c>
      <c r="CZ211" s="9">
        <v>18</v>
      </c>
      <c r="DA211" s="167">
        <f>'HourGH-MAR'!T19</f>
        <v>0.65</v>
      </c>
    </row>
    <row r="212" spans="58:105">
      <c r="BF212" s="9">
        <v>211</v>
      </c>
      <c r="BG212" s="9">
        <v>9</v>
      </c>
      <c r="BH212" s="9">
        <v>19</v>
      </c>
      <c r="BI212" s="167">
        <f>'HourGH-APR'!U19</f>
        <v>0.6</v>
      </c>
      <c r="BJ212" s="263">
        <v>211</v>
      </c>
      <c r="BK212" s="9">
        <v>9</v>
      </c>
      <c r="BL212" s="9">
        <v>19</v>
      </c>
      <c r="BM212" s="167">
        <f>'HourGH-MAY'!U19</f>
        <v>0.53</v>
      </c>
      <c r="BN212" s="9">
        <v>211</v>
      </c>
      <c r="BO212" s="9">
        <v>9</v>
      </c>
      <c r="BP212" s="9">
        <v>19</v>
      </c>
      <c r="BQ212" s="167">
        <f>'HourGH-JUN'!U19</f>
        <v>0.2</v>
      </c>
      <c r="BR212" s="263">
        <v>211</v>
      </c>
      <c r="BS212" s="9">
        <v>9</v>
      </c>
      <c r="BT212" s="9">
        <v>19</v>
      </c>
      <c r="BU212" s="167">
        <f>'HourGH-JUL'!U19</f>
        <v>0.3</v>
      </c>
      <c r="BV212" s="263">
        <v>211</v>
      </c>
      <c r="BW212" s="9">
        <v>9</v>
      </c>
      <c r="BX212" s="9">
        <v>19</v>
      </c>
      <c r="BY212" s="167">
        <f>'HourGH-AUG'!U19</f>
        <v>1</v>
      </c>
      <c r="BZ212" s="9">
        <v>211</v>
      </c>
      <c r="CA212" s="9">
        <v>9</v>
      </c>
      <c r="CB212" s="9">
        <v>19</v>
      </c>
      <c r="CC212" s="167">
        <f>'HourGH-SEP'!U19</f>
        <v>2.62</v>
      </c>
      <c r="CD212" s="263">
        <v>211</v>
      </c>
      <c r="CE212" s="9">
        <v>9</v>
      </c>
      <c r="CF212" s="9">
        <v>19</v>
      </c>
      <c r="CG212" s="167">
        <f>'HourGH-OCT'!U19</f>
        <v>0.72</v>
      </c>
      <c r="CH212" s="9">
        <v>211</v>
      </c>
      <c r="CI212" s="9">
        <v>9</v>
      </c>
      <c r="CJ212" s="9">
        <v>19</v>
      </c>
      <c r="CK212" s="167">
        <f>'HourGH-NOV'!U19</f>
        <v>0.69</v>
      </c>
      <c r="CL212" s="263">
        <v>211</v>
      </c>
      <c r="CM212" s="9">
        <v>9</v>
      </c>
      <c r="CN212" s="9">
        <v>19</v>
      </c>
      <c r="CO212" s="167">
        <f>'HourGH-DEC'!U19</f>
        <v>0.49</v>
      </c>
      <c r="CP212" s="263">
        <v>211</v>
      </c>
      <c r="CQ212" s="9">
        <v>9</v>
      </c>
      <c r="CR212" s="9">
        <v>19</v>
      </c>
      <c r="CS212" s="167">
        <f>'HourGH-JAN'!U19</f>
        <v>0.41</v>
      </c>
      <c r="CT212" s="9">
        <v>211</v>
      </c>
      <c r="CU212" s="9">
        <v>9</v>
      </c>
      <c r="CV212" s="9">
        <v>19</v>
      </c>
      <c r="CW212" s="167">
        <f>'HourGH-FEB'!U19</f>
        <v>0.67</v>
      </c>
      <c r="CX212" s="263">
        <v>211</v>
      </c>
      <c r="CY212" s="9">
        <v>9</v>
      </c>
      <c r="CZ212" s="9">
        <v>19</v>
      </c>
      <c r="DA212" s="167">
        <f>'HourGH-MAR'!U19</f>
        <v>0.65</v>
      </c>
    </row>
    <row r="213" spans="58:105">
      <c r="BF213" s="9">
        <v>212</v>
      </c>
      <c r="BG213" s="9">
        <v>9</v>
      </c>
      <c r="BH213" s="9">
        <v>20</v>
      </c>
      <c r="BI213" s="167">
        <f>'HourGH-APR'!V19</f>
        <v>0.6</v>
      </c>
      <c r="BJ213" s="263">
        <v>212</v>
      </c>
      <c r="BK213" s="9">
        <v>9</v>
      </c>
      <c r="BL213" s="9">
        <v>20</v>
      </c>
      <c r="BM213" s="167">
        <f>'HourGH-MAY'!V19</f>
        <v>0.53</v>
      </c>
      <c r="BN213" s="9">
        <v>212</v>
      </c>
      <c r="BO213" s="9">
        <v>9</v>
      </c>
      <c r="BP213" s="9">
        <v>20</v>
      </c>
      <c r="BQ213" s="167">
        <f>'HourGH-JUN'!V19</f>
        <v>0.19</v>
      </c>
      <c r="BR213" s="263">
        <v>212</v>
      </c>
      <c r="BS213" s="9">
        <v>9</v>
      </c>
      <c r="BT213" s="9">
        <v>20</v>
      </c>
      <c r="BU213" s="167">
        <f>'HourGH-JUL'!V19</f>
        <v>0.31</v>
      </c>
      <c r="BV213" s="263">
        <v>212</v>
      </c>
      <c r="BW213" s="9">
        <v>9</v>
      </c>
      <c r="BX213" s="9">
        <v>20</v>
      </c>
      <c r="BY213" s="167">
        <f>'HourGH-AUG'!V19</f>
        <v>1.06</v>
      </c>
      <c r="BZ213" s="9">
        <v>212</v>
      </c>
      <c r="CA213" s="9">
        <v>9</v>
      </c>
      <c r="CB213" s="9">
        <v>20</v>
      </c>
      <c r="CC213" s="167">
        <f>'HourGH-SEP'!V19</f>
        <v>2.62</v>
      </c>
      <c r="CD213" s="263">
        <v>212</v>
      </c>
      <c r="CE213" s="9">
        <v>9</v>
      </c>
      <c r="CF213" s="9">
        <v>20</v>
      </c>
      <c r="CG213" s="167">
        <f>'HourGH-OCT'!V19</f>
        <v>0.72</v>
      </c>
      <c r="CH213" s="9">
        <v>212</v>
      </c>
      <c r="CI213" s="9">
        <v>9</v>
      </c>
      <c r="CJ213" s="9">
        <v>20</v>
      </c>
      <c r="CK213" s="167">
        <f>'HourGH-NOV'!V19</f>
        <v>0.69</v>
      </c>
      <c r="CL213" s="263">
        <v>212</v>
      </c>
      <c r="CM213" s="9">
        <v>9</v>
      </c>
      <c r="CN213" s="9">
        <v>20</v>
      </c>
      <c r="CO213" s="167">
        <f>'HourGH-DEC'!V19</f>
        <v>0.49</v>
      </c>
      <c r="CP213" s="263">
        <v>212</v>
      </c>
      <c r="CQ213" s="9">
        <v>9</v>
      </c>
      <c r="CR213" s="9">
        <v>20</v>
      </c>
      <c r="CS213" s="167">
        <f>'HourGH-JAN'!V19</f>
        <v>0.41</v>
      </c>
      <c r="CT213" s="9">
        <v>212</v>
      </c>
      <c r="CU213" s="9">
        <v>9</v>
      </c>
      <c r="CV213" s="9">
        <v>20</v>
      </c>
      <c r="CW213" s="167">
        <f>'HourGH-FEB'!V19</f>
        <v>0.67</v>
      </c>
      <c r="CX213" s="263">
        <v>212</v>
      </c>
      <c r="CY213" s="9">
        <v>9</v>
      </c>
      <c r="CZ213" s="9">
        <v>20</v>
      </c>
      <c r="DA213" s="167">
        <f>'HourGH-MAR'!V19</f>
        <v>0.65</v>
      </c>
    </row>
    <row r="214" spans="58:105">
      <c r="BF214" s="9">
        <v>213</v>
      </c>
      <c r="BG214" s="9">
        <v>9</v>
      </c>
      <c r="BH214" s="9">
        <v>21</v>
      </c>
      <c r="BI214" s="167">
        <f>'HourGH-APR'!W19</f>
        <v>0.6</v>
      </c>
      <c r="BJ214" s="263">
        <v>213</v>
      </c>
      <c r="BK214" s="9">
        <v>9</v>
      </c>
      <c r="BL214" s="9">
        <v>21</v>
      </c>
      <c r="BM214" s="167">
        <f>'HourGH-MAY'!W19</f>
        <v>0.54</v>
      </c>
      <c r="BN214" s="9">
        <v>213</v>
      </c>
      <c r="BO214" s="9">
        <v>9</v>
      </c>
      <c r="BP214" s="9">
        <v>21</v>
      </c>
      <c r="BQ214" s="167">
        <f>'HourGH-JUN'!W19</f>
        <v>0.19</v>
      </c>
      <c r="BR214" s="263">
        <v>213</v>
      </c>
      <c r="BS214" s="9">
        <v>9</v>
      </c>
      <c r="BT214" s="9">
        <v>21</v>
      </c>
      <c r="BU214" s="167">
        <f>'HourGH-JUL'!W19</f>
        <v>0.31</v>
      </c>
      <c r="BV214" s="263">
        <v>213</v>
      </c>
      <c r="BW214" s="9">
        <v>9</v>
      </c>
      <c r="BX214" s="9">
        <v>21</v>
      </c>
      <c r="BY214" s="167">
        <f>'HourGH-AUG'!W19</f>
        <v>1.1200000000000001</v>
      </c>
      <c r="BZ214" s="9">
        <v>213</v>
      </c>
      <c r="CA214" s="9">
        <v>9</v>
      </c>
      <c r="CB214" s="9">
        <v>21</v>
      </c>
      <c r="CC214" s="167">
        <f>'HourGH-SEP'!W19</f>
        <v>2.58</v>
      </c>
      <c r="CD214" s="263">
        <v>213</v>
      </c>
      <c r="CE214" s="9">
        <v>9</v>
      </c>
      <c r="CF214" s="9">
        <v>21</v>
      </c>
      <c r="CG214" s="167">
        <f>'HourGH-OCT'!W19</f>
        <v>0.72</v>
      </c>
      <c r="CH214" s="9">
        <v>213</v>
      </c>
      <c r="CI214" s="9">
        <v>9</v>
      </c>
      <c r="CJ214" s="9">
        <v>21</v>
      </c>
      <c r="CK214" s="167">
        <f>'HourGH-NOV'!W19</f>
        <v>0.69</v>
      </c>
      <c r="CL214" s="263">
        <v>213</v>
      </c>
      <c r="CM214" s="9">
        <v>9</v>
      </c>
      <c r="CN214" s="9">
        <v>21</v>
      </c>
      <c r="CO214" s="167">
        <f>'HourGH-DEC'!W19</f>
        <v>0.49</v>
      </c>
      <c r="CP214" s="263">
        <v>213</v>
      </c>
      <c r="CQ214" s="9">
        <v>9</v>
      </c>
      <c r="CR214" s="9">
        <v>21</v>
      </c>
      <c r="CS214" s="167">
        <f>'HourGH-JAN'!W19</f>
        <v>0.41</v>
      </c>
      <c r="CT214" s="9">
        <v>213</v>
      </c>
      <c r="CU214" s="9">
        <v>9</v>
      </c>
      <c r="CV214" s="9">
        <v>21</v>
      </c>
      <c r="CW214" s="167">
        <f>'HourGH-FEB'!W19</f>
        <v>0.67</v>
      </c>
      <c r="CX214" s="263">
        <v>213</v>
      </c>
      <c r="CY214" s="9">
        <v>9</v>
      </c>
      <c r="CZ214" s="9">
        <v>21</v>
      </c>
      <c r="DA214" s="167">
        <f>'HourGH-MAR'!W19</f>
        <v>0.65</v>
      </c>
    </row>
    <row r="215" spans="58:105">
      <c r="BF215" s="9">
        <v>214</v>
      </c>
      <c r="BG215" s="9">
        <v>9</v>
      </c>
      <c r="BH215" s="9">
        <v>22</v>
      </c>
      <c r="BI215" s="167">
        <f>'HourGH-APR'!X19</f>
        <v>0.6</v>
      </c>
      <c r="BJ215" s="263">
        <v>214</v>
      </c>
      <c r="BK215" s="9">
        <v>9</v>
      </c>
      <c r="BL215" s="9">
        <v>22</v>
      </c>
      <c r="BM215" s="167">
        <f>'HourGH-MAY'!X19</f>
        <v>0.54</v>
      </c>
      <c r="BN215" s="9">
        <v>214</v>
      </c>
      <c r="BO215" s="9">
        <v>9</v>
      </c>
      <c r="BP215" s="9">
        <v>22</v>
      </c>
      <c r="BQ215" s="167">
        <f>'HourGH-JUN'!X19</f>
        <v>0.19</v>
      </c>
      <c r="BR215" s="263">
        <v>214</v>
      </c>
      <c r="BS215" s="9">
        <v>9</v>
      </c>
      <c r="BT215" s="9">
        <v>22</v>
      </c>
      <c r="BU215" s="167">
        <f>'HourGH-JUL'!X19</f>
        <v>0.32</v>
      </c>
      <c r="BV215" s="263">
        <v>214</v>
      </c>
      <c r="BW215" s="9">
        <v>9</v>
      </c>
      <c r="BX215" s="9">
        <v>22</v>
      </c>
      <c r="BY215" s="167">
        <f>'HourGH-AUG'!X19</f>
        <v>1.18</v>
      </c>
      <c r="BZ215" s="9">
        <v>214</v>
      </c>
      <c r="CA215" s="9">
        <v>9</v>
      </c>
      <c r="CB215" s="9">
        <v>22</v>
      </c>
      <c r="CC215" s="167">
        <f>'HourGH-SEP'!X19</f>
        <v>2.56</v>
      </c>
      <c r="CD215" s="263">
        <v>214</v>
      </c>
      <c r="CE215" s="9">
        <v>9</v>
      </c>
      <c r="CF215" s="9">
        <v>22</v>
      </c>
      <c r="CG215" s="167">
        <f>'HourGH-OCT'!X19</f>
        <v>0.72</v>
      </c>
      <c r="CH215" s="9">
        <v>214</v>
      </c>
      <c r="CI215" s="9">
        <v>9</v>
      </c>
      <c r="CJ215" s="9">
        <v>22</v>
      </c>
      <c r="CK215" s="167">
        <f>'HourGH-NOV'!X19</f>
        <v>0.69</v>
      </c>
      <c r="CL215" s="263">
        <v>214</v>
      </c>
      <c r="CM215" s="9">
        <v>9</v>
      </c>
      <c r="CN215" s="9">
        <v>22</v>
      </c>
      <c r="CO215" s="167">
        <f>'HourGH-DEC'!X19</f>
        <v>0.49</v>
      </c>
      <c r="CP215" s="263">
        <v>214</v>
      </c>
      <c r="CQ215" s="9">
        <v>9</v>
      </c>
      <c r="CR215" s="9">
        <v>22</v>
      </c>
      <c r="CS215" s="167">
        <f>'HourGH-JAN'!X19</f>
        <v>0.41</v>
      </c>
      <c r="CT215" s="9">
        <v>214</v>
      </c>
      <c r="CU215" s="9">
        <v>9</v>
      </c>
      <c r="CV215" s="9">
        <v>22</v>
      </c>
      <c r="CW215" s="167">
        <f>'HourGH-FEB'!X19</f>
        <v>0.67</v>
      </c>
      <c r="CX215" s="263">
        <v>214</v>
      </c>
      <c r="CY215" s="9">
        <v>9</v>
      </c>
      <c r="CZ215" s="9">
        <v>22</v>
      </c>
      <c r="DA215" s="167">
        <f>'HourGH-MAR'!X19</f>
        <v>0.65</v>
      </c>
    </row>
    <row r="216" spans="58:105">
      <c r="BF216" s="9">
        <v>215</v>
      </c>
      <c r="BG216" s="9">
        <v>9</v>
      </c>
      <c r="BH216" s="9">
        <v>23</v>
      </c>
      <c r="BI216" s="167">
        <f>'HourGH-APR'!Y19</f>
        <v>0.6</v>
      </c>
      <c r="BJ216" s="263">
        <v>215</v>
      </c>
      <c r="BK216" s="9">
        <v>9</v>
      </c>
      <c r="BL216" s="9">
        <v>23</v>
      </c>
      <c r="BM216" s="167">
        <f>'HourGH-MAY'!Y19</f>
        <v>0.55000000000000004</v>
      </c>
      <c r="BN216" s="9">
        <v>215</v>
      </c>
      <c r="BO216" s="9">
        <v>9</v>
      </c>
      <c r="BP216" s="9">
        <v>23</v>
      </c>
      <c r="BQ216" s="167">
        <f>'HourGH-JUN'!Y19</f>
        <v>0.19</v>
      </c>
      <c r="BR216" s="263">
        <v>215</v>
      </c>
      <c r="BS216" s="9">
        <v>9</v>
      </c>
      <c r="BT216" s="9">
        <v>23</v>
      </c>
      <c r="BU216" s="167">
        <f>'HourGH-JUL'!Y19</f>
        <v>0.32</v>
      </c>
      <c r="BV216" s="263">
        <v>215</v>
      </c>
      <c r="BW216" s="9">
        <v>9</v>
      </c>
      <c r="BX216" s="9">
        <v>23</v>
      </c>
      <c r="BY216" s="167">
        <f>'HourGH-AUG'!Y19</f>
        <v>1.24</v>
      </c>
      <c r="BZ216" s="9">
        <v>215</v>
      </c>
      <c r="CA216" s="9">
        <v>9</v>
      </c>
      <c r="CB216" s="9">
        <v>23</v>
      </c>
      <c r="CC216" s="167">
        <f>'HourGH-SEP'!Y19</f>
        <v>2.5299999999999998</v>
      </c>
      <c r="CD216" s="263">
        <v>215</v>
      </c>
      <c r="CE216" s="9">
        <v>9</v>
      </c>
      <c r="CF216" s="9">
        <v>23</v>
      </c>
      <c r="CG216" s="167">
        <f>'HourGH-OCT'!Y19</f>
        <v>0.72</v>
      </c>
      <c r="CH216" s="9">
        <v>215</v>
      </c>
      <c r="CI216" s="9">
        <v>9</v>
      </c>
      <c r="CJ216" s="9">
        <v>23</v>
      </c>
      <c r="CK216" s="167">
        <f>'HourGH-NOV'!Y19</f>
        <v>0.69</v>
      </c>
      <c r="CL216" s="263">
        <v>215</v>
      </c>
      <c r="CM216" s="9">
        <v>9</v>
      </c>
      <c r="CN216" s="9">
        <v>23</v>
      </c>
      <c r="CO216" s="167">
        <f>'HourGH-DEC'!Y19</f>
        <v>0.49</v>
      </c>
      <c r="CP216" s="263">
        <v>215</v>
      </c>
      <c r="CQ216" s="9">
        <v>9</v>
      </c>
      <c r="CR216" s="9">
        <v>23</v>
      </c>
      <c r="CS216" s="167">
        <f>'HourGH-JAN'!Y19</f>
        <v>0.41</v>
      </c>
      <c r="CT216" s="9">
        <v>215</v>
      </c>
      <c r="CU216" s="9">
        <v>9</v>
      </c>
      <c r="CV216" s="9">
        <v>23</v>
      </c>
      <c r="CW216" s="167">
        <f>'HourGH-FEB'!Y19</f>
        <v>0.67</v>
      </c>
      <c r="CX216" s="263">
        <v>215</v>
      </c>
      <c r="CY216" s="9">
        <v>9</v>
      </c>
      <c r="CZ216" s="9">
        <v>23</v>
      </c>
      <c r="DA216" s="167">
        <f>'HourGH-MAR'!Y19</f>
        <v>0.65</v>
      </c>
    </row>
    <row r="217" spans="58:105">
      <c r="BF217" s="9">
        <v>216</v>
      </c>
      <c r="BG217" s="9">
        <v>9</v>
      </c>
      <c r="BH217" s="9">
        <v>24</v>
      </c>
      <c r="BI217" s="167">
        <f>'HourGH-APR'!Z19</f>
        <v>0.6</v>
      </c>
      <c r="BJ217" s="263">
        <v>216</v>
      </c>
      <c r="BK217" s="9">
        <v>9</v>
      </c>
      <c r="BL217" s="9">
        <v>24</v>
      </c>
      <c r="BM217" s="167">
        <f>'HourGH-MAY'!Z19</f>
        <v>0.55000000000000004</v>
      </c>
      <c r="BN217" s="9">
        <v>216</v>
      </c>
      <c r="BO217" s="9">
        <v>9</v>
      </c>
      <c r="BP217" s="9">
        <v>24</v>
      </c>
      <c r="BQ217" s="167">
        <f>'HourGH-JUN'!Z19</f>
        <v>0.18</v>
      </c>
      <c r="BR217" s="263">
        <v>216</v>
      </c>
      <c r="BS217" s="9">
        <v>9</v>
      </c>
      <c r="BT217" s="9">
        <v>24</v>
      </c>
      <c r="BU217" s="167">
        <f>'HourGH-JUL'!Z19</f>
        <v>0.33</v>
      </c>
      <c r="BV217" s="263">
        <v>216</v>
      </c>
      <c r="BW217" s="9">
        <v>9</v>
      </c>
      <c r="BX217" s="9">
        <v>24</v>
      </c>
      <c r="BY217" s="167">
        <f>'HourGH-AUG'!Z19</f>
        <v>1.28</v>
      </c>
      <c r="BZ217" s="9">
        <v>216</v>
      </c>
      <c r="CA217" s="9">
        <v>9</v>
      </c>
      <c r="CB217" s="9">
        <v>24</v>
      </c>
      <c r="CC217" s="167">
        <f>'HourGH-SEP'!Z19</f>
        <v>2.5099999999999998</v>
      </c>
      <c r="CD217" s="263">
        <v>216</v>
      </c>
      <c r="CE217" s="9">
        <v>9</v>
      </c>
      <c r="CF217" s="9">
        <v>24</v>
      </c>
      <c r="CG217" s="167">
        <f>'HourGH-OCT'!Z19</f>
        <v>0.72</v>
      </c>
      <c r="CH217" s="9">
        <v>216</v>
      </c>
      <c r="CI217" s="9">
        <v>9</v>
      </c>
      <c r="CJ217" s="9">
        <v>24</v>
      </c>
      <c r="CK217" s="167">
        <f>'HourGH-NOV'!Z19</f>
        <v>0.69</v>
      </c>
      <c r="CL217" s="263">
        <v>216</v>
      </c>
      <c r="CM217" s="9">
        <v>9</v>
      </c>
      <c r="CN217" s="9">
        <v>24</v>
      </c>
      <c r="CO217" s="167">
        <f>'HourGH-DEC'!Z19</f>
        <v>0.49</v>
      </c>
      <c r="CP217" s="263">
        <v>216</v>
      </c>
      <c r="CQ217" s="9">
        <v>9</v>
      </c>
      <c r="CR217" s="9">
        <v>24</v>
      </c>
      <c r="CS217" s="167">
        <f>'HourGH-JAN'!Z19</f>
        <v>0.41</v>
      </c>
      <c r="CT217" s="9">
        <v>216</v>
      </c>
      <c r="CU217" s="9">
        <v>9</v>
      </c>
      <c r="CV217" s="9">
        <v>24</v>
      </c>
      <c r="CW217" s="167">
        <f>'HourGH-FEB'!Z19</f>
        <v>0.67</v>
      </c>
      <c r="CX217" s="263">
        <v>216</v>
      </c>
      <c r="CY217" s="9">
        <v>9</v>
      </c>
      <c r="CZ217" s="9">
        <v>24</v>
      </c>
      <c r="DA217" s="167">
        <f>'HourGH-MAR'!Z19</f>
        <v>0.65</v>
      </c>
    </row>
    <row r="218" spans="58:105">
      <c r="BF218" s="9">
        <v>217</v>
      </c>
      <c r="BG218" s="9">
        <v>10</v>
      </c>
      <c r="BH218" s="9">
        <v>1</v>
      </c>
      <c r="BI218" s="167">
        <f>'HourGH-APR'!C20</f>
        <v>0.6</v>
      </c>
      <c r="BJ218" s="263">
        <v>217</v>
      </c>
      <c r="BK218" s="9">
        <v>10</v>
      </c>
      <c r="BL218" s="9">
        <v>1</v>
      </c>
      <c r="BM218" s="167">
        <f>'HourGH-MAY'!C20</f>
        <v>0.56000000000000005</v>
      </c>
      <c r="BN218" s="9">
        <v>217</v>
      </c>
      <c r="BO218" s="9">
        <v>10</v>
      </c>
      <c r="BP218" s="9">
        <v>1</v>
      </c>
      <c r="BQ218" s="167">
        <f>'HourGH-JUN'!C20</f>
        <v>0.18</v>
      </c>
      <c r="BR218" s="263">
        <v>217</v>
      </c>
      <c r="BS218" s="9">
        <v>10</v>
      </c>
      <c r="BT218" s="9">
        <v>1</v>
      </c>
      <c r="BU218" s="167">
        <f>'HourGH-JUL'!C20</f>
        <v>0.33</v>
      </c>
      <c r="BV218" s="263">
        <v>217</v>
      </c>
      <c r="BW218" s="9">
        <v>10</v>
      </c>
      <c r="BX218" s="9">
        <v>1</v>
      </c>
      <c r="BY218" s="167">
        <f>'HourGH-AUG'!C20</f>
        <v>1.36</v>
      </c>
      <c r="BZ218" s="9">
        <v>217</v>
      </c>
      <c r="CA218" s="9">
        <v>10</v>
      </c>
      <c r="CB218" s="9">
        <v>1</v>
      </c>
      <c r="CC218" s="167">
        <f>'HourGH-SEP'!C20</f>
        <v>2.5</v>
      </c>
      <c r="CD218" s="263">
        <v>217</v>
      </c>
      <c r="CE218" s="9">
        <v>10</v>
      </c>
      <c r="CF218" s="9">
        <v>1</v>
      </c>
      <c r="CG218" s="167">
        <f>'HourGH-OCT'!C20</f>
        <v>0.71</v>
      </c>
      <c r="CH218" s="9">
        <v>217</v>
      </c>
      <c r="CI218" s="9">
        <v>10</v>
      </c>
      <c r="CJ218" s="9">
        <v>1</v>
      </c>
      <c r="CK218" s="167">
        <f>'HourGH-NOV'!C20</f>
        <v>0.68</v>
      </c>
      <c r="CL218" s="263">
        <v>217</v>
      </c>
      <c r="CM218" s="9">
        <v>10</v>
      </c>
      <c r="CN218" s="9">
        <v>1</v>
      </c>
      <c r="CO218" s="167">
        <f>'HourGH-DEC'!C20</f>
        <v>0.48</v>
      </c>
      <c r="CP218" s="263">
        <v>217</v>
      </c>
      <c r="CQ218" s="9">
        <v>10</v>
      </c>
      <c r="CR218" s="9">
        <v>1</v>
      </c>
      <c r="CS218" s="167">
        <f>'HourGH-JAN'!C20</f>
        <v>0.41</v>
      </c>
      <c r="CT218" s="9">
        <v>217</v>
      </c>
      <c r="CU218" s="9">
        <v>10</v>
      </c>
      <c r="CV218" s="9">
        <v>1</v>
      </c>
      <c r="CW218" s="167">
        <f>'HourGH-FEB'!C20</f>
        <v>0.67</v>
      </c>
      <c r="CX218" s="263">
        <v>217</v>
      </c>
      <c r="CY218" s="9">
        <v>10</v>
      </c>
      <c r="CZ218" s="9">
        <v>1</v>
      </c>
      <c r="DA218" s="167">
        <f>'HourGH-MAR'!C20</f>
        <v>0.65</v>
      </c>
    </row>
    <row r="219" spans="58:105">
      <c r="BF219" s="9">
        <v>218</v>
      </c>
      <c r="BG219" s="9">
        <v>10</v>
      </c>
      <c r="BH219" s="9">
        <v>2</v>
      </c>
      <c r="BI219" s="167">
        <f>'HourGH-APR'!D20</f>
        <v>0.6</v>
      </c>
      <c r="BJ219" s="263">
        <v>218</v>
      </c>
      <c r="BK219" s="9">
        <v>10</v>
      </c>
      <c r="BL219" s="9">
        <v>2</v>
      </c>
      <c r="BM219" s="167">
        <f>'HourGH-MAY'!D20</f>
        <v>0.56000000000000005</v>
      </c>
      <c r="BN219" s="9">
        <v>218</v>
      </c>
      <c r="BO219" s="9">
        <v>10</v>
      </c>
      <c r="BP219" s="9">
        <v>2</v>
      </c>
      <c r="BQ219" s="167">
        <f>'HourGH-JUN'!D20</f>
        <v>0.18</v>
      </c>
      <c r="BR219" s="263">
        <v>218</v>
      </c>
      <c r="BS219" s="9">
        <v>10</v>
      </c>
      <c r="BT219" s="9">
        <v>2</v>
      </c>
      <c r="BU219" s="167">
        <f>'HourGH-JUL'!D20</f>
        <v>0.34</v>
      </c>
      <c r="BV219" s="263">
        <v>218</v>
      </c>
      <c r="BW219" s="9">
        <v>10</v>
      </c>
      <c r="BX219" s="9">
        <v>2</v>
      </c>
      <c r="BY219" s="167">
        <f>'HourGH-AUG'!D20</f>
        <v>1.42</v>
      </c>
      <c r="BZ219" s="9">
        <v>218</v>
      </c>
      <c r="CA219" s="9">
        <v>10</v>
      </c>
      <c r="CB219" s="9">
        <v>2</v>
      </c>
      <c r="CC219" s="167">
        <f>'HourGH-SEP'!D20</f>
        <v>2.48</v>
      </c>
      <c r="CD219" s="263">
        <v>218</v>
      </c>
      <c r="CE219" s="9">
        <v>10</v>
      </c>
      <c r="CF219" s="9">
        <v>2</v>
      </c>
      <c r="CG219" s="167">
        <f>'HourGH-OCT'!D20</f>
        <v>0.71</v>
      </c>
      <c r="CH219" s="9">
        <v>218</v>
      </c>
      <c r="CI219" s="9">
        <v>10</v>
      </c>
      <c r="CJ219" s="9">
        <v>2</v>
      </c>
      <c r="CK219" s="167">
        <f>'HourGH-NOV'!D20</f>
        <v>0.68</v>
      </c>
      <c r="CL219" s="263">
        <v>218</v>
      </c>
      <c r="CM219" s="9">
        <v>10</v>
      </c>
      <c r="CN219" s="9">
        <v>2</v>
      </c>
      <c r="CO219" s="167">
        <f>'HourGH-DEC'!D20</f>
        <v>0.48</v>
      </c>
      <c r="CP219" s="263">
        <v>218</v>
      </c>
      <c r="CQ219" s="9">
        <v>10</v>
      </c>
      <c r="CR219" s="9">
        <v>2</v>
      </c>
      <c r="CS219" s="167">
        <f>'HourGH-JAN'!D20</f>
        <v>0.41</v>
      </c>
      <c r="CT219" s="9">
        <v>218</v>
      </c>
      <c r="CU219" s="9">
        <v>10</v>
      </c>
      <c r="CV219" s="9">
        <v>2</v>
      </c>
      <c r="CW219" s="167">
        <f>'HourGH-FEB'!D20</f>
        <v>0.67</v>
      </c>
      <c r="CX219" s="263">
        <v>218</v>
      </c>
      <c r="CY219" s="9">
        <v>10</v>
      </c>
      <c r="CZ219" s="9">
        <v>2</v>
      </c>
      <c r="DA219" s="167">
        <f>'HourGH-MAR'!D20</f>
        <v>0.65</v>
      </c>
    </row>
    <row r="220" spans="58:105">
      <c r="BF220" s="9">
        <v>219</v>
      </c>
      <c r="BG220" s="9">
        <v>10</v>
      </c>
      <c r="BH220" s="9">
        <v>3</v>
      </c>
      <c r="BI220" s="167">
        <f>'HourGH-APR'!E20</f>
        <v>0.6</v>
      </c>
      <c r="BJ220" s="263">
        <v>219</v>
      </c>
      <c r="BK220" s="9">
        <v>10</v>
      </c>
      <c r="BL220" s="9">
        <v>3</v>
      </c>
      <c r="BM220" s="167">
        <f>'HourGH-MAY'!E20</f>
        <v>0.56999999999999995</v>
      </c>
      <c r="BN220" s="9">
        <v>219</v>
      </c>
      <c r="BO220" s="9">
        <v>10</v>
      </c>
      <c r="BP220" s="9">
        <v>3</v>
      </c>
      <c r="BQ220" s="167">
        <f>'HourGH-JUN'!E20</f>
        <v>0.18</v>
      </c>
      <c r="BR220" s="263">
        <v>219</v>
      </c>
      <c r="BS220" s="9">
        <v>10</v>
      </c>
      <c r="BT220" s="9">
        <v>3</v>
      </c>
      <c r="BU220" s="167">
        <f>'HourGH-JUL'!E20</f>
        <v>0.35</v>
      </c>
      <c r="BV220" s="263">
        <v>219</v>
      </c>
      <c r="BW220" s="9">
        <v>10</v>
      </c>
      <c r="BX220" s="9">
        <v>3</v>
      </c>
      <c r="BY220" s="167">
        <f>'HourGH-AUG'!E20</f>
        <v>1.48</v>
      </c>
      <c r="BZ220" s="9">
        <v>219</v>
      </c>
      <c r="CA220" s="9">
        <v>10</v>
      </c>
      <c r="CB220" s="9">
        <v>3</v>
      </c>
      <c r="CC220" s="167">
        <f>'HourGH-SEP'!E20</f>
        <v>2.46</v>
      </c>
      <c r="CD220" s="263">
        <v>219</v>
      </c>
      <c r="CE220" s="9">
        <v>10</v>
      </c>
      <c r="CF220" s="9">
        <v>3</v>
      </c>
      <c r="CG220" s="167">
        <f>'HourGH-OCT'!E20</f>
        <v>0.71</v>
      </c>
      <c r="CH220" s="9">
        <v>219</v>
      </c>
      <c r="CI220" s="9">
        <v>10</v>
      </c>
      <c r="CJ220" s="9">
        <v>3</v>
      </c>
      <c r="CK220" s="167">
        <f>'HourGH-NOV'!E20</f>
        <v>0.68</v>
      </c>
      <c r="CL220" s="263">
        <v>219</v>
      </c>
      <c r="CM220" s="9">
        <v>10</v>
      </c>
      <c r="CN220" s="9">
        <v>3</v>
      </c>
      <c r="CO220" s="167">
        <f>'HourGH-DEC'!E20</f>
        <v>0.48</v>
      </c>
      <c r="CP220" s="263">
        <v>219</v>
      </c>
      <c r="CQ220" s="9">
        <v>10</v>
      </c>
      <c r="CR220" s="9">
        <v>3</v>
      </c>
      <c r="CS220" s="167">
        <f>'HourGH-JAN'!E20</f>
        <v>0.41</v>
      </c>
      <c r="CT220" s="9">
        <v>219</v>
      </c>
      <c r="CU220" s="9">
        <v>10</v>
      </c>
      <c r="CV220" s="9">
        <v>3</v>
      </c>
      <c r="CW220" s="167">
        <f>'HourGH-FEB'!E20</f>
        <v>0.67</v>
      </c>
      <c r="CX220" s="263">
        <v>219</v>
      </c>
      <c r="CY220" s="9">
        <v>10</v>
      </c>
      <c r="CZ220" s="9">
        <v>3</v>
      </c>
      <c r="DA220" s="167">
        <f>'HourGH-MAR'!E20</f>
        <v>0.65</v>
      </c>
    </row>
    <row r="221" spans="58:105">
      <c r="BF221" s="9">
        <v>220</v>
      </c>
      <c r="BG221" s="9">
        <v>10</v>
      </c>
      <c r="BH221" s="9">
        <v>4</v>
      </c>
      <c r="BI221" s="167">
        <f>'HourGH-APR'!F20</f>
        <v>0.6</v>
      </c>
      <c r="BJ221" s="263">
        <v>220</v>
      </c>
      <c r="BK221" s="9">
        <v>10</v>
      </c>
      <c r="BL221" s="9">
        <v>4</v>
      </c>
      <c r="BM221" s="167">
        <f>'HourGH-MAY'!F20</f>
        <v>0.56999999999999995</v>
      </c>
      <c r="BN221" s="9">
        <v>220</v>
      </c>
      <c r="BO221" s="9">
        <v>10</v>
      </c>
      <c r="BP221" s="9">
        <v>4</v>
      </c>
      <c r="BQ221" s="167">
        <f>'HourGH-JUN'!F20</f>
        <v>0.17</v>
      </c>
      <c r="BR221" s="263">
        <v>220</v>
      </c>
      <c r="BS221" s="9">
        <v>10</v>
      </c>
      <c r="BT221" s="9">
        <v>4</v>
      </c>
      <c r="BU221" s="167">
        <f>'HourGH-JUL'!F20</f>
        <v>0.36</v>
      </c>
      <c r="BV221" s="263">
        <v>220</v>
      </c>
      <c r="BW221" s="9">
        <v>10</v>
      </c>
      <c r="BX221" s="9">
        <v>4</v>
      </c>
      <c r="BY221" s="167">
        <f>'HourGH-AUG'!F20</f>
        <v>1.56</v>
      </c>
      <c r="BZ221" s="9">
        <v>220</v>
      </c>
      <c r="CA221" s="9">
        <v>10</v>
      </c>
      <c r="CB221" s="9">
        <v>4</v>
      </c>
      <c r="CC221" s="167">
        <f>'HourGH-SEP'!F20</f>
        <v>2.44</v>
      </c>
      <c r="CD221" s="263">
        <v>220</v>
      </c>
      <c r="CE221" s="9">
        <v>10</v>
      </c>
      <c r="CF221" s="9">
        <v>4</v>
      </c>
      <c r="CG221" s="167">
        <f>'HourGH-OCT'!F20</f>
        <v>0.71</v>
      </c>
      <c r="CH221" s="9">
        <v>220</v>
      </c>
      <c r="CI221" s="9">
        <v>10</v>
      </c>
      <c r="CJ221" s="9">
        <v>4</v>
      </c>
      <c r="CK221" s="167">
        <f>'HourGH-NOV'!F20</f>
        <v>0.68</v>
      </c>
      <c r="CL221" s="263">
        <v>220</v>
      </c>
      <c r="CM221" s="9">
        <v>10</v>
      </c>
      <c r="CN221" s="9">
        <v>4</v>
      </c>
      <c r="CO221" s="167">
        <f>'HourGH-DEC'!F20</f>
        <v>0.48</v>
      </c>
      <c r="CP221" s="263">
        <v>220</v>
      </c>
      <c r="CQ221" s="9">
        <v>10</v>
      </c>
      <c r="CR221" s="9">
        <v>4</v>
      </c>
      <c r="CS221" s="167">
        <f>'HourGH-JAN'!F20</f>
        <v>0.41</v>
      </c>
      <c r="CT221" s="9">
        <v>220</v>
      </c>
      <c r="CU221" s="9">
        <v>10</v>
      </c>
      <c r="CV221" s="9">
        <v>4</v>
      </c>
      <c r="CW221" s="167">
        <f>'HourGH-FEB'!F20</f>
        <v>0.67</v>
      </c>
      <c r="CX221" s="263">
        <v>220</v>
      </c>
      <c r="CY221" s="9">
        <v>10</v>
      </c>
      <c r="CZ221" s="9">
        <v>4</v>
      </c>
      <c r="DA221" s="167">
        <f>'HourGH-MAR'!F20</f>
        <v>0.65</v>
      </c>
    </row>
    <row r="222" spans="58:105">
      <c r="BF222" s="9">
        <v>221</v>
      </c>
      <c r="BG222" s="9">
        <v>10</v>
      </c>
      <c r="BH222" s="9">
        <v>5</v>
      </c>
      <c r="BI222" s="167">
        <f>'HourGH-APR'!G20</f>
        <v>0.6</v>
      </c>
      <c r="BJ222" s="263">
        <v>221</v>
      </c>
      <c r="BK222" s="9">
        <v>10</v>
      </c>
      <c r="BL222" s="9">
        <v>5</v>
      </c>
      <c r="BM222" s="167">
        <f>'HourGH-MAY'!G20</f>
        <v>0.57999999999999996</v>
      </c>
      <c r="BN222" s="9">
        <v>221</v>
      </c>
      <c r="BO222" s="9">
        <v>10</v>
      </c>
      <c r="BP222" s="9">
        <v>5</v>
      </c>
      <c r="BQ222" s="167">
        <f>'HourGH-JUN'!G20</f>
        <v>0.17</v>
      </c>
      <c r="BR222" s="263">
        <v>221</v>
      </c>
      <c r="BS222" s="9">
        <v>10</v>
      </c>
      <c r="BT222" s="9">
        <v>5</v>
      </c>
      <c r="BU222" s="167">
        <f>'HourGH-JUL'!G20</f>
        <v>0.37</v>
      </c>
      <c r="BV222" s="263">
        <v>221</v>
      </c>
      <c r="BW222" s="9">
        <v>10</v>
      </c>
      <c r="BX222" s="9">
        <v>5</v>
      </c>
      <c r="BY222" s="167">
        <f>'HourGH-AUG'!G20</f>
        <v>1.62</v>
      </c>
      <c r="BZ222" s="9">
        <v>221</v>
      </c>
      <c r="CA222" s="9">
        <v>10</v>
      </c>
      <c r="CB222" s="9">
        <v>5</v>
      </c>
      <c r="CC222" s="167">
        <f>'HourGH-SEP'!G20</f>
        <v>2.42</v>
      </c>
      <c r="CD222" s="263">
        <v>221</v>
      </c>
      <c r="CE222" s="9">
        <v>10</v>
      </c>
      <c r="CF222" s="9">
        <v>5</v>
      </c>
      <c r="CG222" s="167">
        <f>'HourGH-OCT'!G20</f>
        <v>0.71</v>
      </c>
      <c r="CH222" s="9">
        <v>221</v>
      </c>
      <c r="CI222" s="9">
        <v>10</v>
      </c>
      <c r="CJ222" s="9">
        <v>5</v>
      </c>
      <c r="CK222" s="167">
        <f>'HourGH-NOV'!G20</f>
        <v>0.68</v>
      </c>
      <c r="CL222" s="263">
        <v>221</v>
      </c>
      <c r="CM222" s="9">
        <v>10</v>
      </c>
      <c r="CN222" s="9">
        <v>5</v>
      </c>
      <c r="CO222" s="167">
        <f>'HourGH-DEC'!G20</f>
        <v>0.48</v>
      </c>
      <c r="CP222" s="263">
        <v>221</v>
      </c>
      <c r="CQ222" s="9">
        <v>10</v>
      </c>
      <c r="CR222" s="9">
        <v>5</v>
      </c>
      <c r="CS222" s="167">
        <f>'HourGH-JAN'!G20</f>
        <v>0.41</v>
      </c>
      <c r="CT222" s="9">
        <v>221</v>
      </c>
      <c r="CU222" s="9">
        <v>10</v>
      </c>
      <c r="CV222" s="9">
        <v>5</v>
      </c>
      <c r="CW222" s="167">
        <f>'HourGH-FEB'!G20</f>
        <v>0.67</v>
      </c>
      <c r="CX222" s="263">
        <v>221</v>
      </c>
      <c r="CY222" s="9">
        <v>10</v>
      </c>
      <c r="CZ222" s="9">
        <v>5</v>
      </c>
      <c r="DA222" s="167">
        <f>'HourGH-MAR'!G20</f>
        <v>0.65</v>
      </c>
    </row>
    <row r="223" spans="58:105">
      <c r="BF223" s="9">
        <v>222</v>
      </c>
      <c r="BG223" s="9">
        <v>10</v>
      </c>
      <c r="BH223" s="9">
        <v>6</v>
      </c>
      <c r="BI223" s="167">
        <f>'HourGH-APR'!H20</f>
        <v>0.6</v>
      </c>
      <c r="BJ223" s="263">
        <v>222</v>
      </c>
      <c r="BK223" s="9">
        <v>10</v>
      </c>
      <c r="BL223" s="9">
        <v>6</v>
      </c>
      <c r="BM223" s="167">
        <f>'HourGH-MAY'!H20</f>
        <v>0.57999999999999996</v>
      </c>
      <c r="BN223" s="9">
        <v>222</v>
      </c>
      <c r="BO223" s="9">
        <v>10</v>
      </c>
      <c r="BP223" s="9">
        <v>6</v>
      </c>
      <c r="BQ223" s="167">
        <f>'HourGH-JUN'!H20</f>
        <v>0.17</v>
      </c>
      <c r="BR223" s="263">
        <v>222</v>
      </c>
      <c r="BS223" s="9">
        <v>10</v>
      </c>
      <c r="BT223" s="9">
        <v>6</v>
      </c>
      <c r="BU223" s="167">
        <f>'HourGH-JUL'!H20</f>
        <v>0.37</v>
      </c>
      <c r="BV223" s="263">
        <v>222</v>
      </c>
      <c r="BW223" s="9">
        <v>10</v>
      </c>
      <c r="BX223" s="9">
        <v>6</v>
      </c>
      <c r="BY223" s="167">
        <f>'HourGH-AUG'!H20</f>
        <v>1.7</v>
      </c>
      <c r="BZ223" s="9">
        <v>222</v>
      </c>
      <c r="CA223" s="9">
        <v>10</v>
      </c>
      <c r="CB223" s="9">
        <v>6</v>
      </c>
      <c r="CC223" s="167">
        <f>'HourGH-SEP'!H20</f>
        <v>2.4</v>
      </c>
      <c r="CD223" s="263">
        <v>222</v>
      </c>
      <c r="CE223" s="9">
        <v>10</v>
      </c>
      <c r="CF223" s="9">
        <v>6</v>
      </c>
      <c r="CG223" s="167">
        <f>'HourGH-OCT'!H20</f>
        <v>0.7</v>
      </c>
      <c r="CH223" s="9">
        <v>222</v>
      </c>
      <c r="CI223" s="9">
        <v>10</v>
      </c>
      <c r="CJ223" s="9">
        <v>6</v>
      </c>
      <c r="CK223" s="167">
        <f>'HourGH-NOV'!H20</f>
        <v>0.68</v>
      </c>
      <c r="CL223" s="263">
        <v>222</v>
      </c>
      <c r="CM223" s="9">
        <v>10</v>
      </c>
      <c r="CN223" s="9">
        <v>6</v>
      </c>
      <c r="CO223" s="167">
        <f>'HourGH-DEC'!H20</f>
        <v>0.48</v>
      </c>
      <c r="CP223" s="263">
        <v>222</v>
      </c>
      <c r="CQ223" s="9">
        <v>10</v>
      </c>
      <c r="CR223" s="9">
        <v>6</v>
      </c>
      <c r="CS223" s="167">
        <f>'HourGH-JAN'!H20</f>
        <v>0.41</v>
      </c>
      <c r="CT223" s="9">
        <v>222</v>
      </c>
      <c r="CU223" s="9">
        <v>10</v>
      </c>
      <c r="CV223" s="9">
        <v>6</v>
      </c>
      <c r="CW223" s="167">
        <f>'HourGH-FEB'!H20</f>
        <v>0.67</v>
      </c>
      <c r="CX223" s="263">
        <v>222</v>
      </c>
      <c r="CY223" s="9">
        <v>10</v>
      </c>
      <c r="CZ223" s="9">
        <v>6</v>
      </c>
      <c r="DA223" s="167">
        <f>'HourGH-MAR'!H20</f>
        <v>0.65</v>
      </c>
    </row>
    <row r="224" spans="58:105">
      <c r="BF224" s="9">
        <v>223</v>
      </c>
      <c r="BG224" s="9">
        <v>10</v>
      </c>
      <c r="BH224" s="9">
        <v>7</v>
      </c>
      <c r="BI224" s="167">
        <f>'HourGH-APR'!I20</f>
        <v>0.6</v>
      </c>
      <c r="BJ224" s="263">
        <v>223</v>
      </c>
      <c r="BK224" s="9">
        <v>10</v>
      </c>
      <c r="BL224" s="9">
        <v>7</v>
      </c>
      <c r="BM224" s="167">
        <f>'HourGH-MAY'!I20</f>
        <v>0.57999999999999996</v>
      </c>
      <c r="BN224" s="9">
        <v>223</v>
      </c>
      <c r="BO224" s="9">
        <v>10</v>
      </c>
      <c r="BP224" s="9">
        <v>7</v>
      </c>
      <c r="BQ224" s="167">
        <f>'HourGH-JUN'!I20</f>
        <v>0.17</v>
      </c>
      <c r="BR224" s="263">
        <v>223</v>
      </c>
      <c r="BS224" s="9">
        <v>10</v>
      </c>
      <c r="BT224" s="9">
        <v>7</v>
      </c>
      <c r="BU224" s="167">
        <f>'HourGH-JUL'!I20</f>
        <v>0.38</v>
      </c>
      <c r="BV224" s="263">
        <v>223</v>
      </c>
      <c r="BW224" s="9">
        <v>10</v>
      </c>
      <c r="BX224" s="9">
        <v>7</v>
      </c>
      <c r="BY224" s="167">
        <f>'HourGH-AUG'!I20</f>
        <v>1.78</v>
      </c>
      <c r="BZ224" s="9">
        <v>223</v>
      </c>
      <c r="CA224" s="9">
        <v>10</v>
      </c>
      <c r="CB224" s="9">
        <v>7</v>
      </c>
      <c r="CC224" s="167">
        <f>'HourGH-SEP'!I20</f>
        <v>2.37</v>
      </c>
      <c r="CD224" s="263">
        <v>223</v>
      </c>
      <c r="CE224" s="9">
        <v>10</v>
      </c>
      <c r="CF224" s="9">
        <v>7</v>
      </c>
      <c r="CG224" s="167">
        <f>'HourGH-OCT'!I20</f>
        <v>0.7</v>
      </c>
      <c r="CH224" s="9">
        <v>223</v>
      </c>
      <c r="CI224" s="9">
        <v>10</v>
      </c>
      <c r="CJ224" s="9">
        <v>7</v>
      </c>
      <c r="CK224" s="167">
        <f>'HourGH-NOV'!I20</f>
        <v>0.68</v>
      </c>
      <c r="CL224" s="263">
        <v>223</v>
      </c>
      <c r="CM224" s="9">
        <v>10</v>
      </c>
      <c r="CN224" s="9">
        <v>7</v>
      </c>
      <c r="CO224" s="167">
        <f>'HourGH-DEC'!I20</f>
        <v>0.48</v>
      </c>
      <c r="CP224" s="263">
        <v>223</v>
      </c>
      <c r="CQ224" s="9">
        <v>10</v>
      </c>
      <c r="CR224" s="9">
        <v>7</v>
      </c>
      <c r="CS224" s="167">
        <f>'HourGH-JAN'!I20</f>
        <v>0.41</v>
      </c>
      <c r="CT224" s="9">
        <v>223</v>
      </c>
      <c r="CU224" s="9">
        <v>10</v>
      </c>
      <c r="CV224" s="9">
        <v>7</v>
      </c>
      <c r="CW224" s="167">
        <f>'HourGH-FEB'!I20</f>
        <v>0.67</v>
      </c>
      <c r="CX224" s="263">
        <v>223</v>
      </c>
      <c r="CY224" s="9">
        <v>10</v>
      </c>
      <c r="CZ224" s="9">
        <v>7</v>
      </c>
      <c r="DA224" s="167">
        <f>'HourGH-MAR'!I20</f>
        <v>0.65</v>
      </c>
    </row>
    <row r="225" spans="58:105">
      <c r="BF225" s="9">
        <v>224</v>
      </c>
      <c r="BG225" s="9">
        <v>10</v>
      </c>
      <c r="BH225" s="9">
        <v>8</v>
      </c>
      <c r="BI225" s="167">
        <f>'HourGH-APR'!J20</f>
        <v>0.6</v>
      </c>
      <c r="BJ225" s="263">
        <v>224</v>
      </c>
      <c r="BK225" s="9">
        <v>10</v>
      </c>
      <c r="BL225" s="9">
        <v>8</v>
      </c>
      <c r="BM225" s="167">
        <f>'HourGH-MAY'!J20</f>
        <v>0.59</v>
      </c>
      <c r="BN225" s="9">
        <v>224</v>
      </c>
      <c r="BO225" s="9">
        <v>10</v>
      </c>
      <c r="BP225" s="9">
        <v>8</v>
      </c>
      <c r="BQ225" s="167">
        <f>'HourGH-JUN'!J20</f>
        <v>0.17</v>
      </c>
      <c r="BR225" s="263">
        <v>224</v>
      </c>
      <c r="BS225" s="9">
        <v>10</v>
      </c>
      <c r="BT225" s="9">
        <v>8</v>
      </c>
      <c r="BU225" s="167">
        <f>'HourGH-JUL'!J20</f>
        <v>0.39</v>
      </c>
      <c r="BV225" s="263">
        <v>224</v>
      </c>
      <c r="BW225" s="9">
        <v>10</v>
      </c>
      <c r="BX225" s="9">
        <v>8</v>
      </c>
      <c r="BY225" s="167">
        <f>'HourGH-AUG'!J20</f>
        <v>1.86</v>
      </c>
      <c r="BZ225" s="9">
        <v>224</v>
      </c>
      <c r="CA225" s="9">
        <v>10</v>
      </c>
      <c r="CB225" s="9">
        <v>8</v>
      </c>
      <c r="CC225" s="167">
        <f>'HourGH-SEP'!J20</f>
        <v>2.33</v>
      </c>
      <c r="CD225" s="263">
        <v>224</v>
      </c>
      <c r="CE225" s="9">
        <v>10</v>
      </c>
      <c r="CF225" s="9">
        <v>8</v>
      </c>
      <c r="CG225" s="167">
        <f>'HourGH-OCT'!J20</f>
        <v>0.7</v>
      </c>
      <c r="CH225" s="9">
        <v>224</v>
      </c>
      <c r="CI225" s="9">
        <v>10</v>
      </c>
      <c r="CJ225" s="9">
        <v>8</v>
      </c>
      <c r="CK225" s="167">
        <f>'HourGH-NOV'!J20</f>
        <v>0.68</v>
      </c>
      <c r="CL225" s="263">
        <v>224</v>
      </c>
      <c r="CM225" s="9">
        <v>10</v>
      </c>
      <c r="CN225" s="9">
        <v>8</v>
      </c>
      <c r="CO225" s="167">
        <f>'HourGH-DEC'!J20</f>
        <v>0.48</v>
      </c>
      <c r="CP225" s="263">
        <v>224</v>
      </c>
      <c r="CQ225" s="9">
        <v>10</v>
      </c>
      <c r="CR225" s="9">
        <v>8</v>
      </c>
      <c r="CS225" s="167">
        <f>'HourGH-JAN'!J20</f>
        <v>0.41</v>
      </c>
      <c r="CT225" s="9">
        <v>224</v>
      </c>
      <c r="CU225" s="9">
        <v>10</v>
      </c>
      <c r="CV225" s="9">
        <v>8</v>
      </c>
      <c r="CW225" s="167">
        <f>'HourGH-FEB'!J20</f>
        <v>0.66</v>
      </c>
      <c r="CX225" s="263">
        <v>224</v>
      </c>
      <c r="CY225" s="9">
        <v>10</v>
      </c>
      <c r="CZ225" s="9">
        <v>8</v>
      </c>
      <c r="DA225" s="167">
        <f>'HourGH-MAR'!J20</f>
        <v>0.65</v>
      </c>
    </row>
    <row r="226" spans="58:105">
      <c r="BF226" s="9">
        <v>225</v>
      </c>
      <c r="BG226" s="9">
        <v>10</v>
      </c>
      <c r="BH226" s="9">
        <v>9</v>
      </c>
      <c r="BI226" s="167">
        <f>'HourGH-APR'!K20</f>
        <v>0.6</v>
      </c>
      <c r="BJ226" s="263">
        <v>225</v>
      </c>
      <c r="BK226" s="9">
        <v>10</v>
      </c>
      <c r="BL226" s="9">
        <v>9</v>
      </c>
      <c r="BM226" s="167">
        <f>'HourGH-MAY'!K20</f>
        <v>0.59</v>
      </c>
      <c r="BN226" s="9">
        <v>225</v>
      </c>
      <c r="BO226" s="9">
        <v>10</v>
      </c>
      <c r="BP226" s="9">
        <v>9</v>
      </c>
      <c r="BQ226" s="167">
        <f>'HourGH-JUN'!K20</f>
        <v>0.17</v>
      </c>
      <c r="BR226" s="263">
        <v>225</v>
      </c>
      <c r="BS226" s="9">
        <v>10</v>
      </c>
      <c r="BT226" s="9">
        <v>9</v>
      </c>
      <c r="BU226" s="167">
        <f>'HourGH-JUL'!K20</f>
        <v>0.39</v>
      </c>
      <c r="BV226" s="263">
        <v>225</v>
      </c>
      <c r="BW226" s="9">
        <v>10</v>
      </c>
      <c r="BX226" s="9">
        <v>9</v>
      </c>
      <c r="BY226" s="167">
        <f>'HourGH-AUG'!K20</f>
        <v>1.94</v>
      </c>
      <c r="BZ226" s="9">
        <v>225</v>
      </c>
      <c r="CA226" s="9">
        <v>10</v>
      </c>
      <c r="CB226" s="9">
        <v>9</v>
      </c>
      <c r="CC226" s="167">
        <f>'HourGH-SEP'!K20</f>
        <v>2.2999999999999998</v>
      </c>
      <c r="CD226" s="263">
        <v>225</v>
      </c>
      <c r="CE226" s="9">
        <v>10</v>
      </c>
      <c r="CF226" s="9">
        <v>9</v>
      </c>
      <c r="CG226" s="167">
        <f>'HourGH-OCT'!K20</f>
        <v>0.7</v>
      </c>
      <c r="CH226" s="9">
        <v>225</v>
      </c>
      <c r="CI226" s="9">
        <v>10</v>
      </c>
      <c r="CJ226" s="9">
        <v>9</v>
      </c>
      <c r="CK226" s="167">
        <f>'HourGH-NOV'!K20</f>
        <v>0.68</v>
      </c>
      <c r="CL226" s="263">
        <v>225</v>
      </c>
      <c r="CM226" s="9">
        <v>10</v>
      </c>
      <c r="CN226" s="9">
        <v>9</v>
      </c>
      <c r="CO226" s="167">
        <f>'HourGH-DEC'!K20</f>
        <v>0.48</v>
      </c>
      <c r="CP226" s="263">
        <v>225</v>
      </c>
      <c r="CQ226" s="9">
        <v>10</v>
      </c>
      <c r="CR226" s="9">
        <v>9</v>
      </c>
      <c r="CS226" s="167">
        <f>'HourGH-JAN'!K20</f>
        <v>0.41</v>
      </c>
      <c r="CT226" s="9">
        <v>225</v>
      </c>
      <c r="CU226" s="9">
        <v>10</v>
      </c>
      <c r="CV226" s="9">
        <v>9</v>
      </c>
      <c r="CW226" s="167">
        <f>'HourGH-FEB'!K20</f>
        <v>0.65</v>
      </c>
      <c r="CX226" s="263">
        <v>225</v>
      </c>
      <c r="CY226" s="9">
        <v>10</v>
      </c>
      <c r="CZ226" s="9">
        <v>9</v>
      </c>
      <c r="DA226" s="167">
        <f>'HourGH-MAR'!K20</f>
        <v>0.65</v>
      </c>
    </row>
    <row r="227" spans="58:105">
      <c r="BF227" s="9">
        <v>226</v>
      </c>
      <c r="BG227" s="9">
        <v>10</v>
      </c>
      <c r="BH227" s="9">
        <v>10</v>
      </c>
      <c r="BI227" s="167">
        <f>'HourGH-APR'!L20</f>
        <v>0.6</v>
      </c>
      <c r="BJ227" s="263">
        <v>226</v>
      </c>
      <c r="BK227" s="9">
        <v>10</v>
      </c>
      <c r="BL227" s="9">
        <v>10</v>
      </c>
      <c r="BM227" s="167">
        <f>'HourGH-MAY'!L20</f>
        <v>0.59</v>
      </c>
      <c r="BN227" s="9">
        <v>226</v>
      </c>
      <c r="BO227" s="9">
        <v>10</v>
      </c>
      <c r="BP227" s="9">
        <v>10</v>
      </c>
      <c r="BQ227" s="167">
        <f>'HourGH-JUN'!L20</f>
        <v>0.17</v>
      </c>
      <c r="BR227" s="263">
        <v>226</v>
      </c>
      <c r="BS227" s="9">
        <v>10</v>
      </c>
      <c r="BT227" s="9">
        <v>10</v>
      </c>
      <c r="BU227" s="167">
        <f>'HourGH-JUL'!L20</f>
        <v>0.4</v>
      </c>
      <c r="BV227" s="263">
        <v>226</v>
      </c>
      <c r="BW227" s="9">
        <v>10</v>
      </c>
      <c r="BX227" s="9">
        <v>10</v>
      </c>
      <c r="BY227" s="167">
        <f>'HourGH-AUG'!L20</f>
        <v>2.02</v>
      </c>
      <c r="BZ227" s="9">
        <v>226</v>
      </c>
      <c r="CA227" s="9">
        <v>10</v>
      </c>
      <c r="CB227" s="9">
        <v>10</v>
      </c>
      <c r="CC227" s="167">
        <f>'HourGH-SEP'!L20</f>
        <v>2.2599999999999998</v>
      </c>
      <c r="CD227" s="263">
        <v>226</v>
      </c>
      <c r="CE227" s="9">
        <v>10</v>
      </c>
      <c r="CF227" s="9">
        <v>10</v>
      </c>
      <c r="CG227" s="167">
        <f>'HourGH-OCT'!L20</f>
        <v>0.7</v>
      </c>
      <c r="CH227" s="9">
        <v>226</v>
      </c>
      <c r="CI227" s="9">
        <v>10</v>
      </c>
      <c r="CJ227" s="9">
        <v>10</v>
      </c>
      <c r="CK227" s="167">
        <f>'HourGH-NOV'!L20</f>
        <v>0.68</v>
      </c>
      <c r="CL227" s="263">
        <v>226</v>
      </c>
      <c r="CM227" s="9">
        <v>10</v>
      </c>
      <c r="CN227" s="9">
        <v>10</v>
      </c>
      <c r="CO227" s="167">
        <f>'HourGH-DEC'!L20</f>
        <v>0.48</v>
      </c>
      <c r="CP227" s="263">
        <v>226</v>
      </c>
      <c r="CQ227" s="9">
        <v>10</v>
      </c>
      <c r="CR227" s="9">
        <v>10</v>
      </c>
      <c r="CS227" s="167">
        <f>'HourGH-JAN'!L20</f>
        <v>0.41</v>
      </c>
      <c r="CT227" s="9">
        <v>226</v>
      </c>
      <c r="CU227" s="9">
        <v>10</v>
      </c>
      <c r="CV227" s="9">
        <v>10</v>
      </c>
      <c r="CW227" s="167">
        <f>'HourGH-FEB'!L20</f>
        <v>0.64</v>
      </c>
      <c r="CX227" s="263">
        <v>226</v>
      </c>
      <c r="CY227" s="9">
        <v>10</v>
      </c>
      <c r="CZ227" s="9">
        <v>10</v>
      </c>
      <c r="DA227" s="167">
        <f>'HourGH-MAR'!L20</f>
        <v>0.65</v>
      </c>
    </row>
    <row r="228" spans="58:105">
      <c r="BF228" s="9">
        <v>227</v>
      </c>
      <c r="BG228" s="9">
        <v>10</v>
      </c>
      <c r="BH228" s="9">
        <v>11</v>
      </c>
      <c r="BI228" s="167">
        <f>'HourGH-APR'!M20</f>
        <v>0.6</v>
      </c>
      <c r="BJ228" s="263">
        <v>227</v>
      </c>
      <c r="BK228" s="9">
        <v>10</v>
      </c>
      <c r="BL228" s="9">
        <v>11</v>
      </c>
      <c r="BM228" s="167">
        <f>'HourGH-MAY'!M20</f>
        <v>0.59</v>
      </c>
      <c r="BN228" s="9">
        <v>227</v>
      </c>
      <c r="BO228" s="9">
        <v>10</v>
      </c>
      <c r="BP228" s="9">
        <v>11</v>
      </c>
      <c r="BQ228" s="167">
        <f>'HourGH-JUN'!M20</f>
        <v>0.17</v>
      </c>
      <c r="BR228" s="263">
        <v>227</v>
      </c>
      <c r="BS228" s="9">
        <v>10</v>
      </c>
      <c r="BT228" s="9">
        <v>11</v>
      </c>
      <c r="BU228" s="167">
        <f>'HourGH-JUL'!M20</f>
        <v>0.4</v>
      </c>
      <c r="BV228" s="263">
        <v>227</v>
      </c>
      <c r="BW228" s="9">
        <v>10</v>
      </c>
      <c r="BX228" s="9">
        <v>11</v>
      </c>
      <c r="BY228" s="167">
        <f>'HourGH-AUG'!M20</f>
        <v>2.09</v>
      </c>
      <c r="BZ228" s="9">
        <v>227</v>
      </c>
      <c r="CA228" s="9">
        <v>10</v>
      </c>
      <c r="CB228" s="9">
        <v>11</v>
      </c>
      <c r="CC228" s="167">
        <f>'HourGH-SEP'!M20</f>
        <v>2.21</v>
      </c>
      <c r="CD228" s="263">
        <v>227</v>
      </c>
      <c r="CE228" s="9">
        <v>10</v>
      </c>
      <c r="CF228" s="9">
        <v>11</v>
      </c>
      <c r="CG228" s="167">
        <f>'HourGH-OCT'!M20</f>
        <v>0.69</v>
      </c>
      <c r="CH228" s="9">
        <v>227</v>
      </c>
      <c r="CI228" s="9">
        <v>10</v>
      </c>
      <c r="CJ228" s="9">
        <v>11</v>
      </c>
      <c r="CK228" s="167">
        <f>'HourGH-NOV'!M20</f>
        <v>0.68</v>
      </c>
      <c r="CL228" s="263">
        <v>227</v>
      </c>
      <c r="CM228" s="9">
        <v>10</v>
      </c>
      <c r="CN228" s="9">
        <v>11</v>
      </c>
      <c r="CO228" s="167">
        <f>'HourGH-DEC'!M20</f>
        <v>0.48</v>
      </c>
      <c r="CP228" s="263">
        <v>227</v>
      </c>
      <c r="CQ228" s="9">
        <v>10</v>
      </c>
      <c r="CR228" s="9">
        <v>11</v>
      </c>
      <c r="CS228" s="167">
        <f>'HourGH-JAN'!M20</f>
        <v>0.41</v>
      </c>
      <c r="CT228" s="9">
        <v>227</v>
      </c>
      <c r="CU228" s="9">
        <v>10</v>
      </c>
      <c r="CV228" s="9">
        <v>11</v>
      </c>
      <c r="CW228" s="167">
        <f>'HourGH-FEB'!M20</f>
        <v>0.63</v>
      </c>
      <c r="CX228" s="263">
        <v>227</v>
      </c>
      <c r="CY228" s="9">
        <v>10</v>
      </c>
      <c r="CZ228" s="9">
        <v>11</v>
      </c>
      <c r="DA228" s="167">
        <f>'HourGH-MAR'!M20</f>
        <v>0.65</v>
      </c>
    </row>
    <row r="229" spans="58:105">
      <c r="BF229" s="9">
        <v>228</v>
      </c>
      <c r="BG229" s="9">
        <v>10</v>
      </c>
      <c r="BH229" s="9">
        <v>12</v>
      </c>
      <c r="BI229" s="167">
        <f>'HourGH-APR'!N20</f>
        <v>0.6</v>
      </c>
      <c r="BJ229" s="263">
        <v>228</v>
      </c>
      <c r="BK229" s="9">
        <v>10</v>
      </c>
      <c r="BL229" s="9">
        <v>12</v>
      </c>
      <c r="BM229" s="167">
        <f>'HourGH-MAY'!N20</f>
        <v>0.59</v>
      </c>
      <c r="BN229" s="9">
        <v>228</v>
      </c>
      <c r="BO229" s="9">
        <v>10</v>
      </c>
      <c r="BP229" s="9">
        <v>12</v>
      </c>
      <c r="BQ229" s="167">
        <f>'HourGH-JUN'!N20</f>
        <v>0.17</v>
      </c>
      <c r="BR229" s="263">
        <v>228</v>
      </c>
      <c r="BS229" s="9">
        <v>10</v>
      </c>
      <c r="BT229" s="9">
        <v>12</v>
      </c>
      <c r="BU229" s="167">
        <f>'HourGH-JUL'!N20</f>
        <v>0.41</v>
      </c>
      <c r="BV229" s="263">
        <v>228</v>
      </c>
      <c r="BW229" s="9">
        <v>10</v>
      </c>
      <c r="BX229" s="9">
        <v>12</v>
      </c>
      <c r="BY229" s="167">
        <f>'HourGH-AUG'!N20</f>
        <v>2.16</v>
      </c>
      <c r="BZ229" s="9">
        <v>228</v>
      </c>
      <c r="CA229" s="9">
        <v>10</v>
      </c>
      <c r="CB229" s="9">
        <v>12</v>
      </c>
      <c r="CC229" s="167">
        <f>'HourGH-SEP'!N20</f>
        <v>2.16</v>
      </c>
      <c r="CD229" s="263">
        <v>228</v>
      </c>
      <c r="CE229" s="9">
        <v>10</v>
      </c>
      <c r="CF229" s="9">
        <v>12</v>
      </c>
      <c r="CG229" s="167">
        <f>'HourGH-OCT'!N20</f>
        <v>0.69</v>
      </c>
      <c r="CH229" s="9">
        <v>228</v>
      </c>
      <c r="CI229" s="9">
        <v>10</v>
      </c>
      <c r="CJ229" s="9">
        <v>12</v>
      </c>
      <c r="CK229" s="167">
        <f>'HourGH-NOV'!N20</f>
        <v>0.68</v>
      </c>
      <c r="CL229" s="263">
        <v>228</v>
      </c>
      <c r="CM229" s="9">
        <v>10</v>
      </c>
      <c r="CN229" s="9">
        <v>12</v>
      </c>
      <c r="CO229" s="167">
        <f>'HourGH-DEC'!N20</f>
        <v>0.48</v>
      </c>
      <c r="CP229" s="263">
        <v>228</v>
      </c>
      <c r="CQ229" s="9">
        <v>10</v>
      </c>
      <c r="CR229" s="9">
        <v>12</v>
      </c>
      <c r="CS229" s="167">
        <f>'HourGH-JAN'!N20</f>
        <v>0.41</v>
      </c>
      <c r="CT229" s="9">
        <v>228</v>
      </c>
      <c r="CU229" s="9">
        <v>10</v>
      </c>
      <c r="CV229" s="9">
        <v>12</v>
      </c>
      <c r="CW229" s="167">
        <f>'HourGH-FEB'!N20</f>
        <v>0.62</v>
      </c>
      <c r="CX229" s="263">
        <v>228</v>
      </c>
      <c r="CY229" s="9">
        <v>10</v>
      </c>
      <c r="CZ229" s="9">
        <v>12</v>
      </c>
      <c r="DA229" s="167">
        <f>'HourGH-MAR'!N20</f>
        <v>0.65</v>
      </c>
    </row>
    <row r="230" spans="58:105">
      <c r="BF230" s="9">
        <v>229</v>
      </c>
      <c r="BG230" s="9">
        <v>10</v>
      </c>
      <c r="BH230" s="9">
        <v>13</v>
      </c>
      <c r="BI230" s="167">
        <f>'HourGH-APR'!O20</f>
        <v>0.61</v>
      </c>
      <c r="BJ230" s="263">
        <v>229</v>
      </c>
      <c r="BK230" s="9">
        <v>10</v>
      </c>
      <c r="BL230" s="9">
        <v>13</v>
      </c>
      <c r="BM230" s="167">
        <f>'HourGH-MAY'!O20</f>
        <v>0.59</v>
      </c>
      <c r="BN230" s="9">
        <v>229</v>
      </c>
      <c r="BO230" s="9">
        <v>10</v>
      </c>
      <c r="BP230" s="9">
        <v>13</v>
      </c>
      <c r="BQ230" s="167">
        <f>'HourGH-JUN'!O20</f>
        <v>0.16</v>
      </c>
      <c r="BR230" s="263">
        <v>229</v>
      </c>
      <c r="BS230" s="9">
        <v>10</v>
      </c>
      <c r="BT230" s="9">
        <v>13</v>
      </c>
      <c r="BU230" s="167">
        <f>'HourGH-JUL'!O20</f>
        <v>0.41</v>
      </c>
      <c r="BV230" s="263">
        <v>229</v>
      </c>
      <c r="BW230" s="9">
        <v>10</v>
      </c>
      <c r="BX230" s="9">
        <v>13</v>
      </c>
      <c r="BY230" s="167">
        <f>'HourGH-AUG'!O20</f>
        <v>2.23</v>
      </c>
      <c r="BZ230" s="9">
        <v>229</v>
      </c>
      <c r="CA230" s="9">
        <v>10</v>
      </c>
      <c r="CB230" s="9">
        <v>13</v>
      </c>
      <c r="CC230" s="167">
        <f>'HourGH-SEP'!O20</f>
        <v>2.11</v>
      </c>
      <c r="CD230" s="263">
        <v>229</v>
      </c>
      <c r="CE230" s="9">
        <v>10</v>
      </c>
      <c r="CF230" s="9">
        <v>13</v>
      </c>
      <c r="CG230" s="167">
        <f>'HourGH-OCT'!O20</f>
        <v>0.69</v>
      </c>
      <c r="CH230" s="9">
        <v>229</v>
      </c>
      <c r="CI230" s="9">
        <v>10</v>
      </c>
      <c r="CJ230" s="9">
        <v>13</v>
      </c>
      <c r="CK230" s="167">
        <f>'HourGH-NOV'!O20</f>
        <v>0.67</v>
      </c>
      <c r="CL230" s="263">
        <v>229</v>
      </c>
      <c r="CM230" s="9">
        <v>10</v>
      </c>
      <c r="CN230" s="9">
        <v>13</v>
      </c>
      <c r="CO230" s="167">
        <f>'HourGH-DEC'!O20</f>
        <v>0.48</v>
      </c>
      <c r="CP230" s="263">
        <v>229</v>
      </c>
      <c r="CQ230" s="9">
        <v>10</v>
      </c>
      <c r="CR230" s="9">
        <v>13</v>
      </c>
      <c r="CS230" s="167">
        <f>'HourGH-JAN'!O20</f>
        <v>0.41</v>
      </c>
      <c r="CT230" s="9">
        <v>229</v>
      </c>
      <c r="CU230" s="9">
        <v>10</v>
      </c>
      <c r="CV230" s="9">
        <v>13</v>
      </c>
      <c r="CW230" s="167">
        <f>'HourGH-FEB'!O20</f>
        <v>0.61</v>
      </c>
      <c r="CX230" s="263">
        <v>229</v>
      </c>
      <c r="CY230" s="9">
        <v>10</v>
      </c>
      <c r="CZ230" s="9">
        <v>13</v>
      </c>
      <c r="DA230" s="167">
        <f>'HourGH-MAR'!O20</f>
        <v>0.65</v>
      </c>
    </row>
    <row r="231" spans="58:105">
      <c r="BF231" s="9">
        <v>230</v>
      </c>
      <c r="BG231" s="9">
        <v>10</v>
      </c>
      <c r="BH231" s="9">
        <v>14</v>
      </c>
      <c r="BI231" s="167">
        <f>'HourGH-APR'!P20</f>
        <v>0.61</v>
      </c>
      <c r="BJ231" s="263">
        <v>230</v>
      </c>
      <c r="BK231" s="9">
        <v>10</v>
      </c>
      <c r="BL231" s="9">
        <v>14</v>
      </c>
      <c r="BM231" s="167">
        <f>'HourGH-MAY'!P20</f>
        <v>0.59</v>
      </c>
      <c r="BN231" s="9">
        <v>230</v>
      </c>
      <c r="BO231" s="9">
        <v>10</v>
      </c>
      <c r="BP231" s="9">
        <v>14</v>
      </c>
      <c r="BQ231" s="167">
        <f>'HourGH-JUN'!P20</f>
        <v>0.16</v>
      </c>
      <c r="BR231" s="263">
        <v>230</v>
      </c>
      <c r="BS231" s="9">
        <v>10</v>
      </c>
      <c r="BT231" s="9">
        <v>14</v>
      </c>
      <c r="BU231" s="167">
        <f>'HourGH-JUL'!P20</f>
        <v>0.42</v>
      </c>
      <c r="BV231" s="263">
        <v>230</v>
      </c>
      <c r="BW231" s="9">
        <v>10</v>
      </c>
      <c r="BX231" s="9">
        <v>14</v>
      </c>
      <c r="BY231" s="167">
        <f>'HourGH-AUG'!P20</f>
        <v>2.2799999999999998</v>
      </c>
      <c r="BZ231" s="9">
        <v>230</v>
      </c>
      <c r="CA231" s="9">
        <v>10</v>
      </c>
      <c r="CB231" s="9">
        <v>14</v>
      </c>
      <c r="CC231" s="167">
        <f>'HourGH-SEP'!P20</f>
        <v>2.0699999999999998</v>
      </c>
      <c r="CD231" s="263">
        <v>230</v>
      </c>
      <c r="CE231" s="9">
        <v>10</v>
      </c>
      <c r="CF231" s="9">
        <v>14</v>
      </c>
      <c r="CG231" s="167">
        <f>'HourGH-OCT'!P20</f>
        <v>0.68</v>
      </c>
      <c r="CH231" s="9">
        <v>230</v>
      </c>
      <c r="CI231" s="9">
        <v>10</v>
      </c>
      <c r="CJ231" s="9">
        <v>14</v>
      </c>
      <c r="CK231" s="167">
        <f>'HourGH-NOV'!P20</f>
        <v>0.67</v>
      </c>
      <c r="CL231" s="263">
        <v>230</v>
      </c>
      <c r="CM231" s="9">
        <v>10</v>
      </c>
      <c r="CN231" s="9">
        <v>14</v>
      </c>
      <c r="CO231" s="167">
        <f>'HourGH-DEC'!P20</f>
        <v>0.48</v>
      </c>
      <c r="CP231" s="263">
        <v>230</v>
      </c>
      <c r="CQ231" s="9">
        <v>10</v>
      </c>
      <c r="CR231" s="9">
        <v>14</v>
      </c>
      <c r="CS231" s="167">
        <f>'HourGH-JAN'!P20</f>
        <v>0.41</v>
      </c>
      <c r="CT231" s="9">
        <v>230</v>
      </c>
      <c r="CU231" s="9">
        <v>10</v>
      </c>
      <c r="CV231" s="9">
        <v>14</v>
      </c>
      <c r="CW231" s="167">
        <f>'HourGH-FEB'!P20</f>
        <v>0.59</v>
      </c>
      <c r="CX231" s="263">
        <v>230</v>
      </c>
      <c r="CY231" s="9">
        <v>10</v>
      </c>
      <c r="CZ231" s="9">
        <v>14</v>
      </c>
      <c r="DA231" s="167">
        <f>'HourGH-MAR'!P20</f>
        <v>0.65</v>
      </c>
    </row>
    <row r="232" spans="58:105">
      <c r="BF232" s="9">
        <v>231</v>
      </c>
      <c r="BG232" s="9">
        <v>10</v>
      </c>
      <c r="BH232" s="9">
        <v>15</v>
      </c>
      <c r="BI232" s="167">
        <f>'HourGH-APR'!Q20</f>
        <v>0.61</v>
      </c>
      <c r="BJ232" s="263">
        <v>231</v>
      </c>
      <c r="BK232" s="9">
        <v>10</v>
      </c>
      <c r="BL232" s="9">
        <v>15</v>
      </c>
      <c r="BM232" s="167">
        <f>'HourGH-MAY'!Q20</f>
        <v>0.59</v>
      </c>
      <c r="BN232" s="9">
        <v>231</v>
      </c>
      <c r="BO232" s="9">
        <v>10</v>
      </c>
      <c r="BP232" s="9">
        <v>15</v>
      </c>
      <c r="BQ232" s="167">
        <f>'HourGH-JUN'!Q20</f>
        <v>0.16</v>
      </c>
      <c r="BR232" s="263">
        <v>231</v>
      </c>
      <c r="BS232" s="9">
        <v>10</v>
      </c>
      <c r="BT232" s="9">
        <v>15</v>
      </c>
      <c r="BU232" s="167">
        <f>'HourGH-JUL'!Q20</f>
        <v>0.42</v>
      </c>
      <c r="BV232" s="263">
        <v>231</v>
      </c>
      <c r="BW232" s="9">
        <v>10</v>
      </c>
      <c r="BX232" s="9">
        <v>15</v>
      </c>
      <c r="BY232" s="167">
        <f>'HourGH-AUG'!Q20</f>
        <v>2.34</v>
      </c>
      <c r="BZ232" s="9">
        <v>231</v>
      </c>
      <c r="CA232" s="9">
        <v>10</v>
      </c>
      <c r="CB232" s="9">
        <v>15</v>
      </c>
      <c r="CC232" s="167">
        <f>'HourGH-SEP'!Q20</f>
        <v>2.02</v>
      </c>
      <c r="CD232" s="263">
        <v>231</v>
      </c>
      <c r="CE232" s="9">
        <v>10</v>
      </c>
      <c r="CF232" s="9">
        <v>15</v>
      </c>
      <c r="CG232" s="167">
        <f>'HourGH-OCT'!Q20</f>
        <v>0.68</v>
      </c>
      <c r="CH232" s="9">
        <v>231</v>
      </c>
      <c r="CI232" s="9">
        <v>10</v>
      </c>
      <c r="CJ232" s="9">
        <v>15</v>
      </c>
      <c r="CK232" s="167">
        <f>'HourGH-NOV'!Q20</f>
        <v>0.67</v>
      </c>
      <c r="CL232" s="263">
        <v>231</v>
      </c>
      <c r="CM232" s="9">
        <v>10</v>
      </c>
      <c r="CN232" s="9">
        <v>15</v>
      </c>
      <c r="CO232" s="167">
        <f>'HourGH-DEC'!Q20</f>
        <v>0.48</v>
      </c>
      <c r="CP232" s="263">
        <v>231</v>
      </c>
      <c r="CQ232" s="9">
        <v>10</v>
      </c>
      <c r="CR232" s="9">
        <v>15</v>
      </c>
      <c r="CS232" s="167">
        <f>'HourGH-JAN'!Q20</f>
        <v>0.41</v>
      </c>
      <c r="CT232" s="9">
        <v>231</v>
      </c>
      <c r="CU232" s="9">
        <v>10</v>
      </c>
      <c r="CV232" s="9">
        <v>15</v>
      </c>
      <c r="CW232" s="167">
        <f>'HourGH-FEB'!Q20</f>
        <v>0.56999999999999995</v>
      </c>
      <c r="CX232" s="263">
        <v>231</v>
      </c>
      <c r="CY232" s="9">
        <v>10</v>
      </c>
      <c r="CZ232" s="9">
        <v>15</v>
      </c>
      <c r="DA232" s="167">
        <f>'HourGH-MAR'!Q20</f>
        <v>0.65</v>
      </c>
    </row>
    <row r="233" spans="58:105">
      <c r="BF233" s="9">
        <v>232</v>
      </c>
      <c r="BG233" s="9">
        <v>10</v>
      </c>
      <c r="BH233" s="9">
        <v>16</v>
      </c>
      <c r="BI233" s="167">
        <f>'HourGH-APR'!R20</f>
        <v>0.61</v>
      </c>
      <c r="BJ233" s="263">
        <v>232</v>
      </c>
      <c r="BK233" s="9">
        <v>10</v>
      </c>
      <c r="BL233" s="9">
        <v>16</v>
      </c>
      <c r="BM233" s="167">
        <f>'HourGH-MAY'!R20</f>
        <v>0.59</v>
      </c>
      <c r="BN233" s="9">
        <v>232</v>
      </c>
      <c r="BO233" s="9">
        <v>10</v>
      </c>
      <c r="BP233" s="9">
        <v>16</v>
      </c>
      <c r="BQ233" s="167">
        <f>'HourGH-JUN'!R20</f>
        <v>0.16</v>
      </c>
      <c r="BR233" s="263">
        <v>232</v>
      </c>
      <c r="BS233" s="9">
        <v>10</v>
      </c>
      <c r="BT233" s="9">
        <v>16</v>
      </c>
      <c r="BU233" s="167">
        <f>'HourGH-JUL'!R20</f>
        <v>0.43</v>
      </c>
      <c r="BV233" s="263">
        <v>232</v>
      </c>
      <c r="BW233" s="9">
        <v>10</v>
      </c>
      <c r="BX233" s="9">
        <v>16</v>
      </c>
      <c r="BY233" s="167">
        <f>'HourGH-AUG'!R20</f>
        <v>2.36</v>
      </c>
      <c r="BZ233" s="9">
        <v>232</v>
      </c>
      <c r="CA233" s="9">
        <v>10</v>
      </c>
      <c r="CB233" s="9">
        <v>16</v>
      </c>
      <c r="CC233" s="167">
        <f>'HourGH-SEP'!R20</f>
        <v>1.98</v>
      </c>
      <c r="CD233" s="263">
        <v>232</v>
      </c>
      <c r="CE233" s="9">
        <v>10</v>
      </c>
      <c r="CF233" s="9">
        <v>16</v>
      </c>
      <c r="CG233" s="167">
        <f>'HourGH-OCT'!R20</f>
        <v>0.68</v>
      </c>
      <c r="CH233" s="9">
        <v>232</v>
      </c>
      <c r="CI233" s="9">
        <v>10</v>
      </c>
      <c r="CJ233" s="9">
        <v>16</v>
      </c>
      <c r="CK233" s="167">
        <f>'HourGH-NOV'!R20</f>
        <v>0.67</v>
      </c>
      <c r="CL233" s="263">
        <v>232</v>
      </c>
      <c r="CM233" s="9">
        <v>10</v>
      </c>
      <c r="CN233" s="9">
        <v>16</v>
      </c>
      <c r="CO233" s="167">
        <f>'HourGH-DEC'!R20</f>
        <v>0.48</v>
      </c>
      <c r="CP233" s="263">
        <v>232</v>
      </c>
      <c r="CQ233" s="9">
        <v>10</v>
      </c>
      <c r="CR233" s="9">
        <v>16</v>
      </c>
      <c r="CS233" s="167">
        <f>'HourGH-JAN'!R20</f>
        <v>0.41</v>
      </c>
      <c r="CT233" s="9">
        <v>232</v>
      </c>
      <c r="CU233" s="9">
        <v>10</v>
      </c>
      <c r="CV233" s="9">
        <v>16</v>
      </c>
      <c r="CW233" s="167">
        <f>'HourGH-FEB'!R20</f>
        <v>0.54</v>
      </c>
      <c r="CX233" s="263">
        <v>232</v>
      </c>
      <c r="CY233" s="9">
        <v>10</v>
      </c>
      <c r="CZ233" s="9">
        <v>16</v>
      </c>
      <c r="DA233" s="167">
        <f>'HourGH-MAR'!R20</f>
        <v>0.65</v>
      </c>
    </row>
    <row r="234" spans="58:105">
      <c r="BF234" s="9">
        <v>233</v>
      </c>
      <c r="BG234" s="9">
        <v>10</v>
      </c>
      <c r="BH234" s="9">
        <v>17</v>
      </c>
      <c r="BI234" s="167">
        <f>'HourGH-APR'!S20</f>
        <v>0.61</v>
      </c>
      <c r="BJ234" s="263">
        <v>233</v>
      </c>
      <c r="BK234" s="9">
        <v>10</v>
      </c>
      <c r="BL234" s="9">
        <v>17</v>
      </c>
      <c r="BM234" s="167">
        <f>'HourGH-MAY'!S20</f>
        <v>0.59</v>
      </c>
      <c r="BN234" s="9">
        <v>233</v>
      </c>
      <c r="BO234" s="9">
        <v>10</v>
      </c>
      <c r="BP234" s="9">
        <v>17</v>
      </c>
      <c r="BQ234" s="167">
        <f>'HourGH-JUN'!S20</f>
        <v>0.16</v>
      </c>
      <c r="BR234" s="263">
        <v>233</v>
      </c>
      <c r="BS234" s="9">
        <v>10</v>
      </c>
      <c r="BT234" s="9">
        <v>17</v>
      </c>
      <c r="BU234" s="167">
        <f>'HourGH-JUL'!S20</f>
        <v>0.43</v>
      </c>
      <c r="BV234" s="263">
        <v>233</v>
      </c>
      <c r="BW234" s="9">
        <v>10</v>
      </c>
      <c r="BX234" s="9">
        <v>17</v>
      </c>
      <c r="BY234" s="167">
        <f>'HourGH-AUG'!S20</f>
        <v>2.39</v>
      </c>
      <c r="BZ234" s="9">
        <v>233</v>
      </c>
      <c r="CA234" s="9">
        <v>10</v>
      </c>
      <c r="CB234" s="9">
        <v>17</v>
      </c>
      <c r="CC234" s="167">
        <f>'HourGH-SEP'!S20</f>
        <v>1.93</v>
      </c>
      <c r="CD234" s="263">
        <v>233</v>
      </c>
      <c r="CE234" s="9">
        <v>10</v>
      </c>
      <c r="CF234" s="9">
        <v>17</v>
      </c>
      <c r="CG234" s="167">
        <f>'HourGH-OCT'!S20</f>
        <v>0.68</v>
      </c>
      <c r="CH234" s="9">
        <v>233</v>
      </c>
      <c r="CI234" s="9">
        <v>10</v>
      </c>
      <c r="CJ234" s="9">
        <v>17</v>
      </c>
      <c r="CK234" s="167">
        <f>'HourGH-NOV'!S20</f>
        <v>0.67</v>
      </c>
      <c r="CL234" s="263">
        <v>233</v>
      </c>
      <c r="CM234" s="9">
        <v>10</v>
      </c>
      <c r="CN234" s="9">
        <v>17</v>
      </c>
      <c r="CO234" s="167">
        <f>'HourGH-DEC'!S20</f>
        <v>0.48</v>
      </c>
      <c r="CP234" s="263">
        <v>233</v>
      </c>
      <c r="CQ234" s="9">
        <v>10</v>
      </c>
      <c r="CR234" s="9">
        <v>17</v>
      </c>
      <c r="CS234" s="167">
        <f>'HourGH-JAN'!S20</f>
        <v>0.41</v>
      </c>
      <c r="CT234" s="9">
        <v>233</v>
      </c>
      <c r="CU234" s="9">
        <v>10</v>
      </c>
      <c r="CV234" s="9">
        <v>17</v>
      </c>
      <c r="CW234" s="167">
        <f>'HourGH-FEB'!S20</f>
        <v>0.51</v>
      </c>
      <c r="CX234" s="263">
        <v>233</v>
      </c>
      <c r="CY234" s="9">
        <v>10</v>
      </c>
      <c r="CZ234" s="9">
        <v>17</v>
      </c>
      <c r="DA234" s="167">
        <f>'HourGH-MAR'!S20</f>
        <v>0.65</v>
      </c>
    </row>
    <row r="235" spans="58:105">
      <c r="BF235" s="9">
        <v>234</v>
      </c>
      <c r="BG235" s="9">
        <v>10</v>
      </c>
      <c r="BH235" s="9">
        <v>18</v>
      </c>
      <c r="BI235" s="167">
        <f>'HourGH-APR'!T20</f>
        <v>0.61</v>
      </c>
      <c r="BJ235" s="263">
        <v>234</v>
      </c>
      <c r="BK235" s="9">
        <v>10</v>
      </c>
      <c r="BL235" s="9">
        <v>18</v>
      </c>
      <c r="BM235" s="167">
        <f>'HourGH-MAY'!T20</f>
        <v>0.59</v>
      </c>
      <c r="BN235" s="9">
        <v>234</v>
      </c>
      <c r="BO235" s="9">
        <v>10</v>
      </c>
      <c r="BP235" s="9">
        <v>18</v>
      </c>
      <c r="BQ235" s="167">
        <f>'HourGH-JUN'!T20</f>
        <v>0.16</v>
      </c>
      <c r="BR235" s="263">
        <v>234</v>
      </c>
      <c r="BS235" s="9">
        <v>10</v>
      </c>
      <c r="BT235" s="9">
        <v>18</v>
      </c>
      <c r="BU235" s="167">
        <f>'HourGH-JUL'!T20</f>
        <v>0.44</v>
      </c>
      <c r="BV235" s="263">
        <v>234</v>
      </c>
      <c r="BW235" s="9">
        <v>10</v>
      </c>
      <c r="BX235" s="9">
        <v>18</v>
      </c>
      <c r="BY235" s="167">
        <f>'HourGH-AUG'!T20</f>
        <v>2.42</v>
      </c>
      <c r="BZ235" s="9">
        <v>234</v>
      </c>
      <c r="CA235" s="9">
        <v>10</v>
      </c>
      <c r="CB235" s="9">
        <v>18</v>
      </c>
      <c r="CC235" s="167">
        <f>'HourGH-SEP'!T20</f>
        <v>1.89</v>
      </c>
      <c r="CD235" s="263">
        <v>234</v>
      </c>
      <c r="CE235" s="9">
        <v>10</v>
      </c>
      <c r="CF235" s="9">
        <v>18</v>
      </c>
      <c r="CG235" s="167">
        <f>'HourGH-OCT'!T20</f>
        <v>0.67</v>
      </c>
      <c r="CH235" s="9">
        <v>234</v>
      </c>
      <c r="CI235" s="9">
        <v>10</v>
      </c>
      <c r="CJ235" s="9">
        <v>18</v>
      </c>
      <c r="CK235" s="167">
        <f>'HourGH-NOV'!T20</f>
        <v>0.67</v>
      </c>
      <c r="CL235" s="263">
        <v>234</v>
      </c>
      <c r="CM235" s="9">
        <v>10</v>
      </c>
      <c r="CN235" s="9">
        <v>18</v>
      </c>
      <c r="CO235" s="167">
        <f>'HourGH-DEC'!T20</f>
        <v>0.48</v>
      </c>
      <c r="CP235" s="263">
        <v>234</v>
      </c>
      <c r="CQ235" s="9">
        <v>10</v>
      </c>
      <c r="CR235" s="9">
        <v>18</v>
      </c>
      <c r="CS235" s="167">
        <f>'HourGH-JAN'!T20</f>
        <v>0.41</v>
      </c>
      <c r="CT235" s="9">
        <v>234</v>
      </c>
      <c r="CU235" s="9">
        <v>10</v>
      </c>
      <c r="CV235" s="9">
        <v>18</v>
      </c>
      <c r="CW235" s="167">
        <f>'HourGH-FEB'!T20</f>
        <v>0.49</v>
      </c>
      <c r="CX235" s="263">
        <v>234</v>
      </c>
      <c r="CY235" s="9">
        <v>10</v>
      </c>
      <c r="CZ235" s="9">
        <v>18</v>
      </c>
      <c r="DA235" s="167">
        <f>'HourGH-MAR'!T20</f>
        <v>0.65</v>
      </c>
    </row>
    <row r="236" spans="58:105">
      <c r="BF236" s="9">
        <v>235</v>
      </c>
      <c r="BG236" s="9">
        <v>10</v>
      </c>
      <c r="BH236" s="9">
        <v>19</v>
      </c>
      <c r="BI236" s="167">
        <f>'HourGH-APR'!U20</f>
        <v>0.61</v>
      </c>
      <c r="BJ236" s="263">
        <v>235</v>
      </c>
      <c r="BK236" s="9">
        <v>10</v>
      </c>
      <c r="BL236" s="9">
        <v>19</v>
      </c>
      <c r="BM236" s="167">
        <f>'HourGH-MAY'!U20</f>
        <v>0.57999999999999996</v>
      </c>
      <c r="BN236" s="9">
        <v>235</v>
      </c>
      <c r="BO236" s="9">
        <v>10</v>
      </c>
      <c r="BP236" s="9">
        <v>19</v>
      </c>
      <c r="BQ236" s="167">
        <f>'HourGH-JUN'!U20</f>
        <v>0.17</v>
      </c>
      <c r="BR236" s="263">
        <v>235</v>
      </c>
      <c r="BS236" s="9">
        <v>10</v>
      </c>
      <c r="BT236" s="9">
        <v>19</v>
      </c>
      <c r="BU236" s="167">
        <f>'HourGH-JUL'!U20</f>
        <v>0.44</v>
      </c>
      <c r="BV236" s="263">
        <v>235</v>
      </c>
      <c r="BW236" s="9">
        <v>10</v>
      </c>
      <c r="BX236" s="9">
        <v>19</v>
      </c>
      <c r="BY236" s="167">
        <f>'HourGH-AUG'!U20</f>
        <v>2.44</v>
      </c>
      <c r="BZ236" s="9">
        <v>235</v>
      </c>
      <c r="CA236" s="9">
        <v>10</v>
      </c>
      <c r="CB236" s="9">
        <v>19</v>
      </c>
      <c r="CC236" s="167">
        <f>'HourGH-SEP'!U20</f>
        <v>1.84</v>
      </c>
      <c r="CD236" s="263">
        <v>235</v>
      </c>
      <c r="CE236" s="9">
        <v>10</v>
      </c>
      <c r="CF236" s="9">
        <v>19</v>
      </c>
      <c r="CG236" s="167">
        <f>'HourGH-OCT'!U20</f>
        <v>0.67</v>
      </c>
      <c r="CH236" s="9">
        <v>235</v>
      </c>
      <c r="CI236" s="9">
        <v>10</v>
      </c>
      <c r="CJ236" s="9">
        <v>19</v>
      </c>
      <c r="CK236" s="167">
        <f>'HourGH-NOV'!U20</f>
        <v>0.67</v>
      </c>
      <c r="CL236" s="263">
        <v>235</v>
      </c>
      <c r="CM236" s="9">
        <v>10</v>
      </c>
      <c r="CN236" s="9">
        <v>19</v>
      </c>
      <c r="CO236" s="167">
        <f>'HourGH-DEC'!U20</f>
        <v>0.48</v>
      </c>
      <c r="CP236" s="263">
        <v>235</v>
      </c>
      <c r="CQ236" s="9">
        <v>10</v>
      </c>
      <c r="CR236" s="9">
        <v>19</v>
      </c>
      <c r="CS236" s="167">
        <f>'HourGH-JAN'!U20</f>
        <v>0.41</v>
      </c>
      <c r="CT236" s="9">
        <v>235</v>
      </c>
      <c r="CU236" s="9">
        <v>10</v>
      </c>
      <c r="CV236" s="9">
        <v>19</v>
      </c>
      <c r="CW236" s="167">
        <f>'HourGH-FEB'!U20</f>
        <v>0.45</v>
      </c>
      <c r="CX236" s="263">
        <v>235</v>
      </c>
      <c r="CY236" s="9">
        <v>10</v>
      </c>
      <c r="CZ236" s="9">
        <v>19</v>
      </c>
      <c r="DA236" s="167">
        <f>'HourGH-MAR'!U20</f>
        <v>0.65</v>
      </c>
    </row>
    <row r="237" spans="58:105">
      <c r="BF237" s="9">
        <v>236</v>
      </c>
      <c r="BG237" s="9">
        <v>10</v>
      </c>
      <c r="BH237" s="9">
        <v>20</v>
      </c>
      <c r="BI237" s="167">
        <f>'HourGH-APR'!V20</f>
        <v>0.61</v>
      </c>
      <c r="BJ237" s="263">
        <v>236</v>
      </c>
      <c r="BK237" s="9">
        <v>10</v>
      </c>
      <c r="BL237" s="9">
        <v>20</v>
      </c>
      <c r="BM237" s="167">
        <f>'HourGH-MAY'!V20</f>
        <v>0.57999999999999996</v>
      </c>
      <c r="BN237" s="9">
        <v>236</v>
      </c>
      <c r="BO237" s="9">
        <v>10</v>
      </c>
      <c r="BP237" s="9">
        <v>20</v>
      </c>
      <c r="BQ237" s="167">
        <f>'HourGH-JUN'!V20</f>
        <v>0.17</v>
      </c>
      <c r="BR237" s="263">
        <v>236</v>
      </c>
      <c r="BS237" s="9">
        <v>10</v>
      </c>
      <c r="BT237" s="9">
        <v>20</v>
      </c>
      <c r="BU237" s="167">
        <f>'HourGH-JUL'!V20</f>
        <v>0.45</v>
      </c>
      <c r="BV237" s="263">
        <v>236</v>
      </c>
      <c r="BW237" s="9">
        <v>10</v>
      </c>
      <c r="BX237" s="9">
        <v>20</v>
      </c>
      <c r="BY237" s="167">
        <f>'HourGH-AUG'!V20</f>
        <v>2.46</v>
      </c>
      <c r="BZ237" s="9">
        <v>236</v>
      </c>
      <c r="CA237" s="9">
        <v>10</v>
      </c>
      <c r="CB237" s="9">
        <v>20</v>
      </c>
      <c r="CC237" s="167">
        <f>'HourGH-SEP'!V20</f>
        <v>1.8</v>
      </c>
      <c r="CD237" s="263">
        <v>236</v>
      </c>
      <c r="CE237" s="9">
        <v>10</v>
      </c>
      <c r="CF237" s="9">
        <v>20</v>
      </c>
      <c r="CG237" s="167">
        <f>'HourGH-OCT'!V20</f>
        <v>0.67</v>
      </c>
      <c r="CH237" s="9">
        <v>236</v>
      </c>
      <c r="CI237" s="9">
        <v>10</v>
      </c>
      <c r="CJ237" s="9">
        <v>20</v>
      </c>
      <c r="CK237" s="167">
        <f>'HourGH-NOV'!V20</f>
        <v>0.67</v>
      </c>
      <c r="CL237" s="263">
        <v>236</v>
      </c>
      <c r="CM237" s="9">
        <v>10</v>
      </c>
      <c r="CN237" s="9">
        <v>20</v>
      </c>
      <c r="CO237" s="167">
        <f>'HourGH-DEC'!V20</f>
        <v>0.48</v>
      </c>
      <c r="CP237" s="263">
        <v>236</v>
      </c>
      <c r="CQ237" s="9">
        <v>10</v>
      </c>
      <c r="CR237" s="9">
        <v>20</v>
      </c>
      <c r="CS237" s="167">
        <f>'HourGH-JAN'!V20</f>
        <v>0.41</v>
      </c>
      <c r="CT237" s="9">
        <v>236</v>
      </c>
      <c r="CU237" s="9">
        <v>10</v>
      </c>
      <c r="CV237" s="9">
        <v>20</v>
      </c>
      <c r="CW237" s="167">
        <f>'HourGH-FEB'!V20</f>
        <v>0.42</v>
      </c>
      <c r="CX237" s="263">
        <v>236</v>
      </c>
      <c r="CY237" s="9">
        <v>10</v>
      </c>
      <c r="CZ237" s="9">
        <v>20</v>
      </c>
      <c r="DA237" s="167">
        <f>'HourGH-MAR'!V20</f>
        <v>0.65</v>
      </c>
    </row>
    <row r="238" spans="58:105">
      <c r="BF238" s="9">
        <v>237</v>
      </c>
      <c r="BG238" s="9">
        <v>10</v>
      </c>
      <c r="BH238" s="9">
        <v>21</v>
      </c>
      <c r="BI238" s="167">
        <f>'HourGH-APR'!W20</f>
        <v>0.61</v>
      </c>
      <c r="BJ238" s="263">
        <v>237</v>
      </c>
      <c r="BK238" s="9">
        <v>10</v>
      </c>
      <c r="BL238" s="9">
        <v>21</v>
      </c>
      <c r="BM238" s="167">
        <f>'HourGH-MAY'!W20</f>
        <v>0.57999999999999996</v>
      </c>
      <c r="BN238" s="9">
        <v>237</v>
      </c>
      <c r="BO238" s="9">
        <v>10</v>
      </c>
      <c r="BP238" s="9">
        <v>21</v>
      </c>
      <c r="BQ238" s="167">
        <f>'HourGH-JUN'!W20</f>
        <v>0.17</v>
      </c>
      <c r="BR238" s="263">
        <v>237</v>
      </c>
      <c r="BS238" s="9">
        <v>10</v>
      </c>
      <c r="BT238" s="9">
        <v>21</v>
      </c>
      <c r="BU238" s="167">
        <f>'HourGH-JUL'!W20</f>
        <v>0.45</v>
      </c>
      <c r="BV238" s="263">
        <v>237</v>
      </c>
      <c r="BW238" s="9">
        <v>10</v>
      </c>
      <c r="BX238" s="9">
        <v>21</v>
      </c>
      <c r="BY238" s="167">
        <f>'HourGH-AUG'!W20</f>
        <v>2.48</v>
      </c>
      <c r="BZ238" s="9">
        <v>237</v>
      </c>
      <c r="CA238" s="9">
        <v>10</v>
      </c>
      <c r="CB238" s="9">
        <v>21</v>
      </c>
      <c r="CC238" s="167">
        <f>'HourGH-SEP'!W20</f>
        <v>1.77</v>
      </c>
      <c r="CD238" s="263">
        <v>237</v>
      </c>
      <c r="CE238" s="9">
        <v>10</v>
      </c>
      <c r="CF238" s="9">
        <v>21</v>
      </c>
      <c r="CG238" s="167">
        <f>'HourGH-OCT'!W20</f>
        <v>0.67</v>
      </c>
      <c r="CH238" s="9">
        <v>237</v>
      </c>
      <c r="CI238" s="9">
        <v>10</v>
      </c>
      <c r="CJ238" s="9">
        <v>21</v>
      </c>
      <c r="CK238" s="167">
        <f>'HourGH-NOV'!W20</f>
        <v>0.67</v>
      </c>
      <c r="CL238" s="263">
        <v>237</v>
      </c>
      <c r="CM238" s="9">
        <v>10</v>
      </c>
      <c r="CN238" s="9">
        <v>21</v>
      </c>
      <c r="CO238" s="167">
        <f>'HourGH-DEC'!W20</f>
        <v>0.48</v>
      </c>
      <c r="CP238" s="263">
        <v>237</v>
      </c>
      <c r="CQ238" s="9">
        <v>10</v>
      </c>
      <c r="CR238" s="9">
        <v>21</v>
      </c>
      <c r="CS238" s="167">
        <f>'HourGH-JAN'!W20</f>
        <v>0.41</v>
      </c>
      <c r="CT238" s="9">
        <v>237</v>
      </c>
      <c r="CU238" s="9">
        <v>10</v>
      </c>
      <c r="CV238" s="9">
        <v>21</v>
      </c>
      <c r="CW238" s="167">
        <f>'HourGH-FEB'!W20</f>
        <v>0.41</v>
      </c>
      <c r="CX238" s="263">
        <v>237</v>
      </c>
      <c r="CY238" s="9">
        <v>10</v>
      </c>
      <c r="CZ238" s="9">
        <v>21</v>
      </c>
      <c r="DA238" s="167">
        <f>'HourGH-MAR'!W20</f>
        <v>0.65</v>
      </c>
    </row>
    <row r="239" spans="58:105">
      <c r="BF239" s="9">
        <v>238</v>
      </c>
      <c r="BG239" s="9">
        <v>10</v>
      </c>
      <c r="BH239" s="9">
        <v>22</v>
      </c>
      <c r="BI239" s="167">
        <f>'HourGH-APR'!X20</f>
        <v>0.61</v>
      </c>
      <c r="BJ239" s="263">
        <v>238</v>
      </c>
      <c r="BK239" s="9">
        <v>10</v>
      </c>
      <c r="BL239" s="9">
        <v>22</v>
      </c>
      <c r="BM239" s="167">
        <f>'HourGH-MAY'!X20</f>
        <v>0.57999999999999996</v>
      </c>
      <c r="BN239" s="9">
        <v>238</v>
      </c>
      <c r="BO239" s="9">
        <v>10</v>
      </c>
      <c r="BP239" s="9">
        <v>22</v>
      </c>
      <c r="BQ239" s="167">
        <f>'HourGH-JUN'!X20</f>
        <v>0.17</v>
      </c>
      <c r="BR239" s="263">
        <v>238</v>
      </c>
      <c r="BS239" s="9">
        <v>10</v>
      </c>
      <c r="BT239" s="9">
        <v>22</v>
      </c>
      <c r="BU239" s="167">
        <f>'HourGH-JUL'!X20</f>
        <v>0.46</v>
      </c>
      <c r="BV239" s="263">
        <v>238</v>
      </c>
      <c r="BW239" s="9">
        <v>10</v>
      </c>
      <c r="BX239" s="9">
        <v>22</v>
      </c>
      <c r="BY239" s="167">
        <f>'HourGH-AUG'!X20</f>
        <v>2.5</v>
      </c>
      <c r="BZ239" s="9">
        <v>238</v>
      </c>
      <c r="CA239" s="9">
        <v>10</v>
      </c>
      <c r="CB239" s="9">
        <v>22</v>
      </c>
      <c r="CC239" s="167">
        <f>'HourGH-SEP'!X20</f>
        <v>1.73</v>
      </c>
      <c r="CD239" s="263">
        <v>238</v>
      </c>
      <c r="CE239" s="9">
        <v>10</v>
      </c>
      <c r="CF239" s="9">
        <v>22</v>
      </c>
      <c r="CG239" s="167">
        <f>'HourGH-OCT'!X20</f>
        <v>0.67</v>
      </c>
      <c r="CH239" s="9">
        <v>238</v>
      </c>
      <c r="CI239" s="9">
        <v>10</v>
      </c>
      <c r="CJ239" s="9">
        <v>22</v>
      </c>
      <c r="CK239" s="167">
        <f>'HourGH-NOV'!X20</f>
        <v>0.67</v>
      </c>
      <c r="CL239" s="263">
        <v>238</v>
      </c>
      <c r="CM239" s="9">
        <v>10</v>
      </c>
      <c r="CN239" s="9">
        <v>22</v>
      </c>
      <c r="CO239" s="167">
        <f>'HourGH-DEC'!X20</f>
        <v>0.48</v>
      </c>
      <c r="CP239" s="263">
        <v>238</v>
      </c>
      <c r="CQ239" s="9">
        <v>10</v>
      </c>
      <c r="CR239" s="9">
        <v>22</v>
      </c>
      <c r="CS239" s="167">
        <f>'HourGH-JAN'!X20</f>
        <v>0.41</v>
      </c>
      <c r="CT239" s="9">
        <v>238</v>
      </c>
      <c r="CU239" s="9">
        <v>10</v>
      </c>
      <c r="CV239" s="9">
        <v>22</v>
      </c>
      <c r="CW239" s="167">
        <f>'HourGH-FEB'!X20</f>
        <v>0.39</v>
      </c>
      <c r="CX239" s="263">
        <v>238</v>
      </c>
      <c r="CY239" s="9">
        <v>10</v>
      </c>
      <c r="CZ239" s="9">
        <v>22</v>
      </c>
      <c r="DA239" s="167">
        <f>'HourGH-MAR'!X20</f>
        <v>0.65</v>
      </c>
    </row>
    <row r="240" spans="58:105">
      <c r="BF240" s="9">
        <v>239</v>
      </c>
      <c r="BG240" s="9">
        <v>10</v>
      </c>
      <c r="BH240" s="9">
        <v>23</v>
      </c>
      <c r="BI240" s="167">
        <f>'HourGH-APR'!Y20</f>
        <v>0.61</v>
      </c>
      <c r="BJ240" s="263">
        <v>239</v>
      </c>
      <c r="BK240" s="9">
        <v>10</v>
      </c>
      <c r="BL240" s="9">
        <v>23</v>
      </c>
      <c r="BM240" s="167">
        <f>'HourGH-MAY'!Y20</f>
        <v>0.57999999999999996</v>
      </c>
      <c r="BN240" s="9">
        <v>239</v>
      </c>
      <c r="BO240" s="9">
        <v>10</v>
      </c>
      <c r="BP240" s="9">
        <v>23</v>
      </c>
      <c r="BQ240" s="167">
        <f>'HourGH-JUN'!Y20</f>
        <v>0.17</v>
      </c>
      <c r="BR240" s="263">
        <v>239</v>
      </c>
      <c r="BS240" s="9">
        <v>10</v>
      </c>
      <c r="BT240" s="9">
        <v>23</v>
      </c>
      <c r="BU240" s="167">
        <f>'HourGH-JUL'!Y20</f>
        <v>0.46</v>
      </c>
      <c r="BV240" s="263">
        <v>239</v>
      </c>
      <c r="BW240" s="9">
        <v>10</v>
      </c>
      <c r="BX240" s="9">
        <v>23</v>
      </c>
      <c r="BY240" s="167">
        <f>'HourGH-AUG'!Y20</f>
        <v>2.5099999999999998</v>
      </c>
      <c r="BZ240" s="9">
        <v>239</v>
      </c>
      <c r="CA240" s="9">
        <v>10</v>
      </c>
      <c r="CB240" s="9">
        <v>23</v>
      </c>
      <c r="CC240" s="167">
        <f>'HourGH-SEP'!Y20</f>
        <v>1.7</v>
      </c>
      <c r="CD240" s="263">
        <v>239</v>
      </c>
      <c r="CE240" s="9">
        <v>10</v>
      </c>
      <c r="CF240" s="9">
        <v>23</v>
      </c>
      <c r="CG240" s="167">
        <f>'HourGH-OCT'!Y20</f>
        <v>0.67</v>
      </c>
      <c r="CH240" s="9">
        <v>239</v>
      </c>
      <c r="CI240" s="9">
        <v>10</v>
      </c>
      <c r="CJ240" s="9">
        <v>23</v>
      </c>
      <c r="CK240" s="167">
        <f>'HourGH-NOV'!Y20</f>
        <v>0.67</v>
      </c>
      <c r="CL240" s="263">
        <v>239</v>
      </c>
      <c r="CM240" s="9">
        <v>10</v>
      </c>
      <c r="CN240" s="9">
        <v>23</v>
      </c>
      <c r="CO240" s="167">
        <f>'HourGH-DEC'!Y20</f>
        <v>0.48</v>
      </c>
      <c r="CP240" s="263">
        <v>239</v>
      </c>
      <c r="CQ240" s="9">
        <v>10</v>
      </c>
      <c r="CR240" s="9">
        <v>23</v>
      </c>
      <c r="CS240" s="167">
        <f>'HourGH-JAN'!Y20</f>
        <v>0.41</v>
      </c>
      <c r="CT240" s="9">
        <v>239</v>
      </c>
      <c r="CU240" s="9">
        <v>10</v>
      </c>
      <c r="CV240" s="9">
        <v>23</v>
      </c>
      <c r="CW240" s="167">
        <f>'HourGH-FEB'!Y20</f>
        <v>0.37</v>
      </c>
      <c r="CX240" s="263">
        <v>239</v>
      </c>
      <c r="CY240" s="9">
        <v>10</v>
      </c>
      <c r="CZ240" s="9">
        <v>23</v>
      </c>
      <c r="DA240" s="167">
        <f>'HourGH-MAR'!Y20</f>
        <v>0.65</v>
      </c>
    </row>
    <row r="241" spans="58:105">
      <c r="BF241" s="9">
        <v>240</v>
      </c>
      <c r="BG241" s="9">
        <v>10</v>
      </c>
      <c r="BH241" s="9">
        <v>24</v>
      </c>
      <c r="BI241" s="167">
        <f>'HourGH-APR'!Z20</f>
        <v>0.61</v>
      </c>
      <c r="BJ241" s="263">
        <v>240</v>
      </c>
      <c r="BK241" s="9">
        <v>10</v>
      </c>
      <c r="BL241" s="9">
        <v>24</v>
      </c>
      <c r="BM241" s="167">
        <f>'HourGH-MAY'!Z20</f>
        <v>0.57999999999999996</v>
      </c>
      <c r="BN241" s="9">
        <v>240</v>
      </c>
      <c r="BO241" s="9">
        <v>10</v>
      </c>
      <c r="BP241" s="9">
        <v>24</v>
      </c>
      <c r="BQ241" s="167">
        <f>'HourGH-JUN'!Z20</f>
        <v>0.17</v>
      </c>
      <c r="BR241" s="263">
        <v>240</v>
      </c>
      <c r="BS241" s="9">
        <v>10</v>
      </c>
      <c r="BT241" s="9">
        <v>24</v>
      </c>
      <c r="BU241" s="167">
        <f>'HourGH-JUL'!Z20</f>
        <v>0.47</v>
      </c>
      <c r="BV241" s="263">
        <v>240</v>
      </c>
      <c r="BW241" s="9">
        <v>10</v>
      </c>
      <c r="BX241" s="9">
        <v>24</v>
      </c>
      <c r="BY241" s="167">
        <f>'HourGH-AUG'!Z20</f>
        <v>2.52</v>
      </c>
      <c r="BZ241" s="9">
        <v>240</v>
      </c>
      <c r="CA241" s="9">
        <v>10</v>
      </c>
      <c r="CB241" s="9">
        <v>24</v>
      </c>
      <c r="CC241" s="167">
        <f>'HourGH-SEP'!Z20</f>
        <v>1.67</v>
      </c>
      <c r="CD241" s="263">
        <v>240</v>
      </c>
      <c r="CE241" s="9">
        <v>10</v>
      </c>
      <c r="CF241" s="9">
        <v>24</v>
      </c>
      <c r="CG241" s="167">
        <f>'HourGH-OCT'!Z20</f>
        <v>0.67</v>
      </c>
      <c r="CH241" s="9">
        <v>240</v>
      </c>
      <c r="CI241" s="9">
        <v>10</v>
      </c>
      <c r="CJ241" s="9">
        <v>24</v>
      </c>
      <c r="CK241" s="167">
        <f>'HourGH-NOV'!Z20</f>
        <v>0.67</v>
      </c>
      <c r="CL241" s="263">
        <v>240</v>
      </c>
      <c r="CM241" s="9">
        <v>10</v>
      </c>
      <c r="CN241" s="9">
        <v>24</v>
      </c>
      <c r="CO241" s="167">
        <f>'HourGH-DEC'!Z20</f>
        <v>0.48</v>
      </c>
      <c r="CP241" s="263">
        <v>240</v>
      </c>
      <c r="CQ241" s="9">
        <v>10</v>
      </c>
      <c r="CR241" s="9">
        <v>24</v>
      </c>
      <c r="CS241" s="167">
        <f>'HourGH-JAN'!Z20</f>
        <v>0.41</v>
      </c>
      <c r="CT241" s="9">
        <v>240</v>
      </c>
      <c r="CU241" s="9">
        <v>10</v>
      </c>
      <c r="CV241" s="9">
        <v>24</v>
      </c>
      <c r="CW241" s="167">
        <f>'HourGH-FEB'!Z20</f>
        <v>0.36</v>
      </c>
      <c r="CX241" s="263">
        <v>240</v>
      </c>
      <c r="CY241" s="9">
        <v>10</v>
      </c>
      <c r="CZ241" s="9">
        <v>24</v>
      </c>
      <c r="DA241" s="167">
        <f>'HourGH-MAR'!Z20</f>
        <v>0.65</v>
      </c>
    </row>
    <row r="242" spans="58:105">
      <c r="BF242" s="9">
        <v>241</v>
      </c>
      <c r="BG242" s="9">
        <v>11</v>
      </c>
      <c r="BH242" s="9">
        <v>1</v>
      </c>
      <c r="BI242" s="167">
        <f>'HourGH-APR'!C22</f>
        <v>0.62</v>
      </c>
      <c r="BJ242" s="263">
        <v>241</v>
      </c>
      <c r="BK242" s="9">
        <v>11</v>
      </c>
      <c r="BL242" s="9">
        <v>1</v>
      </c>
      <c r="BM242" s="167">
        <f>'HourGH-MAY'!C22</f>
        <v>0.57999999999999996</v>
      </c>
      <c r="BN242" s="9">
        <v>241</v>
      </c>
      <c r="BO242" s="9">
        <v>11</v>
      </c>
      <c r="BP242" s="9">
        <v>1</v>
      </c>
      <c r="BQ242" s="167">
        <f>'HourGH-JUN'!C22</f>
        <v>0.18</v>
      </c>
      <c r="BR242" s="263">
        <v>241</v>
      </c>
      <c r="BS242" s="9">
        <v>11</v>
      </c>
      <c r="BT242" s="9">
        <v>1</v>
      </c>
      <c r="BU242" s="167">
        <f>'HourGH-JUL'!C22</f>
        <v>0.47</v>
      </c>
      <c r="BV242" s="263">
        <v>241</v>
      </c>
      <c r="BW242" s="9">
        <v>11</v>
      </c>
      <c r="BX242" s="9">
        <v>1</v>
      </c>
      <c r="BY242" s="167">
        <f>'HourGH-AUG'!C22</f>
        <v>2.5299999999999998</v>
      </c>
      <c r="BZ242" s="9">
        <v>241</v>
      </c>
      <c r="CA242" s="9">
        <v>11</v>
      </c>
      <c r="CB242" s="9">
        <v>1</v>
      </c>
      <c r="CC242" s="167">
        <f>'HourGH-SEP'!C22</f>
        <v>1.64</v>
      </c>
      <c r="CD242" s="263">
        <v>241</v>
      </c>
      <c r="CE242" s="9">
        <v>11</v>
      </c>
      <c r="CF242" s="9">
        <v>1</v>
      </c>
      <c r="CG242" s="167">
        <f>'HourGH-OCT'!C22</f>
        <v>0.66</v>
      </c>
      <c r="CH242" s="9">
        <v>241</v>
      </c>
      <c r="CI242" s="9">
        <v>11</v>
      </c>
      <c r="CJ242" s="9">
        <v>1</v>
      </c>
      <c r="CK242" s="167">
        <f>'HourGH-NOV'!C22</f>
        <v>0.66</v>
      </c>
      <c r="CL242" s="263">
        <v>241</v>
      </c>
      <c r="CM242" s="9">
        <v>11</v>
      </c>
      <c r="CN242" s="9">
        <v>1</v>
      </c>
      <c r="CO242" s="167">
        <f>'HourGH-DEC'!C22</f>
        <v>0.48</v>
      </c>
      <c r="CP242" s="263">
        <v>241</v>
      </c>
      <c r="CQ242" s="9">
        <v>11</v>
      </c>
      <c r="CR242" s="9">
        <v>1</v>
      </c>
      <c r="CS242" s="167">
        <f>'HourGH-JAN'!C22</f>
        <v>0.4</v>
      </c>
      <c r="CT242" s="9">
        <v>241</v>
      </c>
      <c r="CU242" s="9">
        <v>11</v>
      </c>
      <c r="CV242" s="9">
        <v>1</v>
      </c>
      <c r="CW242" s="167">
        <f>'HourGH-FEB'!C22</f>
        <v>0.35</v>
      </c>
      <c r="CX242" s="263">
        <v>241</v>
      </c>
      <c r="CY242" s="9">
        <v>11</v>
      </c>
      <c r="CZ242" s="9">
        <v>1</v>
      </c>
      <c r="DA242" s="167">
        <f>'HourGH-MAR'!C22</f>
        <v>0.66</v>
      </c>
    </row>
    <row r="243" spans="58:105">
      <c r="BF243" s="9">
        <v>242</v>
      </c>
      <c r="BG243" s="9">
        <v>11</v>
      </c>
      <c r="BH243" s="9">
        <v>2</v>
      </c>
      <c r="BI243" s="167">
        <f>'HourGH-APR'!D22</f>
        <v>0.62</v>
      </c>
      <c r="BJ243" s="263">
        <v>242</v>
      </c>
      <c r="BK243" s="9">
        <v>11</v>
      </c>
      <c r="BL243" s="9">
        <v>2</v>
      </c>
      <c r="BM243" s="167">
        <f>'HourGH-MAY'!D22</f>
        <v>0.57999999999999996</v>
      </c>
      <c r="BN243" s="9">
        <v>242</v>
      </c>
      <c r="BO243" s="9">
        <v>11</v>
      </c>
      <c r="BP243" s="9">
        <v>2</v>
      </c>
      <c r="BQ243" s="167">
        <f>'HourGH-JUN'!D22</f>
        <v>0.18</v>
      </c>
      <c r="BR243" s="263">
        <v>242</v>
      </c>
      <c r="BS243" s="9">
        <v>11</v>
      </c>
      <c r="BT243" s="9">
        <v>2</v>
      </c>
      <c r="BU243" s="167">
        <f>'HourGH-JUL'!D22</f>
        <v>0.47</v>
      </c>
      <c r="BV243" s="263">
        <v>242</v>
      </c>
      <c r="BW243" s="9">
        <v>11</v>
      </c>
      <c r="BX243" s="9">
        <v>2</v>
      </c>
      <c r="BY243" s="167">
        <f>'HourGH-AUG'!D22</f>
        <v>2.5299999999999998</v>
      </c>
      <c r="BZ243" s="9">
        <v>242</v>
      </c>
      <c r="CA243" s="9">
        <v>11</v>
      </c>
      <c r="CB243" s="9">
        <v>2</v>
      </c>
      <c r="CC243" s="167">
        <f>'HourGH-SEP'!D22</f>
        <v>1.61</v>
      </c>
      <c r="CD243" s="263">
        <v>242</v>
      </c>
      <c r="CE243" s="9">
        <v>11</v>
      </c>
      <c r="CF243" s="9">
        <v>2</v>
      </c>
      <c r="CG243" s="167">
        <f>'HourGH-OCT'!D22</f>
        <v>0.66</v>
      </c>
      <c r="CH243" s="9">
        <v>242</v>
      </c>
      <c r="CI243" s="9">
        <v>11</v>
      </c>
      <c r="CJ243" s="9">
        <v>2</v>
      </c>
      <c r="CK243" s="167">
        <f>'HourGH-NOV'!D22</f>
        <v>0.66</v>
      </c>
      <c r="CL243" s="263">
        <v>242</v>
      </c>
      <c r="CM243" s="9">
        <v>11</v>
      </c>
      <c r="CN243" s="9">
        <v>2</v>
      </c>
      <c r="CO243" s="167">
        <f>'HourGH-DEC'!D22</f>
        <v>0.48</v>
      </c>
      <c r="CP243" s="263">
        <v>242</v>
      </c>
      <c r="CQ243" s="9">
        <v>11</v>
      </c>
      <c r="CR243" s="9">
        <v>2</v>
      </c>
      <c r="CS243" s="167">
        <f>'HourGH-JAN'!D22</f>
        <v>0.4</v>
      </c>
      <c r="CT243" s="9">
        <v>242</v>
      </c>
      <c r="CU243" s="9">
        <v>11</v>
      </c>
      <c r="CV243" s="9">
        <v>2</v>
      </c>
      <c r="CW243" s="167">
        <f>'HourGH-FEB'!D22</f>
        <v>0.34</v>
      </c>
      <c r="CX243" s="263">
        <v>242</v>
      </c>
      <c r="CY243" s="9">
        <v>11</v>
      </c>
      <c r="CZ243" s="9">
        <v>2</v>
      </c>
      <c r="DA243" s="167">
        <f>'HourGH-MAR'!D22</f>
        <v>0.66</v>
      </c>
    </row>
    <row r="244" spans="58:105">
      <c r="BF244" s="9">
        <v>243</v>
      </c>
      <c r="BG244" s="9">
        <v>11</v>
      </c>
      <c r="BH244" s="9">
        <v>3</v>
      </c>
      <c r="BI244" s="167">
        <f>'HourGH-APR'!E22</f>
        <v>0.62</v>
      </c>
      <c r="BJ244" s="263">
        <v>243</v>
      </c>
      <c r="BK244" s="9">
        <v>11</v>
      </c>
      <c r="BL244" s="9">
        <v>3</v>
      </c>
      <c r="BM244" s="167">
        <f>'HourGH-MAY'!E22</f>
        <v>0.57999999999999996</v>
      </c>
      <c r="BN244" s="9">
        <v>243</v>
      </c>
      <c r="BO244" s="9">
        <v>11</v>
      </c>
      <c r="BP244" s="9">
        <v>3</v>
      </c>
      <c r="BQ244" s="167">
        <f>'HourGH-JUN'!E22</f>
        <v>0.19</v>
      </c>
      <c r="BR244" s="263">
        <v>243</v>
      </c>
      <c r="BS244" s="9">
        <v>11</v>
      </c>
      <c r="BT244" s="9">
        <v>3</v>
      </c>
      <c r="BU244" s="167">
        <f>'HourGH-JUL'!E22</f>
        <v>0.47</v>
      </c>
      <c r="BV244" s="263">
        <v>243</v>
      </c>
      <c r="BW244" s="9">
        <v>11</v>
      </c>
      <c r="BX244" s="9">
        <v>3</v>
      </c>
      <c r="BY244" s="167">
        <f>'HourGH-AUG'!E22</f>
        <v>2.54</v>
      </c>
      <c r="BZ244" s="9">
        <v>243</v>
      </c>
      <c r="CA244" s="9">
        <v>11</v>
      </c>
      <c r="CB244" s="9">
        <v>3</v>
      </c>
      <c r="CC244" s="167">
        <f>'HourGH-SEP'!E22</f>
        <v>1.59</v>
      </c>
      <c r="CD244" s="263">
        <v>243</v>
      </c>
      <c r="CE244" s="9">
        <v>11</v>
      </c>
      <c r="CF244" s="9">
        <v>3</v>
      </c>
      <c r="CG244" s="167">
        <f>'HourGH-OCT'!E22</f>
        <v>0.66</v>
      </c>
      <c r="CH244" s="9">
        <v>243</v>
      </c>
      <c r="CI244" s="9">
        <v>11</v>
      </c>
      <c r="CJ244" s="9">
        <v>3</v>
      </c>
      <c r="CK244" s="167">
        <f>'HourGH-NOV'!E22</f>
        <v>0.66</v>
      </c>
      <c r="CL244" s="263">
        <v>243</v>
      </c>
      <c r="CM244" s="9">
        <v>11</v>
      </c>
      <c r="CN244" s="9">
        <v>3</v>
      </c>
      <c r="CO244" s="167">
        <f>'HourGH-DEC'!E22</f>
        <v>0.48</v>
      </c>
      <c r="CP244" s="263">
        <v>243</v>
      </c>
      <c r="CQ244" s="9">
        <v>11</v>
      </c>
      <c r="CR244" s="9">
        <v>3</v>
      </c>
      <c r="CS244" s="167">
        <f>'HourGH-JAN'!E22</f>
        <v>0.4</v>
      </c>
      <c r="CT244" s="9">
        <v>243</v>
      </c>
      <c r="CU244" s="9">
        <v>11</v>
      </c>
      <c r="CV244" s="9">
        <v>3</v>
      </c>
      <c r="CW244" s="167">
        <f>'HourGH-FEB'!E22</f>
        <v>0.33</v>
      </c>
      <c r="CX244" s="263">
        <v>243</v>
      </c>
      <c r="CY244" s="9">
        <v>11</v>
      </c>
      <c r="CZ244" s="9">
        <v>3</v>
      </c>
      <c r="DA244" s="167">
        <f>'HourGH-MAR'!E22</f>
        <v>0.66</v>
      </c>
    </row>
    <row r="245" spans="58:105">
      <c r="BF245" s="9">
        <v>244</v>
      </c>
      <c r="BG245" s="9">
        <v>11</v>
      </c>
      <c r="BH245" s="9">
        <v>4</v>
      </c>
      <c r="BI245" s="167">
        <f>'HourGH-APR'!F22</f>
        <v>0.62</v>
      </c>
      <c r="BJ245" s="263">
        <v>244</v>
      </c>
      <c r="BK245" s="9">
        <v>11</v>
      </c>
      <c r="BL245" s="9">
        <v>4</v>
      </c>
      <c r="BM245" s="167">
        <f>'HourGH-MAY'!F22</f>
        <v>0.57999999999999996</v>
      </c>
      <c r="BN245" s="9">
        <v>244</v>
      </c>
      <c r="BO245" s="9">
        <v>11</v>
      </c>
      <c r="BP245" s="9">
        <v>4</v>
      </c>
      <c r="BQ245" s="167">
        <f>'HourGH-JUN'!F22</f>
        <v>0.19</v>
      </c>
      <c r="BR245" s="263">
        <v>244</v>
      </c>
      <c r="BS245" s="9">
        <v>11</v>
      </c>
      <c r="BT245" s="9">
        <v>4</v>
      </c>
      <c r="BU245" s="167">
        <f>'HourGH-JUL'!F22</f>
        <v>0.48</v>
      </c>
      <c r="BV245" s="263">
        <v>244</v>
      </c>
      <c r="BW245" s="9">
        <v>11</v>
      </c>
      <c r="BX245" s="9">
        <v>4</v>
      </c>
      <c r="BY245" s="167">
        <f>'HourGH-AUG'!F22</f>
        <v>2.54</v>
      </c>
      <c r="BZ245" s="9">
        <v>244</v>
      </c>
      <c r="CA245" s="9">
        <v>11</v>
      </c>
      <c r="CB245" s="9">
        <v>4</v>
      </c>
      <c r="CC245" s="167">
        <f>'HourGH-SEP'!F22</f>
        <v>1.56</v>
      </c>
      <c r="CD245" s="263">
        <v>244</v>
      </c>
      <c r="CE245" s="9">
        <v>11</v>
      </c>
      <c r="CF245" s="9">
        <v>4</v>
      </c>
      <c r="CG245" s="167">
        <f>'HourGH-OCT'!F22</f>
        <v>0.66</v>
      </c>
      <c r="CH245" s="9">
        <v>244</v>
      </c>
      <c r="CI245" s="9">
        <v>11</v>
      </c>
      <c r="CJ245" s="9">
        <v>4</v>
      </c>
      <c r="CK245" s="167">
        <f>'HourGH-NOV'!F22</f>
        <v>0.66</v>
      </c>
      <c r="CL245" s="263">
        <v>244</v>
      </c>
      <c r="CM245" s="9">
        <v>11</v>
      </c>
      <c r="CN245" s="9">
        <v>4</v>
      </c>
      <c r="CO245" s="167">
        <f>'HourGH-DEC'!F22</f>
        <v>0.48</v>
      </c>
      <c r="CP245" s="263">
        <v>244</v>
      </c>
      <c r="CQ245" s="9">
        <v>11</v>
      </c>
      <c r="CR245" s="9">
        <v>4</v>
      </c>
      <c r="CS245" s="167">
        <f>'HourGH-JAN'!F22</f>
        <v>0.4</v>
      </c>
      <c r="CT245" s="9">
        <v>244</v>
      </c>
      <c r="CU245" s="9">
        <v>11</v>
      </c>
      <c r="CV245" s="9">
        <v>4</v>
      </c>
      <c r="CW245" s="167">
        <f>'HourGH-FEB'!F22</f>
        <v>0.32</v>
      </c>
      <c r="CX245" s="263">
        <v>244</v>
      </c>
      <c r="CY245" s="9">
        <v>11</v>
      </c>
      <c r="CZ245" s="9">
        <v>4</v>
      </c>
      <c r="DA245" s="167">
        <f>'HourGH-MAR'!F22</f>
        <v>0.66</v>
      </c>
    </row>
    <row r="246" spans="58:105">
      <c r="BF246" s="9">
        <v>245</v>
      </c>
      <c r="BG246" s="9">
        <v>11</v>
      </c>
      <c r="BH246" s="9">
        <v>5</v>
      </c>
      <c r="BI246" s="167">
        <f>'HourGH-APR'!G22</f>
        <v>0.62</v>
      </c>
      <c r="BJ246" s="263">
        <v>245</v>
      </c>
      <c r="BK246" s="9">
        <v>11</v>
      </c>
      <c r="BL246" s="9">
        <v>5</v>
      </c>
      <c r="BM246" s="167">
        <f>'HourGH-MAY'!G22</f>
        <v>0.57999999999999996</v>
      </c>
      <c r="BN246" s="9">
        <v>245</v>
      </c>
      <c r="BO246" s="9">
        <v>11</v>
      </c>
      <c r="BP246" s="9">
        <v>5</v>
      </c>
      <c r="BQ246" s="167">
        <f>'HourGH-JUN'!G22</f>
        <v>0.2</v>
      </c>
      <c r="BR246" s="263">
        <v>245</v>
      </c>
      <c r="BS246" s="9">
        <v>11</v>
      </c>
      <c r="BT246" s="9">
        <v>5</v>
      </c>
      <c r="BU246" s="167">
        <f>'HourGH-JUL'!G22</f>
        <v>0.48</v>
      </c>
      <c r="BV246" s="263">
        <v>245</v>
      </c>
      <c r="BW246" s="9">
        <v>11</v>
      </c>
      <c r="BX246" s="9">
        <v>5</v>
      </c>
      <c r="BY246" s="167">
        <f>'HourGH-AUG'!G22</f>
        <v>2.54</v>
      </c>
      <c r="BZ246" s="9">
        <v>245</v>
      </c>
      <c r="CA246" s="9">
        <v>11</v>
      </c>
      <c r="CB246" s="9">
        <v>5</v>
      </c>
      <c r="CC246" s="167">
        <f>'HourGH-SEP'!G22</f>
        <v>1.54</v>
      </c>
      <c r="CD246" s="263">
        <v>245</v>
      </c>
      <c r="CE246" s="9">
        <v>11</v>
      </c>
      <c r="CF246" s="9">
        <v>5</v>
      </c>
      <c r="CG246" s="167">
        <f>'HourGH-OCT'!G22</f>
        <v>0.66</v>
      </c>
      <c r="CH246" s="9">
        <v>245</v>
      </c>
      <c r="CI246" s="9">
        <v>11</v>
      </c>
      <c r="CJ246" s="9">
        <v>5</v>
      </c>
      <c r="CK246" s="167">
        <f>'HourGH-NOV'!G22</f>
        <v>0.66</v>
      </c>
      <c r="CL246" s="263">
        <v>245</v>
      </c>
      <c r="CM246" s="9">
        <v>11</v>
      </c>
      <c r="CN246" s="9">
        <v>5</v>
      </c>
      <c r="CO246" s="167">
        <f>'HourGH-DEC'!G22</f>
        <v>0.48</v>
      </c>
      <c r="CP246" s="263">
        <v>245</v>
      </c>
      <c r="CQ246" s="9">
        <v>11</v>
      </c>
      <c r="CR246" s="9">
        <v>5</v>
      </c>
      <c r="CS246" s="167">
        <f>'HourGH-JAN'!G22</f>
        <v>0.4</v>
      </c>
      <c r="CT246" s="9">
        <v>245</v>
      </c>
      <c r="CU246" s="9">
        <v>11</v>
      </c>
      <c r="CV246" s="9">
        <v>5</v>
      </c>
      <c r="CW246" s="167">
        <f>'HourGH-FEB'!G22</f>
        <v>0.31</v>
      </c>
      <c r="CX246" s="263">
        <v>245</v>
      </c>
      <c r="CY246" s="9">
        <v>11</v>
      </c>
      <c r="CZ246" s="9">
        <v>5</v>
      </c>
      <c r="DA246" s="167">
        <f>'HourGH-MAR'!G22</f>
        <v>0.66</v>
      </c>
    </row>
    <row r="247" spans="58:105">
      <c r="BF247" s="9">
        <v>246</v>
      </c>
      <c r="BG247" s="9">
        <v>11</v>
      </c>
      <c r="BH247" s="9">
        <v>6</v>
      </c>
      <c r="BI247" s="167">
        <f>'HourGH-APR'!H22</f>
        <v>0.62</v>
      </c>
      <c r="BJ247" s="263">
        <v>246</v>
      </c>
      <c r="BK247" s="9">
        <v>11</v>
      </c>
      <c r="BL247" s="9">
        <v>6</v>
      </c>
      <c r="BM247" s="167">
        <f>'HourGH-MAY'!H22</f>
        <v>0.57999999999999996</v>
      </c>
      <c r="BN247" s="9">
        <v>246</v>
      </c>
      <c r="BO247" s="9">
        <v>11</v>
      </c>
      <c r="BP247" s="9">
        <v>6</v>
      </c>
      <c r="BQ247" s="167">
        <f>'HourGH-JUN'!H22</f>
        <v>0.21</v>
      </c>
      <c r="BR247" s="263">
        <v>246</v>
      </c>
      <c r="BS247" s="9">
        <v>11</v>
      </c>
      <c r="BT247" s="9">
        <v>6</v>
      </c>
      <c r="BU247" s="167">
        <f>'HourGH-JUL'!H22</f>
        <v>0.48</v>
      </c>
      <c r="BV247" s="263">
        <v>246</v>
      </c>
      <c r="BW247" s="9">
        <v>11</v>
      </c>
      <c r="BX247" s="9">
        <v>6</v>
      </c>
      <c r="BY247" s="167">
        <f>'HourGH-AUG'!H22</f>
        <v>2.54</v>
      </c>
      <c r="BZ247" s="9">
        <v>246</v>
      </c>
      <c r="CA247" s="9">
        <v>11</v>
      </c>
      <c r="CB247" s="9">
        <v>6</v>
      </c>
      <c r="CC247" s="167">
        <f>'HourGH-SEP'!H22</f>
        <v>1.52</v>
      </c>
      <c r="CD247" s="263">
        <v>246</v>
      </c>
      <c r="CE247" s="9">
        <v>11</v>
      </c>
      <c r="CF247" s="9">
        <v>6</v>
      </c>
      <c r="CG247" s="167">
        <f>'HourGH-OCT'!H22</f>
        <v>0.65</v>
      </c>
      <c r="CH247" s="9">
        <v>246</v>
      </c>
      <c r="CI247" s="9">
        <v>11</v>
      </c>
      <c r="CJ247" s="9">
        <v>6</v>
      </c>
      <c r="CK247" s="167">
        <f>'HourGH-NOV'!H22</f>
        <v>0.66</v>
      </c>
      <c r="CL247" s="263">
        <v>246</v>
      </c>
      <c r="CM247" s="9">
        <v>11</v>
      </c>
      <c r="CN247" s="9">
        <v>6</v>
      </c>
      <c r="CO247" s="167">
        <f>'HourGH-DEC'!H22</f>
        <v>0.48</v>
      </c>
      <c r="CP247" s="263">
        <v>246</v>
      </c>
      <c r="CQ247" s="9">
        <v>11</v>
      </c>
      <c r="CR247" s="9">
        <v>6</v>
      </c>
      <c r="CS247" s="167">
        <f>'HourGH-JAN'!H22</f>
        <v>0.4</v>
      </c>
      <c r="CT247" s="9">
        <v>246</v>
      </c>
      <c r="CU247" s="9">
        <v>11</v>
      </c>
      <c r="CV247" s="9">
        <v>6</v>
      </c>
      <c r="CW247" s="167">
        <f>'HourGH-FEB'!H22</f>
        <v>0.3</v>
      </c>
      <c r="CX247" s="263">
        <v>246</v>
      </c>
      <c r="CY247" s="9">
        <v>11</v>
      </c>
      <c r="CZ247" s="9">
        <v>6</v>
      </c>
      <c r="DA247" s="167">
        <f>'HourGH-MAR'!H22</f>
        <v>0.66</v>
      </c>
    </row>
    <row r="248" spans="58:105">
      <c r="BF248" s="9">
        <v>247</v>
      </c>
      <c r="BG248" s="9">
        <v>11</v>
      </c>
      <c r="BH248" s="9">
        <v>7</v>
      </c>
      <c r="BI248" s="167">
        <f>'HourGH-APR'!I22</f>
        <v>0.62</v>
      </c>
      <c r="BJ248" s="263">
        <v>247</v>
      </c>
      <c r="BK248" s="9">
        <v>11</v>
      </c>
      <c r="BL248" s="9">
        <v>7</v>
      </c>
      <c r="BM248" s="167">
        <f>'HourGH-MAY'!I22</f>
        <v>0.57999999999999996</v>
      </c>
      <c r="BN248" s="9">
        <v>247</v>
      </c>
      <c r="BO248" s="9">
        <v>11</v>
      </c>
      <c r="BP248" s="9">
        <v>7</v>
      </c>
      <c r="BQ248" s="167">
        <f>'HourGH-JUN'!I22</f>
        <v>0.22</v>
      </c>
      <c r="BR248" s="263">
        <v>247</v>
      </c>
      <c r="BS248" s="9">
        <v>11</v>
      </c>
      <c r="BT248" s="9">
        <v>7</v>
      </c>
      <c r="BU248" s="167">
        <f>'HourGH-JUL'!I22</f>
        <v>0.48</v>
      </c>
      <c r="BV248" s="263">
        <v>247</v>
      </c>
      <c r="BW248" s="9">
        <v>11</v>
      </c>
      <c r="BX248" s="9">
        <v>7</v>
      </c>
      <c r="BY248" s="167">
        <f>'HourGH-AUG'!I22</f>
        <v>2.54</v>
      </c>
      <c r="BZ248" s="9">
        <v>247</v>
      </c>
      <c r="CA248" s="9">
        <v>11</v>
      </c>
      <c r="CB248" s="9">
        <v>7</v>
      </c>
      <c r="CC248" s="167">
        <f>'HourGH-SEP'!I22</f>
        <v>1.5</v>
      </c>
      <c r="CD248" s="263">
        <v>247</v>
      </c>
      <c r="CE248" s="9">
        <v>11</v>
      </c>
      <c r="CF248" s="9">
        <v>7</v>
      </c>
      <c r="CG248" s="167">
        <f>'HourGH-OCT'!I22</f>
        <v>0.65</v>
      </c>
      <c r="CH248" s="9">
        <v>247</v>
      </c>
      <c r="CI248" s="9">
        <v>11</v>
      </c>
      <c r="CJ248" s="9">
        <v>7</v>
      </c>
      <c r="CK248" s="167">
        <f>'HourGH-NOV'!I22</f>
        <v>0.66</v>
      </c>
      <c r="CL248" s="263">
        <v>247</v>
      </c>
      <c r="CM248" s="9">
        <v>11</v>
      </c>
      <c r="CN248" s="9">
        <v>7</v>
      </c>
      <c r="CO248" s="167">
        <f>'HourGH-DEC'!I22</f>
        <v>0.48</v>
      </c>
      <c r="CP248" s="263">
        <v>247</v>
      </c>
      <c r="CQ248" s="9">
        <v>11</v>
      </c>
      <c r="CR248" s="9">
        <v>7</v>
      </c>
      <c r="CS248" s="167">
        <f>'HourGH-JAN'!I22</f>
        <v>0.4</v>
      </c>
      <c r="CT248" s="9">
        <v>247</v>
      </c>
      <c r="CU248" s="9">
        <v>11</v>
      </c>
      <c r="CV248" s="9">
        <v>7</v>
      </c>
      <c r="CW248" s="167">
        <f>'HourGH-FEB'!I22</f>
        <v>0.3</v>
      </c>
      <c r="CX248" s="263">
        <v>247</v>
      </c>
      <c r="CY248" s="9">
        <v>11</v>
      </c>
      <c r="CZ248" s="9">
        <v>7</v>
      </c>
      <c r="DA248" s="167">
        <f>'HourGH-MAR'!I22</f>
        <v>0.66</v>
      </c>
    </row>
    <row r="249" spans="58:105">
      <c r="BF249" s="9">
        <v>248</v>
      </c>
      <c r="BG249" s="9">
        <v>11</v>
      </c>
      <c r="BH249" s="9">
        <v>8</v>
      </c>
      <c r="BI249" s="167">
        <f>'HourGH-APR'!J22</f>
        <v>0.62</v>
      </c>
      <c r="BJ249" s="263">
        <v>248</v>
      </c>
      <c r="BK249" s="9">
        <v>11</v>
      </c>
      <c r="BL249" s="9">
        <v>8</v>
      </c>
      <c r="BM249" s="167">
        <f>'HourGH-MAY'!J22</f>
        <v>0.57999999999999996</v>
      </c>
      <c r="BN249" s="9">
        <v>248</v>
      </c>
      <c r="BO249" s="9">
        <v>11</v>
      </c>
      <c r="BP249" s="9">
        <v>8</v>
      </c>
      <c r="BQ249" s="167">
        <f>'HourGH-JUN'!J22</f>
        <v>0.23</v>
      </c>
      <c r="BR249" s="263">
        <v>248</v>
      </c>
      <c r="BS249" s="9">
        <v>11</v>
      </c>
      <c r="BT249" s="9">
        <v>8</v>
      </c>
      <c r="BU249" s="167">
        <f>'HourGH-JUL'!J22</f>
        <v>0.48</v>
      </c>
      <c r="BV249" s="263">
        <v>248</v>
      </c>
      <c r="BW249" s="9">
        <v>11</v>
      </c>
      <c r="BX249" s="9">
        <v>8</v>
      </c>
      <c r="BY249" s="167">
        <f>'HourGH-AUG'!J22</f>
        <v>2.5299999999999998</v>
      </c>
      <c r="BZ249" s="9">
        <v>248</v>
      </c>
      <c r="CA249" s="9">
        <v>11</v>
      </c>
      <c r="CB249" s="9">
        <v>8</v>
      </c>
      <c r="CC249" s="167">
        <f>'HourGH-SEP'!J22</f>
        <v>1.47</v>
      </c>
      <c r="CD249" s="263">
        <v>248</v>
      </c>
      <c r="CE249" s="9">
        <v>11</v>
      </c>
      <c r="CF249" s="9">
        <v>8</v>
      </c>
      <c r="CG249" s="167">
        <f>'HourGH-OCT'!J22</f>
        <v>0.65</v>
      </c>
      <c r="CH249" s="9">
        <v>248</v>
      </c>
      <c r="CI249" s="9">
        <v>11</v>
      </c>
      <c r="CJ249" s="9">
        <v>8</v>
      </c>
      <c r="CK249" s="167">
        <f>'HourGH-NOV'!J22</f>
        <v>0.66</v>
      </c>
      <c r="CL249" s="263">
        <v>248</v>
      </c>
      <c r="CM249" s="9">
        <v>11</v>
      </c>
      <c r="CN249" s="9">
        <v>8</v>
      </c>
      <c r="CO249" s="167">
        <f>'HourGH-DEC'!J22</f>
        <v>0.48</v>
      </c>
      <c r="CP249" s="263">
        <v>248</v>
      </c>
      <c r="CQ249" s="9">
        <v>11</v>
      </c>
      <c r="CR249" s="9">
        <v>8</v>
      </c>
      <c r="CS249" s="167">
        <f>'HourGH-JAN'!J22</f>
        <v>0.4</v>
      </c>
      <c r="CT249" s="9">
        <v>248</v>
      </c>
      <c r="CU249" s="9">
        <v>11</v>
      </c>
      <c r="CV249" s="9">
        <v>8</v>
      </c>
      <c r="CW249" s="167">
        <f>'HourGH-FEB'!J22</f>
        <v>0.3</v>
      </c>
      <c r="CX249" s="263">
        <v>248</v>
      </c>
      <c r="CY249" s="9">
        <v>11</v>
      </c>
      <c r="CZ249" s="9">
        <v>8</v>
      </c>
      <c r="DA249" s="167">
        <f>'HourGH-MAR'!J22</f>
        <v>0.66</v>
      </c>
    </row>
    <row r="250" spans="58:105">
      <c r="BF250" s="9">
        <v>249</v>
      </c>
      <c r="BG250" s="9">
        <v>11</v>
      </c>
      <c r="BH250" s="9">
        <v>9</v>
      </c>
      <c r="BI250" s="167">
        <f>'HourGH-APR'!K22</f>
        <v>0.62</v>
      </c>
      <c r="BJ250" s="263">
        <v>249</v>
      </c>
      <c r="BK250" s="9">
        <v>11</v>
      </c>
      <c r="BL250" s="9">
        <v>9</v>
      </c>
      <c r="BM250" s="167">
        <f>'HourGH-MAY'!K22</f>
        <v>0.57999999999999996</v>
      </c>
      <c r="BN250" s="9">
        <v>249</v>
      </c>
      <c r="BO250" s="9">
        <v>11</v>
      </c>
      <c r="BP250" s="9">
        <v>9</v>
      </c>
      <c r="BQ250" s="167">
        <f>'HourGH-JUN'!K22</f>
        <v>0.24</v>
      </c>
      <c r="BR250" s="263">
        <v>249</v>
      </c>
      <c r="BS250" s="9">
        <v>11</v>
      </c>
      <c r="BT250" s="9">
        <v>9</v>
      </c>
      <c r="BU250" s="167">
        <f>'HourGH-JUL'!K22</f>
        <v>0.48</v>
      </c>
      <c r="BV250" s="263">
        <v>249</v>
      </c>
      <c r="BW250" s="9">
        <v>11</v>
      </c>
      <c r="BX250" s="9">
        <v>9</v>
      </c>
      <c r="BY250" s="167">
        <f>'HourGH-AUG'!K22</f>
        <v>2.5299999999999998</v>
      </c>
      <c r="BZ250" s="9">
        <v>249</v>
      </c>
      <c r="CA250" s="9">
        <v>11</v>
      </c>
      <c r="CB250" s="9">
        <v>9</v>
      </c>
      <c r="CC250" s="167">
        <f>'HourGH-SEP'!K22</f>
        <v>1.45</v>
      </c>
      <c r="CD250" s="263">
        <v>249</v>
      </c>
      <c r="CE250" s="9">
        <v>11</v>
      </c>
      <c r="CF250" s="9">
        <v>9</v>
      </c>
      <c r="CG250" s="167">
        <f>'HourGH-OCT'!K22</f>
        <v>0.65</v>
      </c>
      <c r="CH250" s="9">
        <v>249</v>
      </c>
      <c r="CI250" s="9">
        <v>11</v>
      </c>
      <c r="CJ250" s="9">
        <v>9</v>
      </c>
      <c r="CK250" s="167">
        <f>'HourGH-NOV'!K22</f>
        <v>0.66</v>
      </c>
      <c r="CL250" s="263">
        <v>249</v>
      </c>
      <c r="CM250" s="9">
        <v>11</v>
      </c>
      <c r="CN250" s="9">
        <v>9</v>
      </c>
      <c r="CO250" s="167">
        <f>'HourGH-DEC'!K22</f>
        <v>0.48</v>
      </c>
      <c r="CP250" s="263">
        <v>249</v>
      </c>
      <c r="CQ250" s="9">
        <v>11</v>
      </c>
      <c r="CR250" s="9">
        <v>9</v>
      </c>
      <c r="CS250" s="167">
        <f>'HourGH-JAN'!K22</f>
        <v>0.4</v>
      </c>
      <c r="CT250" s="9">
        <v>249</v>
      </c>
      <c r="CU250" s="9">
        <v>11</v>
      </c>
      <c r="CV250" s="9">
        <v>9</v>
      </c>
      <c r="CW250" s="167">
        <f>'HourGH-FEB'!K22</f>
        <v>0.3</v>
      </c>
      <c r="CX250" s="263">
        <v>249</v>
      </c>
      <c r="CY250" s="9">
        <v>11</v>
      </c>
      <c r="CZ250" s="9">
        <v>9</v>
      </c>
      <c r="DA250" s="167">
        <f>'HourGH-MAR'!K22</f>
        <v>0.65</v>
      </c>
    </row>
    <row r="251" spans="58:105">
      <c r="BF251" s="9">
        <v>250</v>
      </c>
      <c r="BG251" s="9">
        <v>11</v>
      </c>
      <c r="BH251" s="9">
        <v>10</v>
      </c>
      <c r="BI251" s="167">
        <f>'HourGH-APR'!L22</f>
        <v>0.62</v>
      </c>
      <c r="BJ251" s="263">
        <v>250</v>
      </c>
      <c r="BK251" s="9">
        <v>11</v>
      </c>
      <c r="BL251" s="9">
        <v>10</v>
      </c>
      <c r="BM251" s="167">
        <f>'HourGH-MAY'!L22</f>
        <v>0.57999999999999996</v>
      </c>
      <c r="BN251" s="9">
        <v>250</v>
      </c>
      <c r="BO251" s="9">
        <v>11</v>
      </c>
      <c r="BP251" s="9">
        <v>10</v>
      </c>
      <c r="BQ251" s="167">
        <f>'HourGH-JUN'!L22</f>
        <v>0.25</v>
      </c>
      <c r="BR251" s="263">
        <v>250</v>
      </c>
      <c r="BS251" s="9">
        <v>11</v>
      </c>
      <c r="BT251" s="9">
        <v>10</v>
      </c>
      <c r="BU251" s="167">
        <f>'HourGH-JUL'!L22</f>
        <v>0.48</v>
      </c>
      <c r="BV251" s="263">
        <v>250</v>
      </c>
      <c r="BW251" s="9">
        <v>11</v>
      </c>
      <c r="BX251" s="9">
        <v>10</v>
      </c>
      <c r="BY251" s="167">
        <f>'HourGH-AUG'!L22</f>
        <v>2.52</v>
      </c>
      <c r="BZ251" s="9">
        <v>250</v>
      </c>
      <c r="CA251" s="9">
        <v>11</v>
      </c>
      <c r="CB251" s="9">
        <v>10</v>
      </c>
      <c r="CC251" s="167">
        <f>'HourGH-SEP'!L22</f>
        <v>1.44</v>
      </c>
      <c r="CD251" s="263">
        <v>250</v>
      </c>
      <c r="CE251" s="9">
        <v>11</v>
      </c>
      <c r="CF251" s="9">
        <v>10</v>
      </c>
      <c r="CG251" s="167">
        <f>'HourGH-OCT'!L22</f>
        <v>0.65</v>
      </c>
      <c r="CH251" s="9">
        <v>250</v>
      </c>
      <c r="CI251" s="9">
        <v>11</v>
      </c>
      <c r="CJ251" s="9">
        <v>10</v>
      </c>
      <c r="CK251" s="167">
        <f>'HourGH-NOV'!L22</f>
        <v>0.66</v>
      </c>
      <c r="CL251" s="263">
        <v>250</v>
      </c>
      <c r="CM251" s="9">
        <v>11</v>
      </c>
      <c r="CN251" s="9">
        <v>10</v>
      </c>
      <c r="CO251" s="167">
        <f>'HourGH-DEC'!L22</f>
        <v>0.48</v>
      </c>
      <c r="CP251" s="263">
        <v>250</v>
      </c>
      <c r="CQ251" s="9">
        <v>11</v>
      </c>
      <c r="CR251" s="9">
        <v>10</v>
      </c>
      <c r="CS251" s="167">
        <f>'HourGH-JAN'!L22</f>
        <v>0.4</v>
      </c>
      <c r="CT251" s="9">
        <v>250</v>
      </c>
      <c r="CU251" s="9">
        <v>11</v>
      </c>
      <c r="CV251" s="9">
        <v>10</v>
      </c>
      <c r="CW251" s="167">
        <f>'HourGH-FEB'!L22</f>
        <v>0.3</v>
      </c>
      <c r="CX251" s="263">
        <v>250</v>
      </c>
      <c r="CY251" s="9">
        <v>11</v>
      </c>
      <c r="CZ251" s="9">
        <v>10</v>
      </c>
      <c r="DA251" s="167">
        <f>'HourGH-MAR'!L22</f>
        <v>0.64</v>
      </c>
    </row>
    <row r="252" spans="58:105">
      <c r="BF252" s="9">
        <v>251</v>
      </c>
      <c r="BG252" s="9">
        <v>11</v>
      </c>
      <c r="BH252" s="9">
        <v>11</v>
      </c>
      <c r="BI252" s="167">
        <f>'HourGH-APR'!M22</f>
        <v>0.62</v>
      </c>
      <c r="BJ252" s="263">
        <v>251</v>
      </c>
      <c r="BK252" s="9">
        <v>11</v>
      </c>
      <c r="BL252" s="9">
        <v>11</v>
      </c>
      <c r="BM252" s="167">
        <f>'HourGH-MAY'!M22</f>
        <v>0.57999999999999996</v>
      </c>
      <c r="BN252" s="9">
        <v>251</v>
      </c>
      <c r="BO252" s="9">
        <v>11</v>
      </c>
      <c r="BP252" s="9">
        <v>11</v>
      </c>
      <c r="BQ252" s="167">
        <f>'HourGH-JUN'!M22</f>
        <v>0.26</v>
      </c>
      <c r="BR252" s="263">
        <v>251</v>
      </c>
      <c r="BS252" s="9">
        <v>11</v>
      </c>
      <c r="BT252" s="9">
        <v>11</v>
      </c>
      <c r="BU252" s="167">
        <f>'HourGH-JUL'!M22</f>
        <v>0.48</v>
      </c>
      <c r="BV252" s="263">
        <v>251</v>
      </c>
      <c r="BW252" s="9">
        <v>11</v>
      </c>
      <c r="BX252" s="9">
        <v>11</v>
      </c>
      <c r="BY252" s="167">
        <f>'HourGH-AUG'!M22</f>
        <v>2.5099999999999998</v>
      </c>
      <c r="BZ252" s="9">
        <v>251</v>
      </c>
      <c r="CA252" s="9">
        <v>11</v>
      </c>
      <c r="CB252" s="9">
        <v>11</v>
      </c>
      <c r="CC252" s="167">
        <f>'HourGH-SEP'!M22</f>
        <v>1.42</v>
      </c>
      <c r="CD252" s="263">
        <v>251</v>
      </c>
      <c r="CE252" s="9">
        <v>11</v>
      </c>
      <c r="CF252" s="9">
        <v>11</v>
      </c>
      <c r="CG252" s="167">
        <f>'HourGH-OCT'!M22</f>
        <v>0.65</v>
      </c>
      <c r="CH252" s="9">
        <v>251</v>
      </c>
      <c r="CI252" s="9">
        <v>11</v>
      </c>
      <c r="CJ252" s="9">
        <v>11</v>
      </c>
      <c r="CK252" s="167">
        <f>'HourGH-NOV'!M22</f>
        <v>0.66</v>
      </c>
      <c r="CL252" s="263">
        <v>251</v>
      </c>
      <c r="CM252" s="9">
        <v>11</v>
      </c>
      <c r="CN252" s="9">
        <v>11</v>
      </c>
      <c r="CO252" s="167">
        <f>'HourGH-DEC'!M22</f>
        <v>0.48</v>
      </c>
      <c r="CP252" s="263">
        <v>251</v>
      </c>
      <c r="CQ252" s="9">
        <v>11</v>
      </c>
      <c r="CR252" s="9">
        <v>11</v>
      </c>
      <c r="CS252" s="167">
        <f>'HourGH-JAN'!M22</f>
        <v>0.4</v>
      </c>
      <c r="CT252" s="9">
        <v>251</v>
      </c>
      <c r="CU252" s="9">
        <v>11</v>
      </c>
      <c r="CV252" s="9">
        <v>11</v>
      </c>
      <c r="CW252" s="167">
        <f>'HourGH-FEB'!M22</f>
        <v>0.3</v>
      </c>
      <c r="CX252" s="263">
        <v>251</v>
      </c>
      <c r="CY252" s="9">
        <v>11</v>
      </c>
      <c r="CZ252" s="9">
        <v>11</v>
      </c>
      <c r="DA252" s="167">
        <f>'HourGH-MAR'!M22</f>
        <v>0.63</v>
      </c>
    </row>
    <row r="253" spans="58:105">
      <c r="BF253" s="9">
        <v>252</v>
      </c>
      <c r="BG253" s="9">
        <v>11</v>
      </c>
      <c r="BH253" s="9">
        <v>12</v>
      </c>
      <c r="BI253" s="167">
        <f>'HourGH-APR'!N22</f>
        <v>0.62</v>
      </c>
      <c r="BJ253" s="263">
        <v>252</v>
      </c>
      <c r="BK253" s="9">
        <v>11</v>
      </c>
      <c r="BL253" s="9">
        <v>12</v>
      </c>
      <c r="BM253" s="167">
        <f>'HourGH-MAY'!N22</f>
        <v>0.57999999999999996</v>
      </c>
      <c r="BN253" s="9">
        <v>252</v>
      </c>
      <c r="BO253" s="9">
        <v>11</v>
      </c>
      <c r="BP253" s="9">
        <v>12</v>
      </c>
      <c r="BQ253" s="167">
        <f>'HourGH-JUN'!N22</f>
        <v>0.27</v>
      </c>
      <c r="BR253" s="263">
        <v>252</v>
      </c>
      <c r="BS253" s="9">
        <v>11</v>
      </c>
      <c r="BT253" s="9">
        <v>12</v>
      </c>
      <c r="BU253" s="167">
        <f>'HourGH-JUL'!N22</f>
        <v>0.48</v>
      </c>
      <c r="BV253" s="263">
        <v>252</v>
      </c>
      <c r="BW253" s="9">
        <v>11</v>
      </c>
      <c r="BX253" s="9">
        <v>12</v>
      </c>
      <c r="BY253" s="167">
        <f>'HourGH-AUG'!N22</f>
        <v>2.5</v>
      </c>
      <c r="BZ253" s="9">
        <v>252</v>
      </c>
      <c r="CA253" s="9">
        <v>11</v>
      </c>
      <c r="CB253" s="9">
        <v>12</v>
      </c>
      <c r="CC253" s="167">
        <f>'HourGH-SEP'!N22</f>
        <v>1.4</v>
      </c>
      <c r="CD253" s="263">
        <v>252</v>
      </c>
      <c r="CE253" s="9">
        <v>11</v>
      </c>
      <c r="CF253" s="9">
        <v>12</v>
      </c>
      <c r="CG253" s="167">
        <f>'HourGH-OCT'!N22</f>
        <v>0.65</v>
      </c>
      <c r="CH253" s="9">
        <v>252</v>
      </c>
      <c r="CI253" s="9">
        <v>11</v>
      </c>
      <c r="CJ253" s="9">
        <v>12</v>
      </c>
      <c r="CK253" s="167">
        <f>'HourGH-NOV'!N22</f>
        <v>0.66</v>
      </c>
      <c r="CL253" s="263">
        <v>252</v>
      </c>
      <c r="CM253" s="9">
        <v>11</v>
      </c>
      <c r="CN253" s="9">
        <v>12</v>
      </c>
      <c r="CO253" s="167">
        <f>'HourGH-DEC'!N22</f>
        <v>0.48</v>
      </c>
      <c r="CP253" s="263">
        <v>252</v>
      </c>
      <c r="CQ253" s="9">
        <v>11</v>
      </c>
      <c r="CR253" s="9">
        <v>12</v>
      </c>
      <c r="CS253" s="167">
        <f>'HourGH-JAN'!N22</f>
        <v>0.4</v>
      </c>
      <c r="CT253" s="9">
        <v>252</v>
      </c>
      <c r="CU253" s="9">
        <v>11</v>
      </c>
      <c r="CV253" s="9">
        <v>12</v>
      </c>
      <c r="CW253" s="167">
        <f>'HourGH-FEB'!N22</f>
        <v>0.3</v>
      </c>
      <c r="CX253" s="263">
        <v>252</v>
      </c>
      <c r="CY253" s="9">
        <v>11</v>
      </c>
      <c r="CZ253" s="9">
        <v>12</v>
      </c>
      <c r="DA253" s="167">
        <f>'HourGH-MAR'!N22</f>
        <v>0.62</v>
      </c>
    </row>
    <row r="254" spans="58:105">
      <c r="BF254" s="9">
        <v>253</v>
      </c>
      <c r="BG254" s="9">
        <v>11</v>
      </c>
      <c r="BH254" s="9">
        <v>13</v>
      </c>
      <c r="BI254" s="167">
        <f>'HourGH-APR'!O22</f>
        <v>0.61</v>
      </c>
      <c r="BJ254" s="263">
        <v>253</v>
      </c>
      <c r="BK254" s="9">
        <v>11</v>
      </c>
      <c r="BL254" s="9">
        <v>13</v>
      </c>
      <c r="BM254" s="167">
        <f>'HourGH-MAY'!O22</f>
        <v>0.57999999999999996</v>
      </c>
      <c r="BN254" s="9">
        <v>253</v>
      </c>
      <c r="BO254" s="9">
        <v>11</v>
      </c>
      <c r="BP254" s="9">
        <v>13</v>
      </c>
      <c r="BQ254" s="167">
        <f>'HourGH-JUN'!O22</f>
        <v>0.28000000000000003</v>
      </c>
      <c r="BR254" s="263">
        <v>253</v>
      </c>
      <c r="BS254" s="9">
        <v>11</v>
      </c>
      <c r="BT254" s="9">
        <v>13</v>
      </c>
      <c r="BU254" s="167">
        <f>'HourGH-JUL'!O22</f>
        <v>0.47</v>
      </c>
      <c r="BV254" s="263">
        <v>253</v>
      </c>
      <c r="BW254" s="9">
        <v>11</v>
      </c>
      <c r="BX254" s="9">
        <v>13</v>
      </c>
      <c r="BY254" s="167">
        <f>'HourGH-AUG'!O22</f>
        <v>2.4900000000000002</v>
      </c>
      <c r="BZ254" s="9">
        <v>253</v>
      </c>
      <c r="CA254" s="9">
        <v>11</v>
      </c>
      <c r="CB254" s="9">
        <v>13</v>
      </c>
      <c r="CC254" s="167">
        <f>'HourGH-SEP'!O22</f>
        <v>1.39</v>
      </c>
      <c r="CD254" s="263">
        <v>253</v>
      </c>
      <c r="CE254" s="9">
        <v>11</v>
      </c>
      <c r="CF254" s="9">
        <v>13</v>
      </c>
      <c r="CG254" s="167">
        <f>'HourGH-OCT'!O22</f>
        <v>0.65</v>
      </c>
      <c r="CH254" s="9">
        <v>253</v>
      </c>
      <c r="CI254" s="9">
        <v>11</v>
      </c>
      <c r="CJ254" s="9">
        <v>13</v>
      </c>
      <c r="CK254" s="167">
        <f>'HourGH-NOV'!O22</f>
        <v>0.66</v>
      </c>
      <c r="CL254" s="263">
        <v>253</v>
      </c>
      <c r="CM254" s="9">
        <v>11</v>
      </c>
      <c r="CN254" s="9">
        <v>13</v>
      </c>
      <c r="CO254" s="167">
        <f>'HourGH-DEC'!O22</f>
        <v>0.48</v>
      </c>
      <c r="CP254" s="263">
        <v>253</v>
      </c>
      <c r="CQ254" s="9">
        <v>11</v>
      </c>
      <c r="CR254" s="9">
        <v>13</v>
      </c>
      <c r="CS254" s="167">
        <f>'HourGH-JAN'!O22</f>
        <v>0.4</v>
      </c>
      <c r="CT254" s="9">
        <v>253</v>
      </c>
      <c r="CU254" s="9">
        <v>11</v>
      </c>
      <c r="CV254" s="9">
        <v>13</v>
      </c>
      <c r="CW254" s="167">
        <f>'HourGH-FEB'!O22</f>
        <v>0.28999999999999998</v>
      </c>
      <c r="CX254" s="263">
        <v>253</v>
      </c>
      <c r="CY254" s="9">
        <v>11</v>
      </c>
      <c r="CZ254" s="9">
        <v>13</v>
      </c>
      <c r="DA254" s="167">
        <f>'HourGH-MAR'!O22</f>
        <v>0.61</v>
      </c>
    </row>
    <row r="255" spans="58:105">
      <c r="BF255" s="9">
        <v>254</v>
      </c>
      <c r="BG255" s="9">
        <v>11</v>
      </c>
      <c r="BH255" s="9">
        <v>14</v>
      </c>
      <c r="BI255" s="167">
        <f>'HourGH-APR'!P22</f>
        <v>0.61</v>
      </c>
      <c r="BJ255" s="263">
        <v>254</v>
      </c>
      <c r="BK255" s="9">
        <v>11</v>
      </c>
      <c r="BL255" s="9">
        <v>14</v>
      </c>
      <c r="BM255" s="167">
        <f>'HourGH-MAY'!P22</f>
        <v>0.57999999999999996</v>
      </c>
      <c r="BN255" s="9">
        <v>254</v>
      </c>
      <c r="BO255" s="9">
        <v>11</v>
      </c>
      <c r="BP255" s="9">
        <v>14</v>
      </c>
      <c r="BQ255" s="167">
        <f>'HourGH-JUN'!P22</f>
        <v>0.28999999999999998</v>
      </c>
      <c r="BR255" s="263">
        <v>254</v>
      </c>
      <c r="BS255" s="9">
        <v>11</v>
      </c>
      <c r="BT255" s="9">
        <v>14</v>
      </c>
      <c r="BU255" s="167">
        <f>'HourGH-JUL'!P22</f>
        <v>0.47</v>
      </c>
      <c r="BV255" s="263">
        <v>254</v>
      </c>
      <c r="BW255" s="9">
        <v>11</v>
      </c>
      <c r="BX255" s="9">
        <v>14</v>
      </c>
      <c r="BY255" s="167">
        <f>'HourGH-AUG'!P22</f>
        <v>2.4700000000000002</v>
      </c>
      <c r="BZ255" s="9">
        <v>254</v>
      </c>
      <c r="CA255" s="9">
        <v>11</v>
      </c>
      <c r="CB255" s="9">
        <v>14</v>
      </c>
      <c r="CC255" s="167">
        <f>'HourGH-SEP'!P22</f>
        <v>1.37</v>
      </c>
      <c r="CD255" s="263">
        <v>254</v>
      </c>
      <c r="CE255" s="9">
        <v>11</v>
      </c>
      <c r="CF255" s="9">
        <v>14</v>
      </c>
      <c r="CG255" s="167">
        <f>'HourGH-OCT'!P22</f>
        <v>0.65</v>
      </c>
      <c r="CH255" s="9">
        <v>254</v>
      </c>
      <c r="CI255" s="9">
        <v>11</v>
      </c>
      <c r="CJ255" s="9">
        <v>14</v>
      </c>
      <c r="CK255" s="167">
        <f>'HourGH-NOV'!P22</f>
        <v>0.66</v>
      </c>
      <c r="CL255" s="263">
        <v>254</v>
      </c>
      <c r="CM255" s="9">
        <v>11</v>
      </c>
      <c r="CN255" s="9">
        <v>14</v>
      </c>
      <c r="CO255" s="167">
        <f>'HourGH-DEC'!P22</f>
        <v>0.48</v>
      </c>
      <c r="CP255" s="263">
        <v>254</v>
      </c>
      <c r="CQ255" s="9">
        <v>11</v>
      </c>
      <c r="CR255" s="9">
        <v>14</v>
      </c>
      <c r="CS255" s="167">
        <f>'HourGH-JAN'!P22</f>
        <v>0.4</v>
      </c>
      <c r="CT255" s="9">
        <v>254</v>
      </c>
      <c r="CU255" s="9">
        <v>11</v>
      </c>
      <c r="CV255" s="9">
        <v>14</v>
      </c>
      <c r="CW255" s="167">
        <f>'HourGH-FEB'!P22</f>
        <v>0.28999999999999998</v>
      </c>
      <c r="CX255" s="263">
        <v>254</v>
      </c>
      <c r="CY255" s="9">
        <v>11</v>
      </c>
      <c r="CZ255" s="9">
        <v>14</v>
      </c>
      <c r="DA255" s="167">
        <f>'HourGH-MAR'!P22</f>
        <v>0.6</v>
      </c>
    </row>
    <row r="256" spans="58:105">
      <c r="BF256" s="9">
        <v>255</v>
      </c>
      <c r="BG256" s="9">
        <v>11</v>
      </c>
      <c r="BH256" s="9">
        <v>15</v>
      </c>
      <c r="BI256" s="167">
        <f>'HourGH-APR'!Q22</f>
        <v>0.61</v>
      </c>
      <c r="BJ256" s="263">
        <v>255</v>
      </c>
      <c r="BK256" s="9">
        <v>11</v>
      </c>
      <c r="BL256" s="9">
        <v>15</v>
      </c>
      <c r="BM256" s="167">
        <f>'HourGH-MAY'!Q22</f>
        <v>0.57999999999999996</v>
      </c>
      <c r="BN256" s="9">
        <v>255</v>
      </c>
      <c r="BO256" s="9">
        <v>11</v>
      </c>
      <c r="BP256" s="9">
        <v>15</v>
      </c>
      <c r="BQ256" s="167">
        <f>'HourGH-JUN'!Q22</f>
        <v>0.31</v>
      </c>
      <c r="BR256" s="263">
        <v>255</v>
      </c>
      <c r="BS256" s="9">
        <v>11</v>
      </c>
      <c r="BT256" s="9">
        <v>15</v>
      </c>
      <c r="BU256" s="167">
        <f>'HourGH-JUL'!Q22</f>
        <v>0.47</v>
      </c>
      <c r="BV256" s="263">
        <v>255</v>
      </c>
      <c r="BW256" s="9">
        <v>11</v>
      </c>
      <c r="BX256" s="9">
        <v>15</v>
      </c>
      <c r="BY256" s="167">
        <f>'HourGH-AUG'!Q22</f>
        <v>2.4500000000000002</v>
      </c>
      <c r="BZ256" s="9">
        <v>255</v>
      </c>
      <c r="CA256" s="9">
        <v>11</v>
      </c>
      <c r="CB256" s="9">
        <v>15</v>
      </c>
      <c r="CC256" s="167">
        <f>'HourGH-SEP'!Q22</f>
        <v>1.35</v>
      </c>
      <c r="CD256" s="263">
        <v>255</v>
      </c>
      <c r="CE256" s="9">
        <v>11</v>
      </c>
      <c r="CF256" s="9">
        <v>15</v>
      </c>
      <c r="CG256" s="167">
        <f>'HourGH-OCT'!Q22</f>
        <v>0.65</v>
      </c>
      <c r="CH256" s="9">
        <v>255</v>
      </c>
      <c r="CI256" s="9">
        <v>11</v>
      </c>
      <c r="CJ256" s="9">
        <v>15</v>
      </c>
      <c r="CK256" s="167">
        <f>'HourGH-NOV'!Q22</f>
        <v>0.66</v>
      </c>
      <c r="CL256" s="263">
        <v>255</v>
      </c>
      <c r="CM256" s="9">
        <v>11</v>
      </c>
      <c r="CN256" s="9">
        <v>15</v>
      </c>
      <c r="CO256" s="167">
        <f>'HourGH-DEC'!Q22</f>
        <v>0.48</v>
      </c>
      <c r="CP256" s="263">
        <v>255</v>
      </c>
      <c r="CQ256" s="9">
        <v>11</v>
      </c>
      <c r="CR256" s="9">
        <v>15</v>
      </c>
      <c r="CS256" s="167">
        <f>'HourGH-JAN'!Q22</f>
        <v>0.4</v>
      </c>
      <c r="CT256" s="9">
        <v>255</v>
      </c>
      <c r="CU256" s="9">
        <v>11</v>
      </c>
      <c r="CV256" s="9">
        <v>15</v>
      </c>
      <c r="CW256" s="167">
        <f>'HourGH-FEB'!Q22</f>
        <v>0.28999999999999998</v>
      </c>
      <c r="CX256" s="263">
        <v>255</v>
      </c>
      <c r="CY256" s="9">
        <v>11</v>
      </c>
      <c r="CZ256" s="9">
        <v>15</v>
      </c>
      <c r="DA256" s="167">
        <f>'HourGH-MAR'!Q22</f>
        <v>0.57999999999999996</v>
      </c>
    </row>
    <row r="257" spans="58:105">
      <c r="BF257" s="9">
        <v>256</v>
      </c>
      <c r="BG257" s="9">
        <v>11</v>
      </c>
      <c r="BH257" s="9">
        <v>16</v>
      </c>
      <c r="BI257" s="167">
        <f>'HourGH-APR'!R22</f>
        <v>0.61</v>
      </c>
      <c r="BJ257" s="263">
        <v>256</v>
      </c>
      <c r="BK257" s="9">
        <v>11</v>
      </c>
      <c r="BL257" s="9">
        <v>16</v>
      </c>
      <c r="BM257" s="167">
        <f>'HourGH-MAY'!R22</f>
        <v>0.57999999999999996</v>
      </c>
      <c r="BN257" s="9">
        <v>256</v>
      </c>
      <c r="BO257" s="9">
        <v>11</v>
      </c>
      <c r="BP257" s="9">
        <v>16</v>
      </c>
      <c r="BQ257" s="167">
        <f>'HourGH-JUN'!R22</f>
        <v>0.33</v>
      </c>
      <c r="BR257" s="263">
        <v>256</v>
      </c>
      <c r="BS257" s="9">
        <v>11</v>
      </c>
      <c r="BT257" s="9">
        <v>16</v>
      </c>
      <c r="BU257" s="167">
        <f>'HourGH-JUL'!R22</f>
        <v>0.47</v>
      </c>
      <c r="BV257" s="263">
        <v>256</v>
      </c>
      <c r="BW257" s="9">
        <v>11</v>
      </c>
      <c r="BX257" s="9">
        <v>16</v>
      </c>
      <c r="BY257" s="167">
        <f>'HourGH-AUG'!R22</f>
        <v>2.4300000000000002</v>
      </c>
      <c r="BZ257" s="9">
        <v>256</v>
      </c>
      <c r="CA257" s="9">
        <v>11</v>
      </c>
      <c r="CB257" s="9">
        <v>16</v>
      </c>
      <c r="CC257" s="167">
        <f>'HourGH-SEP'!R22</f>
        <v>1.34</v>
      </c>
      <c r="CD257" s="263">
        <v>256</v>
      </c>
      <c r="CE257" s="9">
        <v>11</v>
      </c>
      <c r="CF257" s="9">
        <v>16</v>
      </c>
      <c r="CG257" s="167">
        <f>'HourGH-OCT'!R22</f>
        <v>0.65</v>
      </c>
      <c r="CH257" s="9">
        <v>256</v>
      </c>
      <c r="CI257" s="9">
        <v>11</v>
      </c>
      <c r="CJ257" s="9">
        <v>16</v>
      </c>
      <c r="CK257" s="167">
        <f>'HourGH-NOV'!R22</f>
        <v>0.66</v>
      </c>
      <c r="CL257" s="263">
        <v>256</v>
      </c>
      <c r="CM257" s="9">
        <v>11</v>
      </c>
      <c r="CN257" s="9">
        <v>16</v>
      </c>
      <c r="CO257" s="167">
        <f>'HourGH-DEC'!R22</f>
        <v>0.48</v>
      </c>
      <c r="CP257" s="263">
        <v>256</v>
      </c>
      <c r="CQ257" s="9">
        <v>11</v>
      </c>
      <c r="CR257" s="9">
        <v>16</v>
      </c>
      <c r="CS257" s="167">
        <f>'HourGH-JAN'!R22</f>
        <v>0.4</v>
      </c>
      <c r="CT257" s="9">
        <v>256</v>
      </c>
      <c r="CU257" s="9">
        <v>11</v>
      </c>
      <c r="CV257" s="9">
        <v>16</v>
      </c>
      <c r="CW257" s="167">
        <f>'HourGH-FEB'!R22</f>
        <v>0.28999999999999998</v>
      </c>
      <c r="CX257" s="263">
        <v>256</v>
      </c>
      <c r="CY257" s="9">
        <v>11</v>
      </c>
      <c r="CZ257" s="9">
        <v>16</v>
      </c>
      <c r="DA257" s="167">
        <f>'HourGH-MAR'!R22</f>
        <v>0.56000000000000005</v>
      </c>
    </row>
    <row r="258" spans="58:105">
      <c r="BF258" s="9">
        <v>257</v>
      </c>
      <c r="BG258" s="9">
        <v>11</v>
      </c>
      <c r="BH258" s="9">
        <v>17</v>
      </c>
      <c r="BI258" s="167">
        <f>'HourGH-APR'!S22</f>
        <v>0.61</v>
      </c>
      <c r="BJ258" s="263">
        <v>257</v>
      </c>
      <c r="BK258" s="9">
        <v>11</v>
      </c>
      <c r="BL258" s="9">
        <v>17</v>
      </c>
      <c r="BM258" s="167">
        <f>'HourGH-MAY'!S22</f>
        <v>0.57999999999999996</v>
      </c>
      <c r="BN258" s="9">
        <v>257</v>
      </c>
      <c r="BO258" s="9">
        <v>11</v>
      </c>
      <c r="BP258" s="9">
        <v>17</v>
      </c>
      <c r="BQ258" s="167">
        <f>'HourGH-JUN'!S22</f>
        <v>0.35</v>
      </c>
      <c r="BR258" s="263">
        <v>257</v>
      </c>
      <c r="BS258" s="9">
        <v>11</v>
      </c>
      <c r="BT258" s="9">
        <v>17</v>
      </c>
      <c r="BU258" s="167">
        <f>'HourGH-JUL'!S22</f>
        <v>0.47</v>
      </c>
      <c r="BV258" s="263">
        <v>257</v>
      </c>
      <c r="BW258" s="9">
        <v>11</v>
      </c>
      <c r="BX258" s="9">
        <v>17</v>
      </c>
      <c r="BY258" s="167">
        <f>'HourGH-AUG'!S22</f>
        <v>2.41</v>
      </c>
      <c r="BZ258" s="9">
        <v>257</v>
      </c>
      <c r="CA258" s="9">
        <v>11</v>
      </c>
      <c r="CB258" s="9">
        <v>17</v>
      </c>
      <c r="CC258" s="167">
        <f>'HourGH-SEP'!S22</f>
        <v>1.33</v>
      </c>
      <c r="CD258" s="263">
        <v>257</v>
      </c>
      <c r="CE258" s="9">
        <v>11</v>
      </c>
      <c r="CF258" s="9">
        <v>17</v>
      </c>
      <c r="CG258" s="167">
        <f>'HourGH-OCT'!S22</f>
        <v>0.65</v>
      </c>
      <c r="CH258" s="9">
        <v>257</v>
      </c>
      <c r="CI258" s="9">
        <v>11</v>
      </c>
      <c r="CJ258" s="9">
        <v>17</v>
      </c>
      <c r="CK258" s="167">
        <f>'HourGH-NOV'!S22</f>
        <v>0.66</v>
      </c>
      <c r="CL258" s="263">
        <v>257</v>
      </c>
      <c r="CM258" s="9">
        <v>11</v>
      </c>
      <c r="CN258" s="9">
        <v>17</v>
      </c>
      <c r="CO258" s="167">
        <f>'HourGH-DEC'!S22</f>
        <v>0.48</v>
      </c>
      <c r="CP258" s="263">
        <v>257</v>
      </c>
      <c r="CQ258" s="9">
        <v>11</v>
      </c>
      <c r="CR258" s="9">
        <v>17</v>
      </c>
      <c r="CS258" s="167">
        <f>'HourGH-JAN'!S22</f>
        <v>0.4</v>
      </c>
      <c r="CT258" s="9">
        <v>257</v>
      </c>
      <c r="CU258" s="9">
        <v>11</v>
      </c>
      <c r="CV258" s="9">
        <v>17</v>
      </c>
      <c r="CW258" s="167">
        <f>'HourGH-FEB'!S22</f>
        <v>0.28999999999999998</v>
      </c>
      <c r="CX258" s="263">
        <v>257</v>
      </c>
      <c r="CY258" s="9">
        <v>11</v>
      </c>
      <c r="CZ258" s="9">
        <v>17</v>
      </c>
      <c r="DA258" s="167">
        <f>'HourGH-MAR'!S22</f>
        <v>0.54</v>
      </c>
    </row>
    <row r="259" spans="58:105">
      <c r="BF259" s="9">
        <v>258</v>
      </c>
      <c r="BG259" s="9">
        <v>11</v>
      </c>
      <c r="BH259" s="9">
        <v>18</v>
      </c>
      <c r="BI259" s="167">
        <f>'HourGH-APR'!T22</f>
        <v>0.61</v>
      </c>
      <c r="BJ259" s="263">
        <v>258</v>
      </c>
      <c r="BK259" s="9">
        <v>11</v>
      </c>
      <c r="BL259" s="9">
        <v>18</v>
      </c>
      <c r="BM259" s="167">
        <f>'HourGH-MAY'!T22</f>
        <v>0.57999999999999996</v>
      </c>
      <c r="BN259" s="9">
        <v>258</v>
      </c>
      <c r="BO259" s="9">
        <v>11</v>
      </c>
      <c r="BP259" s="9">
        <v>18</v>
      </c>
      <c r="BQ259" s="167">
        <f>'HourGH-JUN'!T22</f>
        <v>0.37</v>
      </c>
      <c r="BR259" s="263">
        <v>258</v>
      </c>
      <c r="BS259" s="9">
        <v>11</v>
      </c>
      <c r="BT259" s="9">
        <v>18</v>
      </c>
      <c r="BU259" s="167">
        <f>'HourGH-JUL'!T22</f>
        <v>0.47</v>
      </c>
      <c r="BV259" s="263">
        <v>258</v>
      </c>
      <c r="BW259" s="9">
        <v>11</v>
      </c>
      <c r="BX259" s="9">
        <v>18</v>
      </c>
      <c r="BY259" s="167">
        <f>'HourGH-AUG'!T22</f>
        <v>2.38</v>
      </c>
      <c r="BZ259" s="9">
        <v>258</v>
      </c>
      <c r="CA259" s="9">
        <v>11</v>
      </c>
      <c r="CB259" s="9">
        <v>18</v>
      </c>
      <c r="CC259" s="167">
        <f>'HourGH-SEP'!T22</f>
        <v>1.31</v>
      </c>
      <c r="CD259" s="263">
        <v>258</v>
      </c>
      <c r="CE259" s="9">
        <v>11</v>
      </c>
      <c r="CF259" s="9">
        <v>18</v>
      </c>
      <c r="CG259" s="167">
        <f>'HourGH-OCT'!T22</f>
        <v>0.65</v>
      </c>
      <c r="CH259" s="9">
        <v>258</v>
      </c>
      <c r="CI259" s="9">
        <v>11</v>
      </c>
      <c r="CJ259" s="9">
        <v>18</v>
      </c>
      <c r="CK259" s="167">
        <f>'HourGH-NOV'!T22</f>
        <v>0.66</v>
      </c>
      <c r="CL259" s="263">
        <v>258</v>
      </c>
      <c r="CM259" s="9">
        <v>11</v>
      </c>
      <c r="CN259" s="9">
        <v>18</v>
      </c>
      <c r="CO259" s="167">
        <f>'HourGH-DEC'!T22</f>
        <v>0.48</v>
      </c>
      <c r="CP259" s="263">
        <v>258</v>
      </c>
      <c r="CQ259" s="9">
        <v>11</v>
      </c>
      <c r="CR259" s="9">
        <v>18</v>
      </c>
      <c r="CS259" s="167">
        <f>'HourGH-JAN'!T22</f>
        <v>0.4</v>
      </c>
      <c r="CT259" s="9">
        <v>258</v>
      </c>
      <c r="CU259" s="9">
        <v>11</v>
      </c>
      <c r="CV259" s="9">
        <v>18</v>
      </c>
      <c r="CW259" s="167">
        <f>'HourGH-FEB'!T22</f>
        <v>0.28999999999999998</v>
      </c>
      <c r="CX259" s="263">
        <v>258</v>
      </c>
      <c r="CY259" s="9">
        <v>11</v>
      </c>
      <c r="CZ259" s="9">
        <v>18</v>
      </c>
      <c r="DA259" s="167">
        <f>'HourGH-MAR'!T22</f>
        <v>0.51</v>
      </c>
    </row>
    <row r="260" spans="58:105">
      <c r="BF260" s="9">
        <v>259</v>
      </c>
      <c r="BG260" s="9">
        <v>11</v>
      </c>
      <c r="BH260" s="9">
        <v>19</v>
      </c>
      <c r="BI260" s="167">
        <f>'HourGH-APR'!U22</f>
        <v>0.61</v>
      </c>
      <c r="BJ260" s="263">
        <v>259</v>
      </c>
      <c r="BK260" s="9">
        <v>11</v>
      </c>
      <c r="BL260" s="9">
        <v>19</v>
      </c>
      <c r="BM260" s="167">
        <f>'HourGH-MAY'!U22</f>
        <v>0.57999999999999996</v>
      </c>
      <c r="BN260" s="9">
        <v>259</v>
      </c>
      <c r="BO260" s="9">
        <v>11</v>
      </c>
      <c r="BP260" s="9">
        <v>19</v>
      </c>
      <c r="BQ260" s="167">
        <f>'HourGH-JUN'!U22</f>
        <v>0.39</v>
      </c>
      <c r="BR260" s="263">
        <v>259</v>
      </c>
      <c r="BS260" s="9">
        <v>11</v>
      </c>
      <c r="BT260" s="9">
        <v>19</v>
      </c>
      <c r="BU260" s="167">
        <f>'HourGH-JUL'!U22</f>
        <v>0.47</v>
      </c>
      <c r="BV260" s="263">
        <v>259</v>
      </c>
      <c r="BW260" s="9">
        <v>11</v>
      </c>
      <c r="BX260" s="9">
        <v>19</v>
      </c>
      <c r="BY260" s="167">
        <f>'HourGH-AUG'!U22</f>
        <v>2.35</v>
      </c>
      <c r="BZ260" s="9">
        <v>259</v>
      </c>
      <c r="CA260" s="9">
        <v>11</v>
      </c>
      <c r="CB260" s="9">
        <v>19</v>
      </c>
      <c r="CC260" s="167">
        <f>'HourGH-SEP'!U22</f>
        <v>1.3</v>
      </c>
      <c r="CD260" s="263">
        <v>259</v>
      </c>
      <c r="CE260" s="9">
        <v>11</v>
      </c>
      <c r="CF260" s="9">
        <v>19</v>
      </c>
      <c r="CG260" s="167">
        <f>'HourGH-OCT'!U22</f>
        <v>0.65</v>
      </c>
      <c r="CH260" s="9">
        <v>259</v>
      </c>
      <c r="CI260" s="9">
        <v>11</v>
      </c>
      <c r="CJ260" s="9">
        <v>19</v>
      </c>
      <c r="CK260" s="167">
        <f>'HourGH-NOV'!U22</f>
        <v>0.66</v>
      </c>
      <c r="CL260" s="263">
        <v>259</v>
      </c>
      <c r="CM260" s="9">
        <v>11</v>
      </c>
      <c r="CN260" s="9">
        <v>19</v>
      </c>
      <c r="CO260" s="167">
        <f>'HourGH-DEC'!U22</f>
        <v>0.48</v>
      </c>
      <c r="CP260" s="263">
        <v>259</v>
      </c>
      <c r="CQ260" s="9">
        <v>11</v>
      </c>
      <c r="CR260" s="9">
        <v>19</v>
      </c>
      <c r="CS260" s="167">
        <f>'HourGH-JAN'!U22</f>
        <v>0.4</v>
      </c>
      <c r="CT260" s="9">
        <v>259</v>
      </c>
      <c r="CU260" s="9">
        <v>11</v>
      </c>
      <c r="CV260" s="9">
        <v>19</v>
      </c>
      <c r="CW260" s="167">
        <f>'HourGH-FEB'!U22</f>
        <v>0.28999999999999998</v>
      </c>
      <c r="CX260" s="263">
        <v>259</v>
      </c>
      <c r="CY260" s="9">
        <v>11</v>
      </c>
      <c r="CZ260" s="9">
        <v>19</v>
      </c>
      <c r="DA260" s="167">
        <f>'HourGH-MAR'!U22</f>
        <v>0.49</v>
      </c>
    </row>
    <row r="261" spans="58:105">
      <c r="BF261" s="9">
        <v>260</v>
      </c>
      <c r="BG261" s="9">
        <v>11</v>
      </c>
      <c r="BH261" s="9">
        <v>20</v>
      </c>
      <c r="BI261" s="167">
        <f>'HourGH-APR'!V22</f>
        <v>0.61</v>
      </c>
      <c r="BJ261" s="263">
        <v>260</v>
      </c>
      <c r="BK261" s="9">
        <v>11</v>
      </c>
      <c r="BL261" s="9">
        <v>20</v>
      </c>
      <c r="BM261" s="167">
        <f>'HourGH-MAY'!V22</f>
        <v>0.57999999999999996</v>
      </c>
      <c r="BN261" s="9">
        <v>260</v>
      </c>
      <c r="BO261" s="9">
        <v>11</v>
      </c>
      <c r="BP261" s="9">
        <v>20</v>
      </c>
      <c r="BQ261" s="167">
        <f>'HourGH-JUN'!V22</f>
        <v>0.41</v>
      </c>
      <c r="BR261" s="263">
        <v>260</v>
      </c>
      <c r="BS261" s="9">
        <v>11</v>
      </c>
      <c r="BT261" s="9">
        <v>20</v>
      </c>
      <c r="BU261" s="167">
        <f>'HourGH-JUL'!V22</f>
        <v>0.47</v>
      </c>
      <c r="BV261" s="263">
        <v>260</v>
      </c>
      <c r="BW261" s="9">
        <v>11</v>
      </c>
      <c r="BX261" s="9">
        <v>20</v>
      </c>
      <c r="BY261" s="167">
        <f>'HourGH-AUG'!V22</f>
        <v>2.33</v>
      </c>
      <c r="BZ261" s="9">
        <v>260</v>
      </c>
      <c r="CA261" s="9">
        <v>11</v>
      </c>
      <c r="CB261" s="9">
        <v>20</v>
      </c>
      <c r="CC261" s="167">
        <f>'HourGH-SEP'!V22</f>
        <v>1.29</v>
      </c>
      <c r="CD261" s="263">
        <v>260</v>
      </c>
      <c r="CE261" s="9">
        <v>11</v>
      </c>
      <c r="CF261" s="9">
        <v>20</v>
      </c>
      <c r="CG261" s="167">
        <f>'HourGH-OCT'!V22</f>
        <v>0.65</v>
      </c>
      <c r="CH261" s="9">
        <v>260</v>
      </c>
      <c r="CI261" s="9">
        <v>11</v>
      </c>
      <c r="CJ261" s="9">
        <v>20</v>
      </c>
      <c r="CK261" s="167">
        <f>'HourGH-NOV'!V22</f>
        <v>0.66</v>
      </c>
      <c r="CL261" s="263">
        <v>260</v>
      </c>
      <c r="CM261" s="9">
        <v>11</v>
      </c>
      <c r="CN261" s="9">
        <v>20</v>
      </c>
      <c r="CO261" s="167">
        <f>'HourGH-DEC'!V22</f>
        <v>0.48</v>
      </c>
      <c r="CP261" s="263">
        <v>260</v>
      </c>
      <c r="CQ261" s="9">
        <v>11</v>
      </c>
      <c r="CR261" s="9">
        <v>20</v>
      </c>
      <c r="CS261" s="167">
        <f>'HourGH-JAN'!V22</f>
        <v>0.4</v>
      </c>
      <c r="CT261" s="9">
        <v>260</v>
      </c>
      <c r="CU261" s="9">
        <v>11</v>
      </c>
      <c r="CV261" s="9">
        <v>20</v>
      </c>
      <c r="CW261" s="167">
        <f>'HourGH-FEB'!V22</f>
        <v>0.28999999999999998</v>
      </c>
      <c r="CX261" s="263">
        <v>260</v>
      </c>
      <c r="CY261" s="9">
        <v>11</v>
      </c>
      <c r="CZ261" s="9">
        <v>20</v>
      </c>
      <c r="DA261" s="167">
        <f>'HourGH-MAR'!V22</f>
        <v>0.46</v>
      </c>
    </row>
    <row r="262" spans="58:105">
      <c r="BF262" s="9">
        <v>261</v>
      </c>
      <c r="BG262" s="9">
        <v>11</v>
      </c>
      <c r="BH262" s="9">
        <v>21</v>
      </c>
      <c r="BI262" s="167">
        <f>'HourGH-APR'!W22</f>
        <v>0.61</v>
      </c>
      <c r="BJ262" s="263">
        <v>261</v>
      </c>
      <c r="BK262" s="9">
        <v>11</v>
      </c>
      <c r="BL262" s="9">
        <v>21</v>
      </c>
      <c r="BM262" s="167">
        <f>'HourGH-MAY'!W22</f>
        <v>0.57999999999999996</v>
      </c>
      <c r="BN262" s="9">
        <v>261</v>
      </c>
      <c r="BO262" s="9">
        <v>11</v>
      </c>
      <c r="BP262" s="9">
        <v>21</v>
      </c>
      <c r="BQ262" s="167">
        <f>'HourGH-JUN'!W22</f>
        <v>0.43</v>
      </c>
      <c r="BR262" s="263">
        <v>261</v>
      </c>
      <c r="BS262" s="9">
        <v>11</v>
      </c>
      <c r="BT262" s="9">
        <v>21</v>
      </c>
      <c r="BU262" s="167">
        <f>'HourGH-JUL'!W22</f>
        <v>0.47</v>
      </c>
      <c r="BV262" s="263">
        <v>261</v>
      </c>
      <c r="BW262" s="9">
        <v>11</v>
      </c>
      <c r="BX262" s="9">
        <v>21</v>
      </c>
      <c r="BY262" s="167">
        <f>'HourGH-AUG'!W22</f>
        <v>2.2999999999999998</v>
      </c>
      <c r="BZ262" s="9">
        <v>261</v>
      </c>
      <c r="CA262" s="9">
        <v>11</v>
      </c>
      <c r="CB262" s="9">
        <v>21</v>
      </c>
      <c r="CC262" s="167">
        <f>'HourGH-SEP'!W22</f>
        <v>1.28</v>
      </c>
      <c r="CD262" s="263">
        <v>261</v>
      </c>
      <c r="CE262" s="9">
        <v>11</v>
      </c>
      <c r="CF262" s="9">
        <v>21</v>
      </c>
      <c r="CG262" s="167">
        <f>'HourGH-OCT'!W22</f>
        <v>0.65</v>
      </c>
      <c r="CH262" s="9">
        <v>261</v>
      </c>
      <c r="CI262" s="9">
        <v>11</v>
      </c>
      <c r="CJ262" s="9">
        <v>21</v>
      </c>
      <c r="CK262" s="167">
        <f>'HourGH-NOV'!W22</f>
        <v>0.66</v>
      </c>
      <c r="CL262" s="263">
        <v>261</v>
      </c>
      <c r="CM262" s="9">
        <v>11</v>
      </c>
      <c r="CN262" s="9">
        <v>21</v>
      </c>
      <c r="CO262" s="167">
        <f>'HourGH-DEC'!W22</f>
        <v>0.48</v>
      </c>
      <c r="CP262" s="263">
        <v>261</v>
      </c>
      <c r="CQ262" s="9">
        <v>11</v>
      </c>
      <c r="CR262" s="9">
        <v>21</v>
      </c>
      <c r="CS262" s="167">
        <f>'HourGH-JAN'!W22</f>
        <v>0.4</v>
      </c>
      <c r="CT262" s="9">
        <v>261</v>
      </c>
      <c r="CU262" s="9">
        <v>11</v>
      </c>
      <c r="CV262" s="9">
        <v>21</v>
      </c>
      <c r="CW262" s="167">
        <f>'HourGH-FEB'!W22</f>
        <v>0.28999999999999998</v>
      </c>
      <c r="CX262" s="263">
        <v>261</v>
      </c>
      <c r="CY262" s="9">
        <v>11</v>
      </c>
      <c r="CZ262" s="9">
        <v>21</v>
      </c>
      <c r="DA262" s="167">
        <f>'HourGH-MAR'!W22</f>
        <v>0.42</v>
      </c>
    </row>
    <row r="263" spans="58:105">
      <c r="BF263" s="9">
        <v>262</v>
      </c>
      <c r="BG263" s="9">
        <v>11</v>
      </c>
      <c r="BH263" s="9">
        <v>22</v>
      </c>
      <c r="BI263" s="167">
        <f>'HourGH-APR'!X22</f>
        <v>0.61</v>
      </c>
      <c r="BJ263" s="263">
        <v>262</v>
      </c>
      <c r="BK263" s="9">
        <v>11</v>
      </c>
      <c r="BL263" s="9">
        <v>22</v>
      </c>
      <c r="BM263" s="167">
        <f>'HourGH-MAY'!X22</f>
        <v>0.57999999999999996</v>
      </c>
      <c r="BN263" s="9">
        <v>262</v>
      </c>
      <c r="BO263" s="9">
        <v>11</v>
      </c>
      <c r="BP263" s="9">
        <v>22</v>
      </c>
      <c r="BQ263" s="167">
        <f>'HourGH-JUN'!X22</f>
        <v>0.46</v>
      </c>
      <c r="BR263" s="263">
        <v>262</v>
      </c>
      <c r="BS263" s="9">
        <v>11</v>
      </c>
      <c r="BT263" s="9">
        <v>22</v>
      </c>
      <c r="BU263" s="167">
        <f>'HourGH-JUL'!X22</f>
        <v>0.47</v>
      </c>
      <c r="BV263" s="263">
        <v>262</v>
      </c>
      <c r="BW263" s="9">
        <v>11</v>
      </c>
      <c r="BX263" s="9">
        <v>22</v>
      </c>
      <c r="BY263" s="167">
        <f>'HourGH-AUG'!X22</f>
        <v>2.27</v>
      </c>
      <c r="BZ263" s="9">
        <v>262</v>
      </c>
      <c r="CA263" s="9">
        <v>11</v>
      </c>
      <c r="CB263" s="9">
        <v>22</v>
      </c>
      <c r="CC263" s="167">
        <f>'HourGH-SEP'!X22</f>
        <v>1.27</v>
      </c>
      <c r="CD263" s="263">
        <v>262</v>
      </c>
      <c r="CE263" s="9">
        <v>11</v>
      </c>
      <c r="CF263" s="9">
        <v>22</v>
      </c>
      <c r="CG263" s="167">
        <f>'HourGH-OCT'!X22</f>
        <v>0.65</v>
      </c>
      <c r="CH263" s="9">
        <v>262</v>
      </c>
      <c r="CI263" s="9">
        <v>11</v>
      </c>
      <c r="CJ263" s="9">
        <v>22</v>
      </c>
      <c r="CK263" s="167">
        <f>'HourGH-NOV'!X22</f>
        <v>0.66</v>
      </c>
      <c r="CL263" s="263">
        <v>262</v>
      </c>
      <c r="CM263" s="9">
        <v>11</v>
      </c>
      <c r="CN263" s="9">
        <v>22</v>
      </c>
      <c r="CO263" s="167">
        <f>'HourGH-DEC'!X22</f>
        <v>0.48</v>
      </c>
      <c r="CP263" s="263">
        <v>262</v>
      </c>
      <c r="CQ263" s="9">
        <v>11</v>
      </c>
      <c r="CR263" s="9">
        <v>22</v>
      </c>
      <c r="CS263" s="167">
        <f>'HourGH-JAN'!X22</f>
        <v>0.4</v>
      </c>
      <c r="CT263" s="9">
        <v>262</v>
      </c>
      <c r="CU263" s="9">
        <v>11</v>
      </c>
      <c r="CV263" s="9">
        <v>22</v>
      </c>
      <c r="CW263" s="167">
        <f>'HourGH-FEB'!X22</f>
        <v>0.28999999999999998</v>
      </c>
      <c r="CX263" s="263">
        <v>262</v>
      </c>
      <c r="CY263" s="9">
        <v>11</v>
      </c>
      <c r="CZ263" s="9">
        <v>22</v>
      </c>
      <c r="DA263" s="167">
        <f>'HourGH-MAR'!X22</f>
        <v>0.39</v>
      </c>
    </row>
    <row r="264" spans="58:105">
      <c r="BF264" s="9">
        <v>263</v>
      </c>
      <c r="BG264" s="9">
        <v>11</v>
      </c>
      <c r="BH264" s="9">
        <v>23</v>
      </c>
      <c r="BI264" s="167">
        <f>'HourGH-APR'!Y22</f>
        <v>0.61</v>
      </c>
      <c r="BJ264" s="263">
        <v>263</v>
      </c>
      <c r="BK264" s="9">
        <v>11</v>
      </c>
      <c r="BL264" s="9">
        <v>23</v>
      </c>
      <c r="BM264" s="167">
        <f>'HourGH-MAY'!Y22</f>
        <v>0.57999999999999996</v>
      </c>
      <c r="BN264" s="9">
        <v>263</v>
      </c>
      <c r="BO264" s="9">
        <v>11</v>
      </c>
      <c r="BP264" s="9">
        <v>23</v>
      </c>
      <c r="BQ264" s="167">
        <f>'HourGH-JUN'!Y22</f>
        <v>0.49</v>
      </c>
      <c r="BR264" s="263">
        <v>263</v>
      </c>
      <c r="BS264" s="9">
        <v>11</v>
      </c>
      <c r="BT264" s="9">
        <v>23</v>
      </c>
      <c r="BU264" s="167">
        <f>'HourGH-JUL'!Y22</f>
        <v>0.47</v>
      </c>
      <c r="BV264" s="263">
        <v>263</v>
      </c>
      <c r="BW264" s="9">
        <v>11</v>
      </c>
      <c r="BX264" s="9">
        <v>23</v>
      </c>
      <c r="BY264" s="167">
        <f>'HourGH-AUG'!Y22</f>
        <v>2.2400000000000002</v>
      </c>
      <c r="BZ264" s="9">
        <v>263</v>
      </c>
      <c r="CA264" s="9">
        <v>11</v>
      </c>
      <c r="CB264" s="9">
        <v>23</v>
      </c>
      <c r="CC264" s="167">
        <f>'HourGH-SEP'!Y22</f>
        <v>1.26</v>
      </c>
      <c r="CD264" s="263">
        <v>263</v>
      </c>
      <c r="CE264" s="9">
        <v>11</v>
      </c>
      <c r="CF264" s="9">
        <v>23</v>
      </c>
      <c r="CG264" s="167">
        <f>'HourGH-OCT'!Y22</f>
        <v>0.65</v>
      </c>
      <c r="CH264" s="9">
        <v>263</v>
      </c>
      <c r="CI264" s="9">
        <v>11</v>
      </c>
      <c r="CJ264" s="9">
        <v>23</v>
      </c>
      <c r="CK264" s="167">
        <f>'HourGH-NOV'!Y22</f>
        <v>0.66</v>
      </c>
      <c r="CL264" s="263">
        <v>263</v>
      </c>
      <c r="CM264" s="9">
        <v>11</v>
      </c>
      <c r="CN264" s="9">
        <v>23</v>
      </c>
      <c r="CO264" s="167">
        <f>'HourGH-DEC'!Y22</f>
        <v>0.48</v>
      </c>
      <c r="CP264" s="263">
        <v>263</v>
      </c>
      <c r="CQ264" s="9">
        <v>11</v>
      </c>
      <c r="CR264" s="9">
        <v>23</v>
      </c>
      <c r="CS264" s="167">
        <f>'HourGH-JAN'!Y22</f>
        <v>0.4</v>
      </c>
      <c r="CT264" s="9">
        <v>263</v>
      </c>
      <c r="CU264" s="9">
        <v>11</v>
      </c>
      <c r="CV264" s="9">
        <v>23</v>
      </c>
      <c r="CW264" s="167">
        <f>'HourGH-FEB'!Y22</f>
        <v>0.28999999999999998</v>
      </c>
      <c r="CX264" s="263">
        <v>263</v>
      </c>
      <c r="CY264" s="9">
        <v>11</v>
      </c>
      <c r="CZ264" s="9">
        <v>23</v>
      </c>
      <c r="DA264" s="167">
        <f>'HourGH-MAR'!Y22</f>
        <v>0.37</v>
      </c>
    </row>
    <row r="265" spans="58:105">
      <c r="BF265" s="9">
        <v>264</v>
      </c>
      <c r="BG265" s="9">
        <v>11</v>
      </c>
      <c r="BH265" s="9">
        <v>24</v>
      </c>
      <c r="BI265" s="167">
        <f>'HourGH-APR'!Z22</f>
        <v>0.61</v>
      </c>
      <c r="BJ265" s="263">
        <v>264</v>
      </c>
      <c r="BK265" s="9">
        <v>11</v>
      </c>
      <c r="BL265" s="9">
        <v>24</v>
      </c>
      <c r="BM265" s="167">
        <f>'HourGH-MAY'!Z22</f>
        <v>0.57999999999999996</v>
      </c>
      <c r="BN265" s="9">
        <v>264</v>
      </c>
      <c r="BO265" s="9">
        <v>11</v>
      </c>
      <c r="BP265" s="9">
        <v>24</v>
      </c>
      <c r="BQ265" s="167">
        <f>'HourGH-JUN'!Z22</f>
        <v>0.52</v>
      </c>
      <c r="BR265" s="263">
        <v>264</v>
      </c>
      <c r="BS265" s="9">
        <v>11</v>
      </c>
      <c r="BT265" s="9">
        <v>24</v>
      </c>
      <c r="BU265" s="167">
        <f>'HourGH-JUL'!Z22</f>
        <v>0.47</v>
      </c>
      <c r="BV265" s="263">
        <v>264</v>
      </c>
      <c r="BW265" s="9">
        <v>11</v>
      </c>
      <c r="BX265" s="9">
        <v>24</v>
      </c>
      <c r="BY265" s="167">
        <f>'HourGH-AUG'!Z22</f>
        <v>2.21</v>
      </c>
      <c r="BZ265" s="9">
        <v>264</v>
      </c>
      <c r="CA265" s="9">
        <v>11</v>
      </c>
      <c r="CB265" s="9">
        <v>24</v>
      </c>
      <c r="CC265" s="167">
        <f>'HourGH-SEP'!Z22</f>
        <v>1.25</v>
      </c>
      <c r="CD265" s="263">
        <v>264</v>
      </c>
      <c r="CE265" s="9">
        <v>11</v>
      </c>
      <c r="CF265" s="9">
        <v>24</v>
      </c>
      <c r="CG265" s="167">
        <f>'HourGH-OCT'!Z22</f>
        <v>0.65</v>
      </c>
      <c r="CH265" s="9">
        <v>264</v>
      </c>
      <c r="CI265" s="9">
        <v>11</v>
      </c>
      <c r="CJ265" s="9">
        <v>24</v>
      </c>
      <c r="CK265" s="167">
        <f>'HourGH-NOV'!Z22</f>
        <v>0.66</v>
      </c>
      <c r="CL265" s="263">
        <v>264</v>
      </c>
      <c r="CM265" s="9">
        <v>11</v>
      </c>
      <c r="CN265" s="9">
        <v>24</v>
      </c>
      <c r="CO265" s="167">
        <f>'HourGH-DEC'!Z22</f>
        <v>0.48</v>
      </c>
      <c r="CP265" s="263">
        <v>264</v>
      </c>
      <c r="CQ265" s="9">
        <v>11</v>
      </c>
      <c r="CR265" s="9">
        <v>24</v>
      </c>
      <c r="CS265" s="167">
        <f>'HourGH-JAN'!Z22</f>
        <v>0.4</v>
      </c>
      <c r="CT265" s="9">
        <v>264</v>
      </c>
      <c r="CU265" s="9">
        <v>11</v>
      </c>
      <c r="CV265" s="9">
        <v>24</v>
      </c>
      <c r="CW265" s="167">
        <f>'HourGH-FEB'!Z22</f>
        <v>0.28999999999999998</v>
      </c>
      <c r="CX265" s="263">
        <v>264</v>
      </c>
      <c r="CY265" s="9">
        <v>11</v>
      </c>
      <c r="CZ265" s="9">
        <v>24</v>
      </c>
      <c r="DA265" s="167">
        <f>'HourGH-MAR'!Z22</f>
        <v>0.35</v>
      </c>
    </row>
    <row r="266" spans="58:105">
      <c r="BF266" s="9">
        <v>265</v>
      </c>
      <c r="BG266" s="9">
        <v>12</v>
      </c>
      <c r="BH266" s="9">
        <v>1</v>
      </c>
      <c r="BI266" s="167">
        <f>'HourGH-APR'!C23</f>
        <v>0.6</v>
      </c>
      <c r="BJ266" s="263">
        <v>265</v>
      </c>
      <c r="BK266" s="9">
        <v>12</v>
      </c>
      <c r="BL266" s="9">
        <v>1</v>
      </c>
      <c r="BM266" s="167">
        <f>'HourGH-MAY'!C23</f>
        <v>0.56999999999999995</v>
      </c>
      <c r="BN266" s="9">
        <v>265</v>
      </c>
      <c r="BO266" s="9">
        <v>12</v>
      </c>
      <c r="BP266" s="9">
        <v>1</v>
      </c>
      <c r="BQ266" s="167">
        <f>'HourGH-JUN'!C23</f>
        <v>0.55000000000000004</v>
      </c>
      <c r="BR266" s="263">
        <v>265</v>
      </c>
      <c r="BS266" s="9">
        <v>12</v>
      </c>
      <c r="BT266" s="9">
        <v>1</v>
      </c>
      <c r="BU266" s="167">
        <f>'HourGH-JUL'!C23</f>
        <v>0.47</v>
      </c>
      <c r="BV266" s="263">
        <v>265</v>
      </c>
      <c r="BW266" s="9">
        <v>12</v>
      </c>
      <c r="BX266" s="9">
        <v>1</v>
      </c>
      <c r="BY266" s="167">
        <f>'HourGH-AUG'!C23</f>
        <v>2.19</v>
      </c>
      <c r="BZ266" s="9">
        <v>265</v>
      </c>
      <c r="CA266" s="9">
        <v>12</v>
      </c>
      <c r="CB266" s="9">
        <v>1</v>
      </c>
      <c r="CC266" s="167">
        <f>'HourGH-SEP'!C23</f>
        <v>1.24</v>
      </c>
      <c r="CD266" s="263">
        <v>265</v>
      </c>
      <c r="CE266" s="9">
        <v>12</v>
      </c>
      <c r="CF266" s="9">
        <v>1</v>
      </c>
      <c r="CG266" s="167">
        <f>'HourGH-OCT'!C23</f>
        <v>0.64</v>
      </c>
      <c r="CH266" s="9">
        <v>265</v>
      </c>
      <c r="CI266" s="9">
        <v>12</v>
      </c>
      <c r="CJ266" s="9">
        <v>1</v>
      </c>
      <c r="CK266" s="167">
        <f>'HourGH-NOV'!C23</f>
        <v>0.66</v>
      </c>
      <c r="CL266" s="263">
        <v>265</v>
      </c>
      <c r="CM266" s="9">
        <v>12</v>
      </c>
      <c r="CN266" s="9">
        <v>1</v>
      </c>
      <c r="CO266" s="167">
        <f>'HourGH-DEC'!C23</f>
        <v>0.49</v>
      </c>
      <c r="CP266" s="263">
        <v>265</v>
      </c>
      <c r="CQ266" s="9">
        <v>12</v>
      </c>
      <c r="CR266" s="9">
        <v>1</v>
      </c>
      <c r="CS266" s="167">
        <f>'HourGH-JAN'!C23</f>
        <v>0.4</v>
      </c>
      <c r="CT266" s="9">
        <v>265</v>
      </c>
      <c r="CU266" s="9">
        <v>12</v>
      </c>
      <c r="CV266" s="9">
        <v>1</v>
      </c>
      <c r="CW266" s="167">
        <f>'HourGH-FEB'!C23</f>
        <v>0.28999999999999998</v>
      </c>
      <c r="CX266" s="263">
        <v>265</v>
      </c>
      <c r="CY266" s="9">
        <v>12</v>
      </c>
      <c r="CZ266" s="9">
        <v>1</v>
      </c>
      <c r="DA266" s="167">
        <f>'HourGH-MAR'!C23</f>
        <v>0.33</v>
      </c>
    </row>
    <row r="267" spans="58:105">
      <c r="BF267" s="9">
        <v>266</v>
      </c>
      <c r="BG267" s="9">
        <v>12</v>
      </c>
      <c r="BH267" s="9">
        <v>2</v>
      </c>
      <c r="BI267" s="167">
        <f>'HourGH-APR'!D23</f>
        <v>0.6</v>
      </c>
      <c r="BJ267" s="263">
        <v>266</v>
      </c>
      <c r="BK267" s="9">
        <v>12</v>
      </c>
      <c r="BL267" s="9">
        <v>2</v>
      </c>
      <c r="BM267" s="167">
        <f>'HourGH-MAY'!D23</f>
        <v>0.56999999999999995</v>
      </c>
      <c r="BN267" s="9">
        <v>266</v>
      </c>
      <c r="BO267" s="9">
        <v>12</v>
      </c>
      <c r="BP267" s="9">
        <v>2</v>
      </c>
      <c r="BQ267" s="167">
        <f>'HourGH-JUN'!D23</f>
        <v>0.59</v>
      </c>
      <c r="BR267" s="263">
        <v>266</v>
      </c>
      <c r="BS267" s="9">
        <v>12</v>
      </c>
      <c r="BT267" s="9">
        <v>2</v>
      </c>
      <c r="BU267" s="167">
        <f>'HourGH-JUL'!D23</f>
        <v>0.47</v>
      </c>
      <c r="BV267" s="263">
        <v>266</v>
      </c>
      <c r="BW267" s="9">
        <v>12</v>
      </c>
      <c r="BX267" s="9">
        <v>2</v>
      </c>
      <c r="BY267" s="167">
        <f>'HourGH-AUG'!D23</f>
        <v>2.17</v>
      </c>
      <c r="BZ267" s="9">
        <v>266</v>
      </c>
      <c r="CA267" s="9">
        <v>12</v>
      </c>
      <c r="CB267" s="9">
        <v>2</v>
      </c>
      <c r="CC267" s="167">
        <f>'HourGH-SEP'!D23</f>
        <v>1.23</v>
      </c>
      <c r="CD267" s="263">
        <v>266</v>
      </c>
      <c r="CE267" s="9">
        <v>12</v>
      </c>
      <c r="CF267" s="9">
        <v>2</v>
      </c>
      <c r="CG267" s="167">
        <f>'HourGH-OCT'!D23</f>
        <v>0.64</v>
      </c>
      <c r="CH267" s="9">
        <v>266</v>
      </c>
      <c r="CI267" s="9">
        <v>12</v>
      </c>
      <c r="CJ267" s="9">
        <v>2</v>
      </c>
      <c r="CK267" s="167">
        <f>'HourGH-NOV'!D23</f>
        <v>0.66</v>
      </c>
      <c r="CL267" s="263">
        <v>266</v>
      </c>
      <c r="CM267" s="9">
        <v>12</v>
      </c>
      <c r="CN267" s="9">
        <v>2</v>
      </c>
      <c r="CO267" s="167">
        <f>'HourGH-DEC'!D23</f>
        <v>0.49</v>
      </c>
      <c r="CP267" s="263">
        <v>266</v>
      </c>
      <c r="CQ267" s="9">
        <v>12</v>
      </c>
      <c r="CR267" s="9">
        <v>2</v>
      </c>
      <c r="CS267" s="167">
        <f>'HourGH-JAN'!D23</f>
        <v>0.4</v>
      </c>
      <c r="CT267" s="9">
        <v>266</v>
      </c>
      <c r="CU267" s="9">
        <v>12</v>
      </c>
      <c r="CV267" s="9">
        <v>2</v>
      </c>
      <c r="CW267" s="167">
        <f>'HourGH-FEB'!D23</f>
        <v>0.28999999999999998</v>
      </c>
      <c r="CX267" s="263">
        <v>266</v>
      </c>
      <c r="CY267" s="9">
        <v>12</v>
      </c>
      <c r="CZ267" s="9">
        <v>2</v>
      </c>
      <c r="DA267" s="167">
        <f>'HourGH-MAR'!D23</f>
        <v>0.31</v>
      </c>
    </row>
    <row r="268" spans="58:105">
      <c r="BF268" s="9">
        <v>267</v>
      </c>
      <c r="BG268" s="9">
        <v>12</v>
      </c>
      <c r="BH268" s="9">
        <v>3</v>
      </c>
      <c r="BI268" s="167">
        <f>'HourGH-APR'!E23</f>
        <v>0.6</v>
      </c>
      <c r="BJ268" s="263">
        <v>267</v>
      </c>
      <c r="BK268" s="9">
        <v>12</v>
      </c>
      <c r="BL268" s="9">
        <v>3</v>
      </c>
      <c r="BM268" s="167">
        <f>'HourGH-MAY'!E23</f>
        <v>0.56999999999999995</v>
      </c>
      <c r="BN268" s="9">
        <v>267</v>
      </c>
      <c r="BO268" s="9">
        <v>12</v>
      </c>
      <c r="BP268" s="9">
        <v>3</v>
      </c>
      <c r="BQ268" s="167">
        <f>'HourGH-JUN'!E23</f>
        <v>0.62</v>
      </c>
      <c r="BR268" s="263">
        <v>267</v>
      </c>
      <c r="BS268" s="9">
        <v>12</v>
      </c>
      <c r="BT268" s="9">
        <v>3</v>
      </c>
      <c r="BU268" s="167">
        <f>'HourGH-JUL'!E23</f>
        <v>0.47</v>
      </c>
      <c r="BV268" s="263">
        <v>267</v>
      </c>
      <c r="BW268" s="9">
        <v>12</v>
      </c>
      <c r="BX268" s="9">
        <v>3</v>
      </c>
      <c r="BY268" s="167">
        <f>'HourGH-AUG'!E23</f>
        <v>2.15</v>
      </c>
      <c r="BZ268" s="9">
        <v>267</v>
      </c>
      <c r="CA268" s="9">
        <v>12</v>
      </c>
      <c r="CB268" s="9">
        <v>3</v>
      </c>
      <c r="CC268" s="167">
        <f>'HourGH-SEP'!E23</f>
        <v>1.22</v>
      </c>
      <c r="CD268" s="263">
        <v>267</v>
      </c>
      <c r="CE268" s="9">
        <v>12</v>
      </c>
      <c r="CF268" s="9">
        <v>3</v>
      </c>
      <c r="CG268" s="167">
        <f>'HourGH-OCT'!E23</f>
        <v>0.64</v>
      </c>
      <c r="CH268" s="9">
        <v>267</v>
      </c>
      <c r="CI268" s="9">
        <v>12</v>
      </c>
      <c r="CJ268" s="9">
        <v>3</v>
      </c>
      <c r="CK268" s="167">
        <f>'HourGH-NOV'!E23</f>
        <v>0.66</v>
      </c>
      <c r="CL268" s="263">
        <v>267</v>
      </c>
      <c r="CM268" s="9">
        <v>12</v>
      </c>
      <c r="CN268" s="9">
        <v>3</v>
      </c>
      <c r="CO268" s="167">
        <f>'HourGH-DEC'!E23</f>
        <v>0.49</v>
      </c>
      <c r="CP268" s="263">
        <v>267</v>
      </c>
      <c r="CQ268" s="9">
        <v>12</v>
      </c>
      <c r="CR268" s="9">
        <v>3</v>
      </c>
      <c r="CS268" s="167">
        <f>'HourGH-JAN'!E23</f>
        <v>0.4</v>
      </c>
      <c r="CT268" s="9">
        <v>267</v>
      </c>
      <c r="CU268" s="9">
        <v>12</v>
      </c>
      <c r="CV268" s="9">
        <v>3</v>
      </c>
      <c r="CW268" s="167">
        <f>'HourGH-FEB'!E23</f>
        <v>0.28999999999999998</v>
      </c>
      <c r="CX268" s="263">
        <v>267</v>
      </c>
      <c r="CY268" s="9">
        <v>12</v>
      </c>
      <c r="CZ268" s="9">
        <v>3</v>
      </c>
      <c r="DA268" s="167">
        <f>'HourGH-MAR'!E23</f>
        <v>0.28999999999999998</v>
      </c>
    </row>
    <row r="269" spans="58:105">
      <c r="BF269" s="9">
        <v>268</v>
      </c>
      <c r="BG269" s="9">
        <v>12</v>
      </c>
      <c r="BH269" s="9">
        <v>4</v>
      </c>
      <c r="BI269" s="167">
        <f>'HourGH-APR'!F23</f>
        <v>0.6</v>
      </c>
      <c r="BJ269" s="263">
        <v>268</v>
      </c>
      <c r="BK269" s="9">
        <v>12</v>
      </c>
      <c r="BL269" s="9">
        <v>4</v>
      </c>
      <c r="BM269" s="167">
        <f>'HourGH-MAY'!F23</f>
        <v>0.56999999999999995</v>
      </c>
      <c r="BN269" s="9">
        <v>268</v>
      </c>
      <c r="BO269" s="9">
        <v>12</v>
      </c>
      <c r="BP269" s="9">
        <v>4</v>
      </c>
      <c r="BQ269" s="167">
        <f>'HourGH-JUN'!F23</f>
        <v>0.64</v>
      </c>
      <c r="BR269" s="263">
        <v>268</v>
      </c>
      <c r="BS269" s="9">
        <v>12</v>
      </c>
      <c r="BT269" s="9">
        <v>4</v>
      </c>
      <c r="BU269" s="167">
        <f>'HourGH-JUL'!F23</f>
        <v>0.47</v>
      </c>
      <c r="BV269" s="263">
        <v>268</v>
      </c>
      <c r="BW269" s="9">
        <v>12</v>
      </c>
      <c r="BX269" s="9">
        <v>4</v>
      </c>
      <c r="BY269" s="167">
        <f>'HourGH-AUG'!F23</f>
        <v>2.13</v>
      </c>
      <c r="BZ269" s="9">
        <v>268</v>
      </c>
      <c r="CA269" s="9">
        <v>12</v>
      </c>
      <c r="CB269" s="9">
        <v>4</v>
      </c>
      <c r="CC269" s="167">
        <f>'HourGH-SEP'!F23</f>
        <v>1.21</v>
      </c>
      <c r="CD269" s="263">
        <v>268</v>
      </c>
      <c r="CE269" s="9">
        <v>12</v>
      </c>
      <c r="CF269" s="9">
        <v>4</v>
      </c>
      <c r="CG269" s="167">
        <f>'HourGH-OCT'!F23</f>
        <v>0.64</v>
      </c>
      <c r="CH269" s="9">
        <v>268</v>
      </c>
      <c r="CI269" s="9">
        <v>12</v>
      </c>
      <c r="CJ269" s="9">
        <v>4</v>
      </c>
      <c r="CK269" s="167">
        <f>'HourGH-NOV'!F23</f>
        <v>0.66</v>
      </c>
      <c r="CL269" s="263">
        <v>268</v>
      </c>
      <c r="CM269" s="9">
        <v>12</v>
      </c>
      <c r="CN269" s="9">
        <v>4</v>
      </c>
      <c r="CO269" s="167">
        <f>'HourGH-DEC'!F23</f>
        <v>0.49</v>
      </c>
      <c r="CP269" s="263">
        <v>268</v>
      </c>
      <c r="CQ269" s="9">
        <v>12</v>
      </c>
      <c r="CR269" s="9">
        <v>4</v>
      </c>
      <c r="CS269" s="167">
        <f>'HourGH-JAN'!F23</f>
        <v>0.4</v>
      </c>
      <c r="CT269" s="9">
        <v>268</v>
      </c>
      <c r="CU269" s="9">
        <v>12</v>
      </c>
      <c r="CV269" s="9">
        <v>4</v>
      </c>
      <c r="CW269" s="167">
        <f>'HourGH-FEB'!F23</f>
        <v>0.28999999999999998</v>
      </c>
      <c r="CX269" s="263">
        <v>268</v>
      </c>
      <c r="CY269" s="9">
        <v>12</v>
      </c>
      <c r="CZ269" s="9">
        <v>4</v>
      </c>
      <c r="DA269" s="167">
        <f>'HourGH-MAR'!F23</f>
        <v>0.27</v>
      </c>
    </row>
    <row r="270" spans="58:105">
      <c r="BF270" s="9">
        <v>269</v>
      </c>
      <c r="BG270" s="9">
        <v>12</v>
      </c>
      <c r="BH270" s="9">
        <v>5</v>
      </c>
      <c r="BI270" s="167">
        <f>'HourGH-APR'!G23</f>
        <v>0.6</v>
      </c>
      <c r="BJ270" s="263">
        <v>269</v>
      </c>
      <c r="BK270" s="9">
        <v>12</v>
      </c>
      <c r="BL270" s="9">
        <v>5</v>
      </c>
      <c r="BM270" s="167">
        <f>'HourGH-MAY'!G23</f>
        <v>0.56999999999999995</v>
      </c>
      <c r="BN270" s="9">
        <v>269</v>
      </c>
      <c r="BO270" s="9">
        <v>12</v>
      </c>
      <c r="BP270" s="9">
        <v>5</v>
      </c>
      <c r="BQ270" s="167">
        <f>'HourGH-JUN'!G23</f>
        <v>0.66</v>
      </c>
      <c r="BR270" s="263">
        <v>269</v>
      </c>
      <c r="BS270" s="9">
        <v>12</v>
      </c>
      <c r="BT270" s="9">
        <v>5</v>
      </c>
      <c r="BU270" s="167">
        <f>'HourGH-JUL'!G23</f>
        <v>0.47</v>
      </c>
      <c r="BV270" s="263">
        <v>269</v>
      </c>
      <c r="BW270" s="9">
        <v>12</v>
      </c>
      <c r="BX270" s="9">
        <v>5</v>
      </c>
      <c r="BY270" s="167">
        <f>'HourGH-AUG'!G23</f>
        <v>2.11</v>
      </c>
      <c r="BZ270" s="9">
        <v>269</v>
      </c>
      <c r="CA270" s="9">
        <v>12</v>
      </c>
      <c r="CB270" s="9">
        <v>5</v>
      </c>
      <c r="CC270" s="167">
        <f>'HourGH-SEP'!G23</f>
        <v>1.21</v>
      </c>
      <c r="CD270" s="263">
        <v>269</v>
      </c>
      <c r="CE270" s="9">
        <v>12</v>
      </c>
      <c r="CF270" s="9">
        <v>5</v>
      </c>
      <c r="CG270" s="167">
        <f>'HourGH-OCT'!G23</f>
        <v>0.64</v>
      </c>
      <c r="CH270" s="9">
        <v>269</v>
      </c>
      <c r="CI270" s="9">
        <v>12</v>
      </c>
      <c r="CJ270" s="9">
        <v>5</v>
      </c>
      <c r="CK270" s="167">
        <f>'HourGH-NOV'!G23</f>
        <v>0.66</v>
      </c>
      <c r="CL270" s="263">
        <v>269</v>
      </c>
      <c r="CM270" s="9">
        <v>12</v>
      </c>
      <c r="CN270" s="9">
        <v>5</v>
      </c>
      <c r="CO270" s="167">
        <f>'HourGH-DEC'!G23</f>
        <v>0.49</v>
      </c>
      <c r="CP270" s="263">
        <v>269</v>
      </c>
      <c r="CQ270" s="9">
        <v>12</v>
      </c>
      <c r="CR270" s="9">
        <v>5</v>
      </c>
      <c r="CS270" s="167">
        <f>'HourGH-JAN'!G23</f>
        <v>0.4</v>
      </c>
      <c r="CT270" s="9">
        <v>269</v>
      </c>
      <c r="CU270" s="9">
        <v>12</v>
      </c>
      <c r="CV270" s="9">
        <v>5</v>
      </c>
      <c r="CW270" s="167">
        <f>'HourGH-FEB'!G23</f>
        <v>0.28999999999999998</v>
      </c>
      <c r="CX270" s="263">
        <v>269</v>
      </c>
      <c r="CY270" s="9">
        <v>12</v>
      </c>
      <c r="CZ270" s="9">
        <v>5</v>
      </c>
      <c r="DA270" s="167">
        <f>'HourGH-MAR'!G23</f>
        <v>0.25</v>
      </c>
    </row>
    <row r="271" spans="58:105">
      <c r="BF271" s="9">
        <v>270</v>
      </c>
      <c r="BG271" s="9">
        <v>12</v>
      </c>
      <c r="BH271" s="9">
        <v>6</v>
      </c>
      <c r="BI271" s="167">
        <f>'HourGH-APR'!H23</f>
        <v>0.6</v>
      </c>
      <c r="BJ271" s="263">
        <v>270</v>
      </c>
      <c r="BK271" s="9">
        <v>12</v>
      </c>
      <c r="BL271" s="9">
        <v>6</v>
      </c>
      <c r="BM271" s="167">
        <f>'HourGH-MAY'!H23</f>
        <v>0.56999999999999995</v>
      </c>
      <c r="BN271" s="9">
        <v>270</v>
      </c>
      <c r="BO271" s="9">
        <v>12</v>
      </c>
      <c r="BP271" s="9">
        <v>6</v>
      </c>
      <c r="BQ271" s="167">
        <f>'HourGH-JUN'!H23</f>
        <v>0.68</v>
      </c>
      <c r="BR271" s="263">
        <v>270</v>
      </c>
      <c r="BS271" s="9">
        <v>12</v>
      </c>
      <c r="BT271" s="9">
        <v>6</v>
      </c>
      <c r="BU271" s="167">
        <f>'HourGH-JUL'!H23</f>
        <v>0.47</v>
      </c>
      <c r="BV271" s="263">
        <v>270</v>
      </c>
      <c r="BW271" s="9">
        <v>12</v>
      </c>
      <c r="BX271" s="9">
        <v>6</v>
      </c>
      <c r="BY271" s="167">
        <f>'HourGH-AUG'!H23</f>
        <v>2.09</v>
      </c>
      <c r="BZ271" s="9">
        <v>270</v>
      </c>
      <c r="CA271" s="9">
        <v>12</v>
      </c>
      <c r="CB271" s="9">
        <v>6</v>
      </c>
      <c r="CC271" s="167">
        <f>'HourGH-SEP'!H23</f>
        <v>1.2</v>
      </c>
      <c r="CD271" s="263">
        <v>270</v>
      </c>
      <c r="CE271" s="9">
        <v>12</v>
      </c>
      <c r="CF271" s="9">
        <v>6</v>
      </c>
      <c r="CG271" s="167">
        <f>'HourGH-OCT'!H23</f>
        <v>0.64</v>
      </c>
      <c r="CH271" s="9">
        <v>270</v>
      </c>
      <c r="CI271" s="9">
        <v>12</v>
      </c>
      <c r="CJ271" s="9">
        <v>6</v>
      </c>
      <c r="CK271" s="167">
        <f>'HourGH-NOV'!H23</f>
        <v>0.66</v>
      </c>
      <c r="CL271" s="263">
        <v>270</v>
      </c>
      <c r="CM271" s="9">
        <v>12</v>
      </c>
      <c r="CN271" s="9">
        <v>6</v>
      </c>
      <c r="CO271" s="167">
        <f>'HourGH-DEC'!H23</f>
        <v>0.49</v>
      </c>
      <c r="CP271" s="263">
        <v>270</v>
      </c>
      <c r="CQ271" s="9">
        <v>12</v>
      </c>
      <c r="CR271" s="9">
        <v>6</v>
      </c>
      <c r="CS271" s="167">
        <f>'HourGH-JAN'!H23</f>
        <v>0.4</v>
      </c>
      <c r="CT271" s="9">
        <v>270</v>
      </c>
      <c r="CU271" s="9">
        <v>12</v>
      </c>
      <c r="CV271" s="9">
        <v>6</v>
      </c>
      <c r="CW271" s="167">
        <f>'HourGH-FEB'!H23</f>
        <v>0.28999999999999998</v>
      </c>
      <c r="CX271" s="263">
        <v>270</v>
      </c>
      <c r="CY271" s="9">
        <v>12</v>
      </c>
      <c r="CZ271" s="9">
        <v>6</v>
      </c>
      <c r="DA271" s="167">
        <f>'HourGH-MAR'!H23</f>
        <v>0.24</v>
      </c>
    </row>
    <row r="272" spans="58:105">
      <c r="BF272" s="9">
        <v>271</v>
      </c>
      <c r="BG272" s="9">
        <v>12</v>
      </c>
      <c r="BH272" s="9">
        <v>7</v>
      </c>
      <c r="BI272" s="167">
        <f>'HourGH-APR'!I23</f>
        <v>0.6</v>
      </c>
      <c r="BJ272" s="263">
        <v>271</v>
      </c>
      <c r="BK272" s="9">
        <v>12</v>
      </c>
      <c r="BL272" s="9">
        <v>7</v>
      </c>
      <c r="BM272" s="167">
        <f>'HourGH-MAY'!I23</f>
        <v>0.56999999999999995</v>
      </c>
      <c r="BN272" s="9">
        <v>271</v>
      </c>
      <c r="BO272" s="9">
        <v>12</v>
      </c>
      <c r="BP272" s="9">
        <v>7</v>
      </c>
      <c r="BQ272" s="167">
        <f>'HourGH-JUN'!I23</f>
        <v>0.7</v>
      </c>
      <c r="BR272" s="263">
        <v>271</v>
      </c>
      <c r="BS272" s="9">
        <v>12</v>
      </c>
      <c r="BT272" s="9">
        <v>7</v>
      </c>
      <c r="BU272" s="167">
        <f>'HourGH-JUL'!I23</f>
        <v>0.47</v>
      </c>
      <c r="BV272" s="263">
        <v>271</v>
      </c>
      <c r="BW272" s="9">
        <v>12</v>
      </c>
      <c r="BX272" s="9">
        <v>7</v>
      </c>
      <c r="BY272" s="167">
        <f>'HourGH-AUG'!I23</f>
        <v>2.0699999999999998</v>
      </c>
      <c r="BZ272" s="9">
        <v>271</v>
      </c>
      <c r="CA272" s="9">
        <v>12</v>
      </c>
      <c r="CB272" s="9">
        <v>7</v>
      </c>
      <c r="CC272" s="167">
        <f>'HourGH-SEP'!I23</f>
        <v>1.2</v>
      </c>
      <c r="CD272" s="263">
        <v>271</v>
      </c>
      <c r="CE272" s="9">
        <v>12</v>
      </c>
      <c r="CF272" s="9">
        <v>7</v>
      </c>
      <c r="CG272" s="167">
        <f>'HourGH-OCT'!I23</f>
        <v>0.64</v>
      </c>
      <c r="CH272" s="9">
        <v>271</v>
      </c>
      <c r="CI272" s="9">
        <v>12</v>
      </c>
      <c r="CJ272" s="9">
        <v>7</v>
      </c>
      <c r="CK272" s="167">
        <f>'HourGH-NOV'!I23</f>
        <v>0.66</v>
      </c>
      <c r="CL272" s="263">
        <v>271</v>
      </c>
      <c r="CM272" s="9">
        <v>12</v>
      </c>
      <c r="CN272" s="9">
        <v>7</v>
      </c>
      <c r="CO272" s="167">
        <f>'HourGH-DEC'!I23</f>
        <v>0.49</v>
      </c>
      <c r="CP272" s="263">
        <v>271</v>
      </c>
      <c r="CQ272" s="9">
        <v>12</v>
      </c>
      <c r="CR272" s="9">
        <v>7</v>
      </c>
      <c r="CS272" s="167">
        <f>'HourGH-JAN'!I23</f>
        <v>0.4</v>
      </c>
      <c r="CT272" s="9">
        <v>271</v>
      </c>
      <c r="CU272" s="9">
        <v>12</v>
      </c>
      <c r="CV272" s="9">
        <v>7</v>
      </c>
      <c r="CW272" s="167">
        <f>'HourGH-FEB'!I23</f>
        <v>0.28999999999999998</v>
      </c>
      <c r="CX272" s="263">
        <v>271</v>
      </c>
      <c r="CY272" s="9">
        <v>12</v>
      </c>
      <c r="CZ272" s="9">
        <v>7</v>
      </c>
      <c r="DA272" s="167">
        <f>'HourGH-MAR'!I23</f>
        <v>0.24</v>
      </c>
    </row>
    <row r="273" spans="58:105">
      <c r="BF273" s="9">
        <v>272</v>
      </c>
      <c r="BG273" s="9">
        <v>12</v>
      </c>
      <c r="BH273" s="9">
        <v>8</v>
      </c>
      <c r="BI273" s="167">
        <f>'HourGH-APR'!J23</f>
        <v>0.59</v>
      </c>
      <c r="BJ273" s="263">
        <v>272</v>
      </c>
      <c r="BK273" s="9">
        <v>12</v>
      </c>
      <c r="BL273" s="9">
        <v>8</v>
      </c>
      <c r="BM273" s="167">
        <f>'HourGH-MAY'!J23</f>
        <v>0.56999999999999995</v>
      </c>
      <c r="BN273" s="9">
        <v>272</v>
      </c>
      <c r="BO273" s="9">
        <v>12</v>
      </c>
      <c r="BP273" s="9">
        <v>8</v>
      </c>
      <c r="BQ273" s="167">
        <f>'HourGH-JUN'!J23</f>
        <v>0.72</v>
      </c>
      <c r="BR273" s="263">
        <v>272</v>
      </c>
      <c r="BS273" s="9">
        <v>12</v>
      </c>
      <c r="BT273" s="9">
        <v>8</v>
      </c>
      <c r="BU273" s="167">
        <f>'HourGH-JUL'!J23</f>
        <v>0.47</v>
      </c>
      <c r="BV273" s="263">
        <v>272</v>
      </c>
      <c r="BW273" s="9">
        <v>12</v>
      </c>
      <c r="BX273" s="9">
        <v>8</v>
      </c>
      <c r="BY273" s="167">
        <f>'HourGH-AUG'!J23</f>
        <v>2.0499999999999998</v>
      </c>
      <c r="BZ273" s="9">
        <v>272</v>
      </c>
      <c r="CA273" s="9">
        <v>12</v>
      </c>
      <c r="CB273" s="9">
        <v>8</v>
      </c>
      <c r="CC273" s="167">
        <f>'HourGH-SEP'!J23</f>
        <v>1.19</v>
      </c>
      <c r="CD273" s="263">
        <v>272</v>
      </c>
      <c r="CE273" s="9">
        <v>12</v>
      </c>
      <c r="CF273" s="9">
        <v>8</v>
      </c>
      <c r="CG273" s="167">
        <f>'HourGH-OCT'!J23</f>
        <v>0.64</v>
      </c>
      <c r="CH273" s="9">
        <v>272</v>
      </c>
      <c r="CI273" s="9">
        <v>12</v>
      </c>
      <c r="CJ273" s="9">
        <v>8</v>
      </c>
      <c r="CK273" s="167">
        <f>'HourGH-NOV'!J23</f>
        <v>0.66</v>
      </c>
      <c r="CL273" s="263">
        <v>272</v>
      </c>
      <c r="CM273" s="9">
        <v>12</v>
      </c>
      <c r="CN273" s="9">
        <v>8</v>
      </c>
      <c r="CO273" s="167">
        <f>'HourGH-DEC'!J23</f>
        <v>0.49</v>
      </c>
      <c r="CP273" s="263">
        <v>272</v>
      </c>
      <c r="CQ273" s="9">
        <v>12</v>
      </c>
      <c r="CR273" s="9">
        <v>8</v>
      </c>
      <c r="CS273" s="167">
        <f>'HourGH-JAN'!J23</f>
        <v>0.4</v>
      </c>
      <c r="CT273" s="9">
        <v>272</v>
      </c>
      <c r="CU273" s="9">
        <v>12</v>
      </c>
      <c r="CV273" s="9">
        <v>8</v>
      </c>
      <c r="CW273" s="167">
        <f>'HourGH-FEB'!J23</f>
        <v>0.28999999999999998</v>
      </c>
      <c r="CX273" s="263">
        <v>272</v>
      </c>
      <c r="CY273" s="9">
        <v>12</v>
      </c>
      <c r="CZ273" s="9">
        <v>8</v>
      </c>
      <c r="DA273" s="167">
        <f>'HourGH-MAR'!J23</f>
        <v>0.24</v>
      </c>
    </row>
    <row r="274" spans="58:105">
      <c r="BF274" s="9">
        <v>273</v>
      </c>
      <c r="BG274" s="9">
        <v>12</v>
      </c>
      <c r="BH274" s="9">
        <v>9</v>
      </c>
      <c r="BI274" s="167">
        <f>'HourGH-APR'!K23</f>
        <v>0.59</v>
      </c>
      <c r="BJ274" s="263">
        <v>273</v>
      </c>
      <c r="BK274" s="9">
        <v>12</v>
      </c>
      <c r="BL274" s="9">
        <v>9</v>
      </c>
      <c r="BM274" s="167">
        <f>'HourGH-MAY'!K23</f>
        <v>0.56999999999999995</v>
      </c>
      <c r="BN274" s="9">
        <v>273</v>
      </c>
      <c r="BO274" s="9">
        <v>12</v>
      </c>
      <c r="BP274" s="9">
        <v>9</v>
      </c>
      <c r="BQ274" s="167">
        <f>'HourGH-JUN'!K23</f>
        <v>0.73</v>
      </c>
      <c r="BR274" s="263">
        <v>273</v>
      </c>
      <c r="BS274" s="9">
        <v>12</v>
      </c>
      <c r="BT274" s="9">
        <v>9</v>
      </c>
      <c r="BU274" s="167">
        <f>'HourGH-JUL'!K23</f>
        <v>0.47</v>
      </c>
      <c r="BV274" s="263">
        <v>273</v>
      </c>
      <c r="BW274" s="9">
        <v>12</v>
      </c>
      <c r="BX274" s="9">
        <v>9</v>
      </c>
      <c r="BY274" s="167">
        <f>'HourGH-AUG'!K23</f>
        <v>2.0299999999999998</v>
      </c>
      <c r="BZ274" s="9">
        <v>273</v>
      </c>
      <c r="CA274" s="9">
        <v>12</v>
      </c>
      <c r="CB274" s="9">
        <v>9</v>
      </c>
      <c r="CC274" s="167">
        <f>'HourGH-SEP'!K23</f>
        <v>1.19</v>
      </c>
      <c r="CD274" s="263">
        <v>273</v>
      </c>
      <c r="CE274" s="9">
        <v>12</v>
      </c>
      <c r="CF274" s="9">
        <v>9</v>
      </c>
      <c r="CG274" s="167">
        <f>'HourGH-OCT'!K23</f>
        <v>0.64</v>
      </c>
      <c r="CH274" s="9">
        <v>273</v>
      </c>
      <c r="CI274" s="9">
        <v>12</v>
      </c>
      <c r="CJ274" s="9">
        <v>9</v>
      </c>
      <c r="CK274" s="167">
        <f>'HourGH-NOV'!K23</f>
        <v>0.66</v>
      </c>
      <c r="CL274" s="263">
        <v>273</v>
      </c>
      <c r="CM274" s="9">
        <v>12</v>
      </c>
      <c r="CN274" s="9">
        <v>9</v>
      </c>
      <c r="CO274" s="167">
        <f>'HourGH-DEC'!K23</f>
        <v>0.49</v>
      </c>
      <c r="CP274" s="263">
        <v>273</v>
      </c>
      <c r="CQ274" s="9">
        <v>12</v>
      </c>
      <c r="CR274" s="9">
        <v>9</v>
      </c>
      <c r="CS274" s="167">
        <f>'HourGH-JAN'!K23</f>
        <v>0.4</v>
      </c>
      <c r="CT274" s="9">
        <v>273</v>
      </c>
      <c r="CU274" s="9">
        <v>12</v>
      </c>
      <c r="CV274" s="9">
        <v>9</v>
      </c>
      <c r="CW274" s="167">
        <f>'HourGH-FEB'!K23</f>
        <v>0.28999999999999998</v>
      </c>
      <c r="CX274" s="263">
        <v>273</v>
      </c>
      <c r="CY274" s="9">
        <v>12</v>
      </c>
      <c r="CZ274" s="9">
        <v>9</v>
      </c>
      <c r="DA274" s="167">
        <f>'HourGH-MAR'!K23</f>
        <v>0.24</v>
      </c>
    </row>
    <row r="275" spans="58:105">
      <c r="BF275" s="9">
        <v>274</v>
      </c>
      <c r="BG275" s="9">
        <v>12</v>
      </c>
      <c r="BH275" s="9">
        <v>10</v>
      </c>
      <c r="BI275" s="167">
        <f>'HourGH-APR'!L23</f>
        <v>0.59</v>
      </c>
      <c r="BJ275" s="263">
        <v>274</v>
      </c>
      <c r="BK275" s="9">
        <v>12</v>
      </c>
      <c r="BL275" s="9">
        <v>10</v>
      </c>
      <c r="BM275" s="167">
        <f>'HourGH-MAY'!L23</f>
        <v>0.56999999999999995</v>
      </c>
      <c r="BN275" s="9">
        <v>274</v>
      </c>
      <c r="BO275" s="9">
        <v>12</v>
      </c>
      <c r="BP275" s="9">
        <v>10</v>
      </c>
      <c r="BQ275" s="167">
        <f>'HourGH-JUN'!L23</f>
        <v>0.74</v>
      </c>
      <c r="BR275" s="263">
        <v>274</v>
      </c>
      <c r="BS275" s="9">
        <v>12</v>
      </c>
      <c r="BT275" s="9">
        <v>10</v>
      </c>
      <c r="BU275" s="167">
        <f>'HourGH-JUL'!L23</f>
        <v>0.47</v>
      </c>
      <c r="BV275" s="263">
        <v>274</v>
      </c>
      <c r="BW275" s="9">
        <v>12</v>
      </c>
      <c r="BX275" s="9">
        <v>10</v>
      </c>
      <c r="BY275" s="167">
        <f>'HourGH-AUG'!L23</f>
        <v>2.0099999999999998</v>
      </c>
      <c r="BZ275" s="9">
        <v>274</v>
      </c>
      <c r="CA275" s="9">
        <v>12</v>
      </c>
      <c r="CB275" s="9">
        <v>10</v>
      </c>
      <c r="CC275" s="167">
        <f>'HourGH-SEP'!L23</f>
        <v>1.19</v>
      </c>
      <c r="CD275" s="263">
        <v>274</v>
      </c>
      <c r="CE275" s="9">
        <v>12</v>
      </c>
      <c r="CF275" s="9">
        <v>10</v>
      </c>
      <c r="CG275" s="167">
        <f>'HourGH-OCT'!L23</f>
        <v>0.64</v>
      </c>
      <c r="CH275" s="9">
        <v>274</v>
      </c>
      <c r="CI275" s="9">
        <v>12</v>
      </c>
      <c r="CJ275" s="9">
        <v>10</v>
      </c>
      <c r="CK275" s="167">
        <f>'HourGH-NOV'!L23</f>
        <v>0.66</v>
      </c>
      <c r="CL275" s="263">
        <v>274</v>
      </c>
      <c r="CM275" s="9">
        <v>12</v>
      </c>
      <c r="CN275" s="9">
        <v>10</v>
      </c>
      <c r="CO275" s="167">
        <f>'HourGH-DEC'!L23</f>
        <v>0.49</v>
      </c>
      <c r="CP275" s="263">
        <v>274</v>
      </c>
      <c r="CQ275" s="9">
        <v>12</v>
      </c>
      <c r="CR275" s="9">
        <v>10</v>
      </c>
      <c r="CS275" s="167">
        <f>'HourGH-JAN'!L23</f>
        <v>0.4</v>
      </c>
      <c r="CT275" s="9">
        <v>274</v>
      </c>
      <c r="CU275" s="9">
        <v>12</v>
      </c>
      <c r="CV275" s="9">
        <v>10</v>
      </c>
      <c r="CW275" s="167">
        <f>'HourGH-FEB'!L23</f>
        <v>0.28999999999999998</v>
      </c>
      <c r="CX275" s="263">
        <v>274</v>
      </c>
      <c r="CY275" s="9">
        <v>12</v>
      </c>
      <c r="CZ275" s="9">
        <v>10</v>
      </c>
      <c r="DA275" s="167">
        <f>'HourGH-MAR'!L23</f>
        <v>0.24</v>
      </c>
    </row>
    <row r="276" spans="58:105">
      <c r="BF276" s="9">
        <v>275</v>
      </c>
      <c r="BG276" s="9">
        <v>12</v>
      </c>
      <c r="BH276" s="9">
        <v>11</v>
      </c>
      <c r="BI276" s="167">
        <f>'HourGH-APR'!M23</f>
        <v>0.57999999999999996</v>
      </c>
      <c r="BJ276" s="263">
        <v>275</v>
      </c>
      <c r="BK276" s="9">
        <v>12</v>
      </c>
      <c r="BL276" s="9">
        <v>11</v>
      </c>
      <c r="BM276" s="167">
        <f>'HourGH-MAY'!M23</f>
        <v>0.56999999999999995</v>
      </c>
      <c r="BN276" s="9">
        <v>275</v>
      </c>
      <c r="BO276" s="9">
        <v>12</v>
      </c>
      <c r="BP276" s="9">
        <v>11</v>
      </c>
      <c r="BQ276" s="167">
        <f>'HourGH-JUN'!M23</f>
        <v>0.74</v>
      </c>
      <c r="BR276" s="263">
        <v>275</v>
      </c>
      <c r="BS276" s="9">
        <v>12</v>
      </c>
      <c r="BT276" s="9">
        <v>11</v>
      </c>
      <c r="BU276" s="167">
        <f>'HourGH-JUL'!M23</f>
        <v>0.47</v>
      </c>
      <c r="BV276" s="263">
        <v>275</v>
      </c>
      <c r="BW276" s="9">
        <v>12</v>
      </c>
      <c r="BX276" s="9">
        <v>11</v>
      </c>
      <c r="BY276" s="167">
        <f>'HourGH-AUG'!M23</f>
        <v>2</v>
      </c>
      <c r="BZ276" s="9">
        <v>275</v>
      </c>
      <c r="CA276" s="9">
        <v>12</v>
      </c>
      <c r="CB276" s="9">
        <v>11</v>
      </c>
      <c r="CC276" s="167">
        <f>'HourGH-SEP'!M23</f>
        <v>1.19</v>
      </c>
      <c r="CD276" s="263">
        <v>275</v>
      </c>
      <c r="CE276" s="9">
        <v>12</v>
      </c>
      <c r="CF276" s="9">
        <v>11</v>
      </c>
      <c r="CG276" s="167">
        <f>'HourGH-OCT'!M23</f>
        <v>0.64</v>
      </c>
      <c r="CH276" s="9">
        <v>275</v>
      </c>
      <c r="CI276" s="9">
        <v>12</v>
      </c>
      <c r="CJ276" s="9">
        <v>11</v>
      </c>
      <c r="CK276" s="167">
        <f>'HourGH-NOV'!M23</f>
        <v>0.66</v>
      </c>
      <c r="CL276" s="263">
        <v>275</v>
      </c>
      <c r="CM276" s="9">
        <v>12</v>
      </c>
      <c r="CN276" s="9">
        <v>11</v>
      </c>
      <c r="CO276" s="167">
        <f>'HourGH-DEC'!M23</f>
        <v>0.49</v>
      </c>
      <c r="CP276" s="263">
        <v>275</v>
      </c>
      <c r="CQ276" s="9">
        <v>12</v>
      </c>
      <c r="CR276" s="9">
        <v>11</v>
      </c>
      <c r="CS276" s="167">
        <f>'HourGH-JAN'!M23</f>
        <v>0.4</v>
      </c>
      <c r="CT276" s="9">
        <v>275</v>
      </c>
      <c r="CU276" s="9">
        <v>12</v>
      </c>
      <c r="CV276" s="9">
        <v>11</v>
      </c>
      <c r="CW276" s="167">
        <f>'HourGH-FEB'!M23</f>
        <v>0.28999999999999998</v>
      </c>
      <c r="CX276" s="263">
        <v>275</v>
      </c>
      <c r="CY276" s="9">
        <v>12</v>
      </c>
      <c r="CZ276" s="9">
        <v>11</v>
      </c>
      <c r="DA276" s="167">
        <f>'HourGH-MAR'!M23</f>
        <v>0.24</v>
      </c>
    </row>
    <row r="277" spans="58:105">
      <c r="BF277" s="9">
        <v>276</v>
      </c>
      <c r="BG277" s="9">
        <v>12</v>
      </c>
      <c r="BH277" s="9">
        <v>12</v>
      </c>
      <c r="BI277" s="167">
        <f>'HourGH-APR'!N23</f>
        <v>0.57999999999999996</v>
      </c>
      <c r="BJ277" s="263">
        <v>276</v>
      </c>
      <c r="BK277" s="9">
        <v>12</v>
      </c>
      <c r="BL277" s="9">
        <v>12</v>
      </c>
      <c r="BM277" s="167">
        <f>'HourGH-MAY'!N23</f>
        <v>0.56999999999999995</v>
      </c>
      <c r="BN277" s="9">
        <v>276</v>
      </c>
      <c r="BO277" s="9">
        <v>12</v>
      </c>
      <c r="BP277" s="9">
        <v>12</v>
      </c>
      <c r="BQ277" s="167">
        <f>'HourGH-JUN'!N23</f>
        <v>0.74</v>
      </c>
      <c r="BR277" s="263">
        <v>276</v>
      </c>
      <c r="BS277" s="9">
        <v>12</v>
      </c>
      <c r="BT277" s="9">
        <v>12</v>
      </c>
      <c r="BU277" s="167">
        <f>'HourGH-JUL'!N23</f>
        <v>0.46</v>
      </c>
      <c r="BV277" s="263">
        <v>276</v>
      </c>
      <c r="BW277" s="9">
        <v>12</v>
      </c>
      <c r="BX277" s="9">
        <v>12</v>
      </c>
      <c r="BY277" s="167">
        <f>'HourGH-AUG'!N23</f>
        <v>1.99</v>
      </c>
      <c r="BZ277" s="9">
        <v>276</v>
      </c>
      <c r="CA277" s="9">
        <v>12</v>
      </c>
      <c r="CB277" s="9">
        <v>12</v>
      </c>
      <c r="CC277" s="167">
        <f>'HourGH-SEP'!N23</f>
        <v>1.18</v>
      </c>
      <c r="CD277" s="263">
        <v>276</v>
      </c>
      <c r="CE277" s="9">
        <v>12</v>
      </c>
      <c r="CF277" s="9">
        <v>12</v>
      </c>
      <c r="CG277" s="167">
        <f>'HourGH-OCT'!N23</f>
        <v>0.64</v>
      </c>
      <c r="CH277" s="9">
        <v>276</v>
      </c>
      <c r="CI277" s="9">
        <v>12</v>
      </c>
      <c r="CJ277" s="9">
        <v>12</v>
      </c>
      <c r="CK277" s="167">
        <f>'HourGH-NOV'!N23</f>
        <v>0.66</v>
      </c>
      <c r="CL277" s="263">
        <v>276</v>
      </c>
      <c r="CM277" s="9">
        <v>12</v>
      </c>
      <c r="CN277" s="9">
        <v>12</v>
      </c>
      <c r="CO277" s="167">
        <f>'HourGH-DEC'!N23</f>
        <v>0.49</v>
      </c>
      <c r="CP277" s="263">
        <v>276</v>
      </c>
      <c r="CQ277" s="9">
        <v>12</v>
      </c>
      <c r="CR277" s="9">
        <v>12</v>
      </c>
      <c r="CS277" s="167">
        <f>'HourGH-JAN'!N23</f>
        <v>0.4</v>
      </c>
      <c r="CT277" s="9">
        <v>276</v>
      </c>
      <c r="CU277" s="9">
        <v>12</v>
      </c>
      <c r="CV277" s="9">
        <v>12</v>
      </c>
      <c r="CW277" s="167">
        <f>'HourGH-FEB'!N23</f>
        <v>0.28999999999999998</v>
      </c>
      <c r="CX277" s="263">
        <v>276</v>
      </c>
      <c r="CY277" s="9">
        <v>12</v>
      </c>
      <c r="CZ277" s="9">
        <v>12</v>
      </c>
      <c r="DA277" s="167">
        <f>'HourGH-MAR'!N23</f>
        <v>0.24</v>
      </c>
    </row>
    <row r="278" spans="58:105">
      <c r="BF278" s="9">
        <v>277</v>
      </c>
      <c r="BG278" s="9">
        <v>12</v>
      </c>
      <c r="BH278" s="9">
        <v>13</v>
      </c>
      <c r="BI278" s="167">
        <f>'HourGH-APR'!O23</f>
        <v>0.57999999999999996</v>
      </c>
      <c r="BJ278" s="263">
        <v>277</v>
      </c>
      <c r="BK278" s="9">
        <v>12</v>
      </c>
      <c r="BL278" s="9">
        <v>13</v>
      </c>
      <c r="BM278" s="167">
        <f>'HourGH-MAY'!O23</f>
        <v>0.56999999999999995</v>
      </c>
      <c r="BN278" s="9">
        <v>277</v>
      </c>
      <c r="BO278" s="9">
        <v>12</v>
      </c>
      <c r="BP278" s="9">
        <v>13</v>
      </c>
      <c r="BQ278" s="167">
        <f>'HourGH-JUN'!O23</f>
        <v>0.74</v>
      </c>
      <c r="BR278" s="263">
        <v>277</v>
      </c>
      <c r="BS278" s="9">
        <v>12</v>
      </c>
      <c r="BT278" s="9">
        <v>13</v>
      </c>
      <c r="BU278" s="167">
        <f>'HourGH-JUL'!O23</f>
        <v>0.46</v>
      </c>
      <c r="BV278" s="263">
        <v>277</v>
      </c>
      <c r="BW278" s="9">
        <v>12</v>
      </c>
      <c r="BX278" s="9">
        <v>13</v>
      </c>
      <c r="BY278" s="167">
        <f>'HourGH-AUG'!O23</f>
        <v>1.97</v>
      </c>
      <c r="BZ278" s="9">
        <v>277</v>
      </c>
      <c r="CA278" s="9">
        <v>12</v>
      </c>
      <c r="CB278" s="9">
        <v>13</v>
      </c>
      <c r="CC278" s="167">
        <f>'HourGH-SEP'!O23</f>
        <v>1.18</v>
      </c>
      <c r="CD278" s="263">
        <v>277</v>
      </c>
      <c r="CE278" s="9">
        <v>12</v>
      </c>
      <c r="CF278" s="9">
        <v>13</v>
      </c>
      <c r="CG278" s="167">
        <f>'HourGH-OCT'!O23</f>
        <v>0.64</v>
      </c>
      <c r="CH278" s="9">
        <v>277</v>
      </c>
      <c r="CI278" s="9">
        <v>12</v>
      </c>
      <c r="CJ278" s="9">
        <v>13</v>
      </c>
      <c r="CK278" s="167">
        <f>'HourGH-NOV'!O23</f>
        <v>0.66</v>
      </c>
      <c r="CL278" s="263">
        <v>277</v>
      </c>
      <c r="CM278" s="9">
        <v>12</v>
      </c>
      <c r="CN278" s="9">
        <v>13</v>
      </c>
      <c r="CO278" s="167">
        <f>'HourGH-DEC'!O23</f>
        <v>0.49</v>
      </c>
      <c r="CP278" s="263">
        <v>277</v>
      </c>
      <c r="CQ278" s="9">
        <v>12</v>
      </c>
      <c r="CR278" s="9">
        <v>13</v>
      </c>
      <c r="CS278" s="167">
        <f>'HourGH-JAN'!O23</f>
        <v>0.4</v>
      </c>
      <c r="CT278" s="9">
        <v>277</v>
      </c>
      <c r="CU278" s="9">
        <v>12</v>
      </c>
      <c r="CV278" s="9">
        <v>13</v>
      </c>
      <c r="CW278" s="167">
        <f>'HourGH-FEB'!O23</f>
        <v>0.28999999999999998</v>
      </c>
      <c r="CX278" s="263">
        <v>277</v>
      </c>
      <c r="CY278" s="9">
        <v>12</v>
      </c>
      <c r="CZ278" s="9">
        <v>13</v>
      </c>
      <c r="DA278" s="167">
        <f>'HourGH-MAR'!O23</f>
        <v>0.24</v>
      </c>
    </row>
    <row r="279" spans="58:105">
      <c r="BF279" s="9">
        <v>278</v>
      </c>
      <c r="BG279" s="9">
        <v>12</v>
      </c>
      <c r="BH279" s="9">
        <v>14</v>
      </c>
      <c r="BI279" s="167">
        <f>'HourGH-APR'!P23</f>
        <v>0.56999999999999995</v>
      </c>
      <c r="BJ279" s="263">
        <v>278</v>
      </c>
      <c r="BK279" s="9">
        <v>12</v>
      </c>
      <c r="BL279" s="9">
        <v>14</v>
      </c>
      <c r="BM279" s="167">
        <f>'HourGH-MAY'!P23</f>
        <v>0.56999999999999995</v>
      </c>
      <c r="BN279" s="9">
        <v>278</v>
      </c>
      <c r="BO279" s="9">
        <v>12</v>
      </c>
      <c r="BP279" s="9">
        <v>14</v>
      </c>
      <c r="BQ279" s="167">
        <f>'HourGH-JUN'!P23</f>
        <v>0.73</v>
      </c>
      <c r="BR279" s="263">
        <v>278</v>
      </c>
      <c r="BS279" s="9">
        <v>12</v>
      </c>
      <c r="BT279" s="9">
        <v>14</v>
      </c>
      <c r="BU279" s="167">
        <f>'HourGH-JUL'!P23</f>
        <v>0.46</v>
      </c>
      <c r="BV279" s="263">
        <v>278</v>
      </c>
      <c r="BW279" s="9">
        <v>12</v>
      </c>
      <c r="BX279" s="9">
        <v>14</v>
      </c>
      <c r="BY279" s="167">
        <f>'HourGH-AUG'!P23</f>
        <v>1.95</v>
      </c>
      <c r="BZ279" s="9">
        <v>278</v>
      </c>
      <c r="CA279" s="9">
        <v>12</v>
      </c>
      <c r="CB279" s="9">
        <v>14</v>
      </c>
      <c r="CC279" s="167">
        <f>'HourGH-SEP'!P23</f>
        <v>1.18</v>
      </c>
      <c r="CD279" s="263">
        <v>278</v>
      </c>
      <c r="CE279" s="9">
        <v>12</v>
      </c>
      <c r="CF279" s="9">
        <v>14</v>
      </c>
      <c r="CG279" s="167">
        <f>'HourGH-OCT'!P23</f>
        <v>0.64</v>
      </c>
      <c r="CH279" s="9">
        <v>278</v>
      </c>
      <c r="CI279" s="9">
        <v>12</v>
      </c>
      <c r="CJ279" s="9">
        <v>14</v>
      </c>
      <c r="CK279" s="167">
        <f>'HourGH-NOV'!P23</f>
        <v>0.66</v>
      </c>
      <c r="CL279" s="263">
        <v>278</v>
      </c>
      <c r="CM279" s="9">
        <v>12</v>
      </c>
      <c r="CN279" s="9">
        <v>14</v>
      </c>
      <c r="CO279" s="167">
        <f>'HourGH-DEC'!P23</f>
        <v>0.49</v>
      </c>
      <c r="CP279" s="263">
        <v>278</v>
      </c>
      <c r="CQ279" s="9">
        <v>12</v>
      </c>
      <c r="CR279" s="9">
        <v>14</v>
      </c>
      <c r="CS279" s="167">
        <f>'HourGH-JAN'!P23</f>
        <v>0.4</v>
      </c>
      <c r="CT279" s="9">
        <v>278</v>
      </c>
      <c r="CU279" s="9">
        <v>12</v>
      </c>
      <c r="CV279" s="9">
        <v>14</v>
      </c>
      <c r="CW279" s="167">
        <f>'HourGH-FEB'!P23</f>
        <v>0.28999999999999998</v>
      </c>
      <c r="CX279" s="263">
        <v>278</v>
      </c>
      <c r="CY279" s="9">
        <v>12</v>
      </c>
      <c r="CZ279" s="9">
        <v>14</v>
      </c>
      <c r="DA279" s="167">
        <f>'HourGH-MAR'!P23</f>
        <v>0.24</v>
      </c>
    </row>
    <row r="280" spans="58:105">
      <c r="BF280" s="9">
        <v>279</v>
      </c>
      <c r="BG280" s="9">
        <v>12</v>
      </c>
      <c r="BH280" s="9">
        <v>15</v>
      </c>
      <c r="BI280" s="167">
        <f>'HourGH-APR'!Q23</f>
        <v>0.56999999999999995</v>
      </c>
      <c r="BJ280" s="263">
        <v>279</v>
      </c>
      <c r="BK280" s="9">
        <v>12</v>
      </c>
      <c r="BL280" s="9">
        <v>15</v>
      </c>
      <c r="BM280" s="167">
        <f>'HourGH-MAY'!Q23</f>
        <v>0.56999999999999995</v>
      </c>
      <c r="BN280" s="9">
        <v>279</v>
      </c>
      <c r="BO280" s="9">
        <v>12</v>
      </c>
      <c r="BP280" s="9">
        <v>15</v>
      </c>
      <c r="BQ280" s="167">
        <f>'HourGH-JUN'!Q23</f>
        <v>0.72</v>
      </c>
      <c r="BR280" s="263">
        <v>279</v>
      </c>
      <c r="BS280" s="9">
        <v>12</v>
      </c>
      <c r="BT280" s="9">
        <v>15</v>
      </c>
      <c r="BU280" s="167">
        <f>'HourGH-JUL'!Q23</f>
        <v>0.46</v>
      </c>
      <c r="BV280" s="263">
        <v>279</v>
      </c>
      <c r="BW280" s="9">
        <v>12</v>
      </c>
      <c r="BX280" s="9">
        <v>15</v>
      </c>
      <c r="BY280" s="167">
        <f>'HourGH-AUG'!Q23</f>
        <v>1.93</v>
      </c>
      <c r="BZ280" s="9">
        <v>279</v>
      </c>
      <c r="CA280" s="9">
        <v>12</v>
      </c>
      <c r="CB280" s="9">
        <v>15</v>
      </c>
      <c r="CC280" s="167">
        <f>'HourGH-SEP'!Q23</f>
        <v>1.18</v>
      </c>
      <c r="CD280" s="263">
        <v>279</v>
      </c>
      <c r="CE280" s="9">
        <v>12</v>
      </c>
      <c r="CF280" s="9">
        <v>15</v>
      </c>
      <c r="CG280" s="167">
        <f>'HourGH-OCT'!Q23</f>
        <v>0.64</v>
      </c>
      <c r="CH280" s="9">
        <v>279</v>
      </c>
      <c r="CI280" s="9">
        <v>12</v>
      </c>
      <c r="CJ280" s="9">
        <v>15</v>
      </c>
      <c r="CK280" s="167">
        <f>'HourGH-NOV'!Q23</f>
        <v>0.66</v>
      </c>
      <c r="CL280" s="263">
        <v>279</v>
      </c>
      <c r="CM280" s="9">
        <v>12</v>
      </c>
      <c r="CN280" s="9">
        <v>15</v>
      </c>
      <c r="CO280" s="167">
        <f>'HourGH-DEC'!Q23</f>
        <v>0.49</v>
      </c>
      <c r="CP280" s="263">
        <v>279</v>
      </c>
      <c r="CQ280" s="9">
        <v>12</v>
      </c>
      <c r="CR280" s="9">
        <v>15</v>
      </c>
      <c r="CS280" s="167">
        <f>'HourGH-JAN'!Q23</f>
        <v>0.4</v>
      </c>
      <c r="CT280" s="9">
        <v>279</v>
      </c>
      <c r="CU280" s="9">
        <v>12</v>
      </c>
      <c r="CV280" s="9">
        <v>15</v>
      </c>
      <c r="CW280" s="167">
        <f>'HourGH-FEB'!Q23</f>
        <v>0.28999999999999998</v>
      </c>
      <c r="CX280" s="263">
        <v>279</v>
      </c>
      <c r="CY280" s="9">
        <v>12</v>
      </c>
      <c r="CZ280" s="9">
        <v>15</v>
      </c>
      <c r="DA280" s="167">
        <f>'HourGH-MAR'!Q23</f>
        <v>0.24</v>
      </c>
    </row>
    <row r="281" spans="58:105">
      <c r="BF281" s="9">
        <v>280</v>
      </c>
      <c r="BG281" s="9">
        <v>12</v>
      </c>
      <c r="BH281" s="9">
        <v>16</v>
      </c>
      <c r="BI281" s="167">
        <f>'HourGH-APR'!R23</f>
        <v>0.56999999999999995</v>
      </c>
      <c r="BJ281" s="263">
        <v>280</v>
      </c>
      <c r="BK281" s="9">
        <v>12</v>
      </c>
      <c r="BL281" s="9">
        <v>16</v>
      </c>
      <c r="BM281" s="167">
        <f>'HourGH-MAY'!R23</f>
        <v>0.56999999999999995</v>
      </c>
      <c r="BN281" s="9">
        <v>280</v>
      </c>
      <c r="BO281" s="9">
        <v>12</v>
      </c>
      <c r="BP281" s="9">
        <v>16</v>
      </c>
      <c r="BQ281" s="167">
        <f>'HourGH-JUN'!R23</f>
        <v>0.71</v>
      </c>
      <c r="BR281" s="263">
        <v>280</v>
      </c>
      <c r="BS281" s="9">
        <v>12</v>
      </c>
      <c r="BT281" s="9">
        <v>16</v>
      </c>
      <c r="BU281" s="167">
        <f>'HourGH-JUL'!R23</f>
        <v>0.46</v>
      </c>
      <c r="BV281" s="263">
        <v>280</v>
      </c>
      <c r="BW281" s="9">
        <v>12</v>
      </c>
      <c r="BX281" s="9">
        <v>16</v>
      </c>
      <c r="BY281" s="167">
        <f>'HourGH-AUG'!R23</f>
        <v>1.91</v>
      </c>
      <c r="BZ281" s="9">
        <v>280</v>
      </c>
      <c r="CA281" s="9">
        <v>12</v>
      </c>
      <c r="CB281" s="9">
        <v>16</v>
      </c>
      <c r="CC281" s="167">
        <f>'HourGH-SEP'!R23</f>
        <v>1.18</v>
      </c>
      <c r="CD281" s="263">
        <v>280</v>
      </c>
      <c r="CE281" s="9">
        <v>12</v>
      </c>
      <c r="CF281" s="9">
        <v>16</v>
      </c>
      <c r="CG281" s="167">
        <f>'HourGH-OCT'!R23</f>
        <v>0.64</v>
      </c>
      <c r="CH281" s="9">
        <v>280</v>
      </c>
      <c r="CI281" s="9">
        <v>12</v>
      </c>
      <c r="CJ281" s="9">
        <v>16</v>
      </c>
      <c r="CK281" s="167">
        <f>'HourGH-NOV'!R23</f>
        <v>0.66</v>
      </c>
      <c r="CL281" s="263">
        <v>280</v>
      </c>
      <c r="CM281" s="9">
        <v>12</v>
      </c>
      <c r="CN281" s="9">
        <v>16</v>
      </c>
      <c r="CO281" s="167">
        <f>'HourGH-DEC'!R23</f>
        <v>0.49</v>
      </c>
      <c r="CP281" s="263">
        <v>280</v>
      </c>
      <c r="CQ281" s="9">
        <v>12</v>
      </c>
      <c r="CR281" s="9">
        <v>16</v>
      </c>
      <c r="CS281" s="167">
        <f>'HourGH-JAN'!R23</f>
        <v>0.4</v>
      </c>
      <c r="CT281" s="9">
        <v>280</v>
      </c>
      <c r="CU281" s="9">
        <v>12</v>
      </c>
      <c r="CV281" s="9">
        <v>16</v>
      </c>
      <c r="CW281" s="167">
        <f>'HourGH-FEB'!R23</f>
        <v>0.28999999999999998</v>
      </c>
      <c r="CX281" s="263">
        <v>280</v>
      </c>
      <c r="CY281" s="9">
        <v>12</v>
      </c>
      <c r="CZ281" s="9">
        <v>16</v>
      </c>
      <c r="DA281" s="167">
        <f>'HourGH-MAR'!R23</f>
        <v>0.24</v>
      </c>
    </row>
    <row r="282" spans="58:105">
      <c r="BF282" s="9">
        <v>281</v>
      </c>
      <c r="BG282" s="9">
        <v>12</v>
      </c>
      <c r="BH282" s="9">
        <v>17</v>
      </c>
      <c r="BI282" s="167">
        <f>'HourGH-APR'!S23</f>
        <v>0.56000000000000005</v>
      </c>
      <c r="BJ282" s="263">
        <v>281</v>
      </c>
      <c r="BK282" s="9">
        <v>12</v>
      </c>
      <c r="BL282" s="9">
        <v>17</v>
      </c>
      <c r="BM282" s="167">
        <f>'HourGH-MAY'!S23</f>
        <v>0.56999999999999995</v>
      </c>
      <c r="BN282" s="9">
        <v>281</v>
      </c>
      <c r="BO282" s="9">
        <v>12</v>
      </c>
      <c r="BP282" s="9">
        <v>17</v>
      </c>
      <c r="BQ282" s="167">
        <f>'HourGH-JUN'!S23</f>
        <v>0.7</v>
      </c>
      <c r="BR282" s="263">
        <v>281</v>
      </c>
      <c r="BS282" s="9">
        <v>12</v>
      </c>
      <c r="BT282" s="9">
        <v>17</v>
      </c>
      <c r="BU282" s="167">
        <f>'HourGH-JUL'!S23</f>
        <v>0.46</v>
      </c>
      <c r="BV282" s="263">
        <v>281</v>
      </c>
      <c r="BW282" s="9">
        <v>12</v>
      </c>
      <c r="BX282" s="9">
        <v>17</v>
      </c>
      <c r="BY282" s="167">
        <f>'HourGH-AUG'!S23</f>
        <v>1.9</v>
      </c>
      <c r="BZ282" s="9">
        <v>281</v>
      </c>
      <c r="CA282" s="9">
        <v>12</v>
      </c>
      <c r="CB282" s="9">
        <v>17</v>
      </c>
      <c r="CC282" s="167">
        <f>'HourGH-SEP'!S23</f>
        <v>1.18</v>
      </c>
      <c r="CD282" s="263">
        <v>281</v>
      </c>
      <c r="CE282" s="9">
        <v>12</v>
      </c>
      <c r="CF282" s="9">
        <v>17</v>
      </c>
      <c r="CG282" s="167">
        <f>'HourGH-OCT'!S23</f>
        <v>0.64</v>
      </c>
      <c r="CH282" s="9">
        <v>281</v>
      </c>
      <c r="CI282" s="9">
        <v>12</v>
      </c>
      <c r="CJ282" s="9">
        <v>17</v>
      </c>
      <c r="CK282" s="167">
        <f>'HourGH-NOV'!S23</f>
        <v>0.66</v>
      </c>
      <c r="CL282" s="263">
        <v>281</v>
      </c>
      <c r="CM282" s="9">
        <v>12</v>
      </c>
      <c r="CN282" s="9">
        <v>17</v>
      </c>
      <c r="CO282" s="167">
        <f>'HourGH-DEC'!S23</f>
        <v>0.49</v>
      </c>
      <c r="CP282" s="263">
        <v>281</v>
      </c>
      <c r="CQ282" s="9">
        <v>12</v>
      </c>
      <c r="CR282" s="9">
        <v>17</v>
      </c>
      <c r="CS282" s="167">
        <f>'HourGH-JAN'!S23</f>
        <v>0.4</v>
      </c>
      <c r="CT282" s="9">
        <v>281</v>
      </c>
      <c r="CU282" s="9">
        <v>12</v>
      </c>
      <c r="CV282" s="9">
        <v>17</v>
      </c>
      <c r="CW282" s="167">
        <f>'HourGH-FEB'!S23</f>
        <v>0.28999999999999998</v>
      </c>
      <c r="CX282" s="263">
        <v>281</v>
      </c>
      <c r="CY282" s="9">
        <v>12</v>
      </c>
      <c r="CZ282" s="9">
        <v>17</v>
      </c>
      <c r="DA282" s="167">
        <f>'HourGH-MAR'!S23</f>
        <v>0.24</v>
      </c>
    </row>
    <row r="283" spans="58:105">
      <c r="BF283" s="9">
        <v>282</v>
      </c>
      <c r="BG283" s="9">
        <v>12</v>
      </c>
      <c r="BH283" s="9">
        <v>18</v>
      </c>
      <c r="BI283" s="167">
        <f>'HourGH-APR'!T23</f>
        <v>0.56000000000000005</v>
      </c>
      <c r="BJ283" s="263">
        <v>282</v>
      </c>
      <c r="BK283" s="9">
        <v>12</v>
      </c>
      <c r="BL283" s="9">
        <v>18</v>
      </c>
      <c r="BM283" s="167">
        <f>'HourGH-MAY'!T23</f>
        <v>0.56999999999999995</v>
      </c>
      <c r="BN283" s="9">
        <v>282</v>
      </c>
      <c r="BO283" s="9">
        <v>12</v>
      </c>
      <c r="BP283" s="9">
        <v>18</v>
      </c>
      <c r="BQ283" s="167">
        <f>'HourGH-JUN'!T23</f>
        <v>0.68</v>
      </c>
      <c r="BR283" s="263">
        <v>282</v>
      </c>
      <c r="BS283" s="9">
        <v>12</v>
      </c>
      <c r="BT283" s="9">
        <v>18</v>
      </c>
      <c r="BU283" s="167">
        <f>'HourGH-JUL'!T23</f>
        <v>0.45</v>
      </c>
      <c r="BV283" s="263">
        <v>282</v>
      </c>
      <c r="BW283" s="9">
        <v>12</v>
      </c>
      <c r="BX283" s="9">
        <v>18</v>
      </c>
      <c r="BY283" s="167">
        <f>'HourGH-AUG'!T23</f>
        <v>1.88</v>
      </c>
      <c r="BZ283" s="9">
        <v>282</v>
      </c>
      <c r="CA283" s="9">
        <v>12</v>
      </c>
      <c r="CB283" s="9">
        <v>18</v>
      </c>
      <c r="CC283" s="167">
        <f>'HourGH-SEP'!T23</f>
        <v>1.18</v>
      </c>
      <c r="CD283" s="263">
        <v>282</v>
      </c>
      <c r="CE283" s="9">
        <v>12</v>
      </c>
      <c r="CF283" s="9">
        <v>18</v>
      </c>
      <c r="CG283" s="167">
        <f>'HourGH-OCT'!T23</f>
        <v>0.64</v>
      </c>
      <c r="CH283" s="9">
        <v>282</v>
      </c>
      <c r="CI283" s="9">
        <v>12</v>
      </c>
      <c r="CJ283" s="9">
        <v>18</v>
      </c>
      <c r="CK283" s="167">
        <f>'HourGH-NOV'!T23</f>
        <v>0.66</v>
      </c>
      <c r="CL283" s="263">
        <v>282</v>
      </c>
      <c r="CM283" s="9">
        <v>12</v>
      </c>
      <c r="CN283" s="9">
        <v>18</v>
      </c>
      <c r="CO283" s="167">
        <f>'HourGH-DEC'!T23</f>
        <v>0.49</v>
      </c>
      <c r="CP283" s="263">
        <v>282</v>
      </c>
      <c r="CQ283" s="9">
        <v>12</v>
      </c>
      <c r="CR283" s="9">
        <v>18</v>
      </c>
      <c r="CS283" s="167">
        <f>'HourGH-JAN'!T23</f>
        <v>0.4</v>
      </c>
      <c r="CT283" s="9">
        <v>282</v>
      </c>
      <c r="CU283" s="9">
        <v>12</v>
      </c>
      <c r="CV283" s="9">
        <v>18</v>
      </c>
      <c r="CW283" s="167">
        <f>'HourGH-FEB'!T23</f>
        <v>0.28999999999999998</v>
      </c>
      <c r="CX283" s="263">
        <v>282</v>
      </c>
      <c r="CY283" s="9">
        <v>12</v>
      </c>
      <c r="CZ283" s="9">
        <v>18</v>
      </c>
      <c r="DA283" s="167">
        <f>'HourGH-MAR'!T23</f>
        <v>0.24</v>
      </c>
    </row>
    <row r="284" spans="58:105">
      <c r="BF284" s="9">
        <v>283</v>
      </c>
      <c r="BG284" s="9">
        <v>12</v>
      </c>
      <c r="BH284" s="9">
        <v>19</v>
      </c>
      <c r="BI284" s="167">
        <f>'HourGH-APR'!U23</f>
        <v>0.56000000000000005</v>
      </c>
      <c r="BJ284" s="263">
        <v>283</v>
      </c>
      <c r="BK284" s="9">
        <v>12</v>
      </c>
      <c r="BL284" s="9">
        <v>19</v>
      </c>
      <c r="BM284" s="167">
        <f>'HourGH-MAY'!U23</f>
        <v>0.56999999999999995</v>
      </c>
      <c r="BN284" s="9">
        <v>283</v>
      </c>
      <c r="BO284" s="9">
        <v>12</v>
      </c>
      <c r="BP284" s="9">
        <v>19</v>
      </c>
      <c r="BQ284" s="167">
        <f>'HourGH-JUN'!U23</f>
        <v>0.66</v>
      </c>
      <c r="BR284" s="263">
        <v>283</v>
      </c>
      <c r="BS284" s="9">
        <v>12</v>
      </c>
      <c r="BT284" s="9">
        <v>19</v>
      </c>
      <c r="BU284" s="167">
        <f>'HourGH-JUL'!U23</f>
        <v>0.45</v>
      </c>
      <c r="BV284" s="263">
        <v>283</v>
      </c>
      <c r="BW284" s="9">
        <v>12</v>
      </c>
      <c r="BX284" s="9">
        <v>19</v>
      </c>
      <c r="BY284" s="167">
        <f>'HourGH-AUG'!U23</f>
        <v>1.86</v>
      </c>
      <c r="BZ284" s="9">
        <v>283</v>
      </c>
      <c r="CA284" s="9">
        <v>12</v>
      </c>
      <c r="CB284" s="9">
        <v>19</v>
      </c>
      <c r="CC284" s="167">
        <f>'HourGH-SEP'!U23</f>
        <v>1.19</v>
      </c>
      <c r="CD284" s="263">
        <v>283</v>
      </c>
      <c r="CE284" s="9">
        <v>12</v>
      </c>
      <c r="CF284" s="9">
        <v>19</v>
      </c>
      <c r="CG284" s="167">
        <f>'HourGH-OCT'!U23</f>
        <v>0.64</v>
      </c>
      <c r="CH284" s="9">
        <v>283</v>
      </c>
      <c r="CI284" s="9">
        <v>12</v>
      </c>
      <c r="CJ284" s="9">
        <v>19</v>
      </c>
      <c r="CK284" s="167">
        <f>'HourGH-NOV'!U23</f>
        <v>0.66</v>
      </c>
      <c r="CL284" s="263">
        <v>283</v>
      </c>
      <c r="CM284" s="9">
        <v>12</v>
      </c>
      <c r="CN284" s="9">
        <v>19</v>
      </c>
      <c r="CO284" s="167">
        <f>'HourGH-DEC'!U23</f>
        <v>0.49</v>
      </c>
      <c r="CP284" s="263">
        <v>283</v>
      </c>
      <c r="CQ284" s="9">
        <v>12</v>
      </c>
      <c r="CR284" s="9">
        <v>19</v>
      </c>
      <c r="CS284" s="167">
        <f>'HourGH-JAN'!U23</f>
        <v>0.4</v>
      </c>
      <c r="CT284" s="9">
        <v>283</v>
      </c>
      <c r="CU284" s="9">
        <v>12</v>
      </c>
      <c r="CV284" s="9">
        <v>19</v>
      </c>
      <c r="CW284" s="167">
        <f>'HourGH-FEB'!U23</f>
        <v>0.28999999999999998</v>
      </c>
      <c r="CX284" s="263">
        <v>283</v>
      </c>
      <c r="CY284" s="9">
        <v>12</v>
      </c>
      <c r="CZ284" s="9">
        <v>19</v>
      </c>
      <c r="DA284" s="167">
        <f>'HourGH-MAR'!U23</f>
        <v>0.24</v>
      </c>
    </row>
    <row r="285" spans="58:105">
      <c r="BF285" s="9">
        <v>284</v>
      </c>
      <c r="BG285" s="9">
        <v>12</v>
      </c>
      <c r="BH285" s="9">
        <v>20</v>
      </c>
      <c r="BI285" s="167">
        <f>'HourGH-APR'!V23</f>
        <v>0.56000000000000005</v>
      </c>
      <c r="BJ285" s="263">
        <v>284</v>
      </c>
      <c r="BK285" s="9">
        <v>12</v>
      </c>
      <c r="BL285" s="9">
        <v>20</v>
      </c>
      <c r="BM285" s="167">
        <f>'HourGH-MAY'!V23</f>
        <v>0.56999999999999995</v>
      </c>
      <c r="BN285" s="9">
        <v>284</v>
      </c>
      <c r="BO285" s="9">
        <v>12</v>
      </c>
      <c r="BP285" s="9">
        <v>20</v>
      </c>
      <c r="BQ285" s="167">
        <f>'HourGH-JUN'!V23</f>
        <v>0.64</v>
      </c>
      <c r="BR285" s="263">
        <v>284</v>
      </c>
      <c r="BS285" s="9">
        <v>12</v>
      </c>
      <c r="BT285" s="9">
        <v>20</v>
      </c>
      <c r="BU285" s="167">
        <f>'HourGH-JUL'!V23</f>
        <v>0.45</v>
      </c>
      <c r="BV285" s="263">
        <v>284</v>
      </c>
      <c r="BW285" s="9">
        <v>12</v>
      </c>
      <c r="BX285" s="9">
        <v>20</v>
      </c>
      <c r="BY285" s="167">
        <f>'HourGH-AUG'!V23</f>
        <v>1.84</v>
      </c>
      <c r="BZ285" s="9">
        <v>284</v>
      </c>
      <c r="CA285" s="9">
        <v>12</v>
      </c>
      <c r="CB285" s="9">
        <v>20</v>
      </c>
      <c r="CC285" s="167">
        <f>'HourGH-SEP'!V23</f>
        <v>1.19</v>
      </c>
      <c r="CD285" s="263">
        <v>284</v>
      </c>
      <c r="CE285" s="9">
        <v>12</v>
      </c>
      <c r="CF285" s="9">
        <v>20</v>
      </c>
      <c r="CG285" s="167">
        <f>'HourGH-OCT'!V23</f>
        <v>0.64</v>
      </c>
      <c r="CH285" s="9">
        <v>284</v>
      </c>
      <c r="CI285" s="9">
        <v>12</v>
      </c>
      <c r="CJ285" s="9">
        <v>20</v>
      </c>
      <c r="CK285" s="167">
        <f>'HourGH-NOV'!V23</f>
        <v>0.66</v>
      </c>
      <c r="CL285" s="263">
        <v>284</v>
      </c>
      <c r="CM285" s="9">
        <v>12</v>
      </c>
      <c r="CN285" s="9">
        <v>20</v>
      </c>
      <c r="CO285" s="167">
        <f>'HourGH-DEC'!V23</f>
        <v>0.49</v>
      </c>
      <c r="CP285" s="263">
        <v>284</v>
      </c>
      <c r="CQ285" s="9">
        <v>12</v>
      </c>
      <c r="CR285" s="9">
        <v>20</v>
      </c>
      <c r="CS285" s="167">
        <f>'HourGH-JAN'!V23</f>
        <v>0.4</v>
      </c>
      <c r="CT285" s="9">
        <v>284</v>
      </c>
      <c r="CU285" s="9">
        <v>12</v>
      </c>
      <c r="CV285" s="9">
        <v>20</v>
      </c>
      <c r="CW285" s="167">
        <f>'HourGH-FEB'!V23</f>
        <v>0.28999999999999998</v>
      </c>
      <c r="CX285" s="263">
        <v>284</v>
      </c>
      <c r="CY285" s="9">
        <v>12</v>
      </c>
      <c r="CZ285" s="9">
        <v>20</v>
      </c>
      <c r="DA285" s="167">
        <f>'HourGH-MAR'!V23</f>
        <v>0.24</v>
      </c>
    </row>
    <row r="286" spans="58:105">
      <c r="BF286" s="9">
        <v>285</v>
      </c>
      <c r="BG286" s="9">
        <v>12</v>
      </c>
      <c r="BH286" s="9">
        <v>21</v>
      </c>
      <c r="BI286" s="167">
        <f>'HourGH-APR'!W23</f>
        <v>0.55000000000000004</v>
      </c>
      <c r="BJ286" s="263">
        <v>285</v>
      </c>
      <c r="BK286" s="9">
        <v>12</v>
      </c>
      <c r="BL286" s="9">
        <v>21</v>
      </c>
      <c r="BM286" s="167">
        <f>'HourGH-MAY'!W23</f>
        <v>0.56999999999999995</v>
      </c>
      <c r="BN286" s="9">
        <v>285</v>
      </c>
      <c r="BO286" s="9">
        <v>12</v>
      </c>
      <c r="BP286" s="9">
        <v>21</v>
      </c>
      <c r="BQ286" s="167">
        <f>'HourGH-JUN'!W23</f>
        <v>0.62</v>
      </c>
      <c r="BR286" s="263">
        <v>285</v>
      </c>
      <c r="BS286" s="9">
        <v>12</v>
      </c>
      <c r="BT286" s="9">
        <v>21</v>
      </c>
      <c r="BU286" s="167">
        <f>'HourGH-JUL'!W23</f>
        <v>0.45</v>
      </c>
      <c r="BV286" s="263">
        <v>285</v>
      </c>
      <c r="BW286" s="9">
        <v>12</v>
      </c>
      <c r="BX286" s="9">
        <v>21</v>
      </c>
      <c r="BY286" s="167">
        <f>'HourGH-AUG'!W23</f>
        <v>1.82</v>
      </c>
      <c r="BZ286" s="9">
        <v>285</v>
      </c>
      <c r="CA286" s="9">
        <v>12</v>
      </c>
      <c r="CB286" s="9">
        <v>21</v>
      </c>
      <c r="CC286" s="167">
        <f>'HourGH-SEP'!W23</f>
        <v>1.19</v>
      </c>
      <c r="CD286" s="263">
        <v>285</v>
      </c>
      <c r="CE286" s="9">
        <v>12</v>
      </c>
      <c r="CF286" s="9">
        <v>21</v>
      </c>
      <c r="CG286" s="167">
        <f>'HourGH-OCT'!W23</f>
        <v>0.64</v>
      </c>
      <c r="CH286" s="9">
        <v>285</v>
      </c>
      <c r="CI286" s="9">
        <v>12</v>
      </c>
      <c r="CJ286" s="9">
        <v>21</v>
      </c>
      <c r="CK286" s="167">
        <f>'HourGH-NOV'!W23</f>
        <v>0.66</v>
      </c>
      <c r="CL286" s="263">
        <v>285</v>
      </c>
      <c r="CM286" s="9">
        <v>12</v>
      </c>
      <c r="CN286" s="9">
        <v>21</v>
      </c>
      <c r="CO286" s="167">
        <f>'HourGH-DEC'!W23</f>
        <v>0.49</v>
      </c>
      <c r="CP286" s="263">
        <v>285</v>
      </c>
      <c r="CQ286" s="9">
        <v>12</v>
      </c>
      <c r="CR286" s="9">
        <v>21</v>
      </c>
      <c r="CS286" s="167">
        <f>'HourGH-JAN'!W23</f>
        <v>0.4</v>
      </c>
      <c r="CT286" s="9">
        <v>285</v>
      </c>
      <c r="CU286" s="9">
        <v>12</v>
      </c>
      <c r="CV286" s="9">
        <v>21</v>
      </c>
      <c r="CW286" s="167">
        <f>'HourGH-FEB'!W23</f>
        <v>0.28999999999999998</v>
      </c>
      <c r="CX286" s="263">
        <v>285</v>
      </c>
      <c r="CY286" s="9">
        <v>12</v>
      </c>
      <c r="CZ286" s="9">
        <v>21</v>
      </c>
      <c r="DA286" s="167">
        <f>'HourGH-MAR'!W23</f>
        <v>0.24</v>
      </c>
    </row>
    <row r="287" spans="58:105">
      <c r="BF287" s="9">
        <v>286</v>
      </c>
      <c r="BG287" s="9">
        <v>12</v>
      </c>
      <c r="BH287" s="9">
        <v>22</v>
      </c>
      <c r="BI287" s="167">
        <f>'HourGH-APR'!X23</f>
        <v>0.55000000000000004</v>
      </c>
      <c r="BJ287" s="263">
        <v>286</v>
      </c>
      <c r="BK287" s="9">
        <v>12</v>
      </c>
      <c r="BL287" s="9">
        <v>22</v>
      </c>
      <c r="BM287" s="167">
        <f>'HourGH-MAY'!X23</f>
        <v>0.56999999999999995</v>
      </c>
      <c r="BN287" s="9">
        <v>286</v>
      </c>
      <c r="BO287" s="9">
        <v>12</v>
      </c>
      <c r="BP287" s="9">
        <v>22</v>
      </c>
      <c r="BQ287" s="167">
        <f>'HourGH-JUN'!X23</f>
        <v>0.6</v>
      </c>
      <c r="BR287" s="263">
        <v>286</v>
      </c>
      <c r="BS287" s="9">
        <v>12</v>
      </c>
      <c r="BT287" s="9">
        <v>22</v>
      </c>
      <c r="BU287" s="167">
        <f>'HourGH-JUL'!X23</f>
        <v>0.45</v>
      </c>
      <c r="BV287" s="263">
        <v>286</v>
      </c>
      <c r="BW287" s="9">
        <v>12</v>
      </c>
      <c r="BX287" s="9">
        <v>22</v>
      </c>
      <c r="BY287" s="167">
        <f>'HourGH-AUG'!X23</f>
        <v>1.81</v>
      </c>
      <c r="BZ287" s="9">
        <v>286</v>
      </c>
      <c r="CA287" s="9">
        <v>12</v>
      </c>
      <c r="CB287" s="9">
        <v>22</v>
      </c>
      <c r="CC287" s="167">
        <f>'HourGH-SEP'!X23</f>
        <v>1.2</v>
      </c>
      <c r="CD287" s="263">
        <v>286</v>
      </c>
      <c r="CE287" s="9">
        <v>12</v>
      </c>
      <c r="CF287" s="9">
        <v>22</v>
      </c>
      <c r="CG287" s="167">
        <f>'HourGH-OCT'!X23</f>
        <v>0.64</v>
      </c>
      <c r="CH287" s="9">
        <v>286</v>
      </c>
      <c r="CI287" s="9">
        <v>12</v>
      </c>
      <c r="CJ287" s="9">
        <v>22</v>
      </c>
      <c r="CK287" s="167">
        <f>'HourGH-NOV'!X23</f>
        <v>0.66</v>
      </c>
      <c r="CL287" s="263">
        <v>286</v>
      </c>
      <c r="CM287" s="9">
        <v>12</v>
      </c>
      <c r="CN287" s="9">
        <v>22</v>
      </c>
      <c r="CO287" s="167">
        <f>'HourGH-DEC'!X23</f>
        <v>0.49</v>
      </c>
      <c r="CP287" s="263">
        <v>286</v>
      </c>
      <c r="CQ287" s="9">
        <v>12</v>
      </c>
      <c r="CR287" s="9">
        <v>22</v>
      </c>
      <c r="CS287" s="167">
        <f>'HourGH-JAN'!X23</f>
        <v>0.4</v>
      </c>
      <c r="CT287" s="9">
        <v>286</v>
      </c>
      <c r="CU287" s="9">
        <v>12</v>
      </c>
      <c r="CV287" s="9">
        <v>22</v>
      </c>
      <c r="CW287" s="167">
        <f>'HourGH-FEB'!X23</f>
        <v>0.28999999999999998</v>
      </c>
      <c r="CX287" s="263">
        <v>286</v>
      </c>
      <c r="CY287" s="9">
        <v>12</v>
      </c>
      <c r="CZ287" s="9">
        <v>22</v>
      </c>
      <c r="DA287" s="167">
        <f>'HourGH-MAR'!X23</f>
        <v>0.24</v>
      </c>
    </row>
    <row r="288" spans="58:105">
      <c r="BF288" s="9">
        <v>287</v>
      </c>
      <c r="BG288" s="9">
        <v>12</v>
      </c>
      <c r="BH288" s="9">
        <v>23</v>
      </c>
      <c r="BI288" s="167">
        <f>'HourGH-APR'!Y23</f>
        <v>0.55000000000000004</v>
      </c>
      <c r="BJ288" s="263">
        <v>287</v>
      </c>
      <c r="BK288" s="9">
        <v>12</v>
      </c>
      <c r="BL288" s="9">
        <v>23</v>
      </c>
      <c r="BM288" s="167">
        <f>'HourGH-MAY'!Y23</f>
        <v>0.56999999999999995</v>
      </c>
      <c r="BN288" s="9">
        <v>287</v>
      </c>
      <c r="BO288" s="9">
        <v>12</v>
      </c>
      <c r="BP288" s="9">
        <v>23</v>
      </c>
      <c r="BQ288" s="167">
        <f>'HourGH-JUN'!Y23</f>
        <v>0.57999999999999996</v>
      </c>
      <c r="BR288" s="263">
        <v>287</v>
      </c>
      <c r="BS288" s="9">
        <v>12</v>
      </c>
      <c r="BT288" s="9">
        <v>23</v>
      </c>
      <c r="BU288" s="167">
        <f>'HourGH-JUL'!Y23</f>
        <v>0.45</v>
      </c>
      <c r="BV288" s="263">
        <v>287</v>
      </c>
      <c r="BW288" s="9">
        <v>12</v>
      </c>
      <c r="BX288" s="9">
        <v>23</v>
      </c>
      <c r="BY288" s="167">
        <f>'HourGH-AUG'!Y23</f>
        <v>1.79</v>
      </c>
      <c r="BZ288" s="9">
        <v>287</v>
      </c>
      <c r="CA288" s="9">
        <v>12</v>
      </c>
      <c r="CB288" s="9">
        <v>23</v>
      </c>
      <c r="CC288" s="167">
        <f>'HourGH-SEP'!Y23</f>
        <v>1.2</v>
      </c>
      <c r="CD288" s="263">
        <v>287</v>
      </c>
      <c r="CE288" s="9">
        <v>12</v>
      </c>
      <c r="CF288" s="9">
        <v>23</v>
      </c>
      <c r="CG288" s="167">
        <f>'HourGH-OCT'!Y23</f>
        <v>0.64</v>
      </c>
      <c r="CH288" s="9">
        <v>287</v>
      </c>
      <c r="CI288" s="9">
        <v>12</v>
      </c>
      <c r="CJ288" s="9">
        <v>23</v>
      </c>
      <c r="CK288" s="167">
        <f>'HourGH-NOV'!Y23</f>
        <v>0.66</v>
      </c>
      <c r="CL288" s="263">
        <v>287</v>
      </c>
      <c r="CM288" s="9">
        <v>12</v>
      </c>
      <c r="CN288" s="9">
        <v>23</v>
      </c>
      <c r="CO288" s="167">
        <f>'HourGH-DEC'!Y23</f>
        <v>0.49</v>
      </c>
      <c r="CP288" s="263">
        <v>287</v>
      </c>
      <c r="CQ288" s="9">
        <v>12</v>
      </c>
      <c r="CR288" s="9">
        <v>23</v>
      </c>
      <c r="CS288" s="167">
        <f>'HourGH-JAN'!Y23</f>
        <v>0.4</v>
      </c>
      <c r="CT288" s="9">
        <v>287</v>
      </c>
      <c r="CU288" s="9">
        <v>12</v>
      </c>
      <c r="CV288" s="9">
        <v>23</v>
      </c>
      <c r="CW288" s="167">
        <f>'HourGH-FEB'!Y23</f>
        <v>0.28999999999999998</v>
      </c>
      <c r="CX288" s="263">
        <v>287</v>
      </c>
      <c r="CY288" s="9">
        <v>12</v>
      </c>
      <c r="CZ288" s="9">
        <v>23</v>
      </c>
      <c r="DA288" s="167">
        <f>'HourGH-MAR'!Y23</f>
        <v>0.24</v>
      </c>
    </row>
    <row r="289" spans="58:105">
      <c r="BF289" s="9">
        <v>288</v>
      </c>
      <c r="BG289" s="9">
        <v>12</v>
      </c>
      <c r="BH289" s="9">
        <v>24</v>
      </c>
      <c r="BI289" s="167">
        <f>'HourGH-APR'!Z23</f>
        <v>0.55000000000000004</v>
      </c>
      <c r="BJ289" s="263">
        <v>288</v>
      </c>
      <c r="BK289" s="9">
        <v>12</v>
      </c>
      <c r="BL289" s="9">
        <v>24</v>
      </c>
      <c r="BM289" s="167">
        <f>'HourGH-MAY'!Z23</f>
        <v>0.56999999999999995</v>
      </c>
      <c r="BN289" s="9">
        <v>288</v>
      </c>
      <c r="BO289" s="9">
        <v>12</v>
      </c>
      <c r="BP289" s="9">
        <v>24</v>
      </c>
      <c r="BQ289" s="167">
        <f>'HourGH-JUN'!Z23</f>
        <v>0.56000000000000005</v>
      </c>
      <c r="BR289" s="263">
        <v>288</v>
      </c>
      <c r="BS289" s="9">
        <v>12</v>
      </c>
      <c r="BT289" s="9">
        <v>24</v>
      </c>
      <c r="BU289" s="167">
        <f>'HourGH-JUL'!Z23</f>
        <v>0.45</v>
      </c>
      <c r="BV289" s="263">
        <v>288</v>
      </c>
      <c r="BW289" s="9">
        <v>12</v>
      </c>
      <c r="BX289" s="9">
        <v>24</v>
      </c>
      <c r="BY289" s="167">
        <f>'HourGH-AUG'!Z23</f>
        <v>1.77</v>
      </c>
      <c r="BZ289" s="9">
        <v>288</v>
      </c>
      <c r="CA289" s="9">
        <v>12</v>
      </c>
      <c r="CB289" s="9">
        <v>24</v>
      </c>
      <c r="CC289" s="167">
        <f>'HourGH-SEP'!Z23</f>
        <v>1.21</v>
      </c>
      <c r="CD289" s="263">
        <v>288</v>
      </c>
      <c r="CE289" s="9">
        <v>12</v>
      </c>
      <c r="CF289" s="9">
        <v>24</v>
      </c>
      <c r="CG289" s="167">
        <f>'HourGH-OCT'!Z23</f>
        <v>0.64</v>
      </c>
      <c r="CH289" s="9">
        <v>288</v>
      </c>
      <c r="CI289" s="9">
        <v>12</v>
      </c>
      <c r="CJ289" s="9">
        <v>24</v>
      </c>
      <c r="CK289" s="167">
        <f>'HourGH-NOV'!Z23</f>
        <v>0.66</v>
      </c>
      <c r="CL289" s="263">
        <v>288</v>
      </c>
      <c r="CM289" s="9">
        <v>12</v>
      </c>
      <c r="CN289" s="9">
        <v>24</v>
      </c>
      <c r="CO289" s="167">
        <f>'HourGH-DEC'!Z23</f>
        <v>0.49</v>
      </c>
      <c r="CP289" s="263">
        <v>288</v>
      </c>
      <c r="CQ289" s="9">
        <v>12</v>
      </c>
      <c r="CR289" s="9">
        <v>24</v>
      </c>
      <c r="CS289" s="167">
        <f>'HourGH-JAN'!Z23</f>
        <v>0.4</v>
      </c>
      <c r="CT289" s="9">
        <v>288</v>
      </c>
      <c r="CU289" s="9">
        <v>12</v>
      </c>
      <c r="CV289" s="9">
        <v>24</v>
      </c>
      <c r="CW289" s="167">
        <f>'HourGH-FEB'!Z23</f>
        <v>0.28999999999999998</v>
      </c>
      <c r="CX289" s="263">
        <v>288</v>
      </c>
      <c r="CY289" s="9">
        <v>12</v>
      </c>
      <c r="CZ289" s="9">
        <v>24</v>
      </c>
      <c r="DA289" s="167">
        <f>'HourGH-MAR'!Z23</f>
        <v>0.24</v>
      </c>
    </row>
    <row r="290" spans="58:105">
      <c r="BF290" s="9">
        <v>289</v>
      </c>
      <c r="BG290" s="9">
        <v>13</v>
      </c>
      <c r="BH290" s="9">
        <v>1</v>
      </c>
      <c r="BI290" s="167">
        <f>'HourGH-APR'!C24</f>
        <v>0.54</v>
      </c>
      <c r="BJ290" s="263">
        <v>289</v>
      </c>
      <c r="BK290" s="9">
        <v>13</v>
      </c>
      <c r="BL290" s="9">
        <v>1</v>
      </c>
      <c r="BM290" s="167">
        <f>'HourGH-MAY'!C24</f>
        <v>0.56999999999999995</v>
      </c>
      <c r="BN290" s="9">
        <v>289</v>
      </c>
      <c r="BO290" s="9">
        <v>13</v>
      </c>
      <c r="BP290" s="9">
        <v>1</v>
      </c>
      <c r="BQ290" s="167">
        <f>'HourGH-JUN'!C24</f>
        <v>0.54</v>
      </c>
      <c r="BR290" s="263">
        <v>289</v>
      </c>
      <c r="BS290" s="9">
        <v>13</v>
      </c>
      <c r="BT290" s="9">
        <v>1</v>
      </c>
      <c r="BU290" s="167">
        <f>'HourGH-JUL'!C24</f>
        <v>0.44</v>
      </c>
      <c r="BV290" s="263">
        <v>289</v>
      </c>
      <c r="BW290" s="9">
        <v>13</v>
      </c>
      <c r="BX290" s="9">
        <v>1</v>
      </c>
      <c r="BY290" s="167">
        <f>'HourGH-AUG'!C24</f>
        <v>1.75</v>
      </c>
      <c r="BZ290" s="9">
        <v>289</v>
      </c>
      <c r="CA290" s="9">
        <v>13</v>
      </c>
      <c r="CB290" s="9">
        <v>1</v>
      </c>
      <c r="CC290" s="167">
        <f>'HourGH-SEP'!C24</f>
        <v>1.22</v>
      </c>
      <c r="CD290" s="263">
        <v>289</v>
      </c>
      <c r="CE290" s="9">
        <v>13</v>
      </c>
      <c r="CF290" s="9">
        <v>1</v>
      </c>
      <c r="CG290" s="167">
        <f>'HourGH-OCT'!C24</f>
        <v>0.64</v>
      </c>
      <c r="CH290" s="9">
        <v>289</v>
      </c>
      <c r="CI290" s="9">
        <v>13</v>
      </c>
      <c r="CJ290" s="9">
        <v>1</v>
      </c>
      <c r="CK290" s="167">
        <f>'HourGH-NOV'!C24</f>
        <v>0.65</v>
      </c>
      <c r="CL290" s="263">
        <v>289</v>
      </c>
      <c r="CM290" s="9">
        <v>13</v>
      </c>
      <c r="CN290" s="9">
        <v>1</v>
      </c>
      <c r="CO290" s="167">
        <f>'HourGH-DEC'!C24</f>
        <v>0.49</v>
      </c>
      <c r="CP290" s="263">
        <v>289</v>
      </c>
      <c r="CQ290" s="9">
        <v>13</v>
      </c>
      <c r="CR290" s="9">
        <v>1</v>
      </c>
      <c r="CS290" s="167">
        <f>'HourGH-JAN'!C24</f>
        <v>0.4</v>
      </c>
      <c r="CT290" s="9">
        <v>289</v>
      </c>
      <c r="CU290" s="9">
        <v>13</v>
      </c>
      <c r="CV290" s="9">
        <v>1</v>
      </c>
      <c r="CW290" s="167">
        <f>'HourGH-FEB'!C24</f>
        <v>0.3</v>
      </c>
      <c r="CX290" s="263">
        <v>289</v>
      </c>
      <c r="CY290" s="9">
        <v>13</v>
      </c>
      <c r="CZ290" s="9">
        <v>1</v>
      </c>
      <c r="DA290" s="167">
        <f>'HourGH-MAR'!C24</f>
        <v>0.24</v>
      </c>
    </row>
    <row r="291" spans="58:105">
      <c r="BF291" s="9">
        <v>290</v>
      </c>
      <c r="BG291" s="9">
        <v>13</v>
      </c>
      <c r="BH291" s="9">
        <v>2</v>
      </c>
      <c r="BI291" s="167">
        <f>'HourGH-APR'!D24</f>
        <v>0.54</v>
      </c>
      <c r="BJ291" s="263">
        <v>290</v>
      </c>
      <c r="BK291" s="9">
        <v>13</v>
      </c>
      <c r="BL291" s="9">
        <v>2</v>
      </c>
      <c r="BM291" s="167">
        <f>'HourGH-MAY'!D24</f>
        <v>0.56999999999999995</v>
      </c>
      <c r="BN291" s="9">
        <v>290</v>
      </c>
      <c r="BO291" s="9">
        <v>13</v>
      </c>
      <c r="BP291" s="9">
        <v>2</v>
      </c>
      <c r="BQ291" s="167">
        <f>'HourGH-JUN'!D24</f>
        <v>0.52</v>
      </c>
      <c r="BR291" s="263">
        <v>290</v>
      </c>
      <c r="BS291" s="9">
        <v>13</v>
      </c>
      <c r="BT291" s="9">
        <v>2</v>
      </c>
      <c r="BU291" s="167">
        <f>'HourGH-JUL'!D24</f>
        <v>0.44</v>
      </c>
      <c r="BV291" s="263">
        <v>290</v>
      </c>
      <c r="BW291" s="9">
        <v>13</v>
      </c>
      <c r="BX291" s="9">
        <v>2</v>
      </c>
      <c r="BY291" s="167">
        <f>'HourGH-AUG'!D24</f>
        <v>1.73</v>
      </c>
      <c r="BZ291" s="9">
        <v>290</v>
      </c>
      <c r="CA291" s="9">
        <v>13</v>
      </c>
      <c r="CB291" s="9">
        <v>2</v>
      </c>
      <c r="CC291" s="167">
        <f>'HourGH-SEP'!D24</f>
        <v>1.23</v>
      </c>
      <c r="CD291" s="263">
        <v>290</v>
      </c>
      <c r="CE291" s="9">
        <v>13</v>
      </c>
      <c r="CF291" s="9">
        <v>2</v>
      </c>
      <c r="CG291" s="167">
        <f>'HourGH-OCT'!D24</f>
        <v>0.64</v>
      </c>
      <c r="CH291" s="9">
        <v>290</v>
      </c>
      <c r="CI291" s="9">
        <v>13</v>
      </c>
      <c r="CJ291" s="9">
        <v>2</v>
      </c>
      <c r="CK291" s="167">
        <f>'HourGH-NOV'!D24</f>
        <v>0.65</v>
      </c>
      <c r="CL291" s="263">
        <v>290</v>
      </c>
      <c r="CM291" s="9">
        <v>13</v>
      </c>
      <c r="CN291" s="9">
        <v>2</v>
      </c>
      <c r="CO291" s="167">
        <f>'HourGH-DEC'!D24</f>
        <v>0.49</v>
      </c>
      <c r="CP291" s="263">
        <v>290</v>
      </c>
      <c r="CQ291" s="9">
        <v>13</v>
      </c>
      <c r="CR291" s="9">
        <v>2</v>
      </c>
      <c r="CS291" s="167">
        <f>'HourGH-JAN'!D24</f>
        <v>0.4</v>
      </c>
      <c r="CT291" s="9">
        <v>290</v>
      </c>
      <c r="CU291" s="9">
        <v>13</v>
      </c>
      <c r="CV291" s="9">
        <v>2</v>
      </c>
      <c r="CW291" s="167">
        <f>'HourGH-FEB'!D24</f>
        <v>0.3</v>
      </c>
      <c r="CX291" s="263">
        <v>290</v>
      </c>
      <c r="CY291" s="9">
        <v>13</v>
      </c>
      <c r="CZ291" s="9">
        <v>2</v>
      </c>
      <c r="DA291" s="167">
        <f>'HourGH-MAR'!D24</f>
        <v>0.24</v>
      </c>
    </row>
    <row r="292" spans="58:105">
      <c r="BF292" s="9">
        <v>291</v>
      </c>
      <c r="BG292" s="9">
        <v>13</v>
      </c>
      <c r="BH292" s="9">
        <v>3</v>
      </c>
      <c r="BI292" s="167">
        <f>'HourGH-APR'!E24</f>
        <v>0.54</v>
      </c>
      <c r="BJ292" s="263">
        <v>291</v>
      </c>
      <c r="BK292" s="9">
        <v>13</v>
      </c>
      <c r="BL292" s="9">
        <v>3</v>
      </c>
      <c r="BM292" s="167">
        <f>'HourGH-MAY'!E24</f>
        <v>0.56999999999999995</v>
      </c>
      <c r="BN292" s="9">
        <v>291</v>
      </c>
      <c r="BO292" s="9">
        <v>13</v>
      </c>
      <c r="BP292" s="9">
        <v>3</v>
      </c>
      <c r="BQ292" s="167">
        <f>'HourGH-JUN'!E24</f>
        <v>0.5</v>
      </c>
      <c r="BR292" s="263">
        <v>291</v>
      </c>
      <c r="BS292" s="9">
        <v>13</v>
      </c>
      <c r="BT292" s="9">
        <v>3</v>
      </c>
      <c r="BU292" s="167">
        <f>'HourGH-JUL'!E24</f>
        <v>0.44</v>
      </c>
      <c r="BV292" s="263">
        <v>291</v>
      </c>
      <c r="BW292" s="9">
        <v>13</v>
      </c>
      <c r="BX292" s="9">
        <v>3</v>
      </c>
      <c r="BY292" s="167">
        <f>'HourGH-AUG'!E24</f>
        <v>1.71</v>
      </c>
      <c r="BZ292" s="9">
        <v>291</v>
      </c>
      <c r="CA292" s="9">
        <v>13</v>
      </c>
      <c r="CB292" s="9">
        <v>3</v>
      </c>
      <c r="CC292" s="167">
        <f>'HourGH-SEP'!E24</f>
        <v>1.24</v>
      </c>
      <c r="CD292" s="263">
        <v>291</v>
      </c>
      <c r="CE292" s="9">
        <v>13</v>
      </c>
      <c r="CF292" s="9">
        <v>3</v>
      </c>
      <c r="CG292" s="167">
        <f>'HourGH-OCT'!E24</f>
        <v>0.64</v>
      </c>
      <c r="CH292" s="9">
        <v>291</v>
      </c>
      <c r="CI292" s="9">
        <v>13</v>
      </c>
      <c r="CJ292" s="9">
        <v>3</v>
      </c>
      <c r="CK292" s="167">
        <f>'HourGH-NOV'!E24</f>
        <v>0.65</v>
      </c>
      <c r="CL292" s="263">
        <v>291</v>
      </c>
      <c r="CM292" s="9">
        <v>13</v>
      </c>
      <c r="CN292" s="9">
        <v>3</v>
      </c>
      <c r="CO292" s="167">
        <f>'HourGH-DEC'!E24</f>
        <v>0.49</v>
      </c>
      <c r="CP292" s="263">
        <v>291</v>
      </c>
      <c r="CQ292" s="9">
        <v>13</v>
      </c>
      <c r="CR292" s="9">
        <v>3</v>
      </c>
      <c r="CS292" s="167">
        <f>'HourGH-JAN'!E24</f>
        <v>0.4</v>
      </c>
      <c r="CT292" s="9">
        <v>291</v>
      </c>
      <c r="CU292" s="9">
        <v>13</v>
      </c>
      <c r="CV292" s="9">
        <v>3</v>
      </c>
      <c r="CW292" s="167">
        <f>'HourGH-FEB'!E24</f>
        <v>0.3</v>
      </c>
      <c r="CX292" s="263">
        <v>291</v>
      </c>
      <c r="CY292" s="9">
        <v>13</v>
      </c>
      <c r="CZ292" s="9">
        <v>3</v>
      </c>
      <c r="DA292" s="167">
        <f>'HourGH-MAR'!E24</f>
        <v>0.24</v>
      </c>
    </row>
    <row r="293" spans="58:105">
      <c r="BF293" s="9">
        <v>292</v>
      </c>
      <c r="BG293" s="9">
        <v>13</v>
      </c>
      <c r="BH293" s="9">
        <v>4</v>
      </c>
      <c r="BI293" s="167">
        <f>'HourGH-APR'!F24</f>
        <v>0.54</v>
      </c>
      <c r="BJ293" s="263">
        <v>292</v>
      </c>
      <c r="BK293" s="9">
        <v>13</v>
      </c>
      <c r="BL293" s="9">
        <v>4</v>
      </c>
      <c r="BM293" s="167">
        <f>'HourGH-MAY'!F24</f>
        <v>0.56999999999999995</v>
      </c>
      <c r="BN293" s="9">
        <v>292</v>
      </c>
      <c r="BO293" s="9">
        <v>13</v>
      </c>
      <c r="BP293" s="9">
        <v>4</v>
      </c>
      <c r="BQ293" s="167">
        <f>'HourGH-JUN'!F24</f>
        <v>0.48</v>
      </c>
      <c r="BR293" s="263">
        <v>292</v>
      </c>
      <c r="BS293" s="9">
        <v>13</v>
      </c>
      <c r="BT293" s="9">
        <v>4</v>
      </c>
      <c r="BU293" s="167">
        <f>'HourGH-JUL'!F24</f>
        <v>0.44</v>
      </c>
      <c r="BV293" s="263">
        <v>292</v>
      </c>
      <c r="BW293" s="9">
        <v>13</v>
      </c>
      <c r="BX293" s="9">
        <v>4</v>
      </c>
      <c r="BY293" s="167">
        <f>'HourGH-AUG'!F24</f>
        <v>1.68</v>
      </c>
      <c r="BZ293" s="9">
        <v>292</v>
      </c>
      <c r="CA293" s="9">
        <v>13</v>
      </c>
      <c r="CB293" s="9">
        <v>4</v>
      </c>
      <c r="CC293" s="167">
        <f>'HourGH-SEP'!F24</f>
        <v>1.26</v>
      </c>
      <c r="CD293" s="263">
        <v>292</v>
      </c>
      <c r="CE293" s="9">
        <v>13</v>
      </c>
      <c r="CF293" s="9">
        <v>4</v>
      </c>
      <c r="CG293" s="167">
        <f>'HourGH-OCT'!F24</f>
        <v>0.64</v>
      </c>
      <c r="CH293" s="9">
        <v>292</v>
      </c>
      <c r="CI293" s="9">
        <v>13</v>
      </c>
      <c r="CJ293" s="9">
        <v>4</v>
      </c>
      <c r="CK293" s="167">
        <f>'HourGH-NOV'!F24</f>
        <v>0.65</v>
      </c>
      <c r="CL293" s="263">
        <v>292</v>
      </c>
      <c r="CM293" s="9">
        <v>13</v>
      </c>
      <c r="CN293" s="9">
        <v>4</v>
      </c>
      <c r="CO293" s="167">
        <f>'HourGH-DEC'!F24</f>
        <v>0.49</v>
      </c>
      <c r="CP293" s="263">
        <v>292</v>
      </c>
      <c r="CQ293" s="9">
        <v>13</v>
      </c>
      <c r="CR293" s="9">
        <v>4</v>
      </c>
      <c r="CS293" s="167">
        <f>'HourGH-JAN'!F24</f>
        <v>0.4</v>
      </c>
      <c r="CT293" s="9">
        <v>292</v>
      </c>
      <c r="CU293" s="9">
        <v>13</v>
      </c>
      <c r="CV293" s="9">
        <v>4</v>
      </c>
      <c r="CW293" s="167">
        <f>'HourGH-FEB'!F24</f>
        <v>0.3</v>
      </c>
      <c r="CX293" s="263">
        <v>292</v>
      </c>
      <c r="CY293" s="9">
        <v>13</v>
      </c>
      <c r="CZ293" s="9">
        <v>4</v>
      </c>
      <c r="DA293" s="167">
        <f>'HourGH-MAR'!F24</f>
        <v>0.24</v>
      </c>
    </row>
    <row r="294" spans="58:105">
      <c r="BF294" s="9">
        <v>293</v>
      </c>
      <c r="BG294" s="9">
        <v>13</v>
      </c>
      <c r="BH294" s="9">
        <v>5</v>
      </c>
      <c r="BI294" s="167">
        <f>'HourGH-APR'!G24</f>
        <v>0.54</v>
      </c>
      <c r="BJ294" s="263">
        <v>293</v>
      </c>
      <c r="BK294" s="9">
        <v>13</v>
      </c>
      <c r="BL294" s="9">
        <v>5</v>
      </c>
      <c r="BM294" s="167">
        <f>'HourGH-MAY'!G24</f>
        <v>0.56999999999999995</v>
      </c>
      <c r="BN294" s="9">
        <v>293</v>
      </c>
      <c r="BO294" s="9">
        <v>13</v>
      </c>
      <c r="BP294" s="9">
        <v>5</v>
      </c>
      <c r="BQ294" s="167">
        <f>'HourGH-JUN'!G24</f>
        <v>0.47</v>
      </c>
      <c r="BR294" s="263">
        <v>293</v>
      </c>
      <c r="BS294" s="9">
        <v>13</v>
      </c>
      <c r="BT294" s="9">
        <v>5</v>
      </c>
      <c r="BU294" s="167">
        <f>'HourGH-JUL'!G24</f>
        <v>0.44</v>
      </c>
      <c r="BV294" s="263">
        <v>293</v>
      </c>
      <c r="BW294" s="9">
        <v>13</v>
      </c>
      <c r="BX294" s="9">
        <v>5</v>
      </c>
      <c r="BY294" s="167">
        <f>'HourGH-AUG'!G24</f>
        <v>1.65</v>
      </c>
      <c r="BZ294" s="9">
        <v>293</v>
      </c>
      <c r="CA294" s="9">
        <v>13</v>
      </c>
      <c r="CB294" s="9">
        <v>5</v>
      </c>
      <c r="CC294" s="167">
        <f>'HourGH-SEP'!G24</f>
        <v>1.27</v>
      </c>
      <c r="CD294" s="263">
        <v>293</v>
      </c>
      <c r="CE294" s="9">
        <v>13</v>
      </c>
      <c r="CF294" s="9">
        <v>5</v>
      </c>
      <c r="CG294" s="167">
        <f>'HourGH-OCT'!G24</f>
        <v>0.64</v>
      </c>
      <c r="CH294" s="9">
        <v>293</v>
      </c>
      <c r="CI294" s="9">
        <v>13</v>
      </c>
      <c r="CJ294" s="9">
        <v>5</v>
      </c>
      <c r="CK294" s="167">
        <f>'HourGH-NOV'!G24</f>
        <v>0.65</v>
      </c>
      <c r="CL294" s="263">
        <v>293</v>
      </c>
      <c r="CM294" s="9">
        <v>13</v>
      </c>
      <c r="CN294" s="9">
        <v>5</v>
      </c>
      <c r="CO294" s="167">
        <f>'HourGH-DEC'!G24</f>
        <v>0.49</v>
      </c>
      <c r="CP294" s="263">
        <v>293</v>
      </c>
      <c r="CQ294" s="9">
        <v>13</v>
      </c>
      <c r="CR294" s="9">
        <v>5</v>
      </c>
      <c r="CS294" s="167">
        <f>'HourGH-JAN'!G24</f>
        <v>0.4</v>
      </c>
      <c r="CT294" s="9">
        <v>293</v>
      </c>
      <c r="CU294" s="9">
        <v>13</v>
      </c>
      <c r="CV294" s="9">
        <v>5</v>
      </c>
      <c r="CW294" s="167">
        <f>'HourGH-FEB'!G24</f>
        <v>0.3</v>
      </c>
      <c r="CX294" s="263">
        <v>293</v>
      </c>
      <c r="CY294" s="9">
        <v>13</v>
      </c>
      <c r="CZ294" s="9">
        <v>5</v>
      </c>
      <c r="DA294" s="167">
        <f>'HourGH-MAR'!G24</f>
        <v>0.24</v>
      </c>
    </row>
    <row r="295" spans="58:105">
      <c r="BF295" s="9">
        <v>294</v>
      </c>
      <c r="BG295" s="9">
        <v>13</v>
      </c>
      <c r="BH295" s="9">
        <v>6</v>
      </c>
      <c r="BI295" s="167">
        <f>'HourGH-APR'!H24</f>
        <v>0.54</v>
      </c>
      <c r="BJ295" s="263">
        <v>294</v>
      </c>
      <c r="BK295" s="9">
        <v>13</v>
      </c>
      <c r="BL295" s="9">
        <v>6</v>
      </c>
      <c r="BM295" s="167">
        <f>'HourGH-MAY'!H24</f>
        <v>0.56999999999999995</v>
      </c>
      <c r="BN295" s="9">
        <v>294</v>
      </c>
      <c r="BO295" s="9">
        <v>13</v>
      </c>
      <c r="BP295" s="9">
        <v>6</v>
      </c>
      <c r="BQ295" s="167">
        <f>'HourGH-JUN'!H24</f>
        <v>0.45</v>
      </c>
      <c r="BR295" s="263">
        <v>294</v>
      </c>
      <c r="BS295" s="9">
        <v>13</v>
      </c>
      <c r="BT295" s="9">
        <v>6</v>
      </c>
      <c r="BU295" s="167">
        <f>'HourGH-JUL'!H24</f>
        <v>0.43</v>
      </c>
      <c r="BV295" s="263">
        <v>294</v>
      </c>
      <c r="BW295" s="9">
        <v>13</v>
      </c>
      <c r="BX295" s="9">
        <v>6</v>
      </c>
      <c r="BY295" s="167">
        <f>'HourGH-AUG'!H24</f>
        <v>1.63</v>
      </c>
      <c r="BZ295" s="9">
        <v>294</v>
      </c>
      <c r="CA295" s="9">
        <v>13</v>
      </c>
      <c r="CB295" s="9">
        <v>6</v>
      </c>
      <c r="CC295" s="167">
        <f>'HourGH-SEP'!H24</f>
        <v>1.28</v>
      </c>
      <c r="CD295" s="263">
        <v>294</v>
      </c>
      <c r="CE295" s="9">
        <v>13</v>
      </c>
      <c r="CF295" s="9">
        <v>6</v>
      </c>
      <c r="CG295" s="167">
        <f>'HourGH-OCT'!H24</f>
        <v>0.64</v>
      </c>
      <c r="CH295" s="9">
        <v>294</v>
      </c>
      <c r="CI295" s="9">
        <v>13</v>
      </c>
      <c r="CJ295" s="9">
        <v>6</v>
      </c>
      <c r="CK295" s="167">
        <f>'HourGH-NOV'!H24</f>
        <v>0.65</v>
      </c>
      <c r="CL295" s="263">
        <v>294</v>
      </c>
      <c r="CM295" s="9">
        <v>13</v>
      </c>
      <c r="CN295" s="9">
        <v>6</v>
      </c>
      <c r="CO295" s="167">
        <f>'HourGH-DEC'!H24</f>
        <v>0.49</v>
      </c>
      <c r="CP295" s="263">
        <v>294</v>
      </c>
      <c r="CQ295" s="9">
        <v>13</v>
      </c>
      <c r="CR295" s="9">
        <v>6</v>
      </c>
      <c r="CS295" s="167">
        <f>'HourGH-JAN'!H24</f>
        <v>0.4</v>
      </c>
      <c r="CT295" s="9">
        <v>294</v>
      </c>
      <c r="CU295" s="9">
        <v>13</v>
      </c>
      <c r="CV295" s="9">
        <v>6</v>
      </c>
      <c r="CW295" s="167">
        <f>'HourGH-FEB'!H24</f>
        <v>0.3</v>
      </c>
      <c r="CX295" s="263">
        <v>294</v>
      </c>
      <c r="CY295" s="9">
        <v>13</v>
      </c>
      <c r="CZ295" s="9">
        <v>6</v>
      </c>
      <c r="DA295" s="167">
        <f>'HourGH-MAR'!H24</f>
        <v>0.24</v>
      </c>
    </row>
    <row r="296" spans="58:105">
      <c r="BF296" s="9">
        <v>295</v>
      </c>
      <c r="BG296" s="9">
        <v>13</v>
      </c>
      <c r="BH296" s="9">
        <v>7</v>
      </c>
      <c r="BI296" s="167">
        <f>'HourGH-APR'!I24</f>
        <v>0.55000000000000004</v>
      </c>
      <c r="BJ296" s="263">
        <v>295</v>
      </c>
      <c r="BK296" s="9">
        <v>13</v>
      </c>
      <c r="BL296" s="9">
        <v>7</v>
      </c>
      <c r="BM296" s="167">
        <f>'HourGH-MAY'!I24</f>
        <v>0.56000000000000005</v>
      </c>
      <c r="BN296" s="9">
        <v>295</v>
      </c>
      <c r="BO296" s="9">
        <v>13</v>
      </c>
      <c r="BP296" s="9">
        <v>7</v>
      </c>
      <c r="BQ296" s="167">
        <f>'HourGH-JUN'!I24</f>
        <v>0.44</v>
      </c>
      <c r="BR296" s="263">
        <v>295</v>
      </c>
      <c r="BS296" s="9">
        <v>13</v>
      </c>
      <c r="BT296" s="9">
        <v>7</v>
      </c>
      <c r="BU296" s="167">
        <f>'HourGH-JUL'!I24</f>
        <v>0.43</v>
      </c>
      <c r="BV296" s="263">
        <v>295</v>
      </c>
      <c r="BW296" s="9">
        <v>13</v>
      </c>
      <c r="BX296" s="9">
        <v>7</v>
      </c>
      <c r="BY296" s="167">
        <f>'HourGH-AUG'!I24</f>
        <v>1.6</v>
      </c>
      <c r="BZ296" s="9">
        <v>295</v>
      </c>
      <c r="CA296" s="9">
        <v>13</v>
      </c>
      <c r="CB296" s="9">
        <v>7</v>
      </c>
      <c r="CC296" s="167">
        <f>'HourGH-SEP'!I24</f>
        <v>1.29</v>
      </c>
      <c r="CD296" s="263">
        <v>295</v>
      </c>
      <c r="CE296" s="9">
        <v>13</v>
      </c>
      <c r="CF296" s="9">
        <v>7</v>
      </c>
      <c r="CG296" s="167">
        <f>'HourGH-OCT'!I24</f>
        <v>0.64</v>
      </c>
      <c r="CH296" s="9">
        <v>295</v>
      </c>
      <c r="CI296" s="9">
        <v>13</v>
      </c>
      <c r="CJ296" s="9">
        <v>7</v>
      </c>
      <c r="CK296" s="167">
        <f>'HourGH-NOV'!I24</f>
        <v>0.65</v>
      </c>
      <c r="CL296" s="263">
        <v>295</v>
      </c>
      <c r="CM296" s="9">
        <v>13</v>
      </c>
      <c r="CN296" s="9">
        <v>7</v>
      </c>
      <c r="CO296" s="167">
        <f>'HourGH-DEC'!I24</f>
        <v>0.49</v>
      </c>
      <c r="CP296" s="263">
        <v>295</v>
      </c>
      <c r="CQ296" s="9">
        <v>13</v>
      </c>
      <c r="CR296" s="9">
        <v>7</v>
      </c>
      <c r="CS296" s="167">
        <f>'HourGH-JAN'!I24</f>
        <v>0.4</v>
      </c>
      <c r="CT296" s="9">
        <v>295</v>
      </c>
      <c r="CU296" s="9">
        <v>13</v>
      </c>
      <c r="CV296" s="9">
        <v>7</v>
      </c>
      <c r="CW296" s="167">
        <f>'HourGH-FEB'!I24</f>
        <v>0.3</v>
      </c>
      <c r="CX296" s="263">
        <v>295</v>
      </c>
      <c r="CY296" s="9">
        <v>13</v>
      </c>
      <c r="CZ296" s="9">
        <v>7</v>
      </c>
      <c r="DA296" s="167">
        <f>'HourGH-MAR'!I24</f>
        <v>0.24</v>
      </c>
    </row>
    <row r="297" spans="58:105">
      <c r="BF297" s="9">
        <v>296</v>
      </c>
      <c r="BG297" s="9">
        <v>13</v>
      </c>
      <c r="BH297" s="9">
        <v>8</v>
      </c>
      <c r="BI297" s="167">
        <f>'HourGH-APR'!J24</f>
        <v>0.55000000000000004</v>
      </c>
      <c r="BJ297" s="263">
        <v>296</v>
      </c>
      <c r="BK297" s="9">
        <v>13</v>
      </c>
      <c r="BL297" s="9">
        <v>8</v>
      </c>
      <c r="BM297" s="167">
        <f>'HourGH-MAY'!J24</f>
        <v>0.56000000000000005</v>
      </c>
      <c r="BN297" s="9">
        <v>296</v>
      </c>
      <c r="BO297" s="9">
        <v>13</v>
      </c>
      <c r="BP297" s="9">
        <v>8</v>
      </c>
      <c r="BQ297" s="167">
        <f>'HourGH-JUN'!J24</f>
        <v>0.43</v>
      </c>
      <c r="BR297" s="263">
        <v>296</v>
      </c>
      <c r="BS297" s="9">
        <v>13</v>
      </c>
      <c r="BT297" s="9">
        <v>8</v>
      </c>
      <c r="BU297" s="167">
        <f>'HourGH-JUL'!J24</f>
        <v>0.43</v>
      </c>
      <c r="BV297" s="263">
        <v>296</v>
      </c>
      <c r="BW297" s="9">
        <v>13</v>
      </c>
      <c r="BX297" s="9">
        <v>8</v>
      </c>
      <c r="BY297" s="167">
        <f>'HourGH-AUG'!J24</f>
        <v>1.57</v>
      </c>
      <c r="BZ297" s="9">
        <v>296</v>
      </c>
      <c r="CA297" s="9">
        <v>13</v>
      </c>
      <c r="CB297" s="9">
        <v>8</v>
      </c>
      <c r="CC297" s="167">
        <f>'HourGH-SEP'!J24</f>
        <v>1.31</v>
      </c>
      <c r="CD297" s="263">
        <v>296</v>
      </c>
      <c r="CE297" s="9">
        <v>13</v>
      </c>
      <c r="CF297" s="9">
        <v>8</v>
      </c>
      <c r="CG297" s="167">
        <f>'HourGH-OCT'!J24</f>
        <v>0.64</v>
      </c>
      <c r="CH297" s="9">
        <v>296</v>
      </c>
      <c r="CI297" s="9">
        <v>13</v>
      </c>
      <c r="CJ297" s="9">
        <v>8</v>
      </c>
      <c r="CK297" s="167">
        <f>'HourGH-NOV'!J24</f>
        <v>0.65</v>
      </c>
      <c r="CL297" s="263">
        <v>296</v>
      </c>
      <c r="CM297" s="9">
        <v>13</v>
      </c>
      <c r="CN297" s="9">
        <v>8</v>
      </c>
      <c r="CO297" s="167">
        <f>'HourGH-DEC'!J24</f>
        <v>0.5</v>
      </c>
      <c r="CP297" s="263">
        <v>296</v>
      </c>
      <c r="CQ297" s="9">
        <v>13</v>
      </c>
      <c r="CR297" s="9">
        <v>8</v>
      </c>
      <c r="CS297" s="167">
        <f>'HourGH-JAN'!J24</f>
        <v>0.4</v>
      </c>
      <c r="CT297" s="9">
        <v>296</v>
      </c>
      <c r="CU297" s="9">
        <v>13</v>
      </c>
      <c r="CV297" s="9">
        <v>8</v>
      </c>
      <c r="CW297" s="167">
        <f>'HourGH-FEB'!J24</f>
        <v>0.3</v>
      </c>
      <c r="CX297" s="263">
        <v>296</v>
      </c>
      <c r="CY297" s="9">
        <v>13</v>
      </c>
      <c r="CZ297" s="9">
        <v>8</v>
      </c>
      <c r="DA297" s="167">
        <f>'HourGH-MAR'!J24</f>
        <v>0.24</v>
      </c>
    </row>
    <row r="298" spans="58:105">
      <c r="BF298" s="9">
        <v>297</v>
      </c>
      <c r="BG298" s="9">
        <v>13</v>
      </c>
      <c r="BH298" s="9">
        <v>9</v>
      </c>
      <c r="BI298" s="167">
        <f>'HourGH-APR'!K24</f>
        <v>0.55000000000000004</v>
      </c>
      <c r="BJ298" s="263">
        <v>297</v>
      </c>
      <c r="BK298" s="9">
        <v>13</v>
      </c>
      <c r="BL298" s="9">
        <v>9</v>
      </c>
      <c r="BM298" s="167">
        <f>'HourGH-MAY'!K24</f>
        <v>0.56000000000000005</v>
      </c>
      <c r="BN298" s="9">
        <v>297</v>
      </c>
      <c r="BO298" s="9">
        <v>13</v>
      </c>
      <c r="BP298" s="9">
        <v>9</v>
      </c>
      <c r="BQ298" s="167">
        <f>'HourGH-JUN'!K24</f>
        <v>0.42</v>
      </c>
      <c r="BR298" s="263">
        <v>297</v>
      </c>
      <c r="BS298" s="9">
        <v>13</v>
      </c>
      <c r="BT298" s="9">
        <v>9</v>
      </c>
      <c r="BU298" s="167">
        <f>'HourGH-JUL'!K24</f>
        <v>0.43</v>
      </c>
      <c r="BV298" s="263">
        <v>297</v>
      </c>
      <c r="BW298" s="9">
        <v>13</v>
      </c>
      <c r="BX298" s="9">
        <v>9</v>
      </c>
      <c r="BY298" s="167">
        <f>'HourGH-AUG'!K24</f>
        <v>1.54</v>
      </c>
      <c r="BZ298" s="9">
        <v>297</v>
      </c>
      <c r="CA298" s="9">
        <v>13</v>
      </c>
      <c r="CB298" s="9">
        <v>9</v>
      </c>
      <c r="CC298" s="167">
        <f>'HourGH-SEP'!K24</f>
        <v>1.33</v>
      </c>
      <c r="CD298" s="263">
        <v>297</v>
      </c>
      <c r="CE298" s="9">
        <v>13</v>
      </c>
      <c r="CF298" s="9">
        <v>9</v>
      </c>
      <c r="CG298" s="167">
        <f>'HourGH-OCT'!K24</f>
        <v>0.64</v>
      </c>
      <c r="CH298" s="9">
        <v>297</v>
      </c>
      <c r="CI298" s="9">
        <v>13</v>
      </c>
      <c r="CJ298" s="9">
        <v>9</v>
      </c>
      <c r="CK298" s="167">
        <f>'HourGH-NOV'!K24</f>
        <v>0.65</v>
      </c>
      <c r="CL298" s="263">
        <v>297</v>
      </c>
      <c r="CM298" s="9">
        <v>13</v>
      </c>
      <c r="CN298" s="9">
        <v>9</v>
      </c>
      <c r="CO298" s="167">
        <f>'HourGH-DEC'!K24</f>
        <v>0.5</v>
      </c>
      <c r="CP298" s="263">
        <v>297</v>
      </c>
      <c r="CQ298" s="9">
        <v>13</v>
      </c>
      <c r="CR298" s="9">
        <v>9</v>
      </c>
      <c r="CS298" s="167">
        <f>'HourGH-JAN'!K24</f>
        <v>0.4</v>
      </c>
      <c r="CT298" s="9">
        <v>297</v>
      </c>
      <c r="CU298" s="9">
        <v>13</v>
      </c>
      <c r="CV298" s="9">
        <v>9</v>
      </c>
      <c r="CW298" s="167">
        <f>'HourGH-FEB'!K24</f>
        <v>0.3</v>
      </c>
      <c r="CX298" s="263">
        <v>297</v>
      </c>
      <c r="CY298" s="9">
        <v>13</v>
      </c>
      <c r="CZ298" s="9">
        <v>9</v>
      </c>
      <c r="DA298" s="167">
        <f>'HourGH-MAR'!K24</f>
        <v>0.24</v>
      </c>
    </row>
    <row r="299" spans="58:105">
      <c r="BF299" s="9">
        <v>298</v>
      </c>
      <c r="BG299" s="9">
        <v>13</v>
      </c>
      <c r="BH299" s="9">
        <v>10</v>
      </c>
      <c r="BI299" s="167">
        <f>'HourGH-APR'!L24</f>
        <v>0.56000000000000005</v>
      </c>
      <c r="BJ299" s="263">
        <v>298</v>
      </c>
      <c r="BK299" s="9">
        <v>13</v>
      </c>
      <c r="BL299" s="9">
        <v>10</v>
      </c>
      <c r="BM299" s="167">
        <f>'HourGH-MAY'!L24</f>
        <v>0.56000000000000005</v>
      </c>
      <c r="BN299" s="9">
        <v>298</v>
      </c>
      <c r="BO299" s="9">
        <v>13</v>
      </c>
      <c r="BP299" s="9">
        <v>10</v>
      </c>
      <c r="BQ299" s="167">
        <f>'HourGH-JUN'!L24</f>
        <v>0.41</v>
      </c>
      <c r="BR299" s="263">
        <v>298</v>
      </c>
      <c r="BS299" s="9">
        <v>13</v>
      </c>
      <c r="BT299" s="9">
        <v>10</v>
      </c>
      <c r="BU299" s="167">
        <f>'HourGH-JUL'!L24</f>
        <v>0.43</v>
      </c>
      <c r="BV299" s="263">
        <v>298</v>
      </c>
      <c r="BW299" s="9">
        <v>13</v>
      </c>
      <c r="BX299" s="9">
        <v>10</v>
      </c>
      <c r="BY299" s="167">
        <f>'HourGH-AUG'!L24</f>
        <v>1.51</v>
      </c>
      <c r="BZ299" s="9">
        <v>298</v>
      </c>
      <c r="CA299" s="9">
        <v>13</v>
      </c>
      <c r="CB299" s="9">
        <v>10</v>
      </c>
      <c r="CC299" s="167">
        <f>'HourGH-SEP'!L24</f>
        <v>1.35</v>
      </c>
      <c r="CD299" s="263">
        <v>298</v>
      </c>
      <c r="CE299" s="9">
        <v>13</v>
      </c>
      <c r="CF299" s="9">
        <v>10</v>
      </c>
      <c r="CG299" s="167">
        <f>'HourGH-OCT'!L24</f>
        <v>0.64</v>
      </c>
      <c r="CH299" s="9">
        <v>298</v>
      </c>
      <c r="CI299" s="9">
        <v>13</v>
      </c>
      <c r="CJ299" s="9">
        <v>10</v>
      </c>
      <c r="CK299" s="167">
        <f>'HourGH-NOV'!L24</f>
        <v>0.65</v>
      </c>
      <c r="CL299" s="263">
        <v>298</v>
      </c>
      <c r="CM299" s="9">
        <v>13</v>
      </c>
      <c r="CN299" s="9">
        <v>10</v>
      </c>
      <c r="CO299" s="167">
        <f>'HourGH-DEC'!L24</f>
        <v>0.5</v>
      </c>
      <c r="CP299" s="263">
        <v>298</v>
      </c>
      <c r="CQ299" s="9">
        <v>13</v>
      </c>
      <c r="CR299" s="9">
        <v>10</v>
      </c>
      <c r="CS299" s="167">
        <f>'HourGH-JAN'!L24</f>
        <v>0.4</v>
      </c>
      <c r="CT299" s="9">
        <v>298</v>
      </c>
      <c r="CU299" s="9">
        <v>13</v>
      </c>
      <c r="CV299" s="9">
        <v>10</v>
      </c>
      <c r="CW299" s="167">
        <f>'HourGH-FEB'!L24</f>
        <v>0.3</v>
      </c>
      <c r="CX299" s="263">
        <v>298</v>
      </c>
      <c r="CY299" s="9">
        <v>13</v>
      </c>
      <c r="CZ299" s="9">
        <v>10</v>
      </c>
      <c r="DA299" s="167">
        <f>'HourGH-MAR'!L24</f>
        <v>0.24</v>
      </c>
    </row>
    <row r="300" spans="58:105">
      <c r="BF300" s="9">
        <v>299</v>
      </c>
      <c r="BG300" s="9">
        <v>13</v>
      </c>
      <c r="BH300" s="9">
        <v>11</v>
      </c>
      <c r="BI300" s="167">
        <f>'HourGH-APR'!M24</f>
        <v>0.56000000000000005</v>
      </c>
      <c r="BJ300" s="263">
        <v>299</v>
      </c>
      <c r="BK300" s="9">
        <v>13</v>
      </c>
      <c r="BL300" s="9">
        <v>11</v>
      </c>
      <c r="BM300" s="167">
        <f>'HourGH-MAY'!M24</f>
        <v>0.55000000000000004</v>
      </c>
      <c r="BN300" s="9">
        <v>299</v>
      </c>
      <c r="BO300" s="9">
        <v>13</v>
      </c>
      <c r="BP300" s="9">
        <v>11</v>
      </c>
      <c r="BQ300" s="167">
        <f>'HourGH-JUN'!M24</f>
        <v>0.4</v>
      </c>
      <c r="BR300" s="263">
        <v>299</v>
      </c>
      <c r="BS300" s="9">
        <v>13</v>
      </c>
      <c r="BT300" s="9">
        <v>11</v>
      </c>
      <c r="BU300" s="167">
        <f>'HourGH-JUL'!M24</f>
        <v>0.42</v>
      </c>
      <c r="BV300" s="263">
        <v>299</v>
      </c>
      <c r="BW300" s="9">
        <v>13</v>
      </c>
      <c r="BX300" s="9">
        <v>11</v>
      </c>
      <c r="BY300" s="167">
        <f>'HourGH-AUG'!M24</f>
        <v>1.48</v>
      </c>
      <c r="BZ300" s="9">
        <v>299</v>
      </c>
      <c r="CA300" s="9">
        <v>13</v>
      </c>
      <c r="CB300" s="9">
        <v>11</v>
      </c>
      <c r="CC300" s="167">
        <f>'HourGH-SEP'!M24</f>
        <v>1.37</v>
      </c>
      <c r="CD300" s="263">
        <v>299</v>
      </c>
      <c r="CE300" s="9">
        <v>13</v>
      </c>
      <c r="CF300" s="9">
        <v>11</v>
      </c>
      <c r="CG300" s="167">
        <f>'HourGH-OCT'!M24</f>
        <v>0.64</v>
      </c>
      <c r="CH300" s="9">
        <v>299</v>
      </c>
      <c r="CI300" s="9">
        <v>13</v>
      </c>
      <c r="CJ300" s="9">
        <v>11</v>
      </c>
      <c r="CK300" s="167">
        <f>'HourGH-NOV'!M24</f>
        <v>0.65</v>
      </c>
      <c r="CL300" s="263">
        <v>299</v>
      </c>
      <c r="CM300" s="9">
        <v>13</v>
      </c>
      <c r="CN300" s="9">
        <v>11</v>
      </c>
      <c r="CO300" s="167">
        <f>'HourGH-DEC'!M24</f>
        <v>0.51</v>
      </c>
      <c r="CP300" s="263">
        <v>299</v>
      </c>
      <c r="CQ300" s="9">
        <v>13</v>
      </c>
      <c r="CR300" s="9">
        <v>11</v>
      </c>
      <c r="CS300" s="167">
        <f>'HourGH-JAN'!M24</f>
        <v>0.4</v>
      </c>
      <c r="CT300" s="9">
        <v>299</v>
      </c>
      <c r="CU300" s="9">
        <v>13</v>
      </c>
      <c r="CV300" s="9">
        <v>11</v>
      </c>
      <c r="CW300" s="167">
        <f>'HourGH-FEB'!M24</f>
        <v>0.3</v>
      </c>
      <c r="CX300" s="263">
        <v>299</v>
      </c>
      <c r="CY300" s="9">
        <v>13</v>
      </c>
      <c r="CZ300" s="9">
        <v>11</v>
      </c>
      <c r="DA300" s="167">
        <f>'HourGH-MAR'!M24</f>
        <v>0.24</v>
      </c>
    </row>
    <row r="301" spans="58:105">
      <c r="BF301" s="9">
        <v>300</v>
      </c>
      <c r="BG301" s="9">
        <v>13</v>
      </c>
      <c r="BH301" s="9">
        <v>12</v>
      </c>
      <c r="BI301" s="167">
        <f>'HourGH-APR'!N24</f>
        <v>0.56000000000000005</v>
      </c>
      <c r="BJ301" s="263">
        <v>300</v>
      </c>
      <c r="BK301" s="9">
        <v>13</v>
      </c>
      <c r="BL301" s="9">
        <v>12</v>
      </c>
      <c r="BM301" s="167">
        <f>'HourGH-MAY'!N24</f>
        <v>0.55000000000000004</v>
      </c>
      <c r="BN301" s="9">
        <v>300</v>
      </c>
      <c r="BO301" s="9">
        <v>13</v>
      </c>
      <c r="BP301" s="9">
        <v>12</v>
      </c>
      <c r="BQ301" s="167">
        <f>'HourGH-JUN'!N24</f>
        <v>0.39</v>
      </c>
      <c r="BR301" s="263">
        <v>300</v>
      </c>
      <c r="BS301" s="9">
        <v>13</v>
      </c>
      <c r="BT301" s="9">
        <v>12</v>
      </c>
      <c r="BU301" s="167">
        <f>'HourGH-JUL'!N24</f>
        <v>0.42</v>
      </c>
      <c r="BV301" s="263">
        <v>300</v>
      </c>
      <c r="BW301" s="9">
        <v>13</v>
      </c>
      <c r="BX301" s="9">
        <v>12</v>
      </c>
      <c r="BY301" s="167">
        <f>'HourGH-AUG'!N24</f>
        <v>1.45</v>
      </c>
      <c r="BZ301" s="9">
        <v>300</v>
      </c>
      <c r="CA301" s="9">
        <v>13</v>
      </c>
      <c r="CB301" s="9">
        <v>12</v>
      </c>
      <c r="CC301" s="167">
        <f>'HourGH-SEP'!N24</f>
        <v>1.39</v>
      </c>
      <c r="CD301" s="263">
        <v>300</v>
      </c>
      <c r="CE301" s="9">
        <v>13</v>
      </c>
      <c r="CF301" s="9">
        <v>12</v>
      </c>
      <c r="CG301" s="167">
        <f>'HourGH-OCT'!N24</f>
        <v>0.64</v>
      </c>
      <c r="CH301" s="9">
        <v>300</v>
      </c>
      <c r="CI301" s="9">
        <v>13</v>
      </c>
      <c r="CJ301" s="9">
        <v>12</v>
      </c>
      <c r="CK301" s="167">
        <f>'HourGH-NOV'!N24</f>
        <v>0.65</v>
      </c>
      <c r="CL301" s="263">
        <v>300</v>
      </c>
      <c r="CM301" s="9">
        <v>13</v>
      </c>
      <c r="CN301" s="9">
        <v>12</v>
      </c>
      <c r="CO301" s="167">
        <f>'HourGH-DEC'!N24</f>
        <v>0.51</v>
      </c>
      <c r="CP301" s="263">
        <v>300</v>
      </c>
      <c r="CQ301" s="9">
        <v>13</v>
      </c>
      <c r="CR301" s="9">
        <v>12</v>
      </c>
      <c r="CS301" s="167">
        <f>'HourGH-JAN'!N24</f>
        <v>0.39</v>
      </c>
      <c r="CT301" s="9">
        <v>300</v>
      </c>
      <c r="CU301" s="9">
        <v>13</v>
      </c>
      <c r="CV301" s="9">
        <v>12</v>
      </c>
      <c r="CW301" s="167">
        <f>'HourGH-FEB'!N24</f>
        <v>0.3</v>
      </c>
      <c r="CX301" s="263">
        <v>300</v>
      </c>
      <c r="CY301" s="9">
        <v>13</v>
      </c>
      <c r="CZ301" s="9">
        <v>12</v>
      </c>
      <c r="DA301" s="167">
        <f>'HourGH-MAR'!N24</f>
        <v>0.24</v>
      </c>
    </row>
    <row r="302" spans="58:105">
      <c r="BF302" s="9">
        <v>301</v>
      </c>
      <c r="BG302" s="9">
        <v>13</v>
      </c>
      <c r="BH302" s="9">
        <v>13</v>
      </c>
      <c r="BI302" s="167">
        <f>'HourGH-APR'!O24</f>
        <v>0.56000000000000005</v>
      </c>
      <c r="BJ302" s="263">
        <v>301</v>
      </c>
      <c r="BK302" s="9">
        <v>13</v>
      </c>
      <c r="BL302" s="9">
        <v>13</v>
      </c>
      <c r="BM302" s="167">
        <f>'HourGH-MAY'!O24</f>
        <v>0.55000000000000004</v>
      </c>
      <c r="BN302" s="9">
        <v>301</v>
      </c>
      <c r="BO302" s="9">
        <v>13</v>
      </c>
      <c r="BP302" s="9">
        <v>13</v>
      </c>
      <c r="BQ302" s="167">
        <f>'HourGH-JUN'!O24</f>
        <v>0.39</v>
      </c>
      <c r="BR302" s="263">
        <v>301</v>
      </c>
      <c r="BS302" s="9">
        <v>13</v>
      </c>
      <c r="BT302" s="9">
        <v>13</v>
      </c>
      <c r="BU302" s="167">
        <f>'HourGH-JUL'!O24</f>
        <v>0.41</v>
      </c>
      <c r="BV302" s="263">
        <v>301</v>
      </c>
      <c r="BW302" s="9">
        <v>13</v>
      </c>
      <c r="BX302" s="9">
        <v>13</v>
      </c>
      <c r="BY302" s="167">
        <f>'HourGH-AUG'!O24</f>
        <v>1.43</v>
      </c>
      <c r="BZ302" s="9">
        <v>301</v>
      </c>
      <c r="CA302" s="9">
        <v>13</v>
      </c>
      <c r="CB302" s="9">
        <v>13</v>
      </c>
      <c r="CC302" s="167">
        <f>'HourGH-SEP'!O24</f>
        <v>1.41</v>
      </c>
      <c r="CD302" s="263">
        <v>301</v>
      </c>
      <c r="CE302" s="9">
        <v>13</v>
      </c>
      <c r="CF302" s="9">
        <v>13</v>
      </c>
      <c r="CG302" s="167">
        <f>'HourGH-OCT'!O24</f>
        <v>0.63</v>
      </c>
      <c r="CH302" s="9">
        <v>301</v>
      </c>
      <c r="CI302" s="9">
        <v>13</v>
      </c>
      <c r="CJ302" s="9">
        <v>13</v>
      </c>
      <c r="CK302" s="167">
        <f>'HourGH-NOV'!O24</f>
        <v>0.64</v>
      </c>
      <c r="CL302" s="263">
        <v>301</v>
      </c>
      <c r="CM302" s="9">
        <v>13</v>
      </c>
      <c r="CN302" s="9">
        <v>13</v>
      </c>
      <c r="CO302" s="167">
        <f>'HourGH-DEC'!O24</f>
        <v>0.51</v>
      </c>
      <c r="CP302" s="263">
        <v>301</v>
      </c>
      <c r="CQ302" s="9">
        <v>13</v>
      </c>
      <c r="CR302" s="9">
        <v>13</v>
      </c>
      <c r="CS302" s="167">
        <f>'HourGH-JAN'!O24</f>
        <v>0.39</v>
      </c>
      <c r="CT302" s="9">
        <v>301</v>
      </c>
      <c r="CU302" s="9">
        <v>13</v>
      </c>
      <c r="CV302" s="9">
        <v>13</v>
      </c>
      <c r="CW302" s="167">
        <f>'HourGH-FEB'!O24</f>
        <v>0.3</v>
      </c>
      <c r="CX302" s="263">
        <v>301</v>
      </c>
      <c r="CY302" s="9">
        <v>13</v>
      </c>
      <c r="CZ302" s="9">
        <v>13</v>
      </c>
      <c r="DA302" s="167">
        <f>'HourGH-MAR'!O24</f>
        <v>0.24</v>
      </c>
    </row>
    <row r="303" spans="58:105">
      <c r="BF303" s="9">
        <v>302</v>
      </c>
      <c r="BG303" s="9">
        <v>13</v>
      </c>
      <c r="BH303" s="9">
        <v>14</v>
      </c>
      <c r="BI303" s="167">
        <f>'HourGH-APR'!P24</f>
        <v>0.56999999999999995</v>
      </c>
      <c r="BJ303" s="263">
        <v>302</v>
      </c>
      <c r="BK303" s="9">
        <v>13</v>
      </c>
      <c r="BL303" s="9">
        <v>14</v>
      </c>
      <c r="BM303" s="167">
        <f>'HourGH-MAY'!P24</f>
        <v>0.55000000000000004</v>
      </c>
      <c r="BN303" s="9">
        <v>302</v>
      </c>
      <c r="BO303" s="9">
        <v>13</v>
      </c>
      <c r="BP303" s="9">
        <v>14</v>
      </c>
      <c r="BQ303" s="167">
        <f>'HourGH-JUN'!P24</f>
        <v>0.38</v>
      </c>
      <c r="BR303" s="263">
        <v>302</v>
      </c>
      <c r="BS303" s="9">
        <v>13</v>
      </c>
      <c r="BT303" s="9">
        <v>14</v>
      </c>
      <c r="BU303" s="167">
        <f>'HourGH-JUL'!P24</f>
        <v>0.41</v>
      </c>
      <c r="BV303" s="263">
        <v>302</v>
      </c>
      <c r="BW303" s="9">
        <v>13</v>
      </c>
      <c r="BX303" s="9">
        <v>14</v>
      </c>
      <c r="BY303" s="167">
        <f>'HourGH-AUG'!P24</f>
        <v>1.41</v>
      </c>
      <c r="BZ303" s="9">
        <v>302</v>
      </c>
      <c r="CA303" s="9">
        <v>13</v>
      </c>
      <c r="CB303" s="9">
        <v>14</v>
      </c>
      <c r="CC303" s="167">
        <f>'HourGH-SEP'!P24</f>
        <v>1.44</v>
      </c>
      <c r="CD303" s="263">
        <v>302</v>
      </c>
      <c r="CE303" s="9">
        <v>13</v>
      </c>
      <c r="CF303" s="9">
        <v>14</v>
      </c>
      <c r="CG303" s="167">
        <f>'HourGH-OCT'!P24</f>
        <v>0.63</v>
      </c>
      <c r="CH303" s="9">
        <v>302</v>
      </c>
      <c r="CI303" s="9">
        <v>13</v>
      </c>
      <c r="CJ303" s="9">
        <v>14</v>
      </c>
      <c r="CK303" s="167">
        <f>'HourGH-NOV'!P24</f>
        <v>0.64</v>
      </c>
      <c r="CL303" s="263">
        <v>302</v>
      </c>
      <c r="CM303" s="9">
        <v>13</v>
      </c>
      <c r="CN303" s="9">
        <v>14</v>
      </c>
      <c r="CO303" s="167">
        <f>'HourGH-DEC'!P24</f>
        <v>0.52</v>
      </c>
      <c r="CP303" s="263">
        <v>302</v>
      </c>
      <c r="CQ303" s="9">
        <v>13</v>
      </c>
      <c r="CR303" s="9">
        <v>14</v>
      </c>
      <c r="CS303" s="167">
        <f>'HourGH-JAN'!P24</f>
        <v>0.39</v>
      </c>
      <c r="CT303" s="9">
        <v>302</v>
      </c>
      <c r="CU303" s="9">
        <v>13</v>
      </c>
      <c r="CV303" s="9">
        <v>14</v>
      </c>
      <c r="CW303" s="167">
        <f>'HourGH-FEB'!P24</f>
        <v>0.3</v>
      </c>
      <c r="CX303" s="263">
        <v>302</v>
      </c>
      <c r="CY303" s="9">
        <v>13</v>
      </c>
      <c r="CZ303" s="9">
        <v>14</v>
      </c>
      <c r="DA303" s="167">
        <f>'HourGH-MAR'!P24</f>
        <v>0.24</v>
      </c>
    </row>
    <row r="304" spans="58:105">
      <c r="BF304" s="9">
        <v>303</v>
      </c>
      <c r="BG304" s="9">
        <v>13</v>
      </c>
      <c r="BH304" s="9">
        <v>15</v>
      </c>
      <c r="BI304" s="167">
        <f>'HourGH-APR'!Q24</f>
        <v>0.56999999999999995</v>
      </c>
      <c r="BJ304" s="263">
        <v>303</v>
      </c>
      <c r="BK304" s="9">
        <v>13</v>
      </c>
      <c r="BL304" s="9">
        <v>15</v>
      </c>
      <c r="BM304" s="167">
        <f>'HourGH-MAY'!Q24</f>
        <v>0.54</v>
      </c>
      <c r="BN304" s="9">
        <v>303</v>
      </c>
      <c r="BO304" s="9">
        <v>13</v>
      </c>
      <c r="BP304" s="9">
        <v>15</v>
      </c>
      <c r="BQ304" s="167">
        <f>'HourGH-JUN'!Q24</f>
        <v>0.38</v>
      </c>
      <c r="BR304" s="263">
        <v>303</v>
      </c>
      <c r="BS304" s="9">
        <v>13</v>
      </c>
      <c r="BT304" s="9">
        <v>15</v>
      </c>
      <c r="BU304" s="167">
        <f>'HourGH-JUL'!Q24</f>
        <v>0.4</v>
      </c>
      <c r="BV304" s="263">
        <v>303</v>
      </c>
      <c r="BW304" s="9">
        <v>13</v>
      </c>
      <c r="BX304" s="9">
        <v>15</v>
      </c>
      <c r="BY304" s="167">
        <f>'HourGH-AUG'!Q24</f>
        <v>1.38</v>
      </c>
      <c r="BZ304" s="9">
        <v>303</v>
      </c>
      <c r="CA304" s="9">
        <v>13</v>
      </c>
      <c r="CB304" s="9">
        <v>15</v>
      </c>
      <c r="CC304" s="167">
        <f>'HourGH-SEP'!Q24</f>
        <v>1.46</v>
      </c>
      <c r="CD304" s="263">
        <v>303</v>
      </c>
      <c r="CE304" s="9">
        <v>13</v>
      </c>
      <c r="CF304" s="9">
        <v>15</v>
      </c>
      <c r="CG304" s="167">
        <f>'HourGH-OCT'!Q24</f>
        <v>0.63</v>
      </c>
      <c r="CH304" s="9">
        <v>303</v>
      </c>
      <c r="CI304" s="9">
        <v>13</v>
      </c>
      <c r="CJ304" s="9">
        <v>15</v>
      </c>
      <c r="CK304" s="167">
        <f>'HourGH-NOV'!Q24</f>
        <v>0.64</v>
      </c>
      <c r="CL304" s="263">
        <v>303</v>
      </c>
      <c r="CM304" s="9">
        <v>13</v>
      </c>
      <c r="CN304" s="9">
        <v>15</v>
      </c>
      <c r="CO304" s="167">
        <f>'HourGH-DEC'!Q24</f>
        <v>0.52</v>
      </c>
      <c r="CP304" s="263">
        <v>303</v>
      </c>
      <c r="CQ304" s="9">
        <v>13</v>
      </c>
      <c r="CR304" s="9">
        <v>15</v>
      </c>
      <c r="CS304" s="167">
        <f>'HourGH-JAN'!Q24</f>
        <v>0.39</v>
      </c>
      <c r="CT304" s="9">
        <v>303</v>
      </c>
      <c r="CU304" s="9">
        <v>13</v>
      </c>
      <c r="CV304" s="9">
        <v>15</v>
      </c>
      <c r="CW304" s="167">
        <f>'HourGH-FEB'!Q24</f>
        <v>0.3</v>
      </c>
      <c r="CX304" s="263">
        <v>303</v>
      </c>
      <c r="CY304" s="9">
        <v>13</v>
      </c>
      <c r="CZ304" s="9">
        <v>15</v>
      </c>
      <c r="DA304" s="167">
        <f>'HourGH-MAR'!Q24</f>
        <v>0.24</v>
      </c>
    </row>
    <row r="305" spans="58:105">
      <c r="BF305" s="9">
        <v>304</v>
      </c>
      <c r="BG305" s="9">
        <v>13</v>
      </c>
      <c r="BH305" s="9">
        <v>16</v>
      </c>
      <c r="BI305" s="167">
        <f>'HourGH-APR'!R24</f>
        <v>0.56999999999999995</v>
      </c>
      <c r="BJ305" s="263">
        <v>304</v>
      </c>
      <c r="BK305" s="9">
        <v>13</v>
      </c>
      <c r="BL305" s="9">
        <v>16</v>
      </c>
      <c r="BM305" s="167">
        <f>'HourGH-MAY'!R24</f>
        <v>0.54</v>
      </c>
      <c r="BN305" s="9">
        <v>304</v>
      </c>
      <c r="BO305" s="9">
        <v>13</v>
      </c>
      <c r="BP305" s="9">
        <v>16</v>
      </c>
      <c r="BQ305" s="167">
        <f>'HourGH-JUN'!R24</f>
        <v>0.37</v>
      </c>
      <c r="BR305" s="263">
        <v>304</v>
      </c>
      <c r="BS305" s="9">
        <v>13</v>
      </c>
      <c r="BT305" s="9">
        <v>16</v>
      </c>
      <c r="BU305" s="167">
        <f>'HourGH-JUL'!R24</f>
        <v>0.4</v>
      </c>
      <c r="BV305" s="263">
        <v>304</v>
      </c>
      <c r="BW305" s="9">
        <v>13</v>
      </c>
      <c r="BX305" s="9">
        <v>16</v>
      </c>
      <c r="BY305" s="167">
        <f>'HourGH-AUG'!R24</f>
        <v>1.36</v>
      </c>
      <c r="BZ305" s="9">
        <v>304</v>
      </c>
      <c r="CA305" s="9">
        <v>13</v>
      </c>
      <c r="CB305" s="9">
        <v>16</v>
      </c>
      <c r="CC305" s="167">
        <f>'HourGH-SEP'!R24</f>
        <v>1.49</v>
      </c>
      <c r="CD305" s="263">
        <v>304</v>
      </c>
      <c r="CE305" s="9">
        <v>13</v>
      </c>
      <c r="CF305" s="9">
        <v>16</v>
      </c>
      <c r="CG305" s="167">
        <f>'HourGH-OCT'!R24</f>
        <v>0.63</v>
      </c>
      <c r="CH305" s="9">
        <v>304</v>
      </c>
      <c r="CI305" s="9">
        <v>13</v>
      </c>
      <c r="CJ305" s="9">
        <v>16</v>
      </c>
      <c r="CK305" s="167">
        <f>'HourGH-NOV'!R24</f>
        <v>0.64</v>
      </c>
      <c r="CL305" s="263">
        <v>304</v>
      </c>
      <c r="CM305" s="9">
        <v>13</v>
      </c>
      <c r="CN305" s="9">
        <v>16</v>
      </c>
      <c r="CO305" s="167">
        <f>'HourGH-DEC'!R24</f>
        <v>0.53</v>
      </c>
      <c r="CP305" s="263">
        <v>304</v>
      </c>
      <c r="CQ305" s="9">
        <v>13</v>
      </c>
      <c r="CR305" s="9">
        <v>16</v>
      </c>
      <c r="CS305" s="167">
        <f>'HourGH-JAN'!R24</f>
        <v>0.39</v>
      </c>
      <c r="CT305" s="9">
        <v>304</v>
      </c>
      <c r="CU305" s="9">
        <v>13</v>
      </c>
      <c r="CV305" s="9">
        <v>16</v>
      </c>
      <c r="CW305" s="167">
        <f>'HourGH-FEB'!R24</f>
        <v>0.3</v>
      </c>
      <c r="CX305" s="263">
        <v>304</v>
      </c>
      <c r="CY305" s="9">
        <v>13</v>
      </c>
      <c r="CZ305" s="9">
        <v>16</v>
      </c>
      <c r="DA305" s="167">
        <f>'HourGH-MAR'!R24</f>
        <v>0.24</v>
      </c>
    </row>
    <row r="306" spans="58:105">
      <c r="BF306" s="9">
        <v>305</v>
      </c>
      <c r="BG306" s="9">
        <v>13</v>
      </c>
      <c r="BH306" s="9">
        <v>17</v>
      </c>
      <c r="BI306" s="167">
        <f>'HourGH-APR'!S24</f>
        <v>0.56999999999999995</v>
      </c>
      <c r="BJ306" s="263">
        <v>305</v>
      </c>
      <c r="BK306" s="9">
        <v>13</v>
      </c>
      <c r="BL306" s="9">
        <v>17</v>
      </c>
      <c r="BM306" s="167">
        <f>'HourGH-MAY'!S24</f>
        <v>0.54</v>
      </c>
      <c r="BN306" s="9">
        <v>305</v>
      </c>
      <c r="BO306" s="9">
        <v>13</v>
      </c>
      <c r="BP306" s="9">
        <v>17</v>
      </c>
      <c r="BQ306" s="167">
        <f>'HourGH-JUN'!S24</f>
        <v>0.37</v>
      </c>
      <c r="BR306" s="263">
        <v>305</v>
      </c>
      <c r="BS306" s="9">
        <v>13</v>
      </c>
      <c r="BT306" s="9">
        <v>17</v>
      </c>
      <c r="BU306" s="167">
        <f>'HourGH-JUL'!S24</f>
        <v>0.4</v>
      </c>
      <c r="BV306" s="263">
        <v>305</v>
      </c>
      <c r="BW306" s="9">
        <v>13</v>
      </c>
      <c r="BX306" s="9">
        <v>17</v>
      </c>
      <c r="BY306" s="167">
        <f>'HourGH-AUG'!S24</f>
        <v>1.33</v>
      </c>
      <c r="BZ306" s="9">
        <v>305</v>
      </c>
      <c r="CA306" s="9">
        <v>13</v>
      </c>
      <c r="CB306" s="9">
        <v>17</v>
      </c>
      <c r="CC306" s="167">
        <f>'HourGH-SEP'!S24</f>
        <v>1.51</v>
      </c>
      <c r="CD306" s="263">
        <v>305</v>
      </c>
      <c r="CE306" s="9">
        <v>13</v>
      </c>
      <c r="CF306" s="9">
        <v>17</v>
      </c>
      <c r="CG306" s="167">
        <f>'HourGH-OCT'!S24</f>
        <v>0.63</v>
      </c>
      <c r="CH306" s="9">
        <v>305</v>
      </c>
      <c r="CI306" s="9">
        <v>13</v>
      </c>
      <c r="CJ306" s="9">
        <v>17</v>
      </c>
      <c r="CK306" s="167">
        <f>'HourGH-NOV'!S24</f>
        <v>0.64</v>
      </c>
      <c r="CL306" s="263">
        <v>305</v>
      </c>
      <c r="CM306" s="9">
        <v>13</v>
      </c>
      <c r="CN306" s="9">
        <v>17</v>
      </c>
      <c r="CO306" s="167">
        <f>'HourGH-DEC'!S24</f>
        <v>0.53</v>
      </c>
      <c r="CP306" s="263">
        <v>305</v>
      </c>
      <c r="CQ306" s="9">
        <v>13</v>
      </c>
      <c r="CR306" s="9">
        <v>17</v>
      </c>
      <c r="CS306" s="167">
        <f>'HourGH-JAN'!S24</f>
        <v>0.39</v>
      </c>
      <c r="CT306" s="9">
        <v>305</v>
      </c>
      <c r="CU306" s="9">
        <v>13</v>
      </c>
      <c r="CV306" s="9">
        <v>17</v>
      </c>
      <c r="CW306" s="167">
        <f>'HourGH-FEB'!S24</f>
        <v>0.3</v>
      </c>
      <c r="CX306" s="263">
        <v>305</v>
      </c>
      <c r="CY306" s="9">
        <v>13</v>
      </c>
      <c r="CZ306" s="9">
        <v>17</v>
      </c>
      <c r="DA306" s="167">
        <f>'HourGH-MAR'!S24</f>
        <v>0.24</v>
      </c>
    </row>
    <row r="307" spans="58:105">
      <c r="BF307" s="9">
        <v>306</v>
      </c>
      <c r="BG307" s="9">
        <v>13</v>
      </c>
      <c r="BH307" s="9">
        <v>18</v>
      </c>
      <c r="BI307" s="167">
        <f>'HourGH-APR'!T24</f>
        <v>0.57999999999999996</v>
      </c>
      <c r="BJ307" s="263">
        <v>306</v>
      </c>
      <c r="BK307" s="9">
        <v>13</v>
      </c>
      <c r="BL307" s="9">
        <v>18</v>
      </c>
      <c r="BM307" s="167">
        <f>'HourGH-MAY'!T24</f>
        <v>0.54</v>
      </c>
      <c r="BN307" s="9">
        <v>306</v>
      </c>
      <c r="BO307" s="9">
        <v>13</v>
      </c>
      <c r="BP307" s="9">
        <v>18</v>
      </c>
      <c r="BQ307" s="167">
        <f>'HourGH-JUN'!T24</f>
        <v>0.36</v>
      </c>
      <c r="BR307" s="263">
        <v>306</v>
      </c>
      <c r="BS307" s="9">
        <v>13</v>
      </c>
      <c r="BT307" s="9">
        <v>18</v>
      </c>
      <c r="BU307" s="167">
        <f>'HourGH-JUL'!T24</f>
        <v>0.39</v>
      </c>
      <c r="BV307" s="263">
        <v>306</v>
      </c>
      <c r="BW307" s="9">
        <v>13</v>
      </c>
      <c r="BX307" s="9">
        <v>18</v>
      </c>
      <c r="BY307" s="167">
        <f>'HourGH-AUG'!T24</f>
        <v>1.31</v>
      </c>
      <c r="BZ307" s="9">
        <v>306</v>
      </c>
      <c r="CA307" s="9">
        <v>13</v>
      </c>
      <c r="CB307" s="9">
        <v>18</v>
      </c>
      <c r="CC307" s="167">
        <f>'HourGH-SEP'!T24</f>
        <v>1.52</v>
      </c>
      <c r="CD307" s="263">
        <v>306</v>
      </c>
      <c r="CE307" s="9">
        <v>13</v>
      </c>
      <c r="CF307" s="9">
        <v>18</v>
      </c>
      <c r="CG307" s="167">
        <f>'HourGH-OCT'!T24</f>
        <v>0.63</v>
      </c>
      <c r="CH307" s="9">
        <v>306</v>
      </c>
      <c r="CI307" s="9">
        <v>13</v>
      </c>
      <c r="CJ307" s="9">
        <v>18</v>
      </c>
      <c r="CK307" s="167">
        <f>'HourGH-NOV'!T24</f>
        <v>0.64</v>
      </c>
      <c r="CL307" s="263">
        <v>306</v>
      </c>
      <c r="CM307" s="9">
        <v>13</v>
      </c>
      <c r="CN307" s="9">
        <v>18</v>
      </c>
      <c r="CO307" s="167">
        <f>'HourGH-DEC'!T24</f>
        <v>0.54</v>
      </c>
      <c r="CP307" s="263">
        <v>306</v>
      </c>
      <c r="CQ307" s="9">
        <v>13</v>
      </c>
      <c r="CR307" s="9">
        <v>18</v>
      </c>
      <c r="CS307" s="167">
        <f>'HourGH-JAN'!T24</f>
        <v>0.39</v>
      </c>
      <c r="CT307" s="9">
        <v>306</v>
      </c>
      <c r="CU307" s="9">
        <v>13</v>
      </c>
      <c r="CV307" s="9">
        <v>18</v>
      </c>
      <c r="CW307" s="167">
        <f>'HourGH-FEB'!T24</f>
        <v>0.3</v>
      </c>
      <c r="CX307" s="263">
        <v>306</v>
      </c>
      <c r="CY307" s="9">
        <v>13</v>
      </c>
      <c r="CZ307" s="9">
        <v>18</v>
      </c>
      <c r="DA307" s="167">
        <f>'HourGH-MAR'!T24</f>
        <v>0.24</v>
      </c>
    </row>
    <row r="308" spans="58:105">
      <c r="BF308" s="9">
        <v>307</v>
      </c>
      <c r="BG308" s="9">
        <v>13</v>
      </c>
      <c r="BH308" s="9">
        <v>19</v>
      </c>
      <c r="BI308" s="167">
        <f>'HourGH-APR'!U24</f>
        <v>0.57999999999999996</v>
      </c>
      <c r="BJ308" s="263">
        <v>307</v>
      </c>
      <c r="BK308" s="9">
        <v>13</v>
      </c>
      <c r="BL308" s="9">
        <v>19</v>
      </c>
      <c r="BM308" s="167">
        <f>'HourGH-MAY'!U24</f>
        <v>0.53</v>
      </c>
      <c r="BN308" s="9">
        <v>307</v>
      </c>
      <c r="BO308" s="9">
        <v>13</v>
      </c>
      <c r="BP308" s="9">
        <v>19</v>
      </c>
      <c r="BQ308" s="167">
        <f>'HourGH-JUN'!U24</f>
        <v>0.36</v>
      </c>
      <c r="BR308" s="263">
        <v>307</v>
      </c>
      <c r="BS308" s="9">
        <v>13</v>
      </c>
      <c r="BT308" s="9">
        <v>19</v>
      </c>
      <c r="BU308" s="167">
        <f>'HourGH-JUL'!U24</f>
        <v>0.39</v>
      </c>
      <c r="BV308" s="263">
        <v>307</v>
      </c>
      <c r="BW308" s="9">
        <v>13</v>
      </c>
      <c r="BX308" s="9">
        <v>19</v>
      </c>
      <c r="BY308" s="167">
        <f>'HourGH-AUG'!U24</f>
        <v>1.29</v>
      </c>
      <c r="BZ308" s="9">
        <v>307</v>
      </c>
      <c r="CA308" s="9">
        <v>13</v>
      </c>
      <c r="CB308" s="9">
        <v>19</v>
      </c>
      <c r="CC308" s="167">
        <f>'HourGH-SEP'!U24</f>
        <v>1.54</v>
      </c>
      <c r="CD308" s="263">
        <v>307</v>
      </c>
      <c r="CE308" s="9">
        <v>13</v>
      </c>
      <c r="CF308" s="9">
        <v>19</v>
      </c>
      <c r="CG308" s="167">
        <f>'HourGH-OCT'!U24</f>
        <v>0.63</v>
      </c>
      <c r="CH308" s="9">
        <v>307</v>
      </c>
      <c r="CI308" s="9">
        <v>13</v>
      </c>
      <c r="CJ308" s="9">
        <v>19</v>
      </c>
      <c r="CK308" s="167">
        <f>'HourGH-NOV'!U24</f>
        <v>0.63</v>
      </c>
      <c r="CL308" s="263">
        <v>307</v>
      </c>
      <c r="CM308" s="9">
        <v>13</v>
      </c>
      <c r="CN308" s="9">
        <v>19</v>
      </c>
      <c r="CO308" s="167">
        <f>'HourGH-DEC'!U24</f>
        <v>0.55000000000000004</v>
      </c>
      <c r="CP308" s="263">
        <v>307</v>
      </c>
      <c r="CQ308" s="9">
        <v>13</v>
      </c>
      <c r="CR308" s="9">
        <v>19</v>
      </c>
      <c r="CS308" s="167">
        <f>'HourGH-JAN'!U24</f>
        <v>0.39</v>
      </c>
      <c r="CT308" s="9">
        <v>307</v>
      </c>
      <c r="CU308" s="9">
        <v>13</v>
      </c>
      <c r="CV308" s="9">
        <v>19</v>
      </c>
      <c r="CW308" s="167">
        <f>'HourGH-FEB'!U24</f>
        <v>0.3</v>
      </c>
      <c r="CX308" s="263">
        <v>307</v>
      </c>
      <c r="CY308" s="9">
        <v>13</v>
      </c>
      <c r="CZ308" s="9">
        <v>19</v>
      </c>
      <c r="DA308" s="167">
        <f>'HourGH-MAR'!U24</f>
        <v>0.24</v>
      </c>
    </row>
    <row r="309" spans="58:105">
      <c r="BF309" s="9">
        <v>308</v>
      </c>
      <c r="BG309" s="9">
        <v>13</v>
      </c>
      <c r="BH309" s="9">
        <v>20</v>
      </c>
      <c r="BI309" s="167">
        <f>'HourGH-APR'!V24</f>
        <v>0.57999999999999996</v>
      </c>
      <c r="BJ309" s="263">
        <v>308</v>
      </c>
      <c r="BK309" s="9">
        <v>13</v>
      </c>
      <c r="BL309" s="9">
        <v>20</v>
      </c>
      <c r="BM309" s="167">
        <f>'HourGH-MAY'!V24</f>
        <v>0.53</v>
      </c>
      <c r="BN309" s="9">
        <v>308</v>
      </c>
      <c r="BO309" s="9">
        <v>13</v>
      </c>
      <c r="BP309" s="9">
        <v>20</v>
      </c>
      <c r="BQ309" s="167">
        <f>'HourGH-JUN'!V24</f>
        <v>0.35</v>
      </c>
      <c r="BR309" s="263">
        <v>308</v>
      </c>
      <c r="BS309" s="9">
        <v>13</v>
      </c>
      <c r="BT309" s="9">
        <v>20</v>
      </c>
      <c r="BU309" s="167">
        <f>'HourGH-JUL'!V24</f>
        <v>0.39</v>
      </c>
      <c r="BV309" s="263">
        <v>308</v>
      </c>
      <c r="BW309" s="9">
        <v>13</v>
      </c>
      <c r="BX309" s="9">
        <v>20</v>
      </c>
      <c r="BY309" s="167">
        <f>'HourGH-AUG'!V24</f>
        <v>1.27</v>
      </c>
      <c r="BZ309" s="9">
        <v>308</v>
      </c>
      <c r="CA309" s="9">
        <v>13</v>
      </c>
      <c r="CB309" s="9">
        <v>20</v>
      </c>
      <c r="CC309" s="167">
        <f>'HourGH-SEP'!V24</f>
        <v>1.55</v>
      </c>
      <c r="CD309" s="263">
        <v>308</v>
      </c>
      <c r="CE309" s="9">
        <v>13</v>
      </c>
      <c r="CF309" s="9">
        <v>20</v>
      </c>
      <c r="CG309" s="167">
        <f>'HourGH-OCT'!V24</f>
        <v>0.63</v>
      </c>
      <c r="CH309" s="9">
        <v>308</v>
      </c>
      <c r="CI309" s="9">
        <v>13</v>
      </c>
      <c r="CJ309" s="9">
        <v>20</v>
      </c>
      <c r="CK309" s="167">
        <f>'HourGH-NOV'!V24</f>
        <v>0.63</v>
      </c>
      <c r="CL309" s="263">
        <v>308</v>
      </c>
      <c r="CM309" s="9">
        <v>13</v>
      </c>
      <c r="CN309" s="9">
        <v>20</v>
      </c>
      <c r="CO309" s="167">
        <f>'HourGH-DEC'!V24</f>
        <v>0.56000000000000005</v>
      </c>
      <c r="CP309" s="263">
        <v>308</v>
      </c>
      <c r="CQ309" s="9">
        <v>13</v>
      </c>
      <c r="CR309" s="9">
        <v>20</v>
      </c>
      <c r="CS309" s="167">
        <f>'HourGH-JAN'!V24</f>
        <v>0.39</v>
      </c>
      <c r="CT309" s="9">
        <v>308</v>
      </c>
      <c r="CU309" s="9">
        <v>13</v>
      </c>
      <c r="CV309" s="9">
        <v>20</v>
      </c>
      <c r="CW309" s="167">
        <f>'HourGH-FEB'!V24</f>
        <v>0.3</v>
      </c>
      <c r="CX309" s="263">
        <v>308</v>
      </c>
      <c r="CY309" s="9">
        <v>13</v>
      </c>
      <c r="CZ309" s="9">
        <v>20</v>
      </c>
      <c r="DA309" s="167">
        <f>'HourGH-MAR'!V24</f>
        <v>0.24</v>
      </c>
    </row>
    <row r="310" spans="58:105">
      <c r="BF310" s="9">
        <v>309</v>
      </c>
      <c r="BG310" s="9">
        <v>13</v>
      </c>
      <c r="BH310" s="9">
        <v>21</v>
      </c>
      <c r="BI310" s="167">
        <f>'HourGH-APR'!W24</f>
        <v>0.57999999999999996</v>
      </c>
      <c r="BJ310" s="263">
        <v>309</v>
      </c>
      <c r="BK310" s="9">
        <v>13</v>
      </c>
      <c r="BL310" s="9">
        <v>21</v>
      </c>
      <c r="BM310" s="167">
        <f>'HourGH-MAY'!W24</f>
        <v>0.53</v>
      </c>
      <c r="BN310" s="9">
        <v>309</v>
      </c>
      <c r="BO310" s="9">
        <v>13</v>
      </c>
      <c r="BP310" s="9">
        <v>21</v>
      </c>
      <c r="BQ310" s="167">
        <f>'HourGH-JUN'!W24</f>
        <v>0.35</v>
      </c>
      <c r="BR310" s="263">
        <v>309</v>
      </c>
      <c r="BS310" s="9">
        <v>13</v>
      </c>
      <c r="BT310" s="9">
        <v>21</v>
      </c>
      <c r="BU310" s="167">
        <f>'HourGH-JUL'!W24</f>
        <v>0.38</v>
      </c>
      <c r="BV310" s="263">
        <v>309</v>
      </c>
      <c r="BW310" s="9">
        <v>13</v>
      </c>
      <c r="BX310" s="9">
        <v>21</v>
      </c>
      <c r="BY310" s="167">
        <f>'HourGH-AUG'!W24</f>
        <v>1.25</v>
      </c>
      <c r="BZ310" s="9">
        <v>309</v>
      </c>
      <c r="CA310" s="9">
        <v>13</v>
      </c>
      <c r="CB310" s="9">
        <v>21</v>
      </c>
      <c r="CC310" s="167">
        <f>'HourGH-SEP'!W24</f>
        <v>1.56</v>
      </c>
      <c r="CD310" s="263">
        <v>309</v>
      </c>
      <c r="CE310" s="9">
        <v>13</v>
      </c>
      <c r="CF310" s="9">
        <v>21</v>
      </c>
      <c r="CG310" s="167">
        <f>'HourGH-OCT'!W24</f>
        <v>0.63</v>
      </c>
      <c r="CH310" s="9">
        <v>309</v>
      </c>
      <c r="CI310" s="9">
        <v>13</v>
      </c>
      <c r="CJ310" s="9">
        <v>21</v>
      </c>
      <c r="CK310" s="167">
        <f>'HourGH-NOV'!W24</f>
        <v>0.63</v>
      </c>
      <c r="CL310" s="263">
        <v>309</v>
      </c>
      <c r="CM310" s="9">
        <v>13</v>
      </c>
      <c r="CN310" s="9">
        <v>21</v>
      </c>
      <c r="CO310" s="167">
        <f>'HourGH-DEC'!W24</f>
        <v>0.56999999999999995</v>
      </c>
      <c r="CP310" s="263">
        <v>309</v>
      </c>
      <c r="CQ310" s="9">
        <v>13</v>
      </c>
      <c r="CR310" s="9">
        <v>21</v>
      </c>
      <c r="CS310" s="167">
        <f>'HourGH-JAN'!W24</f>
        <v>0.39</v>
      </c>
      <c r="CT310" s="9">
        <v>309</v>
      </c>
      <c r="CU310" s="9">
        <v>13</v>
      </c>
      <c r="CV310" s="9">
        <v>21</v>
      </c>
      <c r="CW310" s="167">
        <f>'HourGH-FEB'!W24</f>
        <v>0.3</v>
      </c>
      <c r="CX310" s="263">
        <v>309</v>
      </c>
      <c r="CY310" s="9">
        <v>13</v>
      </c>
      <c r="CZ310" s="9">
        <v>21</v>
      </c>
      <c r="DA310" s="167">
        <f>'HourGH-MAR'!W24</f>
        <v>0.24</v>
      </c>
    </row>
    <row r="311" spans="58:105">
      <c r="BF311" s="9">
        <v>310</v>
      </c>
      <c r="BG311" s="9">
        <v>13</v>
      </c>
      <c r="BH311" s="9">
        <v>22</v>
      </c>
      <c r="BI311" s="167">
        <f>'HourGH-APR'!X24</f>
        <v>0.59</v>
      </c>
      <c r="BJ311" s="263">
        <v>310</v>
      </c>
      <c r="BK311" s="9">
        <v>13</v>
      </c>
      <c r="BL311" s="9">
        <v>22</v>
      </c>
      <c r="BM311" s="167">
        <f>'HourGH-MAY'!X24</f>
        <v>0.53</v>
      </c>
      <c r="BN311" s="9">
        <v>310</v>
      </c>
      <c r="BO311" s="9">
        <v>13</v>
      </c>
      <c r="BP311" s="9">
        <v>22</v>
      </c>
      <c r="BQ311" s="167">
        <f>'HourGH-JUN'!X24</f>
        <v>0.35</v>
      </c>
      <c r="BR311" s="263">
        <v>310</v>
      </c>
      <c r="BS311" s="9">
        <v>13</v>
      </c>
      <c r="BT311" s="9">
        <v>22</v>
      </c>
      <c r="BU311" s="167">
        <f>'HourGH-JUL'!X24</f>
        <v>0.38</v>
      </c>
      <c r="BV311" s="263">
        <v>310</v>
      </c>
      <c r="BW311" s="9">
        <v>13</v>
      </c>
      <c r="BX311" s="9">
        <v>22</v>
      </c>
      <c r="BY311" s="167">
        <f>'HourGH-AUG'!X24</f>
        <v>1.23</v>
      </c>
      <c r="BZ311" s="9">
        <v>310</v>
      </c>
      <c r="CA311" s="9">
        <v>13</v>
      </c>
      <c r="CB311" s="9">
        <v>22</v>
      </c>
      <c r="CC311" s="167">
        <f>'HourGH-SEP'!X24</f>
        <v>1.57</v>
      </c>
      <c r="CD311" s="263">
        <v>310</v>
      </c>
      <c r="CE311" s="9">
        <v>13</v>
      </c>
      <c r="CF311" s="9">
        <v>22</v>
      </c>
      <c r="CG311" s="167">
        <f>'HourGH-OCT'!X24</f>
        <v>0.63</v>
      </c>
      <c r="CH311" s="9">
        <v>310</v>
      </c>
      <c r="CI311" s="9">
        <v>13</v>
      </c>
      <c r="CJ311" s="9">
        <v>22</v>
      </c>
      <c r="CK311" s="167">
        <f>'HourGH-NOV'!X24</f>
        <v>0.63</v>
      </c>
      <c r="CL311" s="263">
        <v>310</v>
      </c>
      <c r="CM311" s="9">
        <v>13</v>
      </c>
      <c r="CN311" s="9">
        <v>22</v>
      </c>
      <c r="CO311" s="167">
        <f>'HourGH-DEC'!X24</f>
        <v>0.57999999999999996</v>
      </c>
      <c r="CP311" s="263">
        <v>310</v>
      </c>
      <c r="CQ311" s="9">
        <v>13</v>
      </c>
      <c r="CR311" s="9">
        <v>22</v>
      </c>
      <c r="CS311" s="167">
        <f>'HourGH-JAN'!X24</f>
        <v>0.39</v>
      </c>
      <c r="CT311" s="9">
        <v>310</v>
      </c>
      <c r="CU311" s="9">
        <v>13</v>
      </c>
      <c r="CV311" s="9">
        <v>22</v>
      </c>
      <c r="CW311" s="167">
        <f>'HourGH-FEB'!X24</f>
        <v>0.3</v>
      </c>
      <c r="CX311" s="263">
        <v>310</v>
      </c>
      <c r="CY311" s="9">
        <v>13</v>
      </c>
      <c r="CZ311" s="9">
        <v>22</v>
      </c>
      <c r="DA311" s="167">
        <f>'HourGH-MAR'!X24</f>
        <v>0.24</v>
      </c>
    </row>
    <row r="312" spans="58:105">
      <c r="BF312" s="9">
        <v>311</v>
      </c>
      <c r="BG312" s="9">
        <v>13</v>
      </c>
      <c r="BH312" s="9">
        <v>23</v>
      </c>
      <c r="BI312" s="167">
        <f>'HourGH-APR'!Y24</f>
        <v>0.59</v>
      </c>
      <c r="BJ312" s="263">
        <v>311</v>
      </c>
      <c r="BK312" s="9">
        <v>13</v>
      </c>
      <c r="BL312" s="9">
        <v>23</v>
      </c>
      <c r="BM312" s="167">
        <f>'HourGH-MAY'!Y24</f>
        <v>0.52</v>
      </c>
      <c r="BN312" s="9">
        <v>311</v>
      </c>
      <c r="BO312" s="9">
        <v>13</v>
      </c>
      <c r="BP312" s="9">
        <v>23</v>
      </c>
      <c r="BQ312" s="167">
        <f>'HourGH-JUN'!Y24</f>
        <v>0.34</v>
      </c>
      <c r="BR312" s="263">
        <v>311</v>
      </c>
      <c r="BS312" s="9">
        <v>13</v>
      </c>
      <c r="BT312" s="9">
        <v>23</v>
      </c>
      <c r="BU312" s="167">
        <f>'HourGH-JUL'!Y24</f>
        <v>0.38</v>
      </c>
      <c r="BV312" s="263">
        <v>311</v>
      </c>
      <c r="BW312" s="9">
        <v>13</v>
      </c>
      <c r="BX312" s="9">
        <v>23</v>
      </c>
      <c r="BY312" s="167">
        <f>'HourGH-AUG'!Y24</f>
        <v>1.21</v>
      </c>
      <c r="BZ312" s="9">
        <v>311</v>
      </c>
      <c r="CA312" s="9">
        <v>13</v>
      </c>
      <c r="CB312" s="9">
        <v>23</v>
      </c>
      <c r="CC312" s="167">
        <f>'HourGH-SEP'!Y24</f>
        <v>1.57</v>
      </c>
      <c r="CD312" s="263">
        <v>311</v>
      </c>
      <c r="CE312" s="9">
        <v>13</v>
      </c>
      <c r="CF312" s="9">
        <v>23</v>
      </c>
      <c r="CG312" s="167">
        <f>'HourGH-OCT'!Y24</f>
        <v>0.63</v>
      </c>
      <c r="CH312" s="9">
        <v>311</v>
      </c>
      <c r="CI312" s="9">
        <v>13</v>
      </c>
      <c r="CJ312" s="9">
        <v>23</v>
      </c>
      <c r="CK312" s="167">
        <f>'HourGH-NOV'!Y24</f>
        <v>0.63</v>
      </c>
      <c r="CL312" s="263">
        <v>311</v>
      </c>
      <c r="CM312" s="9">
        <v>13</v>
      </c>
      <c r="CN312" s="9">
        <v>23</v>
      </c>
      <c r="CO312" s="167">
        <f>'HourGH-DEC'!Y24</f>
        <v>0.59</v>
      </c>
      <c r="CP312" s="263">
        <v>311</v>
      </c>
      <c r="CQ312" s="9">
        <v>13</v>
      </c>
      <c r="CR312" s="9">
        <v>23</v>
      </c>
      <c r="CS312" s="167">
        <f>'HourGH-JAN'!Y24</f>
        <v>0.39</v>
      </c>
      <c r="CT312" s="9">
        <v>311</v>
      </c>
      <c r="CU312" s="9">
        <v>13</v>
      </c>
      <c r="CV312" s="9">
        <v>23</v>
      </c>
      <c r="CW312" s="167">
        <f>'HourGH-FEB'!Y24</f>
        <v>0.3</v>
      </c>
      <c r="CX312" s="263">
        <v>311</v>
      </c>
      <c r="CY312" s="9">
        <v>13</v>
      </c>
      <c r="CZ312" s="9">
        <v>23</v>
      </c>
      <c r="DA312" s="167">
        <f>'HourGH-MAR'!Y24</f>
        <v>0.24</v>
      </c>
    </row>
    <row r="313" spans="58:105">
      <c r="BF313" s="9">
        <v>312</v>
      </c>
      <c r="BG313" s="9">
        <v>13</v>
      </c>
      <c r="BH313" s="9">
        <v>24</v>
      </c>
      <c r="BI313" s="167">
        <f>'HourGH-APR'!Z24</f>
        <v>0.59</v>
      </c>
      <c r="BJ313" s="263">
        <v>312</v>
      </c>
      <c r="BK313" s="9">
        <v>13</v>
      </c>
      <c r="BL313" s="9">
        <v>24</v>
      </c>
      <c r="BM313" s="167">
        <f>'HourGH-MAY'!Z24</f>
        <v>0.52</v>
      </c>
      <c r="BN313" s="9">
        <v>312</v>
      </c>
      <c r="BO313" s="9">
        <v>13</v>
      </c>
      <c r="BP313" s="9">
        <v>24</v>
      </c>
      <c r="BQ313" s="167">
        <f>'HourGH-JUN'!Z24</f>
        <v>0.34</v>
      </c>
      <c r="BR313" s="263">
        <v>312</v>
      </c>
      <c r="BS313" s="9">
        <v>13</v>
      </c>
      <c r="BT313" s="9">
        <v>24</v>
      </c>
      <c r="BU313" s="167">
        <f>'HourGH-JUL'!Z24</f>
        <v>0.38</v>
      </c>
      <c r="BV313" s="263">
        <v>312</v>
      </c>
      <c r="BW313" s="9">
        <v>13</v>
      </c>
      <c r="BX313" s="9">
        <v>24</v>
      </c>
      <c r="BY313" s="167">
        <f>'HourGH-AUG'!Z24</f>
        <v>1.2</v>
      </c>
      <c r="BZ313" s="9">
        <v>312</v>
      </c>
      <c r="CA313" s="9">
        <v>13</v>
      </c>
      <c r="CB313" s="9">
        <v>24</v>
      </c>
      <c r="CC313" s="167">
        <f>'HourGH-SEP'!Z24</f>
        <v>1.56</v>
      </c>
      <c r="CD313" s="263">
        <v>312</v>
      </c>
      <c r="CE313" s="9">
        <v>13</v>
      </c>
      <c r="CF313" s="9">
        <v>24</v>
      </c>
      <c r="CG313" s="167">
        <f>'HourGH-OCT'!Z24</f>
        <v>0.63</v>
      </c>
      <c r="CH313" s="9">
        <v>312</v>
      </c>
      <c r="CI313" s="9">
        <v>13</v>
      </c>
      <c r="CJ313" s="9">
        <v>24</v>
      </c>
      <c r="CK313" s="167">
        <f>'HourGH-NOV'!Z24</f>
        <v>0.63</v>
      </c>
      <c r="CL313" s="263">
        <v>312</v>
      </c>
      <c r="CM313" s="9">
        <v>13</v>
      </c>
      <c r="CN313" s="9">
        <v>24</v>
      </c>
      <c r="CO313" s="167">
        <f>'HourGH-DEC'!Z24</f>
        <v>0.6</v>
      </c>
      <c r="CP313" s="263">
        <v>312</v>
      </c>
      <c r="CQ313" s="9">
        <v>13</v>
      </c>
      <c r="CR313" s="9">
        <v>24</v>
      </c>
      <c r="CS313" s="167">
        <f>'HourGH-JAN'!Z24</f>
        <v>0.39</v>
      </c>
      <c r="CT313" s="9">
        <v>312</v>
      </c>
      <c r="CU313" s="9">
        <v>13</v>
      </c>
      <c r="CV313" s="9">
        <v>24</v>
      </c>
      <c r="CW313" s="167">
        <f>'HourGH-FEB'!Z24</f>
        <v>0.3</v>
      </c>
      <c r="CX313" s="263">
        <v>312</v>
      </c>
      <c r="CY313" s="9">
        <v>13</v>
      </c>
      <c r="CZ313" s="9">
        <v>24</v>
      </c>
      <c r="DA313" s="167">
        <f>'HourGH-MAR'!Z24</f>
        <v>0.24</v>
      </c>
    </row>
    <row r="314" spans="58:105">
      <c r="BF314" s="9">
        <v>313</v>
      </c>
      <c r="BG314" s="9">
        <v>14</v>
      </c>
      <c r="BH314" s="9">
        <v>1</v>
      </c>
      <c r="BI314" s="167">
        <f>'HourGH-APR'!C25</f>
        <v>0.6</v>
      </c>
      <c r="BJ314" s="263">
        <v>313</v>
      </c>
      <c r="BK314" s="9">
        <v>14</v>
      </c>
      <c r="BL314" s="9">
        <v>1</v>
      </c>
      <c r="BM314" s="167">
        <f>'HourGH-MAY'!C25</f>
        <v>0.52</v>
      </c>
      <c r="BN314" s="9">
        <v>313</v>
      </c>
      <c r="BO314" s="9">
        <v>14</v>
      </c>
      <c r="BP314" s="9">
        <v>1</v>
      </c>
      <c r="BQ314" s="167">
        <f>'HourGH-JUN'!C25</f>
        <v>0.33</v>
      </c>
      <c r="BR314" s="263">
        <v>313</v>
      </c>
      <c r="BS314" s="9">
        <v>14</v>
      </c>
      <c r="BT314" s="9">
        <v>1</v>
      </c>
      <c r="BU314" s="167">
        <f>'HourGH-JUL'!C25</f>
        <v>0.37</v>
      </c>
      <c r="BV314" s="263">
        <v>313</v>
      </c>
      <c r="BW314" s="9">
        <v>14</v>
      </c>
      <c r="BX314" s="9">
        <v>1</v>
      </c>
      <c r="BY314" s="167">
        <f>'HourGH-AUG'!C25</f>
        <v>1.18</v>
      </c>
      <c r="BZ314" s="9">
        <v>313</v>
      </c>
      <c r="CA314" s="9">
        <v>14</v>
      </c>
      <c r="CB314" s="9">
        <v>1</v>
      </c>
      <c r="CC314" s="167">
        <f>'HourGH-SEP'!C25</f>
        <v>1.55</v>
      </c>
      <c r="CD314" s="263">
        <v>313</v>
      </c>
      <c r="CE314" s="9">
        <v>14</v>
      </c>
      <c r="CF314" s="9">
        <v>1</v>
      </c>
      <c r="CG314" s="167">
        <f>'HourGH-OCT'!C25</f>
        <v>0.62</v>
      </c>
      <c r="CH314" s="9">
        <v>313</v>
      </c>
      <c r="CI314" s="9">
        <v>14</v>
      </c>
      <c r="CJ314" s="9">
        <v>1</v>
      </c>
      <c r="CK314" s="167">
        <f>'HourGH-NOV'!C25</f>
        <v>0.62</v>
      </c>
      <c r="CL314" s="263">
        <v>313</v>
      </c>
      <c r="CM314" s="9">
        <v>14</v>
      </c>
      <c r="CN314" s="9">
        <v>1</v>
      </c>
      <c r="CO314" s="167">
        <f>'HourGH-DEC'!C25</f>
        <v>0.62</v>
      </c>
      <c r="CP314" s="263">
        <v>313</v>
      </c>
      <c r="CQ314" s="9">
        <v>14</v>
      </c>
      <c r="CR314" s="9">
        <v>1</v>
      </c>
      <c r="CS314" s="167">
        <f>'HourGH-JAN'!C25</f>
        <v>0.4</v>
      </c>
      <c r="CT314" s="9">
        <v>313</v>
      </c>
      <c r="CU314" s="9">
        <v>14</v>
      </c>
      <c r="CV314" s="9">
        <v>1</v>
      </c>
      <c r="CW314" s="167">
        <f>'HourGH-FEB'!C25</f>
        <v>0.28999999999999998</v>
      </c>
      <c r="CX314" s="263">
        <v>313</v>
      </c>
      <c r="CY314" s="9">
        <v>14</v>
      </c>
      <c r="CZ314" s="9">
        <v>1</v>
      </c>
      <c r="DA314" s="167">
        <f>'HourGH-MAR'!C25</f>
        <v>0.24</v>
      </c>
    </row>
    <row r="315" spans="58:105">
      <c r="BF315" s="9">
        <v>314</v>
      </c>
      <c r="BG315" s="9">
        <v>14</v>
      </c>
      <c r="BH315" s="9">
        <v>2</v>
      </c>
      <c r="BI315" s="167">
        <f>'HourGH-APR'!D25</f>
        <v>0.6</v>
      </c>
      <c r="BJ315" s="263">
        <v>314</v>
      </c>
      <c r="BK315" s="9">
        <v>14</v>
      </c>
      <c r="BL315" s="9">
        <v>2</v>
      </c>
      <c r="BM315" s="167">
        <f>'HourGH-MAY'!D25</f>
        <v>0.52</v>
      </c>
      <c r="BN315" s="9">
        <v>314</v>
      </c>
      <c r="BO315" s="9">
        <v>14</v>
      </c>
      <c r="BP315" s="9">
        <v>2</v>
      </c>
      <c r="BQ315" s="167">
        <f>'HourGH-JUN'!D25</f>
        <v>0.33</v>
      </c>
      <c r="BR315" s="263">
        <v>314</v>
      </c>
      <c r="BS315" s="9">
        <v>14</v>
      </c>
      <c r="BT315" s="9">
        <v>2</v>
      </c>
      <c r="BU315" s="167">
        <f>'HourGH-JUL'!D25</f>
        <v>0.37</v>
      </c>
      <c r="BV315" s="263">
        <v>314</v>
      </c>
      <c r="BW315" s="9">
        <v>14</v>
      </c>
      <c r="BX315" s="9">
        <v>2</v>
      </c>
      <c r="BY315" s="167">
        <f>'HourGH-AUG'!D25</f>
        <v>1.1599999999999999</v>
      </c>
      <c r="BZ315" s="9">
        <v>314</v>
      </c>
      <c r="CA315" s="9">
        <v>14</v>
      </c>
      <c r="CB315" s="9">
        <v>2</v>
      </c>
      <c r="CC315" s="167">
        <f>'HourGH-SEP'!D25</f>
        <v>1.53</v>
      </c>
      <c r="CD315" s="263">
        <v>314</v>
      </c>
      <c r="CE315" s="9">
        <v>14</v>
      </c>
      <c r="CF315" s="9">
        <v>2</v>
      </c>
      <c r="CG315" s="167">
        <f>'HourGH-OCT'!D25</f>
        <v>0.62</v>
      </c>
      <c r="CH315" s="9">
        <v>314</v>
      </c>
      <c r="CI315" s="9">
        <v>14</v>
      </c>
      <c r="CJ315" s="9">
        <v>2</v>
      </c>
      <c r="CK315" s="167">
        <f>'HourGH-NOV'!D25</f>
        <v>0.62</v>
      </c>
      <c r="CL315" s="263">
        <v>314</v>
      </c>
      <c r="CM315" s="9">
        <v>14</v>
      </c>
      <c r="CN315" s="9">
        <v>2</v>
      </c>
      <c r="CO315" s="167">
        <f>'HourGH-DEC'!D25</f>
        <v>0.63</v>
      </c>
      <c r="CP315" s="263">
        <v>314</v>
      </c>
      <c r="CQ315" s="9">
        <v>14</v>
      </c>
      <c r="CR315" s="9">
        <v>2</v>
      </c>
      <c r="CS315" s="167">
        <f>'HourGH-JAN'!D25</f>
        <v>0.4</v>
      </c>
      <c r="CT315" s="9">
        <v>314</v>
      </c>
      <c r="CU315" s="9">
        <v>14</v>
      </c>
      <c r="CV315" s="9">
        <v>2</v>
      </c>
      <c r="CW315" s="167">
        <f>'HourGH-FEB'!D25</f>
        <v>0.28999999999999998</v>
      </c>
      <c r="CX315" s="263">
        <v>314</v>
      </c>
      <c r="CY315" s="9">
        <v>14</v>
      </c>
      <c r="CZ315" s="9">
        <v>2</v>
      </c>
      <c r="DA315" s="167">
        <f>'HourGH-MAR'!D25</f>
        <v>0.24</v>
      </c>
    </row>
    <row r="316" spans="58:105">
      <c r="BF316" s="9">
        <v>315</v>
      </c>
      <c r="BG316" s="9">
        <v>14</v>
      </c>
      <c r="BH316" s="9">
        <v>3</v>
      </c>
      <c r="BI316" s="167">
        <f>'HourGH-APR'!E25</f>
        <v>0.6</v>
      </c>
      <c r="BJ316" s="263">
        <v>315</v>
      </c>
      <c r="BK316" s="9">
        <v>14</v>
      </c>
      <c r="BL316" s="9">
        <v>3</v>
      </c>
      <c r="BM316" s="167">
        <f>'HourGH-MAY'!E25</f>
        <v>0.51</v>
      </c>
      <c r="BN316" s="9">
        <v>315</v>
      </c>
      <c r="BO316" s="9">
        <v>14</v>
      </c>
      <c r="BP316" s="9">
        <v>3</v>
      </c>
      <c r="BQ316" s="167">
        <f>'HourGH-JUN'!E25</f>
        <v>0.32</v>
      </c>
      <c r="BR316" s="263">
        <v>315</v>
      </c>
      <c r="BS316" s="9">
        <v>14</v>
      </c>
      <c r="BT316" s="9">
        <v>3</v>
      </c>
      <c r="BU316" s="167">
        <f>'HourGH-JUL'!E25</f>
        <v>0.37</v>
      </c>
      <c r="BV316" s="263">
        <v>315</v>
      </c>
      <c r="BW316" s="9">
        <v>14</v>
      </c>
      <c r="BX316" s="9">
        <v>3</v>
      </c>
      <c r="BY316" s="167">
        <f>'HourGH-AUG'!E25</f>
        <v>1.1399999999999999</v>
      </c>
      <c r="BZ316" s="9">
        <v>315</v>
      </c>
      <c r="CA316" s="9">
        <v>14</v>
      </c>
      <c r="CB316" s="9">
        <v>3</v>
      </c>
      <c r="CC316" s="167">
        <f>'HourGH-SEP'!E25</f>
        <v>1.52</v>
      </c>
      <c r="CD316" s="263">
        <v>315</v>
      </c>
      <c r="CE316" s="9">
        <v>14</v>
      </c>
      <c r="CF316" s="9">
        <v>3</v>
      </c>
      <c r="CG316" s="167">
        <f>'HourGH-OCT'!E25</f>
        <v>0.62</v>
      </c>
      <c r="CH316" s="9">
        <v>315</v>
      </c>
      <c r="CI316" s="9">
        <v>14</v>
      </c>
      <c r="CJ316" s="9">
        <v>3</v>
      </c>
      <c r="CK316" s="167">
        <f>'HourGH-NOV'!E25</f>
        <v>0.62</v>
      </c>
      <c r="CL316" s="263">
        <v>315</v>
      </c>
      <c r="CM316" s="9">
        <v>14</v>
      </c>
      <c r="CN316" s="9">
        <v>3</v>
      </c>
      <c r="CO316" s="167">
        <f>'HourGH-DEC'!E25</f>
        <v>0.64</v>
      </c>
      <c r="CP316" s="263">
        <v>315</v>
      </c>
      <c r="CQ316" s="9">
        <v>14</v>
      </c>
      <c r="CR316" s="9">
        <v>3</v>
      </c>
      <c r="CS316" s="167">
        <f>'HourGH-JAN'!E25</f>
        <v>0.4</v>
      </c>
      <c r="CT316" s="9">
        <v>315</v>
      </c>
      <c r="CU316" s="9">
        <v>14</v>
      </c>
      <c r="CV316" s="9">
        <v>3</v>
      </c>
      <c r="CW316" s="167">
        <f>'HourGH-FEB'!E25</f>
        <v>0.28999999999999998</v>
      </c>
      <c r="CX316" s="263">
        <v>315</v>
      </c>
      <c r="CY316" s="9">
        <v>14</v>
      </c>
      <c r="CZ316" s="9">
        <v>3</v>
      </c>
      <c r="DA316" s="167">
        <f>'HourGH-MAR'!E25</f>
        <v>0.24</v>
      </c>
    </row>
    <row r="317" spans="58:105">
      <c r="BF317" s="9">
        <v>316</v>
      </c>
      <c r="BG317" s="9">
        <v>14</v>
      </c>
      <c r="BH317" s="9">
        <v>4</v>
      </c>
      <c r="BI317" s="167">
        <f>'HourGH-APR'!F25</f>
        <v>0.6</v>
      </c>
      <c r="BJ317" s="263">
        <v>316</v>
      </c>
      <c r="BK317" s="9">
        <v>14</v>
      </c>
      <c r="BL317" s="9">
        <v>4</v>
      </c>
      <c r="BM317" s="167">
        <f>'HourGH-MAY'!F25</f>
        <v>0.51</v>
      </c>
      <c r="BN317" s="9">
        <v>316</v>
      </c>
      <c r="BO317" s="9">
        <v>14</v>
      </c>
      <c r="BP317" s="9">
        <v>4</v>
      </c>
      <c r="BQ317" s="167">
        <f>'HourGH-JUN'!F25</f>
        <v>0.32</v>
      </c>
      <c r="BR317" s="263">
        <v>316</v>
      </c>
      <c r="BS317" s="9">
        <v>14</v>
      </c>
      <c r="BT317" s="9">
        <v>4</v>
      </c>
      <c r="BU317" s="167">
        <f>'HourGH-JUL'!F25</f>
        <v>0.37</v>
      </c>
      <c r="BV317" s="263">
        <v>316</v>
      </c>
      <c r="BW317" s="9">
        <v>14</v>
      </c>
      <c r="BX317" s="9">
        <v>4</v>
      </c>
      <c r="BY317" s="167">
        <f>'HourGH-AUG'!F25</f>
        <v>1.1200000000000001</v>
      </c>
      <c r="BZ317" s="9">
        <v>316</v>
      </c>
      <c r="CA317" s="9">
        <v>14</v>
      </c>
      <c r="CB317" s="9">
        <v>4</v>
      </c>
      <c r="CC317" s="167">
        <f>'HourGH-SEP'!F25</f>
        <v>1.51</v>
      </c>
      <c r="CD317" s="263">
        <v>316</v>
      </c>
      <c r="CE317" s="9">
        <v>14</v>
      </c>
      <c r="CF317" s="9">
        <v>4</v>
      </c>
      <c r="CG317" s="167">
        <f>'HourGH-OCT'!F25</f>
        <v>0.62</v>
      </c>
      <c r="CH317" s="9">
        <v>316</v>
      </c>
      <c r="CI317" s="9">
        <v>14</v>
      </c>
      <c r="CJ317" s="9">
        <v>4</v>
      </c>
      <c r="CK317" s="167">
        <f>'HourGH-NOV'!F25</f>
        <v>0.62</v>
      </c>
      <c r="CL317" s="263">
        <v>316</v>
      </c>
      <c r="CM317" s="9">
        <v>14</v>
      </c>
      <c r="CN317" s="9">
        <v>4</v>
      </c>
      <c r="CO317" s="167">
        <f>'HourGH-DEC'!F25</f>
        <v>0.65</v>
      </c>
      <c r="CP317" s="263">
        <v>316</v>
      </c>
      <c r="CQ317" s="9">
        <v>14</v>
      </c>
      <c r="CR317" s="9">
        <v>4</v>
      </c>
      <c r="CS317" s="167">
        <f>'HourGH-JAN'!F25</f>
        <v>0.4</v>
      </c>
      <c r="CT317" s="9">
        <v>316</v>
      </c>
      <c r="CU317" s="9">
        <v>14</v>
      </c>
      <c r="CV317" s="9">
        <v>4</v>
      </c>
      <c r="CW317" s="167">
        <f>'HourGH-FEB'!F25</f>
        <v>0.28999999999999998</v>
      </c>
      <c r="CX317" s="263">
        <v>316</v>
      </c>
      <c r="CY317" s="9">
        <v>14</v>
      </c>
      <c r="CZ317" s="9">
        <v>4</v>
      </c>
      <c r="DA317" s="167">
        <f>'HourGH-MAR'!F25</f>
        <v>0.24</v>
      </c>
    </row>
    <row r="318" spans="58:105">
      <c r="BF318" s="9">
        <v>317</v>
      </c>
      <c r="BG318" s="9">
        <v>14</v>
      </c>
      <c r="BH318" s="9">
        <v>5</v>
      </c>
      <c r="BI318" s="167">
        <f>'HourGH-APR'!G25</f>
        <v>0.6</v>
      </c>
      <c r="BJ318" s="263">
        <v>317</v>
      </c>
      <c r="BK318" s="9">
        <v>14</v>
      </c>
      <c r="BL318" s="9">
        <v>5</v>
      </c>
      <c r="BM318" s="167">
        <f>'HourGH-MAY'!G25</f>
        <v>0.51</v>
      </c>
      <c r="BN318" s="9">
        <v>317</v>
      </c>
      <c r="BO318" s="9">
        <v>14</v>
      </c>
      <c r="BP318" s="9">
        <v>5</v>
      </c>
      <c r="BQ318" s="167">
        <f>'HourGH-JUN'!G25</f>
        <v>0.31</v>
      </c>
      <c r="BR318" s="263">
        <v>317</v>
      </c>
      <c r="BS318" s="9">
        <v>14</v>
      </c>
      <c r="BT318" s="9">
        <v>5</v>
      </c>
      <c r="BU318" s="167">
        <f>'HourGH-JUL'!G25</f>
        <v>0.37</v>
      </c>
      <c r="BV318" s="263">
        <v>317</v>
      </c>
      <c r="BW318" s="9">
        <v>14</v>
      </c>
      <c r="BX318" s="9">
        <v>5</v>
      </c>
      <c r="BY318" s="167">
        <f>'HourGH-AUG'!G25</f>
        <v>1.1100000000000001</v>
      </c>
      <c r="BZ318" s="9">
        <v>317</v>
      </c>
      <c r="CA318" s="9">
        <v>14</v>
      </c>
      <c r="CB318" s="9">
        <v>5</v>
      </c>
      <c r="CC318" s="167">
        <f>'HourGH-SEP'!G25</f>
        <v>1.5</v>
      </c>
      <c r="CD318" s="263">
        <v>317</v>
      </c>
      <c r="CE318" s="9">
        <v>14</v>
      </c>
      <c r="CF318" s="9">
        <v>5</v>
      </c>
      <c r="CG318" s="167">
        <f>'HourGH-OCT'!G25</f>
        <v>0.62</v>
      </c>
      <c r="CH318" s="9">
        <v>317</v>
      </c>
      <c r="CI318" s="9">
        <v>14</v>
      </c>
      <c r="CJ318" s="9">
        <v>5</v>
      </c>
      <c r="CK318" s="167">
        <f>'HourGH-NOV'!G25</f>
        <v>0.62</v>
      </c>
      <c r="CL318" s="263">
        <v>317</v>
      </c>
      <c r="CM318" s="9">
        <v>14</v>
      </c>
      <c r="CN318" s="9">
        <v>5</v>
      </c>
      <c r="CO318" s="167">
        <f>'HourGH-DEC'!G25</f>
        <v>0.66</v>
      </c>
      <c r="CP318" s="263">
        <v>317</v>
      </c>
      <c r="CQ318" s="9">
        <v>14</v>
      </c>
      <c r="CR318" s="9">
        <v>5</v>
      </c>
      <c r="CS318" s="167">
        <f>'HourGH-JAN'!G25</f>
        <v>0.4</v>
      </c>
      <c r="CT318" s="9">
        <v>317</v>
      </c>
      <c r="CU318" s="9">
        <v>14</v>
      </c>
      <c r="CV318" s="9">
        <v>5</v>
      </c>
      <c r="CW318" s="167">
        <f>'HourGH-FEB'!G25</f>
        <v>0.28999999999999998</v>
      </c>
      <c r="CX318" s="263">
        <v>317</v>
      </c>
      <c r="CY318" s="9">
        <v>14</v>
      </c>
      <c r="CZ318" s="9">
        <v>5</v>
      </c>
      <c r="DA318" s="167">
        <f>'HourGH-MAR'!G25</f>
        <v>0.24</v>
      </c>
    </row>
    <row r="319" spans="58:105">
      <c r="BF319" s="9">
        <v>318</v>
      </c>
      <c r="BG319" s="9">
        <v>14</v>
      </c>
      <c r="BH319" s="9">
        <v>6</v>
      </c>
      <c r="BI319" s="167">
        <f>'HourGH-APR'!H25</f>
        <v>0.6</v>
      </c>
      <c r="BJ319" s="263">
        <v>318</v>
      </c>
      <c r="BK319" s="9">
        <v>14</v>
      </c>
      <c r="BL319" s="9">
        <v>6</v>
      </c>
      <c r="BM319" s="167">
        <f>'HourGH-MAY'!H25</f>
        <v>0.5</v>
      </c>
      <c r="BN319" s="9">
        <v>318</v>
      </c>
      <c r="BO319" s="9">
        <v>14</v>
      </c>
      <c r="BP319" s="9">
        <v>6</v>
      </c>
      <c r="BQ319" s="167">
        <f>'HourGH-JUN'!H25</f>
        <v>0.3</v>
      </c>
      <c r="BR319" s="263">
        <v>318</v>
      </c>
      <c r="BS319" s="9">
        <v>14</v>
      </c>
      <c r="BT319" s="9">
        <v>6</v>
      </c>
      <c r="BU319" s="167">
        <f>'HourGH-JUL'!H25</f>
        <v>0.37</v>
      </c>
      <c r="BV319" s="263">
        <v>318</v>
      </c>
      <c r="BW319" s="9">
        <v>14</v>
      </c>
      <c r="BX319" s="9">
        <v>6</v>
      </c>
      <c r="BY319" s="167">
        <f>'HourGH-AUG'!H25</f>
        <v>1.1000000000000001</v>
      </c>
      <c r="BZ319" s="9">
        <v>318</v>
      </c>
      <c r="CA319" s="9">
        <v>14</v>
      </c>
      <c r="CB319" s="9">
        <v>6</v>
      </c>
      <c r="CC319" s="167">
        <f>'HourGH-SEP'!H25</f>
        <v>1.49</v>
      </c>
      <c r="CD319" s="263">
        <v>318</v>
      </c>
      <c r="CE319" s="9">
        <v>14</v>
      </c>
      <c r="CF319" s="9">
        <v>6</v>
      </c>
      <c r="CG319" s="167">
        <f>'HourGH-OCT'!H25</f>
        <v>0.62</v>
      </c>
      <c r="CH319" s="9">
        <v>318</v>
      </c>
      <c r="CI319" s="9">
        <v>14</v>
      </c>
      <c r="CJ319" s="9">
        <v>6</v>
      </c>
      <c r="CK319" s="167">
        <f>'HourGH-NOV'!H25</f>
        <v>0.62</v>
      </c>
      <c r="CL319" s="263">
        <v>318</v>
      </c>
      <c r="CM319" s="9">
        <v>14</v>
      </c>
      <c r="CN319" s="9">
        <v>6</v>
      </c>
      <c r="CO319" s="167">
        <f>'HourGH-DEC'!H25</f>
        <v>0.67</v>
      </c>
      <c r="CP319" s="263">
        <v>318</v>
      </c>
      <c r="CQ319" s="9">
        <v>14</v>
      </c>
      <c r="CR319" s="9">
        <v>6</v>
      </c>
      <c r="CS319" s="167">
        <f>'HourGH-JAN'!H25</f>
        <v>0.4</v>
      </c>
      <c r="CT319" s="9">
        <v>318</v>
      </c>
      <c r="CU319" s="9">
        <v>14</v>
      </c>
      <c r="CV319" s="9">
        <v>6</v>
      </c>
      <c r="CW319" s="167">
        <f>'HourGH-FEB'!H25</f>
        <v>0.28999999999999998</v>
      </c>
      <c r="CX319" s="263">
        <v>318</v>
      </c>
      <c r="CY319" s="9">
        <v>14</v>
      </c>
      <c r="CZ319" s="9">
        <v>6</v>
      </c>
      <c r="DA319" s="167">
        <f>'HourGH-MAR'!H25</f>
        <v>0.24</v>
      </c>
    </row>
    <row r="320" spans="58:105">
      <c r="BF320" s="9">
        <v>319</v>
      </c>
      <c r="BG320" s="9">
        <v>14</v>
      </c>
      <c r="BH320" s="9">
        <v>7</v>
      </c>
      <c r="BI320" s="167">
        <f>'HourGH-APR'!I25</f>
        <v>0.6</v>
      </c>
      <c r="BJ320" s="263">
        <v>319</v>
      </c>
      <c r="BK320" s="9">
        <v>14</v>
      </c>
      <c r="BL320" s="9">
        <v>7</v>
      </c>
      <c r="BM320" s="167">
        <f>'HourGH-MAY'!I25</f>
        <v>0.5</v>
      </c>
      <c r="BN320" s="9">
        <v>319</v>
      </c>
      <c r="BO320" s="9">
        <v>14</v>
      </c>
      <c r="BP320" s="9">
        <v>7</v>
      </c>
      <c r="BQ320" s="167">
        <f>'HourGH-JUN'!I25</f>
        <v>0.3</v>
      </c>
      <c r="BR320" s="263">
        <v>319</v>
      </c>
      <c r="BS320" s="9">
        <v>14</v>
      </c>
      <c r="BT320" s="9">
        <v>7</v>
      </c>
      <c r="BU320" s="167">
        <f>'HourGH-JUL'!I25</f>
        <v>0.37</v>
      </c>
      <c r="BV320" s="263">
        <v>319</v>
      </c>
      <c r="BW320" s="9">
        <v>14</v>
      </c>
      <c r="BX320" s="9">
        <v>7</v>
      </c>
      <c r="BY320" s="167">
        <f>'HourGH-AUG'!I25</f>
        <v>1.08</v>
      </c>
      <c r="BZ320" s="9">
        <v>319</v>
      </c>
      <c r="CA320" s="9">
        <v>14</v>
      </c>
      <c r="CB320" s="9">
        <v>7</v>
      </c>
      <c r="CC320" s="167">
        <f>'HourGH-SEP'!I25</f>
        <v>1.48</v>
      </c>
      <c r="CD320" s="263">
        <v>319</v>
      </c>
      <c r="CE320" s="9">
        <v>14</v>
      </c>
      <c r="CF320" s="9">
        <v>7</v>
      </c>
      <c r="CG320" s="167">
        <f>'HourGH-OCT'!I25</f>
        <v>0.62</v>
      </c>
      <c r="CH320" s="9">
        <v>319</v>
      </c>
      <c r="CI320" s="9">
        <v>14</v>
      </c>
      <c r="CJ320" s="9">
        <v>7</v>
      </c>
      <c r="CK320" s="167">
        <f>'HourGH-NOV'!I25</f>
        <v>0.62</v>
      </c>
      <c r="CL320" s="263">
        <v>319</v>
      </c>
      <c r="CM320" s="9">
        <v>14</v>
      </c>
      <c r="CN320" s="9">
        <v>7</v>
      </c>
      <c r="CO320" s="167">
        <f>'HourGH-DEC'!I25</f>
        <v>0.69</v>
      </c>
      <c r="CP320" s="263">
        <v>319</v>
      </c>
      <c r="CQ320" s="9">
        <v>14</v>
      </c>
      <c r="CR320" s="9">
        <v>7</v>
      </c>
      <c r="CS320" s="167">
        <f>'HourGH-JAN'!I25</f>
        <v>0.4</v>
      </c>
      <c r="CT320" s="9">
        <v>319</v>
      </c>
      <c r="CU320" s="9">
        <v>14</v>
      </c>
      <c r="CV320" s="9">
        <v>7</v>
      </c>
      <c r="CW320" s="167">
        <f>'HourGH-FEB'!I25</f>
        <v>0.3</v>
      </c>
      <c r="CX320" s="263">
        <v>319</v>
      </c>
      <c r="CY320" s="9">
        <v>14</v>
      </c>
      <c r="CZ320" s="9">
        <v>7</v>
      </c>
      <c r="DA320" s="167">
        <f>'HourGH-MAR'!I25</f>
        <v>0.25</v>
      </c>
    </row>
    <row r="321" spans="58:105">
      <c r="BF321" s="9">
        <v>320</v>
      </c>
      <c r="BG321" s="9">
        <v>14</v>
      </c>
      <c r="BH321" s="9">
        <v>8</v>
      </c>
      <c r="BI321" s="167">
        <f>'HourGH-APR'!J25</f>
        <v>0.6</v>
      </c>
      <c r="BJ321" s="263">
        <v>320</v>
      </c>
      <c r="BK321" s="9">
        <v>14</v>
      </c>
      <c r="BL321" s="9">
        <v>8</v>
      </c>
      <c r="BM321" s="167">
        <f>'HourGH-MAY'!J25</f>
        <v>0.5</v>
      </c>
      <c r="BN321" s="9">
        <v>320</v>
      </c>
      <c r="BO321" s="9">
        <v>14</v>
      </c>
      <c r="BP321" s="9">
        <v>8</v>
      </c>
      <c r="BQ321" s="167">
        <f>'HourGH-JUN'!J25</f>
        <v>0.28999999999999998</v>
      </c>
      <c r="BR321" s="263">
        <v>320</v>
      </c>
      <c r="BS321" s="9">
        <v>14</v>
      </c>
      <c r="BT321" s="9">
        <v>8</v>
      </c>
      <c r="BU321" s="167">
        <f>'HourGH-JUL'!J25</f>
        <v>0.37</v>
      </c>
      <c r="BV321" s="263">
        <v>320</v>
      </c>
      <c r="BW321" s="9">
        <v>14</v>
      </c>
      <c r="BX321" s="9">
        <v>8</v>
      </c>
      <c r="BY321" s="167">
        <f>'HourGH-AUG'!J25</f>
        <v>1.07</v>
      </c>
      <c r="BZ321" s="9">
        <v>320</v>
      </c>
      <c r="CA321" s="9">
        <v>14</v>
      </c>
      <c r="CB321" s="9">
        <v>8</v>
      </c>
      <c r="CC321" s="167">
        <f>'HourGH-SEP'!J25</f>
        <v>1.46</v>
      </c>
      <c r="CD321" s="263">
        <v>320</v>
      </c>
      <c r="CE321" s="9">
        <v>14</v>
      </c>
      <c r="CF321" s="9">
        <v>8</v>
      </c>
      <c r="CG321" s="167">
        <f>'HourGH-OCT'!J25</f>
        <v>0.62</v>
      </c>
      <c r="CH321" s="9">
        <v>320</v>
      </c>
      <c r="CI321" s="9">
        <v>14</v>
      </c>
      <c r="CJ321" s="9">
        <v>8</v>
      </c>
      <c r="CK321" s="167">
        <f>'HourGH-NOV'!J25</f>
        <v>0.62</v>
      </c>
      <c r="CL321" s="263">
        <v>320</v>
      </c>
      <c r="CM321" s="9">
        <v>14</v>
      </c>
      <c r="CN321" s="9">
        <v>8</v>
      </c>
      <c r="CO321" s="167">
        <f>'HourGH-DEC'!J25</f>
        <v>0.7</v>
      </c>
      <c r="CP321" s="263">
        <v>320</v>
      </c>
      <c r="CQ321" s="9">
        <v>14</v>
      </c>
      <c r="CR321" s="9">
        <v>8</v>
      </c>
      <c r="CS321" s="167">
        <f>'HourGH-JAN'!J25</f>
        <v>0.4</v>
      </c>
      <c r="CT321" s="9">
        <v>320</v>
      </c>
      <c r="CU321" s="9">
        <v>14</v>
      </c>
      <c r="CV321" s="9">
        <v>8</v>
      </c>
      <c r="CW321" s="167">
        <f>'HourGH-FEB'!J25</f>
        <v>0.3</v>
      </c>
      <c r="CX321" s="263">
        <v>320</v>
      </c>
      <c r="CY321" s="9">
        <v>14</v>
      </c>
      <c r="CZ321" s="9">
        <v>8</v>
      </c>
      <c r="DA321" s="167">
        <f>'HourGH-MAR'!J25</f>
        <v>0.26</v>
      </c>
    </row>
    <row r="322" spans="58:105">
      <c r="BF322" s="9">
        <v>321</v>
      </c>
      <c r="BG322" s="9">
        <v>14</v>
      </c>
      <c r="BH322" s="9">
        <v>9</v>
      </c>
      <c r="BI322" s="167">
        <f>'HourGH-APR'!K25</f>
        <v>0.6</v>
      </c>
      <c r="BJ322" s="263">
        <v>321</v>
      </c>
      <c r="BK322" s="9">
        <v>14</v>
      </c>
      <c r="BL322" s="9">
        <v>9</v>
      </c>
      <c r="BM322" s="167">
        <f>'HourGH-MAY'!K25</f>
        <v>0.5</v>
      </c>
      <c r="BN322" s="9">
        <v>321</v>
      </c>
      <c r="BO322" s="9">
        <v>14</v>
      </c>
      <c r="BP322" s="9">
        <v>9</v>
      </c>
      <c r="BQ322" s="167">
        <f>'HourGH-JUN'!K25</f>
        <v>0.28999999999999998</v>
      </c>
      <c r="BR322" s="263">
        <v>321</v>
      </c>
      <c r="BS322" s="9">
        <v>14</v>
      </c>
      <c r="BT322" s="9">
        <v>9</v>
      </c>
      <c r="BU322" s="167">
        <f>'HourGH-JUL'!K25</f>
        <v>0.37</v>
      </c>
      <c r="BV322" s="263">
        <v>321</v>
      </c>
      <c r="BW322" s="9">
        <v>14</v>
      </c>
      <c r="BX322" s="9">
        <v>9</v>
      </c>
      <c r="BY322" s="167">
        <f>'HourGH-AUG'!K25</f>
        <v>1.06</v>
      </c>
      <c r="BZ322" s="9">
        <v>321</v>
      </c>
      <c r="CA322" s="9">
        <v>14</v>
      </c>
      <c r="CB322" s="9">
        <v>9</v>
      </c>
      <c r="CC322" s="167">
        <f>'HourGH-SEP'!K25</f>
        <v>1.45</v>
      </c>
      <c r="CD322" s="263">
        <v>321</v>
      </c>
      <c r="CE322" s="9">
        <v>14</v>
      </c>
      <c r="CF322" s="9">
        <v>9</v>
      </c>
      <c r="CG322" s="167">
        <f>'HourGH-OCT'!K25</f>
        <v>0.62</v>
      </c>
      <c r="CH322" s="9">
        <v>321</v>
      </c>
      <c r="CI322" s="9">
        <v>14</v>
      </c>
      <c r="CJ322" s="9">
        <v>9</v>
      </c>
      <c r="CK322" s="167">
        <f>'HourGH-NOV'!K25</f>
        <v>0.62</v>
      </c>
      <c r="CL322" s="263">
        <v>321</v>
      </c>
      <c r="CM322" s="9">
        <v>14</v>
      </c>
      <c r="CN322" s="9">
        <v>9</v>
      </c>
      <c r="CO322" s="167">
        <f>'HourGH-DEC'!K25</f>
        <v>0.71</v>
      </c>
      <c r="CP322" s="263">
        <v>321</v>
      </c>
      <c r="CQ322" s="9">
        <v>14</v>
      </c>
      <c r="CR322" s="9">
        <v>9</v>
      </c>
      <c r="CS322" s="167">
        <f>'HourGH-JAN'!K25</f>
        <v>0.4</v>
      </c>
      <c r="CT322" s="9">
        <v>321</v>
      </c>
      <c r="CU322" s="9">
        <v>14</v>
      </c>
      <c r="CV322" s="9">
        <v>9</v>
      </c>
      <c r="CW322" s="167">
        <f>'HourGH-FEB'!K25</f>
        <v>0.31</v>
      </c>
      <c r="CX322" s="263">
        <v>321</v>
      </c>
      <c r="CY322" s="9">
        <v>14</v>
      </c>
      <c r="CZ322" s="9">
        <v>9</v>
      </c>
      <c r="DA322" s="167">
        <f>'HourGH-MAR'!K25</f>
        <v>0.27</v>
      </c>
    </row>
    <row r="323" spans="58:105">
      <c r="BF323" s="9">
        <v>322</v>
      </c>
      <c r="BG323" s="9">
        <v>14</v>
      </c>
      <c r="BH323" s="9">
        <v>10</v>
      </c>
      <c r="BI323" s="167">
        <f>'HourGH-APR'!L25</f>
        <v>0.6</v>
      </c>
      <c r="BJ323" s="263">
        <v>322</v>
      </c>
      <c r="BK323" s="9">
        <v>14</v>
      </c>
      <c r="BL323" s="9">
        <v>10</v>
      </c>
      <c r="BM323" s="167">
        <f>'HourGH-MAY'!L25</f>
        <v>0.5</v>
      </c>
      <c r="BN323" s="9">
        <v>322</v>
      </c>
      <c r="BO323" s="9">
        <v>14</v>
      </c>
      <c r="BP323" s="9">
        <v>10</v>
      </c>
      <c r="BQ323" s="167">
        <f>'HourGH-JUN'!L25</f>
        <v>0.28999999999999998</v>
      </c>
      <c r="BR323" s="263">
        <v>322</v>
      </c>
      <c r="BS323" s="9">
        <v>14</v>
      </c>
      <c r="BT323" s="9">
        <v>10</v>
      </c>
      <c r="BU323" s="167">
        <f>'HourGH-JUL'!L25</f>
        <v>0.37</v>
      </c>
      <c r="BV323" s="263">
        <v>322</v>
      </c>
      <c r="BW323" s="9">
        <v>14</v>
      </c>
      <c r="BX323" s="9">
        <v>10</v>
      </c>
      <c r="BY323" s="167">
        <f>'HourGH-AUG'!L25</f>
        <v>1.05</v>
      </c>
      <c r="BZ323" s="9">
        <v>322</v>
      </c>
      <c r="CA323" s="9">
        <v>14</v>
      </c>
      <c r="CB323" s="9">
        <v>10</v>
      </c>
      <c r="CC323" s="167">
        <f>'HourGH-SEP'!L25</f>
        <v>1.44</v>
      </c>
      <c r="CD323" s="263">
        <v>322</v>
      </c>
      <c r="CE323" s="9">
        <v>14</v>
      </c>
      <c r="CF323" s="9">
        <v>10</v>
      </c>
      <c r="CG323" s="167">
        <f>'HourGH-OCT'!L25</f>
        <v>0.62</v>
      </c>
      <c r="CH323" s="9">
        <v>322</v>
      </c>
      <c r="CI323" s="9">
        <v>14</v>
      </c>
      <c r="CJ323" s="9">
        <v>10</v>
      </c>
      <c r="CK323" s="167">
        <f>'HourGH-NOV'!L25</f>
        <v>0.63</v>
      </c>
      <c r="CL323" s="263">
        <v>322</v>
      </c>
      <c r="CM323" s="9">
        <v>14</v>
      </c>
      <c r="CN323" s="9">
        <v>10</v>
      </c>
      <c r="CO323" s="167">
        <f>'HourGH-DEC'!L25</f>
        <v>0.72</v>
      </c>
      <c r="CP323" s="263">
        <v>322</v>
      </c>
      <c r="CQ323" s="9">
        <v>14</v>
      </c>
      <c r="CR323" s="9">
        <v>10</v>
      </c>
      <c r="CS323" s="167">
        <f>'HourGH-JAN'!L25</f>
        <v>0.4</v>
      </c>
      <c r="CT323" s="9">
        <v>322</v>
      </c>
      <c r="CU323" s="9">
        <v>14</v>
      </c>
      <c r="CV323" s="9">
        <v>10</v>
      </c>
      <c r="CW323" s="167">
        <f>'HourGH-FEB'!L25</f>
        <v>0.32</v>
      </c>
      <c r="CX323" s="263">
        <v>322</v>
      </c>
      <c r="CY323" s="9">
        <v>14</v>
      </c>
      <c r="CZ323" s="9">
        <v>10</v>
      </c>
      <c r="DA323" s="167">
        <f>'HourGH-MAR'!L25</f>
        <v>0.28000000000000003</v>
      </c>
    </row>
    <row r="324" spans="58:105">
      <c r="BF324" s="9">
        <v>323</v>
      </c>
      <c r="BG324" s="9">
        <v>14</v>
      </c>
      <c r="BH324" s="9">
        <v>11</v>
      </c>
      <c r="BI324" s="167">
        <f>'HourGH-APR'!M25</f>
        <v>0.6</v>
      </c>
      <c r="BJ324" s="263">
        <v>323</v>
      </c>
      <c r="BK324" s="9">
        <v>14</v>
      </c>
      <c r="BL324" s="9">
        <v>11</v>
      </c>
      <c r="BM324" s="167">
        <f>'HourGH-MAY'!M25</f>
        <v>0.5</v>
      </c>
      <c r="BN324" s="9">
        <v>323</v>
      </c>
      <c r="BO324" s="9">
        <v>14</v>
      </c>
      <c r="BP324" s="9">
        <v>11</v>
      </c>
      <c r="BQ324" s="167">
        <f>'HourGH-JUN'!M25</f>
        <v>0.28000000000000003</v>
      </c>
      <c r="BR324" s="263">
        <v>323</v>
      </c>
      <c r="BS324" s="9">
        <v>14</v>
      </c>
      <c r="BT324" s="9">
        <v>11</v>
      </c>
      <c r="BU324" s="167">
        <f>'HourGH-JUL'!M25</f>
        <v>0.37</v>
      </c>
      <c r="BV324" s="263">
        <v>323</v>
      </c>
      <c r="BW324" s="9">
        <v>14</v>
      </c>
      <c r="BX324" s="9">
        <v>11</v>
      </c>
      <c r="BY324" s="167">
        <f>'HourGH-AUG'!M25</f>
        <v>1.04</v>
      </c>
      <c r="BZ324" s="9">
        <v>323</v>
      </c>
      <c r="CA324" s="9">
        <v>14</v>
      </c>
      <c r="CB324" s="9">
        <v>11</v>
      </c>
      <c r="CC324" s="167">
        <f>'HourGH-SEP'!M25</f>
        <v>1.43</v>
      </c>
      <c r="CD324" s="263">
        <v>323</v>
      </c>
      <c r="CE324" s="9">
        <v>14</v>
      </c>
      <c r="CF324" s="9">
        <v>11</v>
      </c>
      <c r="CG324" s="167">
        <f>'HourGH-OCT'!M25</f>
        <v>0.62</v>
      </c>
      <c r="CH324" s="9">
        <v>323</v>
      </c>
      <c r="CI324" s="9">
        <v>14</v>
      </c>
      <c r="CJ324" s="9">
        <v>11</v>
      </c>
      <c r="CK324" s="167">
        <f>'HourGH-NOV'!M25</f>
        <v>0.63</v>
      </c>
      <c r="CL324" s="263">
        <v>323</v>
      </c>
      <c r="CM324" s="9">
        <v>14</v>
      </c>
      <c r="CN324" s="9">
        <v>11</v>
      </c>
      <c r="CO324" s="167">
        <f>'HourGH-DEC'!M25</f>
        <v>0.73</v>
      </c>
      <c r="CP324" s="263">
        <v>323</v>
      </c>
      <c r="CQ324" s="9">
        <v>14</v>
      </c>
      <c r="CR324" s="9">
        <v>11</v>
      </c>
      <c r="CS324" s="167">
        <f>'HourGH-JAN'!M25</f>
        <v>0.4</v>
      </c>
      <c r="CT324" s="9">
        <v>323</v>
      </c>
      <c r="CU324" s="9">
        <v>14</v>
      </c>
      <c r="CV324" s="9">
        <v>11</v>
      </c>
      <c r="CW324" s="167">
        <f>'HourGH-FEB'!M25</f>
        <v>0.33</v>
      </c>
      <c r="CX324" s="263">
        <v>323</v>
      </c>
      <c r="CY324" s="9">
        <v>14</v>
      </c>
      <c r="CZ324" s="9">
        <v>11</v>
      </c>
      <c r="DA324" s="167">
        <f>'HourGH-MAR'!M25</f>
        <v>0.28999999999999998</v>
      </c>
    </row>
    <row r="325" spans="58:105">
      <c r="BF325" s="9">
        <v>324</v>
      </c>
      <c r="BG325" s="9">
        <v>14</v>
      </c>
      <c r="BH325" s="9">
        <v>12</v>
      </c>
      <c r="BI325" s="167">
        <f>'HourGH-APR'!N25</f>
        <v>0.6</v>
      </c>
      <c r="BJ325" s="263">
        <v>324</v>
      </c>
      <c r="BK325" s="9">
        <v>14</v>
      </c>
      <c r="BL325" s="9">
        <v>12</v>
      </c>
      <c r="BM325" s="167">
        <f>'HourGH-MAY'!N25</f>
        <v>0.5</v>
      </c>
      <c r="BN325" s="9">
        <v>324</v>
      </c>
      <c r="BO325" s="9">
        <v>14</v>
      </c>
      <c r="BP325" s="9">
        <v>12</v>
      </c>
      <c r="BQ325" s="167">
        <f>'HourGH-JUN'!N25</f>
        <v>0.28000000000000003</v>
      </c>
      <c r="BR325" s="263">
        <v>324</v>
      </c>
      <c r="BS325" s="9">
        <v>14</v>
      </c>
      <c r="BT325" s="9">
        <v>12</v>
      </c>
      <c r="BU325" s="167">
        <f>'HourGH-JUL'!N25</f>
        <v>0.38</v>
      </c>
      <c r="BV325" s="263">
        <v>324</v>
      </c>
      <c r="BW325" s="9">
        <v>14</v>
      </c>
      <c r="BX325" s="9">
        <v>12</v>
      </c>
      <c r="BY325" s="167">
        <f>'HourGH-AUG'!N25</f>
        <v>1.03</v>
      </c>
      <c r="BZ325" s="9">
        <v>324</v>
      </c>
      <c r="CA325" s="9">
        <v>14</v>
      </c>
      <c r="CB325" s="9">
        <v>12</v>
      </c>
      <c r="CC325" s="167">
        <f>'HourGH-SEP'!N25</f>
        <v>1.42</v>
      </c>
      <c r="CD325" s="263">
        <v>324</v>
      </c>
      <c r="CE325" s="9">
        <v>14</v>
      </c>
      <c r="CF325" s="9">
        <v>12</v>
      </c>
      <c r="CG325" s="167">
        <f>'HourGH-OCT'!N25</f>
        <v>0.62</v>
      </c>
      <c r="CH325" s="9">
        <v>324</v>
      </c>
      <c r="CI325" s="9">
        <v>14</v>
      </c>
      <c r="CJ325" s="9">
        <v>12</v>
      </c>
      <c r="CK325" s="167">
        <f>'HourGH-NOV'!N25</f>
        <v>0.64</v>
      </c>
      <c r="CL325" s="263">
        <v>324</v>
      </c>
      <c r="CM325" s="9">
        <v>14</v>
      </c>
      <c r="CN325" s="9">
        <v>12</v>
      </c>
      <c r="CO325" s="167">
        <f>'HourGH-DEC'!N25</f>
        <v>0.74</v>
      </c>
      <c r="CP325" s="263">
        <v>324</v>
      </c>
      <c r="CQ325" s="9">
        <v>14</v>
      </c>
      <c r="CR325" s="9">
        <v>12</v>
      </c>
      <c r="CS325" s="167">
        <f>'HourGH-JAN'!N25</f>
        <v>0.4</v>
      </c>
      <c r="CT325" s="9">
        <v>324</v>
      </c>
      <c r="CU325" s="9">
        <v>14</v>
      </c>
      <c r="CV325" s="9">
        <v>12</v>
      </c>
      <c r="CW325" s="167">
        <f>'HourGH-FEB'!N25</f>
        <v>0.34</v>
      </c>
      <c r="CX325" s="263">
        <v>324</v>
      </c>
      <c r="CY325" s="9">
        <v>14</v>
      </c>
      <c r="CZ325" s="9">
        <v>12</v>
      </c>
      <c r="DA325" s="167">
        <f>'HourGH-MAR'!N25</f>
        <v>0.3</v>
      </c>
    </row>
    <row r="326" spans="58:105">
      <c r="BF326" s="9">
        <v>325</v>
      </c>
      <c r="BG326" s="9">
        <v>14</v>
      </c>
      <c r="BH326" s="9">
        <v>13</v>
      </c>
      <c r="BI326" s="167">
        <f>'HourGH-APR'!O25</f>
        <v>0.6</v>
      </c>
      <c r="BJ326" s="263">
        <v>325</v>
      </c>
      <c r="BK326" s="9">
        <v>14</v>
      </c>
      <c r="BL326" s="9">
        <v>13</v>
      </c>
      <c r="BM326" s="167">
        <f>'HourGH-MAY'!O25</f>
        <v>0.5</v>
      </c>
      <c r="BN326" s="9">
        <v>325</v>
      </c>
      <c r="BO326" s="9">
        <v>14</v>
      </c>
      <c r="BP326" s="9">
        <v>13</v>
      </c>
      <c r="BQ326" s="167">
        <f>'HourGH-JUN'!O25</f>
        <v>0.28000000000000003</v>
      </c>
      <c r="BR326" s="263">
        <v>325</v>
      </c>
      <c r="BS326" s="9">
        <v>14</v>
      </c>
      <c r="BT326" s="9">
        <v>13</v>
      </c>
      <c r="BU326" s="167">
        <f>'HourGH-JUL'!O25</f>
        <v>0.38</v>
      </c>
      <c r="BV326" s="263">
        <v>325</v>
      </c>
      <c r="BW326" s="9">
        <v>14</v>
      </c>
      <c r="BX326" s="9">
        <v>13</v>
      </c>
      <c r="BY326" s="167">
        <f>'HourGH-AUG'!O25</f>
        <v>1.02</v>
      </c>
      <c r="BZ326" s="9">
        <v>325</v>
      </c>
      <c r="CA326" s="9">
        <v>14</v>
      </c>
      <c r="CB326" s="9">
        <v>13</v>
      </c>
      <c r="CC326" s="167">
        <f>'HourGH-SEP'!O25</f>
        <v>1.41</v>
      </c>
      <c r="CD326" s="263">
        <v>325</v>
      </c>
      <c r="CE326" s="9">
        <v>14</v>
      </c>
      <c r="CF326" s="9">
        <v>13</v>
      </c>
      <c r="CG326" s="167">
        <f>'HourGH-OCT'!O25</f>
        <v>0.61</v>
      </c>
      <c r="CH326" s="9">
        <v>325</v>
      </c>
      <c r="CI326" s="9">
        <v>14</v>
      </c>
      <c r="CJ326" s="9">
        <v>13</v>
      </c>
      <c r="CK326" s="167">
        <f>'HourGH-NOV'!O25</f>
        <v>0.65</v>
      </c>
      <c r="CL326" s="263">
        <v>325</v>
      </c>
      <c r="CM326" s="9">
        <v>14</v>
      </c>
      <c r="CN326" s="9">
        <v>13</v>
      </c>
      <c r="CO326" s="167">
        <f>'HourGH-DEC'!O25</f>
        <v>0.75</v>
      </c>
      <c r="CP326" s="263">
        <v>325</v>
      </c>
      <c r="CQ326" s="9">
        <v>14</v>
      </c>
      <c r="CR326" s="9">
        <v>13</v>
      </c>
      <c r="CS326" s="167">
        <f>'HourGH-JAN'!O25</f>
        <v>0.4</v>
      </c>
      <c r="CT326" s="9">
        <v>325</v>
      </c>
      <c r="CU326" s="9">
        <v>14</v>
      </c>
      <c r="CV326" s="9">
        <v>13</v>
      </c>
      <c r="CW326" s="167">
        <f>'HourGH-FEB'!O25</f>
        <v>0.35</v>
      </c>
      <c r="CX326" s="263">
        <v>325</v>
      </c>
      <c r="CY326" s="9">
        <v>14</v>
      </c>
      <c r="CZ326" s="9">
        <v>13</v>
      </c>
      <c r="DA326" s="167">
        <f>'HourGH-MAR'!O25</f>
        <v>0.31</v>
      </c>
    </row>
    <row r="327" spans="58:105">
      <c r="BF327" s="9">
        <v>326</v>
      </c>
      <c r="BG327" s="9">
        <v>14</v>
      </c>
      <c r="BH327" s="9">
        <v>14</v>
      </c>
      <c r="BI327" s="167">
        <f>'HourGH-APR'!P25</f>
        <v>0.6</v>
      </c>
      <c r="BJ327" s="263">
        <v>326</v>
      </c>
      <c r="BK327" s="9">
        <v>14</v>
      </c>
      <c r="BL327" s="9">
        <v>14</v>
      </c>
      <c r="BM327" s="167">
        <f>'HourGH-MAY'!P25</f>
        <v>0.5</v>
      </c>
      <c r="BN327" s="9">
        <v>326</v>
      </c>
      <c r="BO327" s="9">
        <v>14</v>
      </c>
      <c r="BP327" s="9">
        <v>14</v>
      </c>
      <c r="BQ327" s="167">
        <f>'HourGH-JUN'!P25</f>
        <v>0.27</v>
      </c>
      <c r="BR327" s="263">
        <v>326</v>
      </c>
      <c r="BS327" s="9">
        <v>14</v>
      </c>
      <c r="BT327" s="9">
        <v>14</v>
      </c>
      <c r="BU327" s="167">
        <f>'HourGH-JUL'!P25</f>
        <v>0.38</v>
      </c>
      <c r="BV327" s="263">
        <v>326</v>
      </c>
      <c r="BW327" s="9">
        <v>14</v>
      </c>
      <c r="BX327" s="9">
        <v>14</v>
      </c>
      <c r="BY327" s="167">
        <f>'HourGH-AUG'!P25</f>
        <v>1.02</v>
      </c>
      <c r="BZ327" s="9">
        <v>326</v>
      </c>
      <c r="CA327" s="9">
        <v>14</v>
      </c>
      <c r="CB327" s="9">
        <v>14</v>
      </c>
      <c r="CC327" s="167">
        <f>'HourGH-SEP'!P25</f>
        <v>1.41</v>
      </c>
      <c r="CD327" s="263">
        <v>326</v>
      </c>
      <c r="CE327" s="9">
        <v>14</v>
      </c>
      <c r="CF327" s="9">
        <v>14</v>
      </c>
      <c r="CG327" s="167">
        <f>'HourGH-OCT'!P25</f>
        <v>0.61</v>
      </c>
      <c r="CH327" s="9">
        <v>326</v>
      </c>
      <c r="CI327" s="9">
        <v>14</v>
      </c>
      <c r="CJ327" s="9">
        <v>14</v>
      </c>
      <c r="CK327" s="167">
        <f>'HourGH-NOV'!P25</f>
        <v>0.65</v>
      </c>
      <c r="CL327" s="263">
        <v>326</v>
      </c>
      <c r="CM327" s="9">
        <v>14</v>
      </c>
      <c r="CN327" s="9">
        <v>14</v>
      </c>
      <c r="CO327" s="167">
        <f>'HourGH-DEC'!P25</f>
        <v>0.76</v>
      </c>
      <c r="CP327" s="263">
        <v>326</v>
      </c>
      <c r="CQ327" s="9">
        <v>14</v>
      </c>
      <c r="CR327" s="9">
        <v>14</v>
      </c>
      <c r="CS327" s="167">
        <f>'HourGH-JAN'!P25</f>
        <v>0.4</v>
      </c>
      <c r="CT327" s="9">
        <v>326</v>
      </c>
      <c r="CU327" s="9">
        <v>14</v>
      </c>
      <c r="CV327" s="9">
        <v>14</v>
      </c>
      <c r="CW327" s="167">
        <f>'HourGH-FEB'!P25</f>
        <v>0.37</v>
      </c>
      <c r="CX327" s="263">
        <v>326</v>
      </c>
      <c r="CY327" s="9">
        <v>14</v>
      </c>
      <c r="CZ327" s="9">
        <v>14</v>
      </c>
      <c r="DA327" s="167">
        <f>'HourGH-MAR'!P25</f>
        <v>0.33</v>
      </c>
    </row>
    <row r="328" spans="58:105">
      <c r="BF328" s="9">
        <v>327</v>
      </c>
      <c r="BG328" s="9">
        <v>14</v>
      </c>
      <c r="BH328" s="9">
        <v>15</v>
      </c>
      <c r="BI328" s="167">
        <f>'HourGH-APR'!Q25</f>
        <v>0.6</v>
      </c>
      <c r="BJ328" s="263">
        <v>327</v>
      </c>
      <c r="BK328" s="9">
        <v>14</v>
      </c>
      <c r="BL328" s="9">
        <v>15</v>
      </c>
      <c r="BM328" s="167">
        <f>'HourGH-MAY'!Q25</f>
        <v>0.5</v>
      </c>
      <c r="BN328" s="9">
        <v>327</v>
      </c>
      <c r="BO328" s="9">
        <v>14</v>
      </c>
      <c r="BP328" s="9">
        <v>15</v>
      </c>
      <c r="BQ328" s="167">
        <f>'HourGH-JUN'!Q25</f>
        <v>0.27</v>
      </c>
      <c r="BR328" s="263">
        <v>327</v>
      </c>
      <c r="BS328" s="9">
        <v>14</v>
      </c>
      <c r="BT328" s="9">
        <v>15</v>
      </c>
      <c r="BU328" s="167">
        <f>'HourGH-JUL'!Q25</f>
        <v>0.39</v>
      </c>
      <c r="BV328" s="263">
        <v>327</v>
      </c>
      <c r="BW328" s="9">
        <v>14</v>
      </c>
      <c r="BX328" s="9">
        <v>15</v>
      </c>
      <c r="BY328" s="167">
        <f>'HourGH-AUG'!Q25</f>
        <v>1.01</v>
      </c>
      <c r="BZ328" s="9">
        <v>327</v>
      </c>
      <c r="CA328" s="9">
        <v>14</v>
      </c>
      <c r="CB328" s="9">
        <v>15</v>
      </c>
      <c r="CC328" s="167">
        <f>'HourGH-SEP'!Q25</f>
        <v>1.41</v>
      </c>
      <c r="CD328" s="263">
        <v>327</v>
      </c>
      <c r="CE328" s="9">
        <v>14</v>
      </c>
      <c r="CF328" s="9">
        <v>15</v>
      </c>
      <c r="CG328" s="167">
        <f>'HourGH-OCT'!Q25</f>
        <v>0.61</v>
      </c>
      <c r="CH328" s="9">
        <v>327</v>
      </c>
      <c r="CI328" s="9">
        <v>14</v>
      </c>
      <c r="CJ328" s="9">
        <v>15</v>
      </c>
      <c r="CK328" s="167">
        <f>'HourGH-NOV'!Q25</f>
        <v>0.66</v>
      </c>
      <c r="CL328" s="263">
        <v>327</v>
      </c>
      <c r="CM328" s="9">
        <v>14</v>
      </c>
      <c r="CN328" s="9">
        <v>15</v>
      </c>
      <c r="CO328" s="167">
        <f>'HourGH-DEC'!Q25</f>
        <v>0.77</v>
      </c>
      <c r="CP328" s="263">
        <v>327</v>
      </c>
      <c r="CQ328" s="9">
        <v>14</v>
      </c>
      <c r="CR328" s="9">
        <v>15</v>
      </c>
      <c r="CS328" s="167">
        <f>'HourGH-JAN'!Q25</f>
        <v>0.4</v>
      </c>
      <c r="CT328" s="9">
        <v>327</v>
      </c>
      <c r="CU328" s="9">
        <v>14</v>
      </c>
      <c r="CV328" s="9">
        <v>15</v>
      </c>
      <c r="CW328" s="167">
        <f>'HourGH-FEB'!Q25</f>
        <v>0.38</v>
      </c>
      <c r="CX328" s="263">
        <v>327</v>
      </c>
      <c r="CY328" s="9">
        <v>14</v>
      </c>
      <c r="CZ328" s="9">
        <v>15</v>
      </c>
      <c r="DA328" s="167">
        <f>'HourGH-MAR'!Q25</f>
        <v>0.34</v>
      </c>
    </row>
    <row r="329" spans="58:105">
      <c r="BF329" s="9">
        <v>328</v>
      </c>
      <c r="BG329" s="9">
        <v>14</v>
      </c>
      <c r="BH329" s="9">
        <v>16</v>
      </c>
      <c r="BI329" s="167">
        <f>'HourGH-APR'!R25</f>
        <v>0.6</v>
      </c>
      <c r="BJ329" s="263">
        <v>328</v>
      </c>
      <c r="BK329" s="9">
        <v>14</v>
      </c>
      <c r="BL329" s="9">
        <v>16</v>
      </c>
      <c r="BM329" s="167">
        <f>'HourGH-MAY'!R25</f>
        <v>0.5</v>
      </c>
      <c r="BN329" s="9">
        <v>328</v>
      </c>
      <c r="BO329" s="9">
        <v>14</v>
      </c>
      <c r="BP329" s="9">
        <v>16</v>
      </c>
      <c r="BQ329" s="167">
        <f>'HourGH-JUN'!R25</f>
        <v>0.26</v>
      </c>
      <c r="BR329" s="263">
        <v>328</v>
      </c>
      <c r="BS329" s="9">
        <v>14</v>
      </c>
      <c r="BT329" s="9">
        <v>16</v>
      </c>
      <c r="BU329" s="167">
        <f>'HourGH-JUL'!R25</f>
        <v>0.39</v>
      </c>
      <c r="BV329" s="263">
        <v>328</v>
      </c>
      <c r="BW329" s="9">
        <v>14</v>
      </c>
      <c r="BX329" s="9">
        <v>16</v>
      </c>
      <c r="BY329" s="167">
        <f>'HourGH-AUG'!R25</f>
        <v>1.01</v>
      </c>
      <c r="BZ329" s="9">
        <v>328</v>
      </c>
      <c r="CA329" s="9">
        <v>14</v>
      </c>
      <c r="CB329" s="9">
        <v>16</v>
      </c>
      <c r="CC329" s="167">
        <f>'HourGH-SEP'!R25</f>
        <v>1.41</v>
      </c>
      <c r="CD329" s="263">
        <v>328</v>
      </c>
      <c r="CE329" s="9">
        <v>14</v>
      </c>
      <c r="CF329" s="9">
        <v>16</v>
      </c>
      <c r="CG329" s="167">
        <f>'HourGH-OCT'!R25</f>
        <v>0.61</v>
      </c>
      <c r="CH329" s="9">
        <v>328</v>
      </c>
      <c r="CI329" s="9">
        <v>14</v>
      </c>
      <c r="CJ329" s="9">
        <v>16</v>
      </c>
      <c r="CK329" s="167">
        <f>'HourGH-NOV'!R25</f>
        <v>0.67</v>
      </c>
      <c r="CL329" s="263">
        <v>328</v>
      </c>
      <c r="CM329" s="9">
        <v>14</v>
      </c>
      <c r="CN329" s="9">
        <v>16</v>
      </c>
      <c r="CO329" s="167">
        <f>'HourGH-DEC'!R25</f>
        <v>0.78</v>
      </c>
      <c r="CP329" s="263">
        <v>328</v>
      </c>
      <c r="CQ329" s="9">
        <v>14</v>
      </c>
      <c r="CR329" s="9">
        <v>16</v>
      </c>
      <c r="CS329" s="167">
        <f>'HourGH-JAN'!R25</f>
        <v>0.4</v>
      </c>
      <c r="CT329" s="9">
        <v>328</v>
      </c>
      <c r="CU329" s="9">
        <v>14</v>
      </c>
      <c r="CV329" s="9">
        <v>16</v>
      </c>
      <c r="CW329" s="167">
        <f>'HourGH-FEB'!R25</f>
        <v>0.39</v>
      </c>
      <c r="CX329" s="263">
        <v>328</v>
      </c>
      <c r="CY329" s="9">
        <v>14</v>
      </c>
      <c r="CZ329" s="9">
        <v>16</v>
      </c>
      <c r="DA329" s="167">
        <f>'HourGH-MAR'!R25</f>
        <v>0.35</v>
      </c>
    </row>
    <row r="330" spans="58:105">
      <c r="BF330" s="9">
        <v>329</v>
      </c>
      <c r="BG330" s="9">
        <v>14</v>
      </c>
      <c r="BH330" s="9">
        <v>17</v>
      </c>
      <c r="BI330" s="167">
        <f>'HourGH-APR'!S25</f>
        <v>0.6</v>
      </c>
      <c r="BJ330" s="263">
        <v>329</v>
      </c>
      <c r="BK330" s="9">
        <v>14</v>
      </c>
      <c r="BL330" s="9">
        <v>17</v>
      </c>
      <c r="BM330" s="167">
        <f>'HourGH-MAY'!S25</f>
        <v>0.5</v>
      </c>
      <c r="BN330" s="9">
        <v>329</v>
      </c>
      <c r="BO330" s="9">
        <v>14</v>
      </c>
      <c r="BP330" s="9">
        <v>17</v>
      </c>
      <c r="BQ330" s="167">
        <f>'HourGH-JUN'!S25</f>
        <v>0.26</v>
      </c>
      <c r="BR330" s="263">
        <v>329</v>
      </c>
      <c r="BS330" s="9">
        <v>14</v>
      </c>
      <c r="BT330" s="9">
        <v>17</v>
      </c>
      <c r="BU330" s="167">
        <f>'HourGH-JUL'!S25</f>
        <v>0.4</v>
      </c>
      <c r="BV330" s="263">
        <v>329</v>
      </c>
      <c r="BW330" s="9">
        <v>14</v>
      </c>
      <c r="BX330" s="9">
        <v>17</v>
      </c>
      <c r="BY330" s="167">
        <f>'HourGH-AUG'!S25</f>
        <v>1</v>
      </c>
      <c r="BZ330" s="9">
        <v>329</v>
      </c>
      <c r="CA330" s="9">
        <v>14</v>
      </c>
      <c r="CB330" s="9">
        <v>17</v>
      </c>
      <c r="CC330" s="167">
        <f>'HourGH-SEP'!S25</f>
        <v>1.42</v>
      </c>
      <c r="CD330" s="263">
        <v>329</v>
      </c>
      <c r="CE330" s="9">
        <v>14</v>
      </c>
      <c r="CF330" s="9">
        <v>17</v>
      </c>
      <c r="CG330" s="167">
        <f>'HourGH-OCT'!S25</f>
        <v>0.61</v>
      </c>
      <c r="CH330" s="9">
        <v>329</v>
      </c>
      <c r="CI330" s="9">
        <v>14</v>
      </c>
      <c r="CJ330" s="9">
        <v>17</v>
      </c>
      <c r="CK330" s="167">
        <f>'HourGH-NOV'!S25</f>
        <v>0.67</v>
      </c>
      <c r="CL330" s="263">
        <v>329</v>
      </c>
      <c r="CM330" s="9">
        <v>14</v>
      </c>
      <c r="CN330" s="9">
        <v>17</v>
      </c>
      <c r="CO330" s="167">
        <f>'HourGH-DEC'!S25</f>
        <v>0.79</v>
      </c>
      <c r="CP330" s="263">
        <v>329</v>
      </c>
      <c r="CQ330" s="9">
        <v>14</v>
      </c>
      <c r="CR330" s="9">
        <v>17</v>
      </c>
      <c r="CS330" s="167">
        <f>'HourGH-JAN'!S25</f>
        <v>0.4</v>
      </c>
      <c r="CT330" s="9">
        <v>329</v>
      </c>
      <c r="CU330" s="9">
        <v>14</v>
      </c>
      <c r="CV330" s="9">
        <v>17</v>
      </c>
      <c r="CW330" s="167">
        <f>'HourGH-FEB'!S25</f>
        <v>0.41</v>
      </c>
      <c r="CX330" s="263">
        <v>329</v>
      </c>
      <c r="CY330" s="9">
        <v>14</v>
      </c>
      <c r="CZ330" s="9">
        <v>17</v>
      </c>
      <c r="DA330" s="167">
        <f>'HourGH-MAR'!S25</f>
        <v>0.37</v>
      </c>
    </row>
    <row r="331" spans="58:105">
      <c r="BF331" s="9">
        <v>330</v>
      </c>
      <c r="BG331" s="9">
        <v>14</v>
      </c>
      <c r="BH331" s="9">
        <v>18</v>
      </c>
      <c r="BI331" s="167">
        <f>'HourGH-APR'!T25</f>
        <v>0.6</v>
      </c>
      <c r="BJ331" s="263">
        <v>330</v>
      </c>
      <c r="BK331" s="9">
        <v>14</v>
      </c>
      <c r="BL331" s="9">
        <v>18</v>
      </c>
      <c r="BM331" s="167">
        <f>'HourGH-MAY'!T25</f>
        <v>0.5</v>
      </c>
      <c r="BN331" s="9">
        <v>330</v>
      </c>
      <c r="BO331" s="9">
        <v>14</v>
      </c>
      <c r="BP331" s="9">
        <v>18</v>
      </c>
      <c r="BQ331" s="167">
        <f>'HourGH-JUN'!T25</f>
        <v>0.25</v>
      </c>
      <c r="BR331" s="263">
        <v>330</v>
      </c>
      <c r="BS331" s="9">
        <v>14</v>
      </c>
      <c r="BT331" s="9">
        <v>18</v>
      </c>
      <c r="BU331" s="167">
        <f>'HourGH-JUL'!T25</f>
        <v>0.41</v>
      </c>
      <c r="BV331" s="263">
        <v>330</v>
      </c>
      <c r="BW331" s="9">
        <v>14</v>
      </c>
      <c r="BX331" s="9">
        <v>18</v>
      </c>
      <c r="BY331" s="167">
        <f>'HourGH-AUG'!T25</f>
        <v>1</v>
      </c>
      <c r="BZ331" s="9">
        <v>330</v>
      </c>
      <c r="CA331" s="9">
        <v>14</v>
      </c>
      <c r="CB331" s="9">
        <v>18</v>
      </c>
      <c r="CC331" s="167">
        <f>'HourGH-SEP'!T25</f>
        <v>1.43</v>
      </c>
      <c r="CD331" s="263">
        <v>330</v>
      </c>
      <c r="CE331" s="9">
        <v>14</v>
      </c>
      <c r="CF331" s="9">
        <v>18</v>
      </c>
      <c r="CG331" s="167">
        <f>'HourGH-OCT'!T25</f>
        <v>0.61</v>
      </c>
      <c r="CH331" s="9">
        <v>330</v>
      </c>
      <c r="CI331" s="9">
        <v>14</v>
      </c>
      <c r="CJ331" s="9">
        <v>18</v>
      </c>
      <c r="CK331" s="167">
        <f>'HourGH-NOV'!T25</f>
        <v>0.68</v>
      </c>
      <c r="CL331" s="263">
        <v>330</v>
      </c>
      <c r="CM331" s="9">
        <v>14</v>
      </c>
      <c r="CN331" s="9">
        <v>18</v>
      </c>
      <c r="CO331" s="167">
        <f>'HourGH-DEC'!T25</f>
        <v>0.8</v>
      </c>
      <c r="CP331" s="263">
        <v>330</v>
      </c>
      <c r="CQ331" s="9">
        <v>14</v>
      </c>
      <c r="CR331" s="9">
        <v>18</v>
      </c>
      <c r="CS331" s="167">
        <f>'HourGH-JAN'!T25</f>
        <v>0.4</v>
      </c>
      <c r="CT331" s="9">
        <v>330</v>
      </c>
      <c r="CU331" s="9">
        <v>14</v>
      </c>
      <c r="CV331" s="9">
        <v>18</v>
      </c>
      <c r="CW331" s="167">
        <f>'HourGH-FEB'!T25</f>
        <v>0.43</v>
      </c>
      <c r="CX331" s="263">
        <v>330</v>
      </c>
      <c r="CY331" s="9">
        <v>14</v>
      </c>
      <c r="CZ331" s="9">
        <v>18</v>
      </c>
      <c r="DA331" s="167">
        <f>'HourGH-MAR'!T25</f>
        <v>0.39</v>
      </c>
    </row>
    <row r="332" spans="58:105">
      <c r="BF332" s="9">
        <v>331</v>
      </c>
      <c r="BG332" s="9">
        <v>14</v>
      </c>
      <c r="BH332" s="9">
        <v>19</v>
      </c>
      <c r="BI332" s="167">
        <f>'HourGH-APR'!U25</f>
        <v>0.6</v>
      </c>
      <c r="BJ332" s="263">
        <v>331</v>
      </c>
      <c r="BK332" s="9">
        <v>14</v>
      </c>
      <c r="BL332" s="9">
        <v>19</v>
      </c>
      <c r="BM332" s="167">
        <f>'HourGH-MAY'!U25</f>
        <v>0.5</v>
      </c>
      <c r="BN332" s="9">
        <v>331</v>
      </c>
      <c r="BO332" s="9">
        <v>14</v>
      </c>
      <c r="BP332" s="9">
        <v>19</v>
      </c>
      <c r="BQ332" s="167">
        <f>'HourGH-JUN'!U25</f>
        <v>0.25</v>
      </c>
      <c r="BR332" s="263">
        <v>331</v>
      </c>
      <c r="BS332" s="9">
        <v>14</v>
      </c>
      <c r="BT332" s="9">
        <v>19</v>
      </c>
      <c r="BU332" s="167">
        <f>'HourGH-JUL'!U25</f>
        <v>0.42</v>
      </c>
      <c r="BV332" s="263">
        <v>331</v>
      </c>
      <c r="BW332" s="9">
        <v>14</v>
      </c>
      <c r="BX332" s="9">
        <v>19</v>
      </c>
      <c r="BY332" s="167">
        <f>'HourGH-AUG'!U25</f>
        <v>0.99</v>
      </c>
      <c r="BZ332" s="9">
        <v>331</v>
      </c>
      <c r="CA332" s="9">
        <v>14</v>
      </c>
      <c r="CB332" s="9">
        <v>19</v>
      </c>
      <c r="CC332" s="167">
        <f>'HourGH-SEP'!U25</f>
        <v>1.44</v>
      </c>
      <c r="CD332" s="263">
        <v>331</v>
      </c>
      <c r="CE332" s="9">
        <v>14</v>
      </c>
      <c r="CF332" s="9">
        <v>19</v>
      </c>
      <c r="CG332" s="167">
        <f>'HourGH-OCT'!U25</f>
        <v>0.61</v>
      </c>
      <c r="CH332" s="9">
        <v>331</v>
      </c>
      <c r="CI332" s="9">
        <v>14</v>
      </c>
      <c r="CJ332" s="9">
        <v>19</v>
      </c>
      <c r="CK332" s="167">
        <f>'HourGH-NOV'!U25</f>
        <v>0.69</v>
      </c>
      <c r="CL332" s="263">
        <v>331</v>
      </c>
      <c r="CM332" s="9">
        <v>14</v>
      </c>
      <c r="CN332" s="9">
        <v>19</v>
      </c>
      <c r="CO332" s="167">
        <f>'HourGH-DEC'!U25</f>
        <v>0.81</v>
      </c>
      <c r="CP332" s="263">
        <v>331</v>
      </c>
      <c r="CQ332" s="9">
        <v>14</v>
      </c>
      <c r="CR332" s="9">
        <v>19</v>
      </c>
      <c r="CS332" s="167">
        <f>'HourGH-JAN'!U25</f>
        <v>0.4</v>
      </c>
      <c r="CT332" s="9">
        <v>331</v>
      </c>
      <c r="CU332" s="9">
        <v>14</v>
      </c>
      <c r="CV332" s="9">
        <v>19</v>
      </c>
      <c r="CW332" s="167">
        <f>'HourGH-FEB'!U25</f>
        <v>0.45</v>
      </c>
      <c r="CX332" s="263">
        <v>331</v>
      </c>
      <c r="CY332" s="9">
        <v>14</v>
      </c>
      <c r="CZ332" s="9">
        <v>19</v>
      </c>
      <c r="DA332" s="167">
        <f>'HourGH-MAR'!U25</f>
        <v>0.41</v>
      </c>
    </row>
    <row r="333" spans="58:105">
      <c r="BF333" s="9">
        <v>332</v>
      </c>
      <c r="BG333" s="9">
        <v>14</v>
      </c>
      <c r="BH333" s="9">
        <v>20</v>
      </c>
      <c r="BI333" s="167">
        <f>'HourGH-APR'!V25</f>
        <v>0.6</v>
      </c>
      <c r="BJ333" s="263">
        <v>332</v>
      </c>
      <c r="BK333" s="9">
        <v>14</v>
      </c>
      <c r="BL333" s="9">
        <v>20</v>
      </c>
      <c r="BM333" s="167">
        <f>'HourGH-MAY'!V25</f>
        <v>0.5</v>
      </c>
      <c r="BN333" s="9">
        <v>332</v>
      </c>
      <c r="BO333" s="9">
        <v>14</v>
      </c>
      <c r="BP333" s="9">
        <v>20</v>
      </c>
      <c r="BQ333" s="167">
        <f>'HourGH-JUN'!V25</f>
        <v>0.24</v>
      </c>
      <c r="BR333" s="263">
        <v>332</v>
      </c>
      <c r="BS333" s="9">
        <v>14</v>
      </c>
      <c r="BT333" s="9">
        <v>20</v>
      </c>
      <c r="BU333" s="167">
        <f>'HourGH-JUL'!V25</f>
        <v>0.43</v>
      </c>
      <c r="BV333" s="263">
        <v>332</v>
      </c>
      <c r="BW333" s="9">
        <v>14</v>
      </c>
      <c r="BX333" s="9">
        <v>20</v>
      </c>
      <c r="BY333" s="167">
        <f>'HourGH-AUG'!V25</f>
        <v>0.99</v>
      </c>
      <c r="BZ333" s="9">
        <v>332</v>
      </c>
      <c r="CA333" s="9">
        <v>14</v>
      </c>
      <c r="CB333" s="9">
        <v>20</v>
      </c>
      <c r="CC333" s="167">
        <f>'HourGH-SEP'!V25</f>
        <v>1.46</v>
      </c>
      <c r="CD333" s="263">
        <v>332</v>
      </c>
      <c r="CE333" s="9">
        <v>14</v>
      </c>
      <c r="CF333" s="9">
        <v>20</v>
      </c>
      <c r="CG333" s="167">
        <f>'HourGH-OCT'!V25</f>
        <v>0.61</v>
      </c>
      <c r="CH333" s="9">
        <v>332</v>
      </c>
      <c r="CI333" s="9">
        <v>14</v>
      </c>
      <c r="CJ333" s="9">
        <v>20</v>
      </c>
      <c r="CK333" s="167">
        <f>'HourGH-NOV'!V25</f>
        <v>0.7</v>
      </c>
      <c r="CL333" s="263">
        <v>332</v>
      </c>
      <c r="CM333" s="9">
        <v>14</v>
      </c>
      <c r="CN333" s="9">
        <v>20</v>
      </c>
      <c r="CO333" s="167">
        <f>'HourGH-DEC'!V25</f>
        <v>0.81</v>
      </c>
      <c r="CP333" s="263">
        <v>332</v>
      </c>
      <c r="CQ333" s="9">
        <v>14</v>
      </c>
      <c r="CR333" s="9">
        <v>20</v>
      </c>
      <c r="CS333" s="167">
        <f>'HourGH-JAN'!V25</f>
        <v>0.4</v>
      </c>
      <c r="CT333" s="9">
        <v>332</v>
      </c>
      <c r="CU333" s="9">
        <v>14</v>
      </c>
      <c r="CV333" s="9">
        <v>20</v>
      </c>
      <c r="CW333" s="167">
        <f>'HourGH-FEB'!V25</f>
        <v>0.47</v>
      </c>
      <c r="CX333" s="263">
        <v>332</v>
      </c>
      <c r="CY333" s="9">
        <v>14</v>
      </c>
      <c r="CZ333" s="9">
        <v>20</v>
      </c>
      <c r="DA333" s="167">
        <f>'HourGH-MAR'!V25</f>
        <v>0.43</v>
      </c>
    </row>
    <row r="334" spans="58:105">
      <c r="BF334" s="9">
        <v>333</v>
      </c>
      <c r="BG334" s="9">
        <v>14</v>
      </c>
      <c r="BH334" s="9">
        <v>21</v>
      </c>
      <c r="BI334" s="167">
        <f>'HourGH-APR'!W25</f>
        <v>0.6</v>
      </c>
      <c r="BJ334" s="263">
        <v>333</v>
      </c>
      <c r="BK334" s="9">
        <v>14</v>
      </c>
      <c r="BL334" s="9">
        <v>21</v>
      </c>
      <c r="BM334" s="167">
        <f>'HourGH-MAY'!W25</f>
        <v>0.5</v>
      </c>
      <c r="BN334" s="9">
        <v>333</v>
      </c>
      <c r="BO334" s="9">
        <v>14</v>
      </c>
      <c r="BP334" s="9">
        <v>21</v>
      </c>
      <c r="BQ334" s="167">
        <f>'HourGH-JUN'!W25</f>
        <v>0.24</v>
      </c>
      <c r="BR334" s="263">
        <v>333</v>
      </c>
      <c r="BS334" s="9">
        <v>14</v>
      </c>
      <c r="BT334" s="9">
        <v>21</v>
      </c>
      <c r="BU334" s="167">
        <f>'HourGH-JUL'!W25</f>
        <v>0.44</v>
      </c>
      <c r="BV334" s="263">
        <v>333</v>
      </c>
      <c r="BW334" s="9">
        <v>14</v>
      </c>
      <c r="BX334" s="9">
        <v>21</v>
      </c>
      <c r="BY334" s="167">
        <f>'HourGH-AUG'!W25</f>
        <v>0.98</v>
      </c>
      <c r="BZ334" s="9">
        <v>333</v>
      </c>
      <c r="CA334" s="9">
        <v>14</v>
      </c>
      <c r="CB334" s="9">
        <v>21</v>
      </c>
      <c r="CC334" s="167">
        <f>'HourGH-SEP'!W25</f>
        <v>1.48</v>
      </c>
      <c r="CD334" s="263">
        <v>333</v>
      </c>
      <c r="CE334" s="9">
        <v>14</v>
      </c>
      <c r="CF334" s="9">
        <v>21</v>
      </c>
      <c r="CG334" s="167">
        <f>'HourGH-OCT'!W25</f>
        <v>0.61</v>
      </c>
      <c r="CH334" s="9">
        <v>333</v>
      </c>
      <c r="CI334" s="9">
        <v>14</v>
      </c>
      <c r="CJ334" s="9">
        <v>21</v>
      </c>
      <c r="CK334" s="167">
        <f>'HourGH-NOV'!W25</f>
        <v>0.71</v>
      </c>
      <c r="CL334" s="263">
        <v>333</v>
      </c>
      <c r="CM334" s="9">
        <v>14</v>
      </c>
      <c r="CN334" s="9">
        <v>21</v>
      </c>
      <c r="CO334" s="167">
        <f>'HourGH-DEC'!W25</f>
        <v>0.82</v>
      </c>
      <c r="CP334" s="263">
        <v>333</v>
      </c>
      <c r="CQ334" s="9">
        <v>14</v>
      </c>
      <c r="CR334" s="9">
        <v>21</v>
      </c>
      <c r="CS334" s="167">
        <f>'HourGH-JAN'!W25</f>
        <v>0.4</v>
      </c>
      <c r="CT334" s="9">
        <v>333</v>
      </c>
      <c r="CU334" s="9">
        <v>14</v>
      </c>
      <c r="CV334" s="9">
        <v>21</v>
      </c>
      <c r="CW334" s="167">
        <f>'HourGH-FEB'!W25</f>
        <v>0.49</v>
      </c>
      <c r="CX334" s="263">
        <v>333</v>
      </c>
      <c r="CY334" s="9">
        <v>14</v>
      </c>
      <c r="CZ334" s="9">
        <v>21</v>
      </c>
      <c r="DA334" s="167">
        <f>'HourGH-MAR'!W25</f>
        <v>0.45</v>
      </c>
    </row>
    <row r="335" spans="58:105">
      <c r="BF335" s="9">
        <v>334</v>
      </c>
      <c r="BG335" s="9">
        <v>14</v>
      </c>
      <c r="BH335" s="9">
        <v>22</v>
      </c>
      <c r="BI335" s="167">
        <f>'HourGH-APR'!X25</f>
        <v>0.6</v>
      </c>
      <c r="BJ335" s="263">
        <v>334</v>
      </c>
      <c r="BK335" s="9">
        <v>14</v>
      </c>
      <c r="BL335" s="9">
        <v>22</v>
      </c>
      <c r="BM335" s="167">
        <f>'HourGH-MAY'!X25</f>
        <v>0.5</v>
      </c>
      <c r="BN335" s="9">
        <v>334</v>
      </c>
      <c r="BO335" s="9">
        <v>14</v>
      </c>
      <c r="BP335" s="9">
        <v>22</v>
      </c>
      <c r="BQ335" s="167">
        <f>'HourGH-JUN'!X25</f>
        <v>0.24</v>
      </c>
      <c r="BR335" s="263">
        <v>334</v>
      </c>
      <c r="BS335" s="9">
        <v>14</v>
      </c>
      <c r="BT335" s="9">
        <v>22</v>
      </c>
      <c r="BU335" s="167">
        <f>'HourGH-JUL'!X25</f>
        <v>0.45</v>
      </c>
      <c r="BV335" s="263">
        <v>334</v>
      </c>
      <c r="BW335" s="9">
        <v>14</v>
      </c>
      <c r="BX335" s="9">
        <v>22</v>
      </c>
      <c r="BY335" s="167">
        <f>'HourGH-AUG'!X25</f>
        <v>0.98</v>
      </c>
      <c r="BZ335" s="9">
        <v>334</v>
      </c>
      <c r="CA335" s="9">
        <v>14</v>
      </c>
      <c r="CB335" s="9">
        <v>22</v>
      </c>
      <c r="CC335" s="167">
        <f>'HourGH-SEP'!X25</f>
        <v>1.51</v>
      </c>
      <c r="CD335" s="263">
        <v>334</v>
      </c>
      <c r="CE335" s="9">
        <v>14</v>
      </c>
      <c r="CF335" s="9">
        <v>22</v>
      </c>
      <c r="CG335" s="167">
        <f>'HourGH-OCT'!X25</f>
        <v>0.61</v>
      </c>
      <c r="CH335" s="9">
        <v>334</v>
      </c>
      <c r="CI335" s="9">
        <v>14</v>
      </c>
      <c r="CJ335" s="9">
        <v>22</v>
      </c>
      <c r="CK335" s="167">
        <f>'HourGH-NOV'!X25</f>
        <v>0.72</v>
      </c>
      <c r="CL335" s="263">
        <v>334</v>
      </c>
      <c r="CM335" s="9">
        <v>14</v>
      </c>
      <c r="CN335" s="9">
        <v>22</v>
      </c>
      <c r="CO335" s="167">
        <f>'HourGH-DEC'!X25</f>
        <v>0.82</v>
      </c>
      <c r="CP335" s="263">
        <v>334</v>
      </c>
      <c r="CQ335" s="9">
        <v>14</v>
      </c>
      <c r="CR335" s="9">
        <v>22</v>
      </c>
      <c r="CS335" s="167">
        <f>'HourGH-JAN'!X25</f>
        <v>0.4</v>
      </c>
      <c r="CT335" s="9">
        <v>334</v>
      </c>
      <c r="CU335" s="9">
        <v>14</v>
      </c>
      <c r="CV335" s="9">
        <v>22</v>
      </c>
      <c r="CW335" s="167">
        <f>'HourGH-FEB'!X25</f>
        <v>0.51</v>
      </c>
      <c r="CX335" s="263">
        <v>334</v>
      </c>
      <c r="CY335" s="9">
        <v>14</v>
      </c>
      <c r="CZ335" s="9">
        <v>22</v>
      </c>
      <c r="DA335" s="167">
        <f>'HourGH-MAR'!X25</f>
        <v>0.48</v>
      </c>
    </row>
    <row r="336" spans="58:105">
      <c r="BF336" s="9">
        <v>335</v>
      </c>
      <c r="BG336" s="9">
        <v>14</v>
      </c>
      <c r="BH336" s="9">
        <v>23</v>
      </c>
      <c r="BI336" s="167">
        <f>'HourGH-APR'!Y25</f>
        <v>0.6</v>
      </c>
      <c r="BJ336" s="263">
        <v>335</v>
      </c>
      <c r="BK336" s="9">
        <v>14</v>
      </c>
      <c r="BL336" s="9">
        <v>23</v>
      </c>
      <c r="BM336" s="167">
        <f>'HourGH-MAY'!Y25</f>
        <v>0.5</v>
      </c>
      <c r="BN336" s="9">
        <v>335</v>
      </c>
      <c r="BO336" s="9">
        <v>14</v>
      </c>
      <c r="BP336" s="9">
        <v>23</v>
      </c>
      <c r="BQ336" s="167">
        <f>'HourGH-JUN'!Y25</f>
        <v>0.24</v>
      </c>
      <c r="BR336" s="263">
        <v>335</v>
      </c>
      <c r="BS336" s="9">
        <v>14</v>
      </c>
      <c r="BT336" s="9">
        <v>23</v>
      </c>
      <c r="BU336" s="167">
        <f>'HourGH-JUL'!Y25</f>
        <v>0.46</v>
      </c>
      <c r="BV336" s="263">
        <v>335</v>
      </c>
      <c r="BW336" s="9">
        <v>14</v>
      </c>
      <c r="BX336" s="9">
        <v>23</v>
      </c>
      <c r="BY336" s="167">
        <f>'HourGH-AUG'!Y25</f>
        <v>0.98</v>
      </c>
      <c r="BZ336" s="9">
        <v>335</v>
      </c>
      <c r="CA336" s="9">
        <v>14</v>
      </c>
      <c r="CB336" s="9">
        <v>23</v>
      </c>
      <c r="CC336" s="167">
        <f>'HourGH-SEP'!Y25</f>
        <v>1.55</v>
      </c>
      <c r="CD336" s="263">
        <v>335</v>
      </c>
      <c r="CE336" s="9">
        <v>14</v>
      </c>
      <c r="CF336" s="9">
        <v>23</v>
      </c>
      <c r="CG336" s="167">
        <f>'HourGH-OCT'!Y25</f>
        <v>0.61</v>
      </c>
      <c r="CH336" s="9">
        <v>335</v>
      </c>
      <c r="CI336" s="9">
        <v>14</v>
      </c>
      <c r="CJ336" s="9">
        <v>23</v>
      </c>
      <c r="CK336" s="167">
        <f>'HourGH-NOV'!Y25</f>
        <v>0.72</v>
      </c>
      <c r="CL336" s="263">
        <v>335</v>
      </c>
      <c r="CM336" s="9">
        <v>14</v>
      </c>
      <c r="CN336" s="9">
        <v>23</v>
      </c>
      <c r="CO336" s="167">
        <f>'HourGH-DEC'!Y25</f>
        <v>0.83</v>
      </c>
      <c r="CP336" s="263">
        <v>335</v>
      </c>
      <c r="CQ336" s="9">
        <v>14</v>
      </c>
      <c r="CR336" s="9">
        <v>23</v>
      </c>
      <c r="CS336" s="167">
        <f>'HourGH-JAN'!Y25</f>
        <v>0.4</v>
      </c>
      <c r="CT336" s="9">
        <v>335</v>
      </c>
      <c r="CU336" s="9">
        <v>14</v>
      </c>
      <c r="CV336" s="9">
        <v>23</v>
      </c>
      <c r="CW336" s="167">
        <f>'HourGH-FEB'!Y25</f>
        <v>0.53</v>
      </c>
      <c r="CX336" s="263">
        <v>335</v>
      </c>
      <c r="CY336" s="9">
        <v>14</v>
      </c>
      <c r="CZ336" s="9">
        <v>23</v>
      </c>
      <c r="DA336" s="167">
        <f>'HourGH-MAR'!Y25</f>
        <v>0.5</v>
      </c>
    </row>
    <row r="337" spans="58:105">
      <c r="BF337" s="9">
        <v>336</v>
      </c>
      <c r="BG337" s="9">
        <v>14</v>
      </c>
      <c r="BH337" s="9">
        <v>24</v>
      </c>
      <c r="BI337" s="167">
        <f>'HourGH-APR'!Z25</f>
        <v>0.6</v>
      </c>
      <c r="BJ337" s="263">
        <v>336</v>
      </c>
      <c r="BK337" s="9">
        <v>14</v>
      </c>
      <c r="BL337" s="9">
        <v>24</v>
      </c>
      <c r="BM337" s="167">
        <f>'HourGH-MAY'!Z25</f>
        <v>0.5</v>
      </c>
      <c r="BN337" s="9">
        <v>336</v>
      </c>
      <c r="BO337" s="9">
        <v>14</v>
      </c>
      <c r="BP337" s="9">
        <v>24</v>
      </c>
      <c r="BQ337" s="167">
        <f>'HourGH-JUN'!Z25</f>
        <v>0.23</v>
      </c>
      <c r="BR337" s="263">
        <v>336</v>
      </c>
      <c r="BS337" s="9">
        <v>14</v>
      </c>
      <c r="BT337" s="9">
        <v>24</v>
      </c>
      <c r="BU337" s="167">
        <f>'HourGH-JUL'!Z25</f>
        <v>0.47</v>
      </c>
      <c r="BV337" s="263">
        <v>336</v>
      </c>
      <c r="BW337" s="9">
        <v>14</v>
      </c>
      <c r="BX337" s="9">
        <v>24</v>
      </c>
      <c r="BY337" s="167">
        <f>'HourGH-AUG'!Z25</f>
        <v>0.99</v>
      </c>
      <c r="BZ337" s="9">
        <v>336</v>
      </c>
      <c r="CA337" s="9">
        <v>14</v>
      </c>
      <c r="CB337" s="9">
        <v>24</v>
      </c>
      <c r="CC337" s="167">
        <f>'HourGH-SEP'!Z25</f>
        <v>1.59</v>
      </c>
      <c r="CD337" s="263">
        <v>336</v>
      </c>
      <c r="CE337" s="9">
        <v>14</v>
      </c>
      <c r="CF337" s="9">
        <v>24</v>
      </c>
      <c r="CG337" s="167">
        <f>'HourGH-OCT'!Z25</f>
        <v>0.61</v>
      </c>
      <c r="CH337" s="9">
        <v>336</v>
      </c>
      <c r="CI337" s="9">
        <v>14</v>
      </c>
      <c r="CJ337" s="9">
        <v>24</v>
      </c>
      <c r="CK337" s="167">
        <f>'HourGH-NOV'!Z25</f>
        <v>0.73</v>
      </c>
      <c r="CL337" s="263">
        <v>336</v>
      </c>
      <c r="CM337" s="9">
        <v>14</v>
      </c>
      <c r="CN337" s="9">
        <v>24</v>
      </c>
      <c r="CO337" s="167">
        <f>'HourGH-DEC'!Z25</f>
        <v>0.83</v>
      </c>
      <c r="CP337" s="263">
        <v>336</v>
      </c>
      <c r="CQ337" s="9">
        <v>14</v>
      </c>
      <c r="CR337" s="9">
        <v>24</v>
      </c>
      <c r="CS337" s="167">
        <f>'HourGH-JAN'!Z25</f>
        <v>0.4</v>
      </c>
      <c r="CT337" s="9">
        <v>336</v>
      </c>
      <c r="CU337" s="9">
        <v>14</v>
      </c>
      <c r="CV337" s="9">
        <v>24</v>
      </c>
      <c r="CW337" s="167">
        <f>'HourGH-FEB'!Z25</f>
        <v>0.55000000000000004</v>
      </c>
      <c r="CX337" s="263">
        <v>336</v>
      </c>
      <c r="CY337" s="9">
        <v>14</v>
      </c>
      <c r="CZ337" s="9">
        <v>24</v>
      </c>
      <c r="DA337" s="167">
        <f>'HourGH-MAR'!Z25</f>
        <v>0.52</v>
      </c>
    </row>
    <row r="338" spans="58:105">
      <c r="BF338" s="9">
        <v>337</v>
      </c>
      <c r="BG338" s="9">
        <v>15</v>
      </c>
      <c r="BH338" s="9">
        <v>1</v>
      </c>
      <c r="BI338" s="167">
        <f>'HourGH-APR'!C26</f>
        <v>0.6</v>
      </c>
      <c r="BJ338" s="263">
        <v>337</v>
      </c>
      <c r="BK338" s="9">
        <v>15</v>
      </c>
      <c r="BL338" s="9">
        <v>1</v>
      </c>
      <c r="BM338" s="167">
        <f>'HourGH-MAY'!C26</f>
        <v>0.5</v>
      </c>
      <c r="BN338" s="9">
        <v>337</v>
      </c>
      <c r="BO338" s="9">
        <v>15</v>
      </c>
      <c r="BP338" s="9">
        <v>1</v>
      </c>
      <c r="BQ338" s="167">
        <f>'HourGH-JUN'!C26</f>
        <v>0.23</v>
      </c>
      <c r="BR338" s="263">
        <v>337</v>
      </c>
      <c r="BS338" s="9">
        <v>15</v>
      </c>
      <c r="BT338" s="9">
        <v>1</v>
      </c>
      <c r="BU338" s="167">
        <f>'HourGH-JUL'!C26</f>
        <v>0.48</v>
      </c>
      <c r="BV338" s="263">
        <v>337</v>
      </c>
      <c r="BW338" s="9">
        <v>15</v>
      </c>
      <c r="BX338" s="9">
        <v>1</v>
      </c>
      <c r="BY338" s="167">
        <f>'HourGH-AUG'!C26</f>
        <v>1</v>
      </c>
      <c r="BZ338" s="9">
        <v>337</v>
      </c>
      <c r="CA338" s="9">
        <v>15</v>
      </c>
      <c r="CB338" s="9">
        <v>1</v>
      </c>
      <c r="CC338" s="167">
        <f>'HourGH-SEP'!C26</f>
        <v>1.63</v>
      </c>
      <c r="CD338" s="263">
        <v>337</v>
      </c>
      <c r="CE338" s="9">
        <v>15</v>
      </c>
      <c r="CF338" s="9">
        <v>1</v>
      </c>
      <c r="CG338" s="167">
        <f>'HourGH-OCT'!C26</f>
        <v>0.6</v>
      </c>
      <c r="CH338" s="9">
        <v>337</v>
      </c>
      <c r="CI338" s="9">
        <v>15</v>
      </c>
      <c r="CJ338" s="9">
        <v>1</v>
      </c>
      <c r="CK338" s="167">
        <f>'HourGH-NOV'!C26</f>
        <v>0.74</v>
      </c>
      <c r="CL338" s="263">
        <v>337</v>
      </c>
      <c r="CM338" s="9">
        <v>15</v>
      </c>
      <c r="CN338" s="9">
        <v>1</v>
      </c>
      <c r="CO338" s="167">
        <f>'HourGH-DEC'!C26</f>
        <v>0.84</v>
      </c>
      <c r="CP338" s="263">
        <v>337</v>
      </c>
      <c r="CQ338" s="9">
        <v>15</v>
      </c>
      <c r="CR338" s="9">
        <v>1</v>
      </c>
      <c r="CS338" s="167">
        <f>'HourGH-JAN'!C26</f>
        <v>0.4</v>
      </c>
      <c r="CT338" s="9">
        <v>337</v>
      </c>
      <c r="CU338" s="9">
        <v>15</v>
      </c>
      <c r="CV338" s="9">
        <v>1</v>
      </c>
      <c r="CW338" s="167">
        <f>'HourGH-FEB'!C26</f>
        <v>0.56999999999999995</v>
      </c>
      <c r="CX338" s="263">
        <v>337</v>
      </c>
      <c r="CY338" s="9">
        <v>15</v>
      </c>
      <c r="CZ338" s="9">
        <v>1</v>
      </c>
      <c r="DA338" s="167">
        <f>'HourGH-MAR'!C26</f>
        <v>0.63</v>
      </c>
    </row>
    <row r="339" spans="58:105">
      <c r="BF339" s="9">
        <v>338</v>
      </c>
      <c r="BG339" s="9">
        <v>15</v>
      </c>
      <c r="BH339" s="9">
        <v>2</v>
      </c>
      <c r="BI339" s="167">
        <f>'HourGH-APR'!D26</f>
        <v>0.6</v>
      </c>
      <c r="BJ339" s="263">
        <v>338</v>
      </c>
      <c r="BK339" s="9">
        <v>15</v>
      </c>
      <c r="BL339" s="9">
        <v>2</v>
      </c>
      <c r="BM339" s="167">
        <f>'HourGH-MAY'!D26</f>
        <v>0.5</v>
      </c>
      <c r="BN339" s="9">
        <v>338</v>
      </c>
      <c r="BO339" s="9">
        <v>15</v>
      </c>
      <c r="BP339" s="9">
        <v>2</v>
      </c>
      <c r="BQ339" s="167">
        <f>'HourGH-JUN'!D26</f>
        <v>0.23</v>
      </c>
      <c r="BR339" s="263">
        <v>338</v>
      </c>
      <c r="BS339" s="9">
        <v>15</v>
      </c>
      <c r="BT339" s="9">
        <v>2</v>
      </c>
      <c r="BU339" s="167">
        <f>'HourGH-JUL'!D26</f>
        <v>0.5</v>
      </c>
      <c r="BV339" s="263">
        <v>338</v>
      </c>
      <c r="BW339" s="9">
        <v>15</v>
      </c>
      <c r="BX339" s="9">
        <v>2</v>
      </c>
      <c r="BY339" s="167">
        <f>'HourGH-AUG'!D26</f>
        <v>1.01</v>
      </c>
      <c r="BZ339" s="9">
        <v>338</v>
      </c>
      <c r="CA339" s="9">
        <v>15</v>
      </c>
      <c r="CB339" s="9">
        <v>2</v>
      </c>
      <c r="CC339" s="167">
        <f>'HourGH-SEP'!D26</f>
        <v>1.67</v>
      </c>
      <c r="CD339" s="263">
        <v>338</v>
      </c>
      <c r="CE339" s="9">
        <v>15</v>
      </c>
      <c r="CF339" s="9">
        <v>2</v>
      </c>
      <c r="CG339" s="167">
        <f>'HourGH-OCT'!D26</f>
        <v>0.6</v>
      </c>
      <c r="CH339" s="9">
        <v>338</v>
      </c>
      <c r="CI339" s="9">
        <v>15</v>
      </c>
      <c r="CJ339" s="9">
        <v>2</v>
      </c>
      <c r="CK339" s="167">
        <f>'HourGH-NOV'!D26</f>
        <v>0.76</v>
      </c>
      <c r="CL339" s="263">
        <v>338</v>
      </c>
      <c r="CM339" s="9">
        <v>15</v>
      </c>
      <c r="CN339" s="9">
        <v>2</v>
      </c>
      <c r="CO339" s="167">
        <f>'HourGH-DEC'!D26</f>
        <v>0.84</v>
      </c>
      <c r="CP339" s="263">
        <v>338</v>
      </c>
      <c r="CQ339" s="9">
        <v>15</v>
      </c>
      <c r="CR339" s="9">
        <v>2</v>
      </c>
      <c r="CS339" s="167">
        <f>'HourGH-JAN'!D26</f>
        <v>0.4</v>
      </c>
      <c r="CT339" s="9">
        <v>338</v>
      </c>
      <c r="CU339" s="9">
        <v>15</v>
      </c>
      <c r="CV339" s="9">
        <v>2</v>
      </c>
      <c r="CW339" s="167">
        <f>'HourGH-FEB'!D26</f>
        <v>0.59</v>
      </c>
      <c r="CX339" s="263">
        <v>338</v>
      </c>
      <c r="CY339" s="9">
        <v>15</v>
      </c>
      <c r="CZ339" s="9">
        <v>2</v>
      </c>
      <c r="DA339" s="167">
        <f>'HourGH-MAR'!D26</f>
        <v>0.65</v>
      </c>
    </row>
    <row r="340" spans="58:105">
      <c r="BF340" s="9">
        <v>339</v>
      </c>
      <c r="BG340" s="9">
        <v>15</v>
      </c>
      <c r="BH340" s="9">
        <v>3</v>
      </c>
      <c r="BI340" s="167">
        <f>'HourGH-APR'!E26</f>
        <v>0.6</v>
      </c>
      <c r="BJ340" s="263">
        <v>339</v>
      </c>
      <c r="BK340" s="9">
        <v>15</v>
      </c>
      <c r="BL340" s="9">
        <v>3</v>
      </c>
      <c r="BM340" s="167">
        <f>'HourGH-MAY'!E26</f>
        <v>0.5</v>
      </c>
      <c r="BN340" s="9">
        <v>339</v>
      </c>
      <c r="BO340" s="9">
        <v>15</v>
      </c>
      <c r="BP340" s="9">
        <v>3</v>
      </c>
      <c r="BQ340" s="167">
        <f>'HourGH-JUN'!E26</f>
        <v>0.23</v>
      </c>
      <c r="BR340" s="263">
        <v>339</v>
      </c>
      <c r="BS340" s="9">
        <v>15</v>
      </c>
      <c r="BT340" s="9">
        <v>3</v>
      </c>
      <c r="BU340" s="167">
        <f>'HourGH-JUL'!E26</f>
        <v>0.51</v>
      </c>
      <c r="BV340" s="263">
        <v>339</v>
      </c>
      <c r="BW340" s="9">
        <v>15</v>
      </c>
      <c r="BX340" s="9">
        <v>3</v>
      </c>
      <c r="BY340" s="167">
        <f>'HourGH-AUG'!E26</f>
        <v>1.02</v>
      </c>
      <c r="BZ340" s="9">
        <v>339</v>
      </c>
      <c r="CA340" s="9">
        <v>15</v>
      </c>
      <c r="CB340" s="9">
        <v>3</v>
      </c>
      <c r="CC340" s="167">
        <f>'HourGH-SEP'!E26</f>
        <v>1.72</v>
      </c>
      <c r="CD340" s="263">
        <v>339</v>
      </c>
      <c r="CE340" s="9">
        <v>15</v>
      </c>
      <c r="CF340" s="9">
        <v>3</v>
      </c>
      <c r="CG340" s="167">
        <f>'HourGH-OCT'!E26</f>
        <v>0.6</v>
      </c>
      <c r="CH340" s="9">
        <v>339</v>
      </c>
      <c r="CI340" s="9">
        <v>15</v>
      </c>
      <c r="CJ340" s="9">
        <v>3</v>
      </c>
      <c r="CK340" s="167">
        <f>'HourGH-NOV'!E26</f>
        <v>0.78</v>
      </c>
      <c r="CL340" s="263">
        <v>339</v>
      </c>
      <c r="CM340" s="9">
        <v>15</v>
      </c>
      <c r="CN340" s="9">
        <v>3</v>
      </c>
      <c r="CO340" s="167">
        <f>'HourGH-DEC'!E26</f>
        <v>0.85</v>
      </c>
      <c r="CP340" s="263">
        <v>339</v>
      </c>
      <c r="CQ340" s="9">
        <v>15</v>
      </c>
      <c r="CR340" s="9">
        <v>3</v>
      </c>
      <c r="CS340" s="167">
        <f>'HourGH-JAN'!E26</f>
        <v>0.4</v>
      </c>
      <c r="CT340" s="9">
        <v>339</v>
      </c>
      <c r="CU340" s="9">
        <v>15</v>
      </c>
      <c r="CV340" s="9">
        <v>3</v>
      </c>
      <c r="CW340" s="167">
        <f>'HourGH-FEB'!E26</f>
        <v>0.62</v>
      </c>
      <c r="CX340" s="263">
        <v>339</v>
      </c>
      <c r="CY340" s="9">
        <v>15</v>
      </c>
      <c r="CZ340" s="9">
        <v>3</v>
      </c>
      <c r="DA340" s="167">
        <f>'HourGH-MAR'!E26</f>
        <v>0.67</v>
      </c>
    </row>
    <row r="341" spans="58:105">
      <c r="BF341" s="9">
        <v>340</v>
      </c>
      <c r="BG341" s="9">
        <v>15</v>
      </c>
      <c r="BH341" s="9">
        <v>4</v>
      </c>
      <c r="BI341" s="167">
        <f>'HourGH-APR'!F26</f>
        <v>0.6</v>
      </c>
      <c r="BJ341" s="263">
        <v>340</v>
      </c>
      <c r="BK341" s="9">
        <v>15</v>
      </c>
      <c r="BL341" s="9">
        <v>4</v>
      </c>
      <c r="BM341" s="167">
        <f>'HourGH-MAY'!F26</f>
        <v>0.5</v>
      </c>
      <c r="BN341" s="9">
        <v>340</v>
      </c>
      <c r="BO341" s="9">
        <v>15</v>
      </c>
      <c r="BP341" s="9">
        <v>4</v>
      </c>
      <c r="BQ341" s="167">
        <f>'HourGH-JUN'!F26</f>
        <v>0.23</v>
      </c>
      <c r="BR341" s="263">
        <v>340</v>
      </c>
      <c r="BS341" s="9">
        <v>15</v>
      </c>
      <c r="BT341" s="9">
        <v>4</v>
      </c>
      <c r="BU341" s="167">
        <f>'HourGH-JUL'!F26</f>
        <v>0.52</v>
      </c>
      <c r="BV341" s="263">
        <v>340</v>
      </c>
      <c r="BW341" s="9">
        <v>15</v>
      </c>
      <c r="BX341" s="9">
        <v>4</v>
      </c>
      <c r="BY341" s="167">
        <f>'HourGH-AUG'!F26</f>
        <v>1.03</v>
      </c>
      <c r="BZ341" s="9">
        <v>340</v>
      </c>
      <c r="CA341" s="9">
        <v>15</v>
      </c>
      <c r="CB341" s="9">
        <v>4</v>
      </c>
      <c r="CC341" s="167">
        <f>'HourGH-SEP'!F26</f>
        <v>1.77</v>
      </c>
      <c r="CD341" s="263">
        <v>340</v>
      </c>
      <c r="CE341" s="9">
        <v>15</v>
      </c>
      <c r="CF341" s="9">
        <v>4</v>
      </c>
      <c r="CG341" s="167">
        <f>'HourGH-OCT'!F26</f>
        <v>0.6</v>
      </c>
      <c r="CH341" s="9">
        <v>340</v>
      </c>
      <c r="CI341" s="9">
        <v>15</v>
      </c>
      <c r="CJ341" s="9">
        <v>4</v>
      </c>
      <c r="CK341" s="167">
        <f>'HourGH-NOV'!F26</f>
        <v>0.8</v>
      </c>
      <c r="CL341" s="263">
        <v>340</v>
      </c>
      <c r="CM341" s="9">
        <v>15</v>
      </c>
      <c r="CN341" s="9">
        <v>4</v>
      </c>
      <c r="CO341" s="167">
        <f>'HourGH-DEC'!F26</f>
        <v>0.85</v>
      </c>
      <c r="CP341" s="263">
        <v>340</v>
      </c>
      <c r="CQ341" s="9">
        <v>15</v>
      </c>
      <c r="CR341" s="9">
        <v>4</v>
      </c>
      <c r="CS341" s="167">
        <f>'HourGH-JAN'!F26</f>
        <v>0.4</v>
      </c>
      <c r="CT341" s="9">
        <v>340</v>
      </c>
      <c r="CU341" s="9">
        <v>15</v>
      </c>
      <c r="CV341" s="9">
        <v>4</v>
      </c>
      <c r="CW341" s="167">
        <f>'HourGH-FEB'!F26</f>
        <v>0.64</v>
      </c>
      <c r="CX341" s="263">
        <v>340</v>
      </c>
      <c r="CY341" s="9">
        <v>15</v>
      </c>
      <c r="CZ341" s="9">
        <v>4</v>
      </c>
      <c r="DA341" s="167">
        <f>'HourGH-MAR'!F26</f>
        <v>0.68</v>
      </c>
    </row>
    <row r="342" spans="58:105">
      <c r="BF342" s="9">
        <v>341</v>
      </c>
      <c r="BG342" s="9">
        <v>15</v>
      </c>
      <c r="BH342" s="9">
        <v>5</v>
      </c>
      <c r="BI342" s="167">
        <f>'HourGH-APR'!G26</f>
        <v>0.6</v>
      </c>
      <c r="BJ342" s="263">
        <v>341</v>
      </c>
      <c r="BK342" s="9">
        <v>15</v>
      </c>
      <c r="BL342" s="9">
        <v>5</v>
      </c>
      <c r="BM342" s="167">
        <f>'HourGH-MAY'!G26</f>
        <v>0.5</v>
      </c>
      <c r="BN342" s="9">
        <v>341</v>
      </c>
      <c r="BO342" s="9">
        <v>15</v>
      </c>
      <c r="BP342" s="9">
        <v>5</v>
      </c>
      <c r="BQ342" s="167">
        <f>'HourGH-JUN'!G26</f>
        <v>0.23</v>
      </c>
      <c r="BR342" s="263">
        <v>341</v>
      </c>
      <c r="BS342" s="9">
        <v>15</v>
      </c>
      <c r="BT342" s="9">
        <v>5</v>
      </c>
      <c r="BU342" s="167">
        <f>'HourGH-JUL'!G26</f>
        <v>0.53</v>
      </c>
      <c r="BV342" s="263">
        <v>341</v>
      </c>
      <c r="BW342" s="9">
        <v>15</v>
      </c>
      <c r="BX342" s="9">
        <v>5</v>
      </c>
      <c r="BY342" s="167">
        <f>'HourGH-AUG'!G26</f>
        <v>1.04</v>
      </c>
      <c r="BZ342" s="9">
        <v>341</v>
      </c>
      <c r="CA342" s="9">
        <v>15</v>
      </c>
      <c r="CB342" s="9">
        <v>5</v>
      </c>
      <c r="CC342" s="167">
        <f>'HourGH-SEP'!G26</f>
        <v>1.8</v>
      </c>
      <c r="CD342" s="263">
        <v>341</v>
      </c>
      <c r="CE342" s="9">
        <v>15</v>
      </c>
      <c r="CF342" s="9">
        <v>5</v>
      </c>
      <c r="CG342" s="167">
        <f>'HourGH-OCT'!G26</f>
        <v>0.6</v>
      </c>
      <c r="CH342" s="9">
        <v>341</v>
      </c>
      <c r="CI342" s="9">
        <v>15</v>
      </c>
      <c r="CJ342" s="9">
        <v>5</v>
      </c>
      <c r="CK342" s="167">
        <f>'HourGH-NOV'!G26</f>
        <v>0.81</v>
      </c>
      <c r="CL342" s="263">
        <v>341</v>
      </c>
      <c r="CM342" s="9">
        <v>15</v>
      </c>
      <c r="CN342" s="9">
        <v>5</v>
      </c>
      <c r="CO342" s="167">
        <f>'HourGH-DEC'!G26</f>
        <v>0.86</v>
      </c>
      <c r="CP342" s="263">
        <v>341</v>
      </c>
      <c r="CQ342" s="9">
        <v>15</v>
      </c>
      <c r="CR342" s="9">
        <v>5</v>
      </c>
      <c r="CS342" s="167">
        <f>'HourGH-JAN'!G26</f>
        <v>0.4</v>
      </c>
      <c r="CT342" s="9">
        <v>341</v>
      </c>
      <c r="CU342" s="9">
        <v>15</v>
      </c>
      <c r="CV342" s="9">
        <v>5</v>
      </c>
      <c r="CW342" s="167">
        <f>'HourGH-FEB'!G26</f>
        <v>0.65</v>
      </c>
      <c r="CX342" s="263">
        <v>341</v>
      </c>
      <c r="CY342" s="9">
        <v>15</v>
      </c>
      <c r="CZ342" s="9">
        <v>5</v>
      </c>
      <c r="DA342" s="167">
        <f>'HourGH-MAR'!G26</f>
        <v>0.69</v>
      </c>
    </row>
    <row r="343" spans="58:105">
      <c r="BF343" s="9">
        <v>342</v>
      </c>
      <c r="BG343" s="9">
        <v>15</v>
      </c>
      <c r="BH343" s="9">
        <v>6</v>
      </c>
      <c r="BI343" s="167">
        <f>'HourGH-APR'!H26</f>
        <v>0.6</v>
      </c>
      <c r="BJ343" s="263">
        <v>342</v>
      </c>
      <c r="BK343" s="9">
        <v>15</v>
      </c>
      <c r="BL343" s="9">
        <v>6</v>
      </c>
      <c r="BM343" s="167">
        <f>'HourGH-MAY'!H26</f>
        <v>0.5</v>
      </c>
      <c r="BN343" s="9">
        <v>342</v>
      </c>
      <c r="BO343" s="9">
        <v>15</v>
      </c>
      <c r="BP343" s="9">
        <v>6</v>
      </c>
      <c r="BQ343" s="167">
        <f>'HourGH-JUN'!H26</f>
        <v>0.22</v>
      </c>
      <c r="BR343" s="263">
        <v>342</v>
      </c>
      <c r="BS343" s="9">
        <v>15</v>
      </c>
      <c r="BT343" s="9">
        <v>6</v>
      </c>
      <c r="BU343" s="167">
        <f>'HourGH-JUL'!H26</f>
        <v>0.54</v>
      </c>
      <c r="BV343" s="263">
        <v>342</v>
      </c>
      <c r="BW343" s="9">
        <v>15</v>
      </c>
      <c r="BX343" s="9">
        <v>6</v>
      </c>
      <c r="BY343" s="167">
        <f>'HourGH-AUG'!H26</f>
        <v>1.05</v>
      </c>
      <c r="BZ343" s="9">
        <v>342</v>
      </c>
      <c r="CA343" s="9">
        <v>15</v>
      </c>
      <c r="CB343" s="9">
        <v>6</v>
      </c>
      <c r="CC343" s="167">
        <f>'HourGH-SEP'!H26</f>
        <v>1.83</v>
      </c>
      <c r="CD343" s="263">
        <v>342</v>
      </c>
      <c r="CE343" s="9">
        <v>15</v>
      </c>
      <c r="CF343" s="9">
        <v>6</v>
      </c>
      <c r="CG343" s="167">
        <f>'HourGH-OCT'!H26</f>
        <v>0.6</v>
      </c>
      <c r="CH343" s="9">
        <v>342</v>
      </c>
      <c r="CI343" s="9">
        <v>15</v>
      </c>
      <c r="CJ343" s="9">
        <v>6</v>
      </c>
      <c r="CK343" s="167">
        <f>'HourGH-NOV'!H26</f>
        <v>0.83</v>
      </c>
      <c r="CL343" s="263">
        <v>342</v>
      </c>
      <c r="CM343" s="9">
        <v>15</v>
      </c>
      <c r="CN343" s="9">
        <v>6</v>
      </c>
      <c r="CO343" s="167">
        <f>'HourGH-DEC'!H26</f>
        <v>0.87</v>
      </c>
      <c r="CP343" s="263">
        <v>342</v>
      </c>
      <c r="CQ343" s="9">
        <v>15</v>
      </c>
      <c r="CR343" s="9">
        <v>6</v>
      </c>
      <c r="CS343" s="167">
        <f>'HourGH-JAN'!H26</f>
        <v>0.4</v>
      </c>
      <c r="CT343" s="9">
        <v>342</v>
      </c>
      <c r="CU343" s="9">
        <v>15</v>
      </c>
      <c r="CV343" s="9">
        <v>6</v>
      </c>
      <c r="CW343" s="167">
        <f>'HourGH-FEB'!H26</f>
        <v>0.67</v>
      </c>
      <c r="CX343" s="263">
        <v>342</v>
      </c>
      <c r="CY343" s="9">
        <v>15</v>
      </c>
      <c r="CZ343" s="9">
        <v>6</v>
      </c>
      <c r="DA343" s="167">
        <f>'HourGH-MAR'!H26</f>
        <v>0.7</v>
      </c>
    </row>
    <row r="344" spans="58:105">
      <c r="BF344" s="9">
        <v>343</v>
      </c>
      <c r="BG344" s="9">
        <v>15</v>
      </c>
      <c r="BH344" s="9">
        <v>7</v>
      </c>
      <c r="BI344" s="167">
        <f>'HourGH-APR'!I26</f>
        <v>0.6</v>
      </c>
      <c r="BJ344" s="263">
        <v>343</v>
      </c>
      <c r="BK344" s="9">
        <v>15</v>
      </c>
      <c r="BL344" s="9">
        <v>7</v>
      </c>
      <c r="BM344" s="167">
        <f>'HourGH-MAY'!I26</f>
        <v>0.5</v>
      </c>
      <c r="BN344" s="9">
        <v>343</v>
      </c>
      <c r="BO344" s="9">
        <v>15</v>
      </c>
      <c r="BP344" s="9">
        <v>7</v>
      </c>
      <c r="BQ344" s="167">
        <f>'HourGH-JUN'!I26</f>
        <v>0.22</v>
      </c>
      <c r="BR344" s="263">
        <v>343</v>
      </c>
      <c r="BS344" s="9">
        <v>15</v>
      </c>
      <c r="BT344" s="9">
        <v>7</v>
      </c>
      <c r="BU344" s="167">
        <f>'HourGH-JUL'!I26</f>
        <v>0.55000000000000004</v>
      </c>
      <c r="BV344" s="263">
        <v>343</v>
      </c>
      <c r="BW344" s="9">
        <v>15</v>
      </c>
      <c r="BX344" s="9">
        <v>7</v>
      </c>
      <c r="BY344" s="167">
        <f>'HourGH-AUG'!I26</f>
        <v>1.07</v>
      </c>
      <c r="BZ344" s="9">
        <v>343</v>
      </c>
      <c r="CA344" s="9">
        <v>15</v>
      </c>
      <c r="CB344" s="9">
        <v>7</v>
      </c>
      <c r="CC344" s="167">
        <f>'HourGH-SEP'!I26</f>
        <v>1.87</v>
      </c>
      <c r="CD344" s="263">
        <v>343</v>
      </c>
      <c r="CE344" s="9">
        <v>15</v>
      </c>
      <c r="CF344" s="9">
        <v>7</v>
      </c>
      <c r="CG344" s="167">
        <f>'HourGH-OCT'!I26</f>
        <v>0.6</v>
      </c>
      <c r="CH344" s="9">
        <v>343</v>
      </c>
      <c r="CI344" s="9">
        <v>15</v>
      </c>
      <c r="CJ344" s="9">
        <v>7</v>
      </c>
      <c r="CK344" s="167">
        <f>'HourGH-NOV'!I26</f>
        <v>0.85</v>
      </c>
      <c r="CL344" s="263">
        <v>343</v>
      </c>
      <c r="CM344" s="9">
        <v>15</v>
      </c>
      <c r="CN344" s="9">
        <v>7</v>
      </c>
      <c r="CO344" s="167">
        <f>'HourGH-DEC'!I26</f>
        <v>0.88</v>
      </c>
      <c r="CP344" s="263">
        <v>343</v>
      </c>
      <c r="CQ344" s="9">
        <v>15</v>
      </c>
      <c r="CR344" s="9">
        <v>7</v>
      </c>
      <c r="CS344" s="167">
        <f>'HourGH-JAN'!I26</f>
        <v>0.4</v>
      </c>
      <c r="CT344" s="9">
        <v>343</v>
      </c>
      <c r="CU344" s="9">
        <v>15</v>
      </c>
      <c r="CV344" s="9">
        <v>7</v>
      </c>
      <c r="CW344" s="167">
        <f>'HourGH-FEB'!I26</f>
        <v>0.68</v>
      </c>
      <c r="CX344" s="263">
        <v>343</v>
      </c>
      <c r="CY344" s="9">
        <v>15</v>
      </c>
      <c r="CZ344" s="9">
        <v>7</v>
      </c>
      <c r="DA344" s="167">
        <f>'HourGH-MAR'!I26</f>
        <v>0.7</v>
      </c>
    </row>
    <row r="345" spans="58:105">
      <c r="BF345" s="9">
        <v>344</v>
      </c>
      <c r="BG345" s="9">
        <v>15</v>
      </c>
      <c r="BH345" s="9">
        <v>8</v>
      </c>
      <c r="BI345" s="167">
        <f>'HourGH-APR'!J26</f>
        <v>0.6</v>
      </c>
      <c r="BJ345" s="263">
        <v>344</v>
      </c>
      <c r="BK345" s="9">
        <v>15</v>
      </c>
      <c r="BL345" s="9">
        <v>8</v>
      </c>
      <c r="BM345" s="167">
        <f>'HourGH-MAY'!J26</f>
        <v>0.5</v>
      </c>
      <c r="BN345" s="9">
        <v>344</v>
      </c>
      <c r="BO345" s="9">
        <v>15</v>
      </c>
      <c r="BP345" s="9">
        <v>8</v>
      </c>
      <c r="BQ345" s="167">
        <f>'HourGH-JUN'!J26</f>
        <v>0.22</v>
      </c>
      <c r="BR345" s="263">
        <v>344</v>
      </c>
      <c r="BS345" s="9">
        <v>15</v>
      </c>
      <c r="BT345" s="9">
        <v>8</v>
      </c>
      <c r="BU345" s="167">
        <f>'HourGH-JUL'!J26</f>
        <v>0.56000000000000005</v>
      </c>
      <c r="BV345" s="263">
        <v>344</v>
      </c>
      <c r="BW345" s="9">
        <v>15</v>
      </c>
      <c r="BX345" s="9">
        <v>8</v>
      </c>
      <c r="BY345" s="167">
        <f>'HourGH-AUG'!J26</f>
        <v>1.08</v>
      </c>
      <c r="BZ345" s="9">
        <v>344</v>
      </c>
      <c r="CA345" s="9">
        <v>15</v>
      </c>
      <c r="CB345" s="9">
        <v>8</v>
      </c>
      <c r="CC345" s="167">
        <f>'HourGH-SEP'!J26</f>
        <v>1.89</v>
      </c>
      <c r="CD345" s="263">
        <v>344</v>
      </c>
      <c r="CE345" s="9">
        <v>15</v>
      </c>
      <c r="CF345" s="9">
        <v>8</v>
      </c>
      <c r="CG345" s="167">
        <f>'HourGH-OCT'!J26</f>
        <v>0.6</v>
      </c>
      <c r="CH345" s="9">
        <v>344</v>
      </c>
      <c r="CI345" s="9">
        <v>15</v>
      </c>
      <c r="CJ345" s="9">
        <v>8</v>
      </c>
      <c r="CK345" s="167">
        <f>'HourGH-NOV'!J26</f>
        <v>0.87</v>
      </c>
      <c r="CL345" s="263">
        <v>344</v>
      </c>
      <c r="CM345" s="9">
        <v>15</v>
      </c>
      <c r="CN345" s="9">
        <v>8</v>
      </c>
      <c r="CO345" s="167">
        <f>'HourGH-DEC'!J26</f>
        <v>0.89</v>
      </c>
      <c r="CP345" s="263">
        <v>344</v>
      </c>
      <c r="CQ345" s="9">
        <v>15</v>
      </c>
      <c r="CR345" s="9">
        <v>8</v>
      </c>
      <c r="CS345" s="167">
        <f>'HourGH-JAN'!J26</f>
        <v>0.4</v>
      </c>
      <c r="CT345" s="9">
        <v>344</v>
      </c>
      <c r="CU345" s="9">
        <v>15</v>
      </c>
      <c r="CV345" s="9">
        <v>8</v>
      </c>
      <c r="CW345" s="167">
        <f>'HourGH-FEB'!J26</f>
        <v>0.7</v>
      </c>
      <c r="CX345" s="263">
        <v>344</v>
      </c>
      <c r="CY345" s="9">
        <v>15</v>
      </c>
      <c r="CZ345" s="9">
        <v>8</v>
      </c>
      <c r="DA345" s="167">
        <f>'HourGH-MAR'!J26</f>
        <v>0.7</v>
      </c>
    </row>
    <row r="346" spans="58:105">
      <c r="BF346" s="9">
        <v>345</v>
      </c>
      <c r="BG346" s="9">
        <v>15</v>
      </c>
      <c r="BH346" s="9">
        <v>9</v>
      </c>
      <c r="BI346" s="167">
        <f>'HourGH-APR'!K26</f>
        <v>0.6</v>
      </c>
      <c r="BJ346" s="263">
        <v>345</v>
      </c>
      <c r="BK346" s="9">
        <v>15</v>
      </c>
      <c r="BL346" s="9">
        <v>9</v>
      </c>
      <c r="BM346" s="167">
        <f>'HourGH-MAY'!K26</f>
        <v>0.5</v>
      </c>
      <c r="BN346" s="9">
        <v>345</v>
      </c>
      <c r="BO346" s="9">
        <v>15</v>
      </c>
      <c r="BP346" s="9">
        <v>9</v>
      </c>
      <c r="BQ346" s="167">
        <f>'HourGH-JUN'!K26</f>
        <v>0.22</v>
      </c>
      <c r="BR346" s="263">
        <v>345</v>
      </c>
      <c r="BS346" s="9">
        <v>15</v>
      </c>
      <c r="BT346" s="9">
        <v>9</v>
      </c>
      <c r="BU346" s="167">
        <f>'HourGH-JUL'!K26</f>
        <v>0.56999999999999995</v>
      </c>
      <c r="BV346" s="263">
        <v>345</v>
      </c>
      <c r="BW346" s="9">
        <v>15</v>
      </c>
      <c r="BX346" s="9">
        <v>9</v>
      </c>
      <c r="BY346" s="167">
        <f>'HourGH-AUG'!K26</f>
        <v>1.0900000000000001</v>
      </c>
      <c r="BZ346" s="9">
        <v>345</v>
      </c>
      <c r="CA346" s="9">
        <v>15</v>
      </c>
      <c r="CB346" s="9">
        <v>9</v>
      </c>
      <c r="CC346" s="167">
        <f>'HourGH-SEP'!K26</f>
        <v>1.91</v>
      </c>
      <c r="CD346" s="263">
        <v>345</v>
      </c>
      <c r="CE346" s="9">
        <v>15</v>
      </c>
      <c r="CF346" s="9">
        <v>9</v>
      </c>
      <c r="CG346" s="167">
        <f>'HourGH-OCT'!K26</f>
        <v>0.6</v>
      </c>
      <c r="CH346" s="9">
        <v>345</v>
      </c>
      <c r="CI346" s="9">
        <v>15</v>
      </c>
      <c r="CJ346" s="9">
        <v>9</v>
      </c>
      <c r="CK346" s="167">
        <f>'HourGH-NOV'!K26</f>
        <v>0.88</v>
      </c>
      <c r="CL346" s="263">
        <v>345</v>
      </c>
      <c r="CM346" s="9">
        <v>15</v>
      </c>
      <c r="CN346" s="9">
        <v>9</v>
      </c>
      <c r="CO346" s="167">
        <f>'HourGH-DEC'!K26</f>
        <v>0.9</v>
      </c>
      <c r="CP346" s="263">
        <v>345</v>
      </c>
      <c r="CQ346" s="9">
        <v>15</v>
      </c>
      <c r="CR346" s="9">
        <v>9</v>
      </c>
      <c r="CS346" s="167">
        <f>'HourGH-JAN'!K26</f>
        <v>0.4</v>
      </c>
      <c r="CT346" s="9">
        <v>345</v>
      </c>
      <c r="CU346" s="9">
        <v>15</v>
      </c>
      <c r="CV346" s="9">
        <v>9</v>
      </c>
      <c r="CW346" s="167">
        <f>'HourGH-FEB'!K26</f>
        <v>0.71</v>
      </c>
      <c r="CX346" s="263">
        <v>345</v>
      </c>
      <c r="CY346" s="9">
        <v>15</v>
      </c>
      <c r="CZ346" s="9">
        <v>9</v>
      </c>
      <c r="DA346" s="167">
        <f>'HourGH-MAR'!K26</f>
        <v>0.7</v>
      </c>
    </row>
    <row r="347" spans="58:105">
      <c r="BF347" s="9">
        <v>346</v>
      </c>
      <c r="BG347" s="9">
        <v>15</v>
      </c>
      <c r="BH347" s="9">
        <v>10</v>
      </c>
      <c r="BI347" s="167">
        <f>'HourGH-APR'!L26</f>
        <v>0.6</v>
      </c>
      <c r="BJ347" s="263">
        <v>346</v>
      </c>
      <c r="BK347" s="9">
        <v>15</v>
      </c>
      <c r="BL347" s="9">
        <v>10</v>
      </c>
      <c r="BM347" s="167">
        <f>'HourGH-MAY'!L26</f>
        <v>0.5</v>
      </c>
      <c r="BN347" s="9">
        <v>346</v>
      </c>
      <c r="BO347" s="9">
        <v>15</v>
      </c>
      <c r="BP347" s="9">
        <v>10</v>
      </c>
      <c r="BQ347" s="167">
        <f>'HourGH-JUN'!L26</f>
        <v>0.22</v>
      </c>
      <c r="BR347" s="263">
        <v>346</v>
      </c>
      <c r="BS347" s="9">
        <v>15</v>
      </c>
      <c r="BT347" s="9">
        <v>10</v>
      </c>
      <c r="BU347" s="167">
        <f>'HourGH-JUL'!L26</f>
        <v>0.57999999999999996</v>
      </c>
      <c r="BV347" s="263">
        <v>346</v>
      </c>
      <c r="BW347" s="9">
        <v>15</v>
      </c>
      <c r="BX347" s="9">
        <v>10</v>
      </c>
      <c r="BY347" s="167">
        <f>'HourGH-AUG'!L26</f>
        <v>1.1100000000000001</v>
      </c>
      <c r="BZ347" s="9">
        <v>346</v>
      </c>
      <c r="CA347" s="9">
        <v>15</v>
      </c>
      <c r="CB347" s="9">
        <v>10</v>
      </c>
      <c r="CC347" s="167">
        <f>'HourGH-SEP'!L26</f>
        <v>1.93</v>
      </c>
      <c r="CD347" s="263">
        <v>346</v>
      </c>
      <c r="CE347" s="9">
        <v>15</v>
      </c>
      <c r="CF347" s="9">
        <v>10</v>
      </c>
      <c r="CG347" s="167">
        <f>'HourGH-OCT'!L26</f>
        <v>0.6</v>
      </c>
      <c r="CH347" s="9">
        <v>346</v>
      </c>
      <c r="CI347" s="9">
        <v>15</v>
      </c>
      <c r="CJ347" s="9">
        <v>10</v>
      </c>
      <c r="CK347" s="167">
        <f>'HourGH-NOV'!L26</f>
        <v>0.89</v>
      </c>
      <c r="CL347" s="263">
        <v>346</v>
      </c>
      <c r="CM347" s="9">
        <v>15</v>
      </c>
      <c r="CN347" s="9">
        <v>10</v>
      </c>
      <c r="CO347" s="167">
        <f>'HourGH-DEC'!L26</f>
        <v>0.91</v>
      </c>
      <c r="CP347" s="263">
        <v>346</v>
      </c>
      <c r="CQ347" s="9">
        <v>15</v>
      </c>
      <c r="CR347" s="9">
        <v>10</v>
      </c>
      <c r="CS347" s="167">
        <f>'HourGH-JAN'!L26</f>
        <v>0.4</v>
      </c>
      <c r="CT347" s="9">
        <v>346</v>
      </c>
      <c r="CU347" s="9">
        <v>15</v>
      </c>
      <c r="CV347" s="9">
        <v>10</v>
      </c>
      <c r="CW347" s="167">
        <f>'HourGH-FEB'!L26</f>
        <v>0.72</v>
      </c>
      <c r="CX347" s="263">
        <v>346</v>
      </c>
      <c r="CY347" s="9">
        <v>15</v>
      </c>
      <c r="CZ347" s="9">
        <v>10</v>
      </c>
      <c r="DA347" s="167">
        <f>'HourGH-MAR'!L26</f>
        <v>0.7</v>
      </c>
    </row>
    <row r="348" spans="58:105">
      <c r="BF348" s="9">
        <v>347</v>
      </c>
      <c r="BG348" s="9">
        <v>15</v>
      </c>
      <c r="BH348" s="9">
        <v>11</v>
      </c>
      <c r="BI348" s="167">
        <f>'HourGH-APR'!M26</f>
        <v>0.6</v>
      </c>
      <c r="BJ348" s="263">
        <v>347</v>
      </c>
      <c r="BK348" s="9">
        <v>15</v>
      </c>
      <c r="BL348" s="9">
        <v>11</v>
      </c>
      <c r="BM348" s="167">
        <f>'HourGH-MAY'!M26</f>
        <v>0.5</v>
      </c>
      <c r="BN348" s="9">
        <v>347</v>
      </c>
      <c r="BO348" s="9">
        <v>15</v>
      </c>
      <c r="BP348" s="9">
        <v>11</v>
      </c>
      <c r="BQ348" s="167">
        <f>'HourGH-JUN'!M26</f>
        <v>0.22</v>
      </c>
      <c r="BR348" s="263">
        <v>347</v>
      </c>
      <c r="BS348" s="9">
        <v>15</v>
      </c>
      <c r="BT348" s="9">
        <v>11</v>
      </c>
      <c r="BU348" s="167">
        <f>'HourGH-JUL'!M26</f>
        <v>0.59</v>
      </c>
      <c r="BV348" s="263">
        <v>347</v>
      </c>
      <c r="BW348" s="9">
        <v>15</v>
      </c>
      <c r="BX348" s="9">
        <v>11</v>
      </c>
      <c r="BY348" s="167">
        <f>'HourGH-AUG'!M26</f>
        <v>1.1200000000000001</v>
      </c>
      <c r="BZ348" s="9">
        <v>347</v>
      </c>
      <c r="CA348" s="9">
        <v>15</v>
      </c>
      <c r="CB348" s="9">
        <v>11</v>
      </c>
      <c r="CC348" s="167">
        <f>'HourGH-SEP'!M26</f>
        <v>1.95</v>
      </c>
      <c r="CD348" s="263">
        <v>347</v>
      </c>
      <c r="CE348" s="9">
        <v>15</v>
      </c>
      <c r="CF348" s="9">
        <v>11</v>
      </c>
      <c r="CG348" s="167">
        <f>'HourGH-OCT'!M26</f>
        <v>0.6</v>
      </c>
      <c r="CH348" s="9">
        <v>347</v>
      </c>
      <c r="CI348" s="9">
        <v>15</v>
      </c>
      <c r="CJ348" s="9">
        <v>11</v>
      </c>
      <c r="CK348" s="167">
        <f>'HourGH-NOV'!M26</f>
        <v>0.9</v>
      </c>
      <c r="CL348" s="263">
        <v>347</v>
      </c>
      <c r="CM348" s="9">
        <v>15</v>
      </c>
      <c r="CN348" s="9">
        <v>11</v>
      </c>
      <c r="CO348" s="167">
        <f>'HourGH-DEC'!M26</f>
        <v>0.92</v>
      </c>
      <c r="CP348" s="263">
        <v>347</v>
      </c>
      <c r="CQ348" s="9">
        <v>15</v>
      </c>
      <c r="CR348" s="9">
        <v>11</v>
      </c>
      <c r="CS348" s="167">
        <f>'HourGH-JAN'!M26</f>
        <v>0.4</v>
      </c>
      <c r="CT348" s="9">
        <v>347</v>
      </c>
      <c r="CU348" s="9">
        <v>15</v>
      </c>
      <c r="CV348" s="9">
        <v>11</v>
      </c>
      <c r="CW348" s="167">
        <f>'HourGH-FEB'!M26</f>
        <v>0.73</v>
      </c>
      <c r="CX348" s="263">
        <v>347</v>
      </c>
      <c r="CY348" s="9">
        <v>15</v>
      </c>
      <c r="CZ348" s="9">
        <v>11</v>
      </c>
      <c r="DA348" s="167">
        <f>'HourGH-MAR'!M26</f>
        <v>0.7</v>
      </c>
    </row>
    <row r="349" spans="58:105">
      <c r="BF349" s="9">
        <v>348</v>
      </c>
      <c r="BG349" s="9">
        <v>15</v>
      </c>
      <c r="BH349" s="9">
        <v>12</v>
      </c>
      <c r="BI349" s="167">
        <f>'HourGH-APR'!N26</f>
        <v>0.6</v>
      </c>
      <c r="BJ349" s="263">
        <v>348</v>
      </c>
      <c r="BK349" s="9">
        <v>15</v>
      </c>
      <c r="BL349" s="9">
        <v>12</v>
      </c>
      <c r="BM349" s="167">
        <f>'HourGH-MAY'!N26</f>
        <v>0.5</v>
      </c>
      <c r="BN349" s="9">
        <v>348</v>
      </c>
      <c r="BO349" s="9">
        <v>15</v>
      </c>
      <c r="BP349" s="9">
        <v>12</v>
      </c>
      <c r="BQ349" s="167">
        <f>'HourGH-JUN'!N26</f>
        <v>0.22</v>
      </c>
      <c r="BR349" s="263">
        <v>348</v>
      </c>
      <c r="BS349" s="9">
        <v>15</v>
      </c>
      <c r="BT349" s="9">
        <v>12</v>
      </c>
      <c r="BU349" s="167">
        <f>'HourGH-JUL'!N26</f>
        <v>0.6</v>
      </c>
      <c r="BV349" s="263">
        <v>348</v>
      </c>
      <c r="BW349" s="9">
        <v>15</v>
      </c>
      <c r="BX349" s="9">
        <v>12</v>
      </c>
      <c r="BY349" s="167">
        <f>'HourGH-AUG'!N26</f>
        <v>1.1299999999999999</v>
      </c>
      <c r="BZ349" s="9">
        <v>348</v>
      </c>
      <c r="CA349" s="9">
        <v>15</v>
      </c>
      <c r="CB349" s="9">
        <v>12</v>
      </c>
      <c r="CC349" s="167">
        <f>'HourGH-SEP'!N26</f>
        <v>1.96</v>
      </c>
      <c r="CD349" s="263">
        <v>348</v>
      </c>
      <c r="CE349" s="9">
        <v>15</v>
      </c>
      <c r="CF349" s="9">
        <v>12</v>
      </c>
      <c r="CG349" s="167">
        <f>'HourGH-OCT'!N26</f>
        <v>0.6</v>
      </c>
      <c r="CH349" s="9">
        <v>348</v>
      </c>
      <c r="CI349" s="9">
        <v>15</v>
      </c>
      <c r="CJ349" s="9">
        <v>12</v>
      </c>
      <c r="CK349" s="167">
        <f>'HourGH-NOV'!N26</f>
        <v>0.9</v>
      </c>
      <c r="CL349" s="263">
        <v>348</v>
      </c>
      <c r="CM349" s="9">
        <v>15</v>
      </c>
      <c r="CN349" s="9">
        <v>12</v>
      </c>
      <c r="CO349" s="167">
        <f>'HourGH-DEC'!N26</f>
        <v>0.93</v>
      </c>
      <c r="CP349" s="263">
        <v>348</v>
      </c>
      <c r="CQ349" s="9">
        <v>15</v>
      </c>
      <c r="CR349" s="9">
        <v>12</v>
      </c>
      <c r="CS349" s="167">
        <f>'HourGH-JAN'!N26</f>
        <v>0.4</v>
      </c>
      <c r="CT349" s="9">
        <v>348</v>
      </c>
      <c r="CU349" s="9">
        <v>15</v>
      </c>
      <c r="CV349" s="9">
        <v>12</v>
      </c>
      <c r="CW349" s="167">
        <f>'HourGH-FEB'!N26</f>
        <v>0.74</v>
      </c>
      <c r="CX349" s="263">
        <v>348</v>
      </c>
      <c r="CY349" s="9">
        <v>15</v>
      </c>
      <c r="CZ349" s="9">
        <v>12</v>
      </c>
      <c r="DA349" s="167">
        <f>'HourGH-MAR'!N26</f>
        <v>0.7</v>
      </c>
    </row>
    <row r="350" spans="58:105">
      <c r="BF350" s="9">
        <v>349</v>
      </c>
      <c r="BG350" s="9">
        <v>15</v>
      </c>
      <c r="BH350" s="9">
        <v>13</v>
      </c>
      <c r="BI350" s="167">
        <f>'HourGH-APR'!O26</f>
        <v>0.6</v>
      </c>
      <c r="BJ350" s="263">
        <v>349</v>
      </c>
      <c r="BK350" s="9">
        <v>15</v>
      </c>
      <c r="BL350" s="9">
        <v>13</v>
      </c>
      <c r="BM350" s="167">
        <f>'HourGH-MAY'!O26</f>
        <v>0.5</v>
      </c>
      <c r="BN350" s="9">
        <v>349</v>
      </c>
      <c r="BO350" s="9">
        <v>15</v>
      </c>
      <c r="BP350" s="9">
        <v>13</v>
      </c>
      <c r="BQ350" s="167">
        <f>'HourGH-JUN'!O26</f>
        <v>0.21</v>
      </c>
      <c r="BR350" s="263">
        <v>349</v>
      </c>
      <c r="BS350" s="9">
        <v>15</v>
      </c>
      <c r="BT350" s="9">
        <v>13</v>
      </c>
      <c r="BU350" s="167">
        <f>'HourGH-JUL'!O26</f>
        <v>0.61</v>
      </c>
      <c r="BV350" s="263">
        <v>349</v>
      </c>
      <c r="BW350" s="9">
        <v>15</v>
      </c>
      <c r="BX350" s="9">
        <v>13</v>
      </c>
      <c r="BY350" s="167">
        <f>'HourGH-AUG'!O26</f>
        <v>1.1399999999999999</v>
      </c>
      <c r="BZ350" s="9">
        <v>349</v>
      </c>
      <c r="CA350" s="9">
        <v>15</v>
      </c>
      <c r="CB350" s="9">
        <v>13</v>
      </c>
      <c r="CC350" s="167">
        <f>'HourGH-SEP'!O26</f>
        <v>1.96</v>
      </c>
      <c r="CD350" s="263">
        <v>349</v>
      </c>
      <c r="CE350" s="9">
        <v>15</v>
      </c>
      <c r="CF350" s="9">
        <v>13</v>
      </c>
      <c r="CG350" s="167">
        <f>'HourGH-OCT'!O26</f>
        <v>0.59</v>
      </c>
      <c r="CH350" s="9">
        <v>349</v>
      </c>
      <c r="CI350" s="9">
        <v>15</v>
      </c>
      <c r="CJ350" s="9">
        <v>13</v>
      </c>
      <c r="CK350" s="167">
        <f>'HourGH-NOV'!O26</f>
        <v>0.9</v>
      </c>
      <c r="CL350" s="263">
        <v>349</v>
      </c>
      <c r="CM350" s="9">
        <v>15</v>
      </c>
      <c r="CN350" s="9">
        <v>13</v>
      </c>
      <c r="CO350" s="167">
        <f>'HourGH-DEC'!O26</f>
        <v>0.94</v>
      </c>
      <c r="CP350" s="263">
        <v>349</v>
      </c>
      <c r="CQ350" s="9">
        <v>15</v>
      </c>
      <c r="CR350" s="9">
        <v>13</v>
      </c>
      <c r="CS350" s="167">
        <f>'HourGH-JAN'!O26</f>
        <v>0.4</v>
      </c>
      <c r="CT350" s="9">
        <v>349</v>
      </c>
      <c r="CU350" s="9">
        <v>15</v>
      </c>
      <c r="CV350" s="9">
        <v>13</v>
      </c>
      <c r="CW350" s="167">
        <f>'HourGH-FEB'!O26</f>
        <v>0.75</v>
      </c>
      <c r="CX350" s="263">
        <v>349</v>
      </c>
      <c r="CY350" s="9">
        <v>15</v>
      </c>
      <c r="CZ350" s="9">
        <v>13</v>
      </c>
      <c r="DA350" s="167">
        <f>'HourGH-MAR'!O26</f>
        <v>0.7</v>
      </c>
    </row>
    <row r="351" spans="58:105">
      <c r="BF351" s="9">
        <v>350</v>
      </c>
      <c r="BG351" s="9">
        <v>15</v>
      </c>
      <c r="BH351" s="9">
        <v>14</v>
      </c>
      <c r="BI351" s="167">
        <f>'HourGH-APR'!P26</f>
        <v>0.6</v>
      </c>
      <c r="BJ351" s="263">
        <v>350</v>
      </c>
      <c r="BK351" s="9">
        <v>15</v>
      </c>
      <c r="BL351" s="9">
        <v>14</v>
      </c>
      <c r="BM351" s="167">
        <f>'HourGH-MAY'!P26</f>
        <v>0.5</v>
      </c>
      <c r="BN351" s="9">
        <v>350</v>
      </c>
      <c r="BO351" s="9">
        <v>15</v>
      </c>
      <c r="BP351" s="9">
        <v>14</v>
      </c>
      <c r="BQ351" s="167">
        <f>'HourGH-JUN'!P26</f>
        <v>0.21</v>
      </c>
      <c r="BR351" s="263">
        <v>350</v>
      </c>
      <c r="BS351" s="9">
        <v>15</v>
      </c>
      <c r="BT351" s="9">
        <v>14</v>
      </c>
      <c r="BU351" s="167">
        <f>'HourGH-JUL'!P26</f>
        <v>0.62</v>
      </c>
      <c r="BV351" s="263">
        <v>350</v>
      </c>
      <c r="BW351" s="9">
        <v>15</v>
      </c>
      <c r="BX351" s="9">
        <v>14</v>
      </c>
      <c r="BY351" s="167">
        <f>'HourGH-AUG'!P26</f>
        <v>1.1499999999999999</v>
      </c>
      <c r="BZ351" s="9">
        <v>350</v>
      </c>
      <c r="CA351" s="9">
        <v>15</v>
      </c>
      <c r="CB351" s="9">
        <v>14</v>
      </c>
      <c r="CC351" s="167">
        <f>'HourGH-SEP'!P26</f>
        <v>1.96</v>
      </c>
      <c r="CD351" s="263">
        <v>350</v>
      </c>
      <c r="CE351" s="9">
        <v>15</v>
      </c>
      <c r="CF351" s="9">
        <v>14</v>
      </c>
      <c r="CG351" s="167">
        <f>'HourGH-OCT'!P26</f>
        <v>0.59</v>
      </c>
      <c r="CH351" s="9">
        <v>350</v>
      </c>
      <c r="CI351" s="9">
        <v>15</v>
      </c>
      <c r="CJ351" s="9">
        <v>14</v>
      </c>
      <c r="CK351" s="167">
        <f>'HourGH-NOV'!P26</f>
        <v>0.89</v>
      </c>
      <c r="CL351" s="263">
        <v>350</v>
      </c>
      <c r="CM351" s="9">
        <v>15</v>
      </c>
      <c r="CN351" s="9">
        <v>14</v>
      </c>
      <c r="CO351" s="167">
        <f>'HourGH-DEC'!P26</f>
        <v>0.95</v>
      </c>
      <c r="CP351" s="263">
        <v>350</v>
      </c>
      <c r="CQ351" s="9">
        <v>15</v>
      </c>
      <c r="CR351" s="9">
        <v>14</v>
      </c>
      <c r="CS351" s="167">
        <f>'HourGH-JAN'!P26</f>
        <v>0.4</v>
      </c>
      <c r="CT351" s="9">
        <v>350</v>
      </c>
      <c r="CU351" s="9">
        <v>15</v>
      </c>
      <c r="CV351" s="9">
        <v>14</v>
      </c>
      <c r="CW351" s="167">
        <f>'HourGH-FEB'!P26</f>
        <v>0.76</v>
      </c>
      <c r="CX351" s="263">
        <v>350</v>
      </c>
      <c r="CY351" s="9">
        <v>15</v>
      </c>
      <c r="CZ351" s="9">
        <v>14</v>
      </c>
      <c r="DA351" s="167">
        <f>'HourGH-MAR'!P26</f>
        <v>0.7</v>
      </c>
    </row>
    <row r="352" spans="58:105">
      <c r="BF352" s="9">
        <v>351</v>
      </c>
      <c r="BG352" s="9">
        <v>15</v>
      </c>
      <c r="BH352" s="9">
        <v>15</v>
      </c>
      <c r="BI352" s="167">
        <f>'HourGH-APR'!Q26</f>
        <v>0.6</v>
      </c>
      <c r="BJ352" s="263">
        <v>351</v>
      </c>
      <c r="BK352" s="9">
        <v>15</v>
      </c>
      <c r="BL352" s="9">
        <v>15</v>
      </c>
      <c r="BM352" s="167">
        <f>'HourGH-MAY'!Q26</f>
        <v>0.5</v>
      </c>
      <c r="BN352" s="9">
        <v>351</v>
      </c>
      <c r="BO352" s="9">
        <v>15</v>
      </c>
      <c r="BP352" s="9">
        <v>15</v>
      </c>
      <c r="BQ352" s="167">
        <f>'HourGH-JUN'!Q26</f>
        <v>0.21</v>
      </c>
      <c r="BR352" s="263">
        <v>351</v>
      </c>
      <c r="BS352" s="9">
        <v>15</v>
      </c>
      <c r="BT352" s="9">
        <v>15</v>
      </c>
      <c r="BU352" s="167">
        <f>'HourGH-JUL'!Q26</f>
        <v>0.62</v>
      </c>
      <c r="BV352" s="263">
        <v>351</v>
      </c>
      <c r="BW352" s="9">
        <v>15</v>
      </c>
      <c r="BX352" s="9">
        <v>15</v>
      </c>
      <c r="BY352" s="167">
        <f>'HourGH-AUG'!Q26</f>
        <v>1.1599999999999999</v>
      </c>
      <c r="BZ352" s="9">
        <v>351</v>
      </c>
      <c r="CA352" s="9">
        <v>15</v>
      </c>
      <c r="CB352" s="9">
        <v>15</v>
      </c>
      <c r="CC352" s="167">
        <f>'HourGH-SEP'!Q26</f>
        <v>1.96</v>
      </c>
      <c r="CD352" s="263">
        <v>351</v>
      </c>
      <c r="CE352" s="9">
        <v>15</v>
      </c>
      <c r="CF352" s="9">
        <v>15</v>
      </c>
      <c r="CG352" s="167">
        <f>'HourGH-OCT'!Q26</f>
        <v>0.59</v>
      </c>
      <c r="CH352" s="9">
        <v>351</v>
      </c>
      <c r="CI352" s="9">
        <v>15</v>
      </c>
      <c r="CJ352" s="9">
        <v>15</v>
      </c>
      <c r="CK352" s="167">
        <f>'HourGH-NOV'!Q26</f>
        <v>0.89</v>
      </c>
      <c r="CL352" s="263">
        <v>351</v>
      </c>
      <c r="CM352" s="9">
        <v>15</v>
      </c>
      <c r="CN352" s="9">
        <v>15</v>
      </c>
      <c r="CO352" s="167">
        <f>'HourGH-DEC'!Q26</f>
        <v>0.96</v>
      </c>
      <c r="CP352" s="263">
        <v>351</v>
      </c>
      <c r="CQ352" s="9">
        <v>15</v>
      </c>
      <c r="CR352" s="9">
        <v>15</v>
      </c>
      <c r="CS352" s="167">
        <f>'HourGH-JAN'!Q26</f>
        <v>0.4</v>
      </c>
      <c r="CT352" s="9">
        <v>351</v>
      </c>
      <c r="CU352" s="9">
        <v>15</v>
      </c>
      <c r="CV352" s="9">
        <v>15</v>
      </c>
      <c r="CW352" s="167">
        <f>'HourGH-FEB'!Q26</f>
        <v>0.77</v>
      </c>
      <c r="CX352" s="263">
        <v>351</v>
      </c>
      <c r="CY352" s="9">
        <v>15</v>
      </c>
      <c r="CZ352" s="9">
        <v>15</v>
      </c>
      <c r="DA352" s="167">
        <f>'HourGH-MAR'!Q26</f>
        <v>0.7</v>
      </c>
    </row>
    <row r="353" spans="58:105">
      <c r="BF353" s="9">
        <v>352</v>
      </c>
      <c r="BG353" s="9">
        <v>15</v>
      </c>
      <c r="BH353" s="9">
        <v>16</v>
      </c>
      <c r="BI353" s="167">
        <f>'HourGH-APR'!R26</f>
        <v>0.6</v>
      </c>
      <c r="BJ353" s="263">
        <v>352</v>
      </c>
      <c r="BK353" s="9">
        <v>15</v>
      </c>
      <c r="BL353" s="9">
        <v>16</v>
      </c>
      <c r="BM353" s="167">
        <f>'HourGH-MAY'!R26</f>
        <v>0.5</v>
      </c>
      <c r="BN353" s="9">
        <v>352</v>
      </c>
      <c r="BO353" s="9">
        <v>15</v>
      </c>
      <c r="BP353" s="9">
        <v>16</v>
      </c>
      <c r="BQ353" s="167">
        <f>'HourGH-JUN'!R26</f>
        <v>0.21</v>
      </c>
      <c r="BR353" s="263">
        <v>352</v>
      </c>
      <c r="BS353" s="9">
        <v>15</v>
      </c>
      <c r="BT353" s="9">
        <v>16</v>
      </c>
      <c r="BU353" s="167">
        <f>'HourGH-JUL'!R26</f>
        <v>0.62</v>
      </c>
      <c r="BV353" s="263">
        <v>352</v>
      </c>
      <c r="BW353" s="9">
        <v>15</v>
      </c>
      <c r="BX353" s="9">
        <v>16</v>
      </c>
      <c r="BY353" s="167">
        <f>'HourGH-AUG'!R26</f>
        <v>1.1599999999999999</v>
      </c>
      <c r="BZ353" s="9">
        <v>352</v>
      </c>
      <c r="CA353" s="9">
        <v>15</v>
      </c>
      <c r="CB353" s="9">
        <v>16</v>
      </c>
      <c r="CC353" s="167">
        <f>'HourGH-SEP'!R26</f>
        <v>1.95</v>
      </c>
      <c r="CD353" s="263">
        <v>352</v>
      </c>
      <c r="CE353" s="9">
        <v>15</v>
      </c>
      <c r="CF353" s="9">
        <v>16</v>
      </c>
      <c r="CG353" s="167">
        <f>'HourGH-OCT'!R26</f>
        <v>0.59</v>
      </c>
      <c r="CH353" s="9">
        <v>352</v>
      </c>
      <c r="CI353" s="9">
        <v>15</v>
      </c>
      <c r="CJ353" s="9">
        <v>16</v>
      </c>
      <c r="CK353" s="167">
        <f>'HourGH-NOV'!R26</f>
        <v>0.88</v>
      </c>
      <c r="CL353" s="263">
        <v>352</v>
      </c>
      <c r="CM353" s="9">
        <v>15</v>
      </c>
      <c r="CN353" s="9">
        <v>16</v>
      </c>
      <c r="CO353" s="167">
        <f>'HourGH-DEC'!R26</f>
        <v>0.98</v>
      </c>
      <c r="CP353" s="263">
        <v>352</v>
      </c>
      <c r="CQ353" s="9">
        <v>15</v>
      </c>
      <c r="CR353" s="9">
        <v>16</v>
      </c>
      <c r="CS353" s="167">
        <f>'HourGH-JAN'!R26</f>
        <v>0.4</v>
      </c>
      <c r="CT353" s="9">
        <v>352</v>
      </c>
      <c r="CU353" s="9">
        <v>15</v>
      </c>
      <c r="CV353" s="9">
        <v>16</v>
      </c>
      <c r="CW353" s="167">
        <f>'HourGH-FEB'!R26</f>
        <v>0.78</v>
      </c>
      <c r="CX353" s="263">
        <v>352</v>
      </c>
      <c r="CY353" s="9">
        <v>15</v>
      </c>
      <c r="CZ353" s="9">
        <v>16</v>
      </c>
      <c r="DA353" s="167">
        <f>'HourGH-MAR'!R26</f>
        <v>0.7</v>
      </c>
    </row>
    <row r="354" spans="58:105">
      <c r="BF354" s="9">
        <v>353</v>
      </c>
      <c r="BG354" s="9">
        <v>15</v>
      </c>
      <c r="BH354" s="9">
        <v>17</v>
      </c>
      <c r="BI354" s="167">
        <f>'HourGH-APR'!S26</f>
        <v>0.6</v>
      </c>
      <c r="BJ354" s="263">
        <v>353</v>
      </c>
      <c r="BK354" s="9">
        <v>15</v>
      </c>
      <c r="BL354" s="9">
        <v>17</v>
      </c>
      <c r="BM354" s="167">
        <f>'HourGH-MAY'!S26</f>
        <v>0.5</v>
      </c>
      <c r="BN354" s="9">
        <v>353</v>
      </c>
      <c r="BO354" s="9">
        <v>15</v>
      </c>
      <c r="BP354" s="9">
        <v>17</v>
      </c>
      <c r="BQ354" s="167">
        <f>'HourGH-JUN'!S26</f>
        <v>0.21</v>
      </c>
      <c r="BR354" s="263">
        <v>353</v>
      </c>
      <c r="BS354" s="9">
        <v>15</v>
      </c>
      <c r="BT354" s="9">
        <v>17</v>
      </c>
      <c r="BU354" s="167">
        <f>'HourGH-JUL'!S26</f>
        <v>0.62</v>
      </c>
      <c r="BV354" s="263">
        <v>353</v>
      </c>
      <c r="BW354" s="9">
        <v>15</v>
      </c>
      <c r="BX354" s="9">
        <v>17</v>
      </c>
      <c r="BY354" s="167">
        <f>'HourGH-AUG'!S26</f>
        <v>1.1599999999999999</v>
      </c>
      <c r="BZ354" s="9">
        <v>353</v>
      </c>
      <c r="CA354" s="9">
        <v>15</v>
      </c>
      <c r="CB354" s="9">
        <v>17</v>
      </c>
      <c r="CC354" s="167">
        <f>'HourGH-SEP'!S26</f>
        <v>1.94</v>
      </c>
      <c r="CD354" s="263">
        <v>353</v>
      </c>
      <c r="CE354" s="9">
        <v>15</v>
      </c>
      <c r="CF354" s="9">
        <v>17</v>
      </c>
      <c r="CG354" s="167">
        <f>'HourGH-OCT'!S26</f>
        <v>0.59</v>
      </c>
      <c r="CH354" s="9">
        <v>353</v>
      </c>
      <c r="CI354" s="9">
        <v>15</v>
      </c>
      <c r="CJ354" s="9">
        <v>17</v>
      </c>
      <c r="CK354" s="167">
        <f>'HourGH-NOV'!S26</f>
        <v>0.87</v>
      </c>
      <c r="CL354" s="263">
        <v>353</v>
      </c>
      <c r="CM354" s="9">
        <v>15</v>
      </c>
      <c r="CN354" s="9">
        <v>17</v>
      </c>
      <c r="CO354" s="167">
        <f>'HourGH-DEC'!S26</f>
        <v>1</v>
      </c>
      <c r="CP354" s="263">
        <v>353</v>
      </c>
      <c r="CQ354" s="9">
        <v>15</v>
      </c>
      <c r="CR354" s="9">
        <v>17</v>
      </c>
      <c r="CS354" s="167">
        <f>'HourGH-JAN'!S26</f>
        <v>0.4</v>
      </c>
      <c r="CT354" s="9">
        <v>353</v>
      </c>
      <c r="CU354" s="9">
        <v>15</v>
      </c>
      <c r="CV354" s="9">
        <v>17</v>
      </c>
      <c r="CW354" s="167">
        <f>'HourGH-FEB'!S26</f>
        <v>0.79</v>
      </c>
      <c r="CX354" s="263">
        <v>353</v>
      </c>
      <c r="CY354" s="9">
        <v>15</v>
      </c>
      <c r="CZ354" s="9">
        <v>17</v>
      </c>
      <c r="DA354" s="167">
        <f>'HourGH-MAR'!S26</f>
        <v>0.7</v>
      </c>
    </row>
    <row r="355" spans="58:105">
      <c r="BF355" s="9">
        <v>354</v>
      </c>
      <c r="BG355" s="9">
        <v>15</v>
      </c>
      <c r="BH355" s="9">
        <v>18</v>
      </c>
      <c r="BI355" s="167">
        <f>'HourGH-APR'!T26</f>
        <v>0.6</v>
      </c>
      <c r="BJ355" s="263">
        <v>354</v>
      </c>
      <c r="BK355" s="9">
        <v>15</v>
      </c>
      <c r="BL355" s="9">
        <v>18</v>
      </c>
      <c r="BM355" s="167">
        <f>'HourGH-MAY'!T26</f>
        <v>0.5</v>
      </c>
      <c r="BN355" s="9">
        <v>354</v>
      </c>
      <c r="BO355" s="9">
        <v>15</v>
      </c>
      <c r="BP355" s="9">
        <v>18</v>
      </c>
      <c r="BQ355" s="167">
        <f>'HourGH-JUN'!T26</f>
        <v>0.21</v>
      </c>
      <c r="BR355" s="263">
        <v>354</v>
      </c>
      <c r="BS355" s="9">
        <v>15</v>
      </c>
      <c r="BT355" s="9">
        <v>18</v>
      </c>
      <c r="BU355" s="167">
        <f>'HourGH-JUL'!T26</f>
        <v>0.61</v>
      </c>
      <c r="BV355" s="263">
        <v>354</v>
      </c>
      <c r="BW355" s="9">
        <v>15</v>
      </c>
      <c r="BX355" s="9">
        <v>18</v>
      </c>
      <c r="BY355" s="167">
        <f>'HourGH-AUG'!T26</f>
        <v>1.1599999999999999</v>
      </c>
      <c r="BZ355" s="9">
        <v>354</v>
      </c>
      <c r="CA355" s="9">
        <v>15</v>
      </c>
      <c r="CB355" s="9">
        <v>18</v>
      </c>
      <c r="CC355" s="167">
        <f>'HourGH-SEP'!T26</f>
        <v>1.92</v>
      </c>
      <c r="CD355" s="263">
        <v>354</v>
      </c>
      <c r="CE355" s="9">
        <v>15</v>
      </c>
      <c r="CF355" s="9">
        <v>18</v>
      </c>
      <c r="CG355" s="167">
        <f>'HourGH-OCT'!T26</f>
        <v>0.59</v>
      </c>
      <c r="CH355" s="9">
        <v>354</v>
      </c>
      <c r="CI355" s="9">
        <v>15</v>
      </c>
      <c r="CJ355" s="9">
        <v>18</v>
      </c>
      <c r="CK355" s="167">
        <f>'HourGH-NOV'!T26</f>
        <v>0.85</v>
      </c>
      <c r="CL355" s="263">
        <v>354</v>
      </c>
      <c r="CM355" s="9">
        <v>15</v>
      </c>
      <c r="CN355" s="9">
        <v>18</v>
      </c>
      <c r="CO355" s="167">
        <f>'HourGH-DEC'!T26</f>
        <v>1.01</v>
      </c>
      <c r="CP355" s="263">
        <v>354</v>
      </c>
      <c r="CQ355" s="9">
        <v>15</v>
      </c>
      <c r="CR355" s="9">
        <v>18</v>
      </c>
      <c r="CS355" s="167">
        <f>'HourGH-JAN'!T26</f>
        <v>0.4</v>
      </c>
      <c r="CT355" s="9">
        <v>354</v>
      </c>
      <c r="CU355" s="9">
        <v>15</v>
      </c>
      <c r="CV355" s="9">
        <v>18</v>
      </c>
      <c r="CW355" s="167">
        <f>'HourGH-FEB'!T26</f>
        <v>0.79</v>
      </c>
      <c r="CX355" s="263">
        <v>354</v>
      </c>
      <c r="CY355" s="9">
        <v>15</v>
      </c>
      <c r="CZ355" s="9">
        <v>18</v>
      </c>
      <c r="DA355" s="167">
        <f>'HourGH-MAR'!T26</f>
        <v>0.7</v>
      </c>
    </row>
    <row r="356" spans="58:105">
      <c r="BF356" s="9">
        <v>355</v>
      </c>
      <c r="BG356" s="9">
        <v>15</v>
      </c>
      <c r="BH356" s="9">
        <v>19</v>
      </c>
      <c r="BI356" s="167">
        <f>'HourGH-APR'!U26</f>
        <v>0.6</v>
      </c>
      <c r="BJ356" s="263">
        <v>355</v>
      </c>
      <c r="BK356" s="9">
        <v>15</v>
      </c>
      <c r="BL356" s="9">
        <v>19</v>
      </c>
      <c r="BM356" s="167">
        <f>'HourGH-MAY'!U26</f>
        <v>0.5</v>
      </c>
      <c r="BN356" s="9">
        <v>355</v>
      </c>
      <c r="BO356" s="9">
        <v>15</v>
      </c>
      <c r="BP356" s="9">
        <v>19</v>
      </c>
      <c r="BQ356" s="167">
        <f>'HourGH-JUN'!U26</f>
        <v>0.21</v>
      </c>
      <c r="BR356" s="263">
        <v>355</v>
      </c>
      <c r="BS356" s="9">
        <v>15</v>
      </c>
      <c r="BT356" s="9">
        <v>19</v>
      </c>
      <c r="BU356" s="167">
        <f>'HourGH-JUL'!U26</f>
        <v>0.61</v>
      </c>
      <c r="BV356" s="263">
        <v>355</v>
      </c>
      <c r="BW356" s="9">
        <v>15</v>
      </c>
      <c r="BX356" s="9">
        <v>19</v>
      </c>
      <c r="BY356" s="167">
        <f>'HourGH-AUG'!U26</f>
        <v>1.1599999999999999</v>
      </c>
      <c r="BZ356" s="9">
        <v>355</v>
      </c>
      <c r="CA356" s="9">
        <v>15</v>
      </c>
      <c r="CB356" s="9">
        <v>19</v>
      </c>
      <c r="CC356" s="167">
        <f>'HourGH-SEP'!U26</f>
        <v>1.9</v>
      </c>
      <c r="CD356" s="263">
        <v>355</v>
      </c>
      <c r="CE356" s="9">
        <v>15</v>
      </c>
      <c r="CF356" s="9">
        <v>19</v>
      </c>
      <c r="CG356" s="167">
        <f>'HourGH-OCT'!U26</f>
        <v>0.59</v>
      </c>
      <c r="CH356" s="9">
        <v>355</v>
      </c>
      <c r="CI356" s="9">
        <v>15</v>
      </c>
      <c r="CJ356" s="9">
        <v>19</v>
      </c>
      <c r="CK356" s="167">
        <f>'HourGH-NOV'!U26</f>
        <v>0.83</v>
      </c>
      <c r="CL356" s="263">
        <v>355</v>
      </c>
      <c r="CM356" s="9">
        <v>15</v>
      </c>
      <c r="CN356" s="9">
        <v>19</v>
      </c>
      <c r="CO356" s="167">
        <f>'HourGH-DEC'!U26</f>
        <v>1.02</v>
      </c>
      <c r="CP356" s="263">
        <v>355</v>
      </c>
      <c r="CQ356" s="9">
        <v>15</v>
      </c>
      <c r="CR356" s="9">
        <v>19</v>
      </c>
      <c r="CS356" s="167">
        <f>'HourGH-JAN'!U26</f>
        <v>0.4</v>
      </c>
      <c r="CT356" s="9">
        <v>355</v>
      </c>
      <c r="CU356" s="9">
        <v>15</v>
      </c>
      <c r="CV356" s="9">
        <v>19</v>
      </c>
      <c r="CW356" s="167">
        <f>'HourGH-FEB'!U26</f>
        <v>0.8</v>
      </c>
      <c r="CX356" s="263">
        <v>355</v>
      </c>
      <c r="CY356" s="9">
        <v>15</v>
      </c>
      <c r="CZ356" s="9">
        <v>19</v>
      </c>
      <c r="DA356" s="167">
        <f>'HourGH-MAR'!U26</f>
        <v>0.7</v>
      </c>
    </row>
    <row r="357" spans="58:105">
      <c r="BF357" s="9">
        <v>356</v>
      </c>
      <c r="BG357" s="9">
        <v>15</v>
      </c>
      <c r="BH357" s="9">
        <v>20</v>
      </c>
      <c r="BI357" s="167">
        <f>'HourGH-APR'!V26</f>
        <v>0.6</v>
      </c>
      <c r="BJ357" s="263">
        <v>356</v>
      </c>
      <c r="BK357" s="9">
        <v>15</v>
      </c>
      <c r="BL357" s="9">
        <v>20</v>
      </c>
      <c r="BM357" s="167">
        <f>'HourGH-MAY'!V26</f>
        <v>0.5</v>
      </c>
      <c r="BN357" s="9">
        <v>356</v>
      </c>
      <c r="BO357" s="9">
        <v>15</v>
      </c>
      <c r="BP357" s="9">
        <v>20</v>
      </c>
      <c r="BQ357" s="167">
        <f>'HourGH-JUN'!V26</f>
        <v>0.21</v>
      </c>
      <c r="BR357" s="263">
        <v>356</v>
      </c>
      <c r="BS357" s="9">
        <v>15</v>
      </c>
      <c r="BT357" s="9">
        <v>20</v>
      </c>
      <c r="BU357" s="167">
        <f>'HourGH-JUL'!V26</f>
        <v>0.6</v>
      </c>
      <c r="BV357" s="263">
        <v>356</v>
      </c>
      <c r="BW357" s="9">
        <v>15</v>
      </c>
      <c r="BX357" s="9">
        <v>20</v>
      </c>
      <c r="BY357" s="167">
        <f>'HourGH-AUG'!V26</f>
        <v>1.1499999999999999</v>
      </c>
      <c r="BZ357" s="9">
        <v>356</v>
      </c>
      <c r="CA357" s="9">
        <v>15</v>
      </c>
      <c r="CB357" s="9">
        <v>20</v>
      </c>
      <c r="CC357" s="167">
        <f>'HourGH-SEP'!V26</f>
        <v>1.88</v>
      </c>
      <c r="CD357" s="263">
        <v>356</v>
      </c>
      <c r="CE357" s="9">
        <v>15</v>
      </c>
      <c r="CF357" s="9">
        <v>20</v>
      </c>
      <c r="CG357" s="167">
        <f>'HourGH-OCT'!V26</f>
        <v>0.59</v>
      </c>
      <c r="CH357" s="9">
        <v>356</v>
      </c>
      <c r="CI357" s="9">
        <v>15</v>
      </c>
      <c r="CJ357" s="9">
        <v>20</v>
      </c>
      <c r="CK357" s="167">
        <f>'HourGH-NOV'!V26</f>
        <v>0.81</v>
      </c>
      <c r="CL357" s="263">
        <v>356</v>
      </c>
      <c r="CM357" s="9">
        <v>15</v>
      </c>
      <c r="CN357" s="9">
        <v>20</v>
      </c>
      <c r="CO357" s="167">
        <f>'HourGH-DEC'!V26</f>
        <v>1.03</v>
      </c>
      <c r="CP357" s="263">
        <v>356</v>
      </c>
      <c r="CQ357" s="9">
        <v>15</v>
      </c>
      <c r="CR357" s="9">
        <v>20</v>
      </c>
      <c r="CS357" s="167">
        <f>'HourGH-JAN'!V26</f>
        <v>0.4</v>
      </c>
      <c r="CT357" s="9">
        <v>356</v>
      </c>
      <c r="CU357" s="9">
        <v>15</v>
      </c>
      <c r="CV357" s="9">
        <v>20</v>
      </c>
      <c r="CW357" s="167">
        <f>'HourGH-FEB'!V26</f>
        <v>0.8</v>
      </c>
      <c r="CX357" s="263">
        <v>356</v>
      </c>
      <c r="CY357" s="9">
        <v>15</v>
      </c>
      <c r="CZ357" s="9">
        <v>20</v>
      </c>
      <c r="DA357" s="167">
        <f>'HourGH-MAR'!V26</f>
        <v>0.7</v>
      </c>
    </row>
    <row r="358" spans="58:105">
      <c r="BF358" s="9">
        <v>357</v>
      </c>
      <c r="BG358" s="9">
        <v>15</v>
      </c>
      <c r="BH358" s="9">
        <v>21</v>
      </c>
      <c r="BI358" s="167">
        <f>'HourGH-APR'!W26</f>
        <v>0.6</v>
      </c>
      <c r="BJ358" s="263">
        <v>357</v>
      </c>
      <c r="BK358" s="9">
        <v>15</v>
      </c>
      <c r="BL358" s="9">
        <v>21</v>
      </c>
      <c r="BM358" s="167">
        <f>'HourGH-MAY'!W26</f>
        <v>0.5</v>
      </c>
      <c r="BN358" s="9">
        <v>357</v>
      </c>
      <c r="BO358" s="9">
        <v>15</v>
      </c>
      <c r="BP358" s="9">
        <v>21</v>
      </c>
      <c r="BQ358" s="167">
        <f>'HourGH-JUN'!W26</f>
        <v>0.21</v>
      </c>
      <c r="BR358" s="263">
        <v>357</v>
      </c>
      <c r="BS358" s="9">
        <v>15</v>
      </c>
      <c r="BT358" s="9">
        <v>21</v>
      </c>
      <c r="BU358" s="167">
        <f>'HourGH-JUL'!W26</f>
        <v>0.6</v>
      </c>
      <c r="BV358" s="263">
        <v>357</v>
      </c>
      <c r="BW358" s="9">
        <v>15</v>
      </c>
      <c r="BX358" s="9">
        <v>21</v>
      </c>
      <c r="BY358" s="167">
        <f>'HourGH-AUG'!W26</f>
        <v>1.1299999999999999</v>
      </c>
      <c r="BZ358" s="9">
        <v>357</v>
      </c>
      <c r="CA358" s="9">
        <v>15</v>
      </c>
      <c r="CB358" s="9">
        <v>21</v>
      </c>
      <c r="CC358" s="167">
        <f>'HourGH-SEP'!W26</f>
        <v>1.85</v>
      </c>
      <c r="CD358" s="263">
        <v>357</v>
      </c>
      <c r="CE358" s="9">
        <v>15</v>
      </c>
      <c r="CF358" s="9">
        <v>21</v>
      </c>
      <c r="CG358" s="167">
        <f>'HourGH-OCT'!W26</f>
        <v>0.59</v>
      </c>
      <c r="CH358" s="9">
        <v>357</v>
      </c>
      <c r="CI358" s="9">
        <v>15</v>
      </c>
      <c r="CJ358" s="9">
        <v>21</v>
      </c>
      <c r="CK358" s="167">
        <f>'HourGH-NOV'!W26</f>
        <v>0.78</v>
      </c>
      <c r="CL358" s="263">
        <v>357</v>
      </c>
      <c r="CM358" s="9">
        <v>15</v>
      </c>
      <c r="CN358" s="9">
        <v>21</v>
      </c>
      <c r="CO358" s="167">
        <f>'HourGH-DEC'!W26</f>
        <v>1.04</v>
      </c>
      <c r="CP358" s="263">
        <v>357</v>
      </c>
      <c r="CQ358" s="9">
        <v>15</v>
      </c>
      <c r="CR358" s="9">
        <v>21</v>
      </c>
      <c r="CS358" s="167">
        <f>'HourGH-JAN'!W26</f>
        <v>0.4</v>
      </c>
      <c r="CT358" s="9">
        <v>357</v>
      </c>
      <c r="CU358" s="9">
        <v>15</v>
      </c>
      <c r="CV358" s="9">
        <v>21</v>
      </c>
      <c r="CW358" s="167">
        <f>'HourGH-FEB'!W26</f>
        <v>0.8</v>
      </c>
      <c r="CX358" s="263">
        <v>357</v>
      </c>
      <c r="CY358" s="9">
        <v>15</v>
      </c>
      <c r="CZ358" s="9">
        <v>21</v>
      </c>
      <c r="DA358" s="167">
        <f>'HourGH-MAR'!W26</f>
        <v>0.7</v>
      </c>
    </row>
    <row r="359" spans="58:105">
      <c r="BF359" s="9">
        <v>358</v>
      </c>
      <c r="BG359" s="9">
        <v>15</v>
      </c>
      <c r="BH359" s="9">
        <v>22</v>
      </c>
      <c r="BI359" s="167">
        <f>'HourGH-APR'!X26</f>
        <v>0.6</v>
      </c>
      <c r="BJ359" s="263">
        <v>358</v>
      </c>
      <c r="BK359" s="9">
        <v>15</v>
      </c>
      <c r="BL359" s="9">
        <v>22</v>
      </c>
      <c r="BM359" s="167">
        <f>'HourGH-MAY'!X26</f>
        <v>0.5</v>
      </c>
      <c r="BN359" s="9">
        <v>358</v>
      </c>
      <c r="BO359" s="9">
        <v>15</v>
      </c>
      <c r="BP359" s="9">
        <v>22</v>
      </c>
      <c r="BQ359" s="167">
        <f>'HourGH-JUN'!X26</f>
        <v>0.21</v>
      </c>
      <c r="BR359" s="263">
        <v>358</v>
      </c>
      <c r="BS359" s="9">
        <v>15</v>
      </c>
      <c r="BT359" s="9">
        <v>22</v>
      </c>
      <c r="BU359" s="167">
        <f>'HourGH-JUL'!X26</f>
        <v>0.59</v>
      </c>
      <c r="BV359" s="263">
        <v>358</v>
      </c>
      <c r="BW359" s="9">
        <v>15</v>
      </c>
      <c r="BX359" s="9">
        <v>22</v>
      </c>
      <c r="BY359" s="167">
        <f>'HourGH-AUG'!X26</f>
        <v>1.1100000000000001</v>
      </c>
      <c r="BZ359" s="9">
        <v>358</v>
      </c>
      <c r="CA359" s="9">
        <v>15</v>
      </c>
      <c r="CB359" s="9">
        <v>22</v>
      </c>
      <c r="CC359" s="167">
        <f>'HourGH-SEP'!X26</f>
        <v>1.83</v>
      </c>
      <c r="CD359" s="263">
        <v>358</v>
      </c>
      <c r="CE359" s="9">
        <v>15</v>
      </c>
      <c r="CF359" s="9">
        <v>22</v>
      </c>
      <c r="CG359" s="167">
        <f>'HourGH-OCT'!X26</f>
        <v>0.59</v>
      </c>
      <c r="CH359" s="9">
        <v>358</v>
      </c>
      <c r="CI359" s="9">
        <v>15</v>
      </c>
      <c r="CJ359" s="9">
        <v>22</v>
      </c>
      <c r="CK359" s="167">
        <f>'HourGH-NOV'!X26</f>
        <v>0.76</v>
      </c>
      <c r="CL359" s="263">
        <v>358</v>
      </c>
      <c r="CM359" s="9">
        <v>15</v>
      </c>
      <c r="CN359" s="9">
        <v>22</v>
      </c>
      <c r="CO359" s="167">
        <f>'HourGH-DEC'!X26</f>
        <v>1.05</v>
      </c>
      <c r="CP359" s="263">
        <v>358</v>
      </c>
      <c r="CQ359" s="9">
        <v>15</v>
      </c>
      <c r="CR359" s="9">
        <v>22</v>
      </c>
      <c r="CS359" s="167">
        <f>'HourGH-JAN'!X26</f>
        <v>0.4</v>
      </c>
      <c r="CT359" s="9">
        <v>358</v>
      </c>
      <c r="CU359" s="9">
        <v>15</v>
      </c>
      <c r="CV359" s="9">
        <v>22</v>
      </c>
      <c r="CW359" s="167">
        <f>'HourGH-FEB'!X26</f>
        <v>0.81</v>
      </c>
      <c r="CX359" s="263">
        <v>358</v>
      </c>
      <c r="CY359" s="9">
        <v>15</v>
      </c>
      <c r="CZ359" s="9">
        <v>22</v>
      </c>
      <c r="DA359" s="167">
        <f>'HourGH-MAR'!X26</f>
        <v>0.7</v>
      </c>
    </row>
    <row r="360" spans="58:105">
      <c r="BF360" s="9">
        <v>359</v>
      </c>
      <c r="BG360" s="9">
        <v>15</v>
      </c>
      <c r="BH360" s="9">
        <v>23</v>
      </c>
      <c r="BI360" s="167">
        <f>'HourGH-APR'!Y26</f>
        <v>0.6</v>
      </c>
      <c r="BJ360" s="263">
        <v>359</v>
      </c>
      <c r="BK360" s="9">
        <v>15</v>
      </c>
      <c r="BL360" s="9">
        <v>23</v>
      </c>
      <c r="BM360" s="167">
        <f>'HourGH-MAY'!Y26</f>
        <v>0.5</v>
      </c>
      <c r="BN360" s="9">
        <v>359</v>
      </c>
      <c r="BO360" s="9">
        <v>15</v>
      </c>
      <c r="BP360" s="9">
        <v>23</v>
      </c>
      <c r="BQ360" s="167">
        <f>'HourGH-JUN'!Y26</f>
        <v>0.21</v>
      </c>
      <c r="BR360" s="263">
        <v>359</v>
      </c>
      <c r="BS360" s="9">
        <v>15</v>
      </c>
      <c r="BT360" s="9">
        <v>23</v>
      </c>
      <c r="BU360" s="167">
        <f>'HourGH-JUL'!Y26</f>
        <v>0.57999999999999996</v>
      </c>
      <c r="BV360" s="263">
        <v>359</v>
      </c>
      <c r="BW360" s="9">
        <v>15</v>
      </c>
      <c r="BX360" s="9">
        <v>23</v>
      </c>
      <c r="BY360" s="167">
        <f>'HourGH-AUG'!Y26</f>
        <v>1.0900000000000001</v>
      </c>
      <c r="BZ360" s="9">
        <v>359</v>
      </c>
      <c r="CA360" s="9">
        <v>15</v>
      </c>
      <c r="CB360" s="9">
        <v>23</v>
      </c>
      <c r="CC360" s="167">
        <f>'HourGH-SEP'!Y26</f>
        <v>1.79</v>
      </c>
      <c r="CD360" s="263">
        <v>359</v>
      </c>
      <c r="CE360" s="9">
        <v>15</v>
      </c>
      <c r="CF360" s="9">
        <v>23</v>
      </c>
      <c r="CG360" s="167">
        <f>'HourGH-OCT'!Y26</f>
        <v>0.59</v>
      </c>
      <c r="CH360" s="9">
        <v>359</v>
      </c>
      <c r="CI360" s="9">
        <v>15</v>
      </c>
      <c r="CJ360" s="9">
        <v>23</v>
      </c>
      <c r="CK360" s="167">
        <f>'HourGH-NOV'!Y26</f>
        <v>0.74</v>
      </c>
      <c r="CL360" s="263">
        <v>359</v>
      </c>
      <c r="CM360" s="9">
        <v>15</v>
      </c>
      <c r="CN360" s="9">
        <v>23</v>
      </c>
      <c r="CO360" s="167">
        <f>'HourGH-DEC'!Y26</f>
        <v>1.05</v>
      </c>
      <c r="CP360" s="263">
        <v>359</v>
      </c>
      <c r="CQ360" s="9">
        <v>15</v>
      </c>
      <c r="CR360" s="9">
        <v>23</v>
      </c>
      <c r="CS360" s="167">
        <f>'HourGH-JAN'!Y26</f>
        <v>0.4</v>
      </c>
      <c r="CT360" s="9">
        <v>359</v>
      </c>
      <c r="CU360" s="9">
        <v>15</v>
      </c>
      <c r="CV360" s="9">
        <v>23</v>
      </c>
      <c r="CW360" s="167">
        <f>'HourGH-FEB'!Y26</f>
        <v>0.81</v>
      </c>
      <c r="CX360" s="263">
        <v>359</v>
      </c>
      <c r="CY360" s="9">
        <v>15</v>
      </c>
      <c r="CZ360" s="9">
        <v>23</v>
      </c>
      <c r="DA360" s="167">
        <f>'HourGH-MAR'!Y26</f>
        <v>0.7</v>
      </c>
    </row>
    <row r="361" spans="58:105">
      <c r="BF361" s="9">
        <v>360</v>
      </c>
      <c r="BG361" s="9">
        <v>15</v>
      </c>
      <c r="BH361" s="9">
        <v>24</v>
      </c>
      <c r="BI361" s="167">
        <f>'HourGH-APR'!Z26</f>
        <v>0.6</v>
      </c>
      <c r="BJ361" s="263">
        <v>360</v>
      </c>
      <c r="BK361" s="9">
        <v>15</v>
      </c>
      <c r="BL361" s="9">
        <v>24</v>
      </c>
      <c r="BM361" s="167">
        <f>'HourGH-MAY'!Z26</f>
        <v>0.5</v>
      </c>
      <c r="BN361" s="9">
        <v>360</v>
      </c>
      <c r="BO361" s="9">
        <v>15</v>
      </c>
      <c r="BP361" s="9">
        <v>24</v>
      </c>
      <c r="BQ361" s="167">
        <f>'HourGH-JUN'!Z26</f>
        <v>0.21</v>
      </c>
      <c r="BR361" s="263">
        <v>360</v>
      </c>
      <c r="BS361" s="9">
        <v>15</v>
      </c>
      <c r="BT361" s="9">
        <v>24</v>
      </c>
      <c r="BU361" s="167">
        <f>'HourGH-JUL'!Z26</f>
        <v>0.56999999999999995</v>
      </c>
      <c r="BV361" s="263">
        <v>360</v>
      </c>
      <c r="BW361" s="9">
        <v>15</v>
      </c>
      <c r="BX361" s="9">
        <v>24</v>
      </c>
      <c r="BY361" s="167">
        <f>'HourGH-AUG'!Z26</f>
        <v>1.07</v>
      </c>
      <c r="BZ361" s="9">
        <v>360</v>
      </c>
      <c r="CA361" s="9">
        <v>15</v>
      </c>
      <c r="CB361" s="9">
        <v>24</v>
      </c>
      <c r="CC361" s="167">
        <f>'HourGH-SEP'!Z26</f>
        <v>1.77</v>
      </c>
      <c r="CD361" s="263">
        <v>360</v>
      </c>
      <c r="CE361" s="9">
        <v>15</v>
      </c>
      <c r="CF361" s="9">
        <v>24</v>
      </c>
      <c r="CG361" s="167">
        <f>'HourGH-OCT'!Z26</f>
        <v>0.59</v>
      </c>
      <c r="CH361" s="9">
        <v>360</v>
      </c>
      <c r="CI361" s="9">
        <v>15</v>
      </c>
      <c r="CJ361" s="9">
        <v>24</v>
      </c>
      <c r="CK361" s="167">
        <f>'HourGH-NOV'!Z26</f>
        <v>0.73</v>
      </c>
      <c r="CL361" s="263">
        <v>360</v>
      </c>
      <c r="CM361" s="9">
        <v>15</v>
      </c>
      <c r="CN361" s="9">
        <v>24</v>
      </c>
      <c r="CO361" s="167">
        <f>'HourGH-DEC'!Z26</f>
        <v>1.05</v>
      </c>
      <c r="CP361" s="263">
        <v>360</v>
      </c>
      <c r="CQ361" s="9">
        <v>15</v>
      </c>
      <c r="CR361" s="9">
        <v>24</v>
      </c>
      <c r="CS361" s="167">
        <f>'HourGH-JAN'!Z26</f>
        <v>0.4</v>
      </c>
      <c r="CT361" s="9">
        <v>360</v>
      </c>
      <c r="CU361" s="9">
        <v>15</v>
      </c>
      <c r="CV361" s="9">
        <v>24</v>
      </c>
      <c r="CW361" s="167">
        <f>'HourGH-FEB'!Z26</f>
        <v>0.81</v>
      </c>
      <c r="CX361" s="263">
        <v>360</v>
      </c>
      <c r="CY361" s="9">
        <v>15</v>
      </c>
      <c r="CZ361" s="9">
        <v>24</v>
      </c>
      <c r="DA361" s="167">
        <f>'HourGH-MAR'!Z26</f>
        <v>0.7</v>
      </c>
    </row>
    <row r="362" spans="58:105">
      <c r="BF362" s="9">
        <v>361</v>
      </c>
      <c r="BG362" s="9">
        <v>16</v>
      </c>
      <c r="BH362" s="9">
        <v>1</v>
      </c>
      <c r="BI362" s="167">
        <f>'HourGH-APR'!C27</f>
        <v>0.6</v>
      </c>
      <c r="BJ362" s="263">
        <v>361</v>
      </c>
      <c r="BK362" s="9">
        <v>16</v>
      </c>
      <c r="BL362" s="9">
        <v>1</v>
      </c>
      <c r="BM362" s="167">
        <f>'HourGH-MAY'!C27</f>
        <v>0.49</v>
      </c>
      <c r="BN362" s="9">
        <v>361</v>
      </c>
      <c r="BO362" s="9">
        <v>16</v>
      </c>
      <c r="BP362" s="9">
        <v>1</v>
      </c>
      <c r="BQ362" s="167">
        <f>'HourGH-JUN'!C27</f>
        <v>0.2</v>
      </c>
      <c r="BR362" s="263">
        <v>361</v>
      </c>
      <c r="BS362" s="9">
        <v>16</v>
      </c>
      <c r="BT362" s="9">
        <v>1</v>
      </c>
      <c r="BU362" s="167">
        <f>'HourGH-JUL'!C27</f>
        <v>0.56000000000000005</v>
      </c>
      <c r="BV362" s="263">
        <v>361</v>
      </c>
      <c r="BW362" s="9">
        <v>16</v>
      </c>
      <c r="BX362" s="9">
        <v>1</v>
      </c>
      <c r="BY362" s="167">
        <f>'HourGH-AUG'!C27</f>
        <v>1.05</v>
      </c>
      <c r="BZ362" s="9">
        <v>361</v>
      </c>
      <c r="CA362" s="9">
        <v>16</v>
      </c>
      <c r="CB362" s="9">
        <v>1</v>
      </c>
      <c r="CC362" s="167">
        <f>'HourGH-SEP'!C27</f>
        <v>1.75</v>
      </c>
      <c r="CD362" s="263">
        <v>361</v>
      </c>
      <c r="CE362" s="9">
        <v>16</v>
      </c>
      <c r="CF362" s="9">
        <v>1</v>
      </c>
      <c r="CG362" s="167">
        <f>'HourGH-OCT'!C27</f>
        <v>0.57999999999999996</v>
      </c>
      <c r="CH362" s="9">
        <v>361</v>
      </c>
      <c r="CI362" s="9">
        <v>16</v>
      </c>
      <c r="CJ362" s="9">
        <v>1</v>
      </c>
      <c r="CK362" s="167">
        <f>'HourGH-NOV'!C27</f>
        <v>0.72</v>
      </c>
      <c r="CL362" s="263">
        <v>361</v>
      </c>
      <c r="CM362" s="9">
        <v>16</v>
      </c>
      <c r="CN362" s="9">
        <v>1</v>
      </c>
      <c r="CO362" s="167">
        <f>'HourGH-DEC'!C27</f>
        <v>1.05</v>
      </c>
      <c r="CP362" s="263">
        <v>361</v>
      </c>
      <c r="CQ362" s="9">
        <v>16</v>
      </c>
      <c r="CR362" s="9">
        <v>1</v>
      </c>
      <c r="CS362" s="167">
        <f>'HourGH-JAN'!C27</f>
        <v>0.4</v>
      </c>
      <c r="CT362" s="9">
        <v>361</v>
      </c>
      <c r="CU362" s="9">
        <v>16</v>
      </c>
      <c r="CV362" s="9">
        <v>1</v>
      </c>
      <c r="CW362" s="167">
        <f>'HourGH-FEB'!C27</f>
        <v>0.82</v>
      </c>
      <c r="CX362" s="263">
        <v>361</v>
      </c>
      <c r="CY362" s="9">
        <v>16</v>
      </c>
      <c r="CZ362" s="9">
        <v>1</v>
      </c>
      <c r="DA362" s="167">
        <f>'HourGH-MAR'!C27</f>
        <v>0.7</v>
      </c>
    </row>
    <row r="363" spans="58:105">
      <c r="BF363" s="9">
        <v>362</v>
      </c>
      <c r="BG363" s="9">
        <v>16</v>
      </c>
      <c r="BH363" s="9">
        <v>2</v>
      </c>
      <c r="BI363" s="167">
        <f>'HourGH-APR'!D27</f>
        <v>0.6</v>
      </c>
      <c r="BJ363" s="263">
        <v>362</v>
      </c>
      <c r="BK363" s="9">
        <v>16</v>
      </c>
      <c r="BL363" s="9">
        <v>2</v>
      </c>
      <c r="BM363" s="167">
        <f>'HourGH-MAY'!D27</f>
        <v>0.49</v>
      </c>
      <c r="BN363" s="9">
        <v>362</v>
      </c>
      <c r="BO363" s="9">
        <v>16</v>
      </c>
      <c r="BP363" s="9">
        <v>2</v>
      </c>
      <c r="BQ363" s="167">
        <f>'HourGH-JUN'!D27</f>
        <v>0.2</v>
      </c>
      <c r="BR363" s="263">
        <v>362</v>
      </c>
      <c r="BS363" s="9">
        <v>16</v>
      </c>
      <c r="BT363" s="9">
        <v>2</v>
      </c>
      <c r="BU363" s="167">
        <f>'HourGH-JUL'!D27</f>
        <v>0.55000000000000004</v>
      </c>
      <c r="BV363" s="263">
        <v>362</v>
      </c>
      <c r="BW363" s="9">
        <v>16</v>
      </c>
      <c r="BX363" s="9">
        <v>2</v>
      </c>
      <c r="BY363" s="167">
        <f>'HourGH-AUG'!D27</f>
        <v>1.03</v>
      </c>
      <c r="BZ363" s="9">
        <v>362</v>
      </c>
      <c r="CA363" s="9">
        <v>16</v>
      </c>
      <c r="CB363" s="9">
        <v>2</v>
      </c>
      <c r="CC363" s="167">
        <f>'HourGH-SEP'!D27</f>
        <v>1.72</v>
      </c>
      <c r="CD363" s="263">
        <v>362</v>
      </c>
      <c r="CE363" s="9">
        <v>16</v>
      </c>
      <c r="CF363" s="9">
        <v>2</v>
      </c>
      <c r="CG363" s="167">
        <f>'HourGH-OCT'!D27</f>
        <v>0.57999999999999996</v>
      </c>
      <c r="CH363" s="9">
        <v>362</v>
      </c>
      <c r="CI363" s="9">
        <v>16</v>
      </c>
      <c r="CJ363" s="9">
        <v>2</v>
      </c>
      <c r="CK363" s="167">
        <f>'HourGH-NOV'!D27</f>
        <v>0.71</v>
      </c>
      <c r="CL363" s="263">
        <v>362</v>
      </c>
      <c r="CM363" s="9">
        <v>16</v>
      </c>
      <c r="CN363" s="9">
        <v>2</v>
      </c>
      <c r="CO363" s="167">
        <f>'HourGH-DEC'!D27</f>
        <v>1.04</v>
      </c>
      <c r="CP363" s="263">
        <v>362</v>
      </c>
      <c r="CQ363" s="9">
        <v>16</v>
      </c>
      <c r="CR363" s="9">
        <v>2</v>
      </c>
      <c r="CS363" s="167">
        <f>'HourGH-JAN'!D27</f>
        <v>0.4</v>
      </c>
      <c r="CT363" s="9">
        <v>362</v>
      </c>
      <c r="CU363" s="9">
        <v>16</v>
      </c>
      <c r="CV363" s="9">
        <v>2</v>
      </c>
      <c r="CW363" s="167">
        <f>'HourGH-FEB'!D27</f>
        <v>0.82</v>
      </c>
      <c r="CX363" s="263">
        <v>362</v>
      </c>
      <c r="CY363" s="9">
        <v>16</v>
      </c>
      <c r="CZ363" s="9">
        <v>2</v>
      </c>
      <c r="DA363" s="167">
        <f>'HourGH-MAR'!D27</f>
        <v>0.7</v>
      </c>
    </row>
    <row r="364" spans="58:105">
      <c r="BF364" s="9">
        <v>363</v>
      </c>
      <c r="BG364" s="9">
        <v>16</v>
      </c>
      <c r="BH364" s="9">
        <v>3</v>
      </c>
      <c r="BI364" s="167">
        <f>'HourGH-APR'!E27</f>
        <v>0.6</v>
      </c>
      <c r="BJ364" s="263">
        <v>363</v>
      </c>
      <c r="BK364" s="9">
        <v>16</v>
      </c>
      <c r="BL364" s="9">
        <v>3</v>
      </c>
      <c r="BM364" s="167">
        <f>'HourGH-MAY'!E27</f>
        <v>0.49</v>
      </c>
      <c r="BN364" s="9">
        <v>363</v>
      </c>
      <c r="BO364" s="9">
        <v>16</v>
      </c>
      <c r="BP364" s="9">
        <v>3</v>
      </c>
      <c r="BQ364" s="167">
        <f>'HourGH-JUN'!E27</f>
        <v>0.2</v>
      </c>
      <c r="BR364" s="263">
        <v>363</v>
      </c>
      <c r="BS364" s="9">
        <v>16</v>
      </c>
      <c r="BT364" s="9">
        <v>3</v>
      </c>
      <c r="BU364" s="167">
        <f>'HourGH-JUL'!E27</f>
        <v>0.54</v>
      </c>
      <c r="BV364" s="263">
        <v>363</v>
      </c>
      <c r="BW364" s="9">
        <v>16</v>
      </c>
      <c r="BX364" s="9">
        <v>3</v>
      </c>
      <c r="BY364" s="167">
        <f>'HourGH-AUG'!E27</f>
        <v>1.01</v>
      </c>
      <c r="BZ364" s="9">
        <v>363</v>
      </c>
      <c r="CA364" s="9">
        <v>16</v>
      </c>
      <c r="CB364" s="9">
        <v>3</v>
      </c>
      <c r="CC364" s="167">
        <f>'HourGH-SEP'!E27</f>
        <v>1.69</v>
      </c>
      <c r="CD364" s="263">
        <v>363</v>
      </c>
      <c r="CE364" s="9">
        <v>16</v>
      </c>
      <c r="CF364" s="9">
        <v>3</v>
      </c>
      <c r="CG364" s="167">
        <f>'HourGH-OCT'!E27</f>
        <v>0.57999999999999996</v>
      </c>
      <c r="CH364" s="9">
        <v>363</v>
      </c>
      <c r="CI364" s="9">
        <v>16</v>
      </c>
      <c r="CJ364" s="9">
        <v>3</v>
      </c>
      <c r="CK364" s="167">
        <f>'HourGH-NOV'!E27</f>
        <v>0.7</v>
      </c>
      <c r="CL364" s="263">
        <v>363</v>
      </c>
      <c r="CM364" s="9">
        <v>16</v>
      </c>
      <c r="CN364" s="9">
        <v>3</v>
      </c>
      <c r="CO364" s="167">
        <f>'HourGH-DEC'!E27</f>
        <v>1.03</v>
      </c>
      <c r="CP364" s="263">
        <v>363</v>
      </c>
      <c r="CQ364" s="9">
        <v>16</v>
      </c>
      <c r="CR364" s="9">
        <v>3</v>
      </c>
      <c r="CS364" s="167">
        <f>'HourGH-JAN'!E27</f>
        <v>0.4</v>
      </c>
      <c r="CT364" s="9">
        <v>363</v>
      </c>
      <c r="CU364" s="9">
        <v>16</v>
      </c>
      <c r="CV364" s="9">
        <v>3</v>
      </c>
      <c r="CW364" s="167">
        <f>'HourGH-FEB'!E27</f>
        <v>0.82</v>
      </c>
      <c r="CX364" s="263">
        <v>363</v>
      </c>
      <c r="CY364" s="9">
        <v>16</v>
      </c>
      <c r="CZ364" s="9">
        <v>3</v>
      </c>
      <c r="DA364" s="167">
        <f>'HourGH-MAR'!E27</f>
        <v>0.7</v>
      </c>
    </row>
    <row r="365" spans="58:105">
      <c r="BF365" s="9">
        <v>364</v>
      </c>
      <c r="BG365" s="9">
        <v>16</v>
      </c>
      <c r="BH365" s="9">
        <v>4</v>
      </c>
      <c r="BI365" s="167">
        <f>'HourGH-APR'!F27</f>
        <v>0.6</v>
      </c>
      <c r="BJ365" s="263">
        <v>364</v>
      </c>
      <c r="BK365" s="9">
        <v>16</v>
      </c>
      <c r="BL365" s="9">
        <v>4</v>
      </c>
      <c r="BM365" s="167">
        <f>'HourGH-MAY'!F27</f>
        <v>0.49</v>
      </c>
      <c r="BN365" s="9">
        <v>364</v>
      </c>
      <c r="BO365" s="9">
        <v>16</v>
      </c>
      <c r="BP365" s="9">
        <v>4</v>
      </c>
      <c r="BQ365" s="167">
        <f>'HourGH-JUN'!F27</f>
        <v>0.2</v>
      </c>
      <c r="BR365" s="263">
        <v>364</v>
      </c>
      <c r="BS365" s="9">
        <v>16</v>
      </c>
      <c r="BT365" s="9">
        <v>4</v>
      </c>
      <c r="BU365" s="167">
        <f>'HourGH-JUL'!F27</f>
        <v>0.54</v>
      </c>
      <c r="BV365" s="263">
        <v>364</v>
      </c>
      <c r="BW365" s="9">
        <v>16</v>
      </c>
      <c r="BX365" s="9">
        <v>4</v>
      </c>
      <c r="BY365" s="167">
        <f>'HourGH-AUG'!F27</f>
        <v>0.99</v>
      </c>
      <c r="BZ365" s="9">
        <v>364</v>
      </c>
      <c r="CA365" s="9">
        <v>16</v>
      </c>
      <c r="CB365" s="9">
        <v>4</v>
      </c>
      <c r="CC365" s="167">
        <f>'HourGH-SEP'!F27</f>
        <v>1.67</v>
      </c>
      <c r="CD365" s="263">
        <v>364</v>
      </c>
      <c r="CE365" s="9">
        <v>16</v>
      </c>
      <c r="CF365" s="9">
        <v>4</v>
      </c>
      <c r="CG365" s="167">
        <f>'HourGH-OCT'!F27</f>
        <v>0.57999999999999996</v>
      </c>
      <c r="CH365" s="9">
        <v>364</v>
      </c>
      <c r="CI365" s="9">
        <v>16</v>
      </c>
      <c r="CJ365" s="9">
        <v>4</v>
      </c>
      <c r="CK365" s="167">
        <f>'HourGH-NOV'!F27</f>
        <v>0.69</v>
      </c>
      <c r="CL365" s="263">
        <v>364</v>
      </c>
      <c r="CM365" s="9">
        <v>16</v>
      </c>
      <c r="CN365" s="9">
        <v>4</v>
      </c>
      <c r="CO365" s="167">
        <f>'HourGH-DEC'!F27</f>
        <v>1.02</v>
      </c>
      <c r="CP365" s="263">
        <v>364</v>
      </c>
      <c r="CQ365" s="9">
        <v>16</v>
      </c>
      <c r="CR365" s="9">
        <v>4</v>
      </c>
      <c r="CS365" s="167">
        <f>'HourGH-JAN'!F27</f>
        <v>0.4</v>
      </c>
      <c r="CT365" s="9">
        <v>364</v>
      </c>
      <c r="CU365" s="9">
        <v>16</v>
      </c>
      <c r="CV365" s="9">
        <v>4</v>
      </c>
      <c r="CW365" s="167">
        <f>'HourGH-FEB'!F27</f>
        <v>0.83</v>
      </c>
      <c r="CX365" s="263">
        <v>364</v>
      </c>
      <c r="CY365" s="9">
        <v>16</v>
      </c>
      <c r="CZ365" s="9">
        <v>4</v>
      </c>
      <c r="DA365" s="167">
        <f>'HourGH-MAR'!F27</f>
        <v>0.7</v>
      </c>
    </row>
    <row r="366" spans="58:105">
      <c r="BF366" s="9">
        <v>365</v>
      </c>
      <c r="BG366" s="9">
        <v>16</v>
      </c>
      <c r="BH366" s="9">
        <v>5</v>
      </c>
      <c r="BI366" s="167">
        <f>'HourGH-APR'!G27</f>
        <v>0.6</v>
      </c>
      <c r="BJ366" s="263">
        <v>365</v>
      </c>
      <c r="BK366" s="9">
        <v>16</v>
      </c>
      <c r="BL366" s="9">
        <v>5</v>
      </c>
      <c r="BM366" s="167">
        <f>'HourGH-MAY'!G27</f>
        <v>0.49</v>
      </c>
      <c r="BN366" s="9">
        <v>365</v>
      </c>
      <c r="BO366" s="9">
        <v>16</v>
      </c>
      <c r="BP366" s="9">
        <v>5</v>
      </c>
      <c r="BQ366" s="167">
        <f>'HourGH-JUN'!G27</f>
        <v>0.2</v>
      </c>
      <c r="BR366" s="263">
        <v>365</v>
      </c>
      <c r="BS366" s="9">
        <v>16</v>
      </c>
      <c r="BT366" s="9">
        <v>5</v>
      </c>
      <c r="BU366" s="167">
        <f>'HourGH-JUL'!G27</f>
        <v>0.53</v>
      </c>
      <c r="BV366" s="263">
        <v>365</v>
      </c>
      <c r="BW366" s="9">
        <v>16</v>
      </c>
      <c r="BX366" s="9">
        <v>5</v>
      </c>
      <c r="BY366" s="167">
        <f>'HourGH-AUG'!G27</f>
        <v>0.98</v>
      </c>
      <c r="BZ366" s="9">
        <v>365</v>
      </c>
      <c r="CA366" s="9">
        <v>16</v>
      </c>
      <c r="CB366" s="9">
        <v>5</v>
      </c>
      <c r="CC366" s="167">
        <f>'HourGH-SEP'!G27</f>
        <v>1.65</v>
      </c>
      <c r="CD366" s="263">
        <v>365</v>
      </c>
      <c r="CE366" s="9">
        <v>16</v>
      </c>
      <c r="CF366" s="9">
        <v>5</v>
      </c>
      <c r="CG366" s="167">
        <f>'HourGH-OCT'!G27</f>
        <v>0.57999999999999996</v>
      </c>
      <c r="CH366" s="9">
        <v>365</v>
      </c>
      <c r="CI366" s="9">
        <v>16</v>
      </c>
      <c r="CJ366" s="9">
        <v>5</v>
      </c>
      <c r="CK366" s="167">
        <f>'HourGH-NOV'!G27</f>
        <v>0.69</v>
      </c>
      <c r="CL366" s="263">
        <v>365</v>
      </c>
      <c r="CM366" s="9">
        <v>16</v>
      </c>
      <c r="CN366" s="9">
        <v>5</v>
      </c>
      <c r="CO366" s="167">
        <f>'HourGH-DEC'!G27</f>
        <v>1.01</v>
      </c>
      <c r="CP366" s="263">
        <v>365</v>
      </c>
      <c r="CQ366" s="9">
        <v>16</v>
      </c>
      <c r="CR366" s="9">
        <v>5</v>
      </c>
      <c r="CS366" s="167">
        <f>'HourGH-JAN'!G27</f>
        <v>0.4</v>
      </c>
      <c r="CT366" s="9">
        <v>365</v>
      </c>
      <c r="CU366" s="9">
        <v>16</v>
      </c>
      <c r="CV366" s="9">
        <v>5</v>
      </c>
      <c r="CW366" s="167">
        <f>'HourGH-FEB'!G27</f>
        <v>0.83</v>
      </c>
      <c r="CX366" s="263">
        <v>365</v>
      </c>
      <c r="CY366" s="9">
        <v>16</v>
      </c>
      <c r="CZ366" s="9">
        <v>5</v>
      </c>
      <c r="DA366" s="167">
        <f>'HourGH-MAR'!G27</f>
        <v>0.7</v>
      </c>
    </row>
    <row r="367" spans="58:105">
      <c r="BF367" s="9">
        <v>366</v>
      </c>
      <c r="BG367" s="9">
        <v>16</v>
      </c>
      <c r="BH367" s="9">
        <v>6</v>
      </c>
      <c r="BI367" s="167">
        <f>'HourGH-APR'!H27</f>
        <v>0.6</v>
      </c>
      <c r="BJ367" s="263">
        <v>366</v>
      </c>
      <c r="BK367" s="9">
        <v>16</v>
      </c>
      <c r="BL367" s="9">
        <v>6</v>
      </c>
      <c r="BM367" s="167">
        <f>'HourGH-MAY'!H27</f>
        <v>0.49</v>
      </c>
      <c r="BN367" s="9">
        <v>366</v>
      </c>
      <c r="BO367" s="9">
        <v>16</v>
      </c>
      <c r="BP367" s="9">
        <v>6</v>
      </c>
      <c r="BQ367" s="167">
        <f>'HourGH-JUN'!H27</f>
        <v>0.2</v>
      </c>
      <c r="BR367" s="263">
        <v>366</v>
      </c>
      <c r="BS367" s="9">
        <v>16</v>
      </c>
      <c r="BT367" s="9">
        <v>6</v>
      </c>
      <c r="BU367" s="167">
        <f>'HourGH-JUL'!H27</f>
        <v>0.53</v>
      </c>
      <c r="BV367" s="263">
        <v>366</v>
      </c>
      <c r="BW367" s="9">
        <v>16</v>
      </c>
      <c r="BX367" s="9">
        <v>6</v>
      </c>
      <c r="BY367" s="167">
        <f>'HourGH-AUG'!H27</f>
        <v>0.97</v>
      </c>
      <c r="BZ367" s="9">
        <v>366</v>
      </c>
      <c r="CA367" s="9">
        <v>16</v>
      </c>
      <c r="CB367" s="9">
        <v>6</v>
      </c>
      <c r="CC367" s="167">
        <f>'HourGH-SEP'!H27</f>
        <v>1.63</v>
      </c>
      <c r="CD367" s="263">
        <v>366</v>
      </c>
      <c r="CE367" s="9">
        <v>16</v>
      </c>
      <c r="CF367" s="9">
        <v>6</v>
      </c>
      <c r="CG367" s="167">
        <f>'HourGH-OCT'!H27</f>
        <v>0.57999999999999996</v>
      </c>
      <c r="CH367" s="9">
        <v>366</v>
      </c>
      <c r="CI367" s="9">
        <v>16</v>
      </c>
      <c r="CJ367" s="9">
        <v>6</v>
      </c>
      <c r="CK367" s="167">
        <f>'HourGH-NOV'!H27</f>
        <v>0.68</v>
      </c>
      <c r="CL367" s="263">
        <v>366</v>
      </c>
      <c r="CM367" s="9">
        <v>16</v>
      </c>
      <c r="CN367" s="9">
        <v>6</v>
      </c>
      <c r="CO367" s="167">
        <f>'HourGH-DEC'!H27</f>
        <v>1</v>
      </c>
      <c r="CP367" s="263">
        <v>366</v>
      </c>
      <c r="CQ367" s="9">
        <v>16</v>
      </c>
      <c r="CR367" s="9">
        <v>6</v>
      </c>
      <c r="CS367" s="167">
        <f>'HourGH-JAN'!H27</f>
        <v>0.4</v>
      </c>
      <c r="CT367" s="9">
        <v>366</v>
      </c>
      <c r="CU367" s="9">
        <v>16</v>
      </c>
      <c r="CV367" s="9">
        <v>6</v>
      </c>
      <c r="CW367" s="167">
        <f>'HourGH-FEB'!H27</f>
        <v>0.83</v>
      </c>
      <c r="CX367" s="263">
        <v>366</v>
      </c>
      <c r="CY367" s="9">
        <v>16</v>
      </c>
      <c r="CZ367" s="9">
        <v>6</v>
      </c>
      <c r="DA367" s="167">
        <f>'HourGH-MAR'!H27</f>
        <v>0.7</v>
      </c>
    </row>
    <row r="368" spans="58:105">
      <c r="BF368" s="9">
        <v>367</v>
      </c>
      <c r="BG368" s="9">
        <v>16</v>
      </c>
      <c r="BH368" s="9">
        <v>7</v>
      </c>
      <c r="BI368" s="167">
        <f>'HourGH-APR'!I27</f>
        <v>0.6</v>
      </c>
      <c r="BJ368" s="263">
        <v>367</v>
      </c>
      <c r="BK368" s="9">
        <v>16</v>
      </c>
      <c r="BL368" s="9">
        <v>7</v>
      </c>
      <c r="BM368" s="167">
        <f>'HourGH-MAY'!I27</f>
        <v>0.49</v>
      </c>
      <c r="BN368" s="9">
        <v>367</v>
      </c>
      <c r="BO368" s="9">
        <v>16</v>
      </c>
      <c r="BP368" s="9">
        <v>7</v>
      </c>
      <c r="BQ368" s="167">
        <f>'HourGH-JUN'!I27</f>
        <v>0.2</v>
      </c>
      <c r="BR368" s="263">
        <v>367</v>
      </c>
      <c r="BS368" s="9">
        <v>16</v>
      </c>
      <c r="BT368" s="9">
        <v>7</v>
      </c>
      <c r="BU368" s="167">
        <f>'HourGH-JUL'!I27</f>
        <v>0.53</v>
      </c>
      <c r="BV368" s="263">
        <v>367</v>
      </c>
      <c r="BW368" s="9">
        <v>16</v>
      </c>
      <c r="BX368" s="9">
        <v>7</v>
      </c>
      <c r="BY368" s="167">
        <f>'HourGH-AUG'!I27</f>
        <v>0.96</v>
      </c>
      <c r="BZ368" s="9">
        <v>367</v>
      </c>
      <c r="CA368" s="9">
        <v>16</v>
      </c>
      <c r="CB368" s="9">
        <v>7</v>
      </c>
      <c r="CC368" s="167">
        <f>'HourGH-SEP'!I27</f>
        <v>1.6</v>
      </c>
      <c r="CD368" s="263">
        <v>367</v>
      </c>
      <c r="CE368" s="9">
        <v>16</v>
      </c>
      <c r="CF368" s="9">
        <v>7</v>
      </c>
      <c r="CG368" s="167">
        <f>'HourGH-OCT'!I27</f>
        <v>0.57999999999999996</v>
      </c>
      <c r="CH368" s="9">
        <v>367</v>
      </c>
      <c r="CI368" s="9">
        <v>16</v>
      </c>
      <c r="CJ368" s="9">
        <v>7</v>
      </c>
      <c r="CK368" s="167">
        <f>'HourGH-NOV'!I27</f>
        <v>0.68</v>
      </c>
      <c r="CL368" s="263">
        <v>367</v>
      </c>
      <c r="CM368" s="9">
        <v>16</v>
      </c>
      <c r="CN368" s="9">
        <v>7</v>
      </c>
      <c r="CO368" s="167">
        <f>'HourGH-DEC'!I27</f>
        <v>0.98</v>
      </c>
      <c r="CP368" s="263">
        <v>367</v>
      </c>
      <c r="CQ368" s="9">
        <v>16</v>
      </c>
      <c r="CR368" s="9">
        <v>7</v>
      </c>
      <c r="CS368" s="167">
        <f>'HourGH-JAN'!I27</f>
        <v>0.4</v>
      </c>
      <c r="CT368" s="9">
        <v>367</v>
      </c>
      <c r="CU368" s="9">
        <v>16</v>
      </c>
      <c r="CV368" s="9">
        <v>7</v>
      </c>
      <c r="CW368" s="167">
        <f>'HourGH-FEB'!I27</f>
        <v>0.83</v>
      </c>
      <c r="CX368" s="263">
        <v>367</v>
      </c>
      <c r="CY368" s="9">
        <v>16</v>
      </c>
      <c r="CZ368" s="9">
        <v>7</v>
      </c>
      <c r="DA368" s="167">
        <f>'HourGH-MAR'!I27</f>
        <v>0.7</v>
      </c>
    </row>
    <row r="369" spans="58:105">
      <c r="BF369" s="9">
        <v>368</v>
      </c>
      <c r="BG369" s="9">
        <v>16</v>
      </c>
      <c r="BH369" s="9">
        <v>8</v>
      </c>
      <c r="BI369" s="167">
        <f>'HourGH-APR'!J27</f>
        <v>0.6</v>
      </c>
      <c r="BJ369" s="263">
        <v>368</v>
      </c>
      <c r="BK369" s="9">
        <v>16</v>
      </c>
      <c r="BL369" s="9">
        <v>8</v>
      </c>
      <c r="BM369" s="167">
        <f>'HourGH-MAY'!J27</f>
        <v>0.49</v>
      </c>
      <c r="BN369" s="9">
        <v>368</v>
      </c>
      <c r="BO369" s="9">
        <v>16</v>
      </c>
      <c r="BP369" s="9">
        <v>8</v>
      </c>
      <c r="BQ369" s="167">
        <f>'HourGH-JUN'!J27</f>
        <v>0.2</v>
      </c>
      <c r="BR369" s="263">
        <v>368</v>
      </c>
      <c r="BS369" s="9">
        <v>16</v>
      </c>
      <c r="BT369" s="9">
        <v>8</v>
      </c>
      <c r="BU369" s="167">
        <f>'HourGH-JUL'!J27</f>
        <v>0.52</v>
      </c>
      <c r="BV369" s="263">
        <v>368</v>
      </c>
      <c r="BW369" s="9">
        <v>16</v>
      </c>
      <c r="BX369" s="9">
        <v>8</v>
      </c>
      <c r="BY369" s="167">
        <f>'HourGH-AUG'!J27</f>
        <v>0.95</v>
      </c>
      <c r="BZ369" s="9">
        <v>368</v>
      </c>
      <c r="CA369" s="9">
        <v>16</v>
      </c>
      <c r="CB369" s="9">
        <v>8</v>
      </c>
      <c r="CC369" s="167">
        <f>'HourGH-SEP'!J27</f>
        <v>1.59</v>
      </c>
      <c r="CD369" s="263">
        <v>368</v>
      </c>
      <c r="CE369" s="9">
        <v>16</v>
      </c>
      <c r="CF369" s="9">
        <v>8</v>
      </c>
      <c r="CG369" s="167">
        <f>'HourGH-OCT'!J27</f>
        <v>0.57999999999999996</v>
      </c>
      <c r="CH369" s="9">
        <v>368</v>
      </c>
      <c r="CI369" s="9">
        <v>16</v>
      </c>
      <c r="CJ369" s="9">
        <v>8</v>
      </c>
      <c r="CK369" s="167">
        <f>'HourGH-NOV'!J27</f>
        <v>0.68</v>
      </c>
      <c r="CL369" s="263">
        <v>368</v>
      </c>
      <c r="CM369" s="9">
        <v>16</v>
      </c>
      <c r="CN369" s="9">
        <v>8</v>
      </c>
      <c r="CO369" s="167">
        <f>'HourGH-DEC'!J27</f>
        <v>0.97</v>
      </c>
      <c r="CP369" s="263">
        <v>368</v>
      </c>
      <c r="CQ369" s="9">
        <v>16</v>
      </c>
      <c r="CR369" s="9">
        <v>8</v>
      </c>
      <c r="CS369" s="167">
        <f>'HourGH-JAN'!J27</f>
        <v>0.4</v>
      </c>
      <c r="CT369" s="9">
        <v>368</v>
      </c>
      <c r="CU369" s="9">
        <v>16</v>
      </c>
      <c r="CV369" s="9">
        <v>8</v>
      </c>
      <c r="CW369" s="167">
        <f>'HourGH-FEB'!J27</f>
        <v>0.83</v>
      </c>
      <c r="CX369" s="263">
        <v>368</v>
      </c>
      <c r="CY369" s="9">
        <v>16</v>
      </c>
      <c r="CZ369" s="9">
        <v>8</v>
      </c>
      <c r="DA369" s="167">
        <f>'HourGH-MAR'!J27</f>
        <v>0.7</v>
      </c>
    </row>
    <row r="370" spans="58:105">
      <c r="BF370" s="9">
        <v>369</v>
      </c>
      <c r="BG370" s="9">
        <v>16</v>
      </c>
      <c r="BH370" s="9">
        <v>9</v>
      </c>
      <c r="BI370" s="167">
        <f>'HourGH-APR'!K27</f>
        <v>0.6</v>
      </c>
      <c r="BJ370" s="263">
        <v>369</v>
      </c>
      <c r="BK370" s="9">
        <v>16</v>
      </c>
      <c r="BL370" s="9">
        <v>9</v>
      </c>
      <c r="BM370" s="167">
        <f>'HourGH-MAY'!K27</f>
        <v>0.49</v>
      </c>
      <c r="BN370" s="9">
        <v>369</v>
      </c>
      <c r="BO370" s="9">
        <v>16</v>
      </c>
      <c r="BP370" s="9">
        <v>9</v>
      </c>
      <c r="BQ370" s="167">
        <f>'HourGH-JUN'!K27</f>
        <v>0.2</v>
      </c>
      <c r="BR370" s="263">
        <v>369</v>
      </c>
      <c r="BS370" s="9">
        <v>16</v>
      </c>
      <c r="BT370" s="9">
        <v>9</v>
      </c>
      <c r="BU370" s="167">
        <f>'HourGH-JUL'!K27</f>
        <v>0.52</v>
      </c>
      <c r="BV370" s="263">
        <v>369</v>
      </c>
      <c r="BW370" s="9">
        <v>16</v>
      </c>
      <c r="BX370" s="9">
        <v>9</v>
      </c>
      <c r="BY370" s="167">
        <f>'HourGH-AUG'!K27</f>
        <v>0.94</v>
      </c>
      <c r="BZ370" s="9">
        <v>369</v>
      </c>
      <c r="CA370" s="9">
        <v>16</v>
      </c>
      <c r="CB370" s="9">
        <v>9</v>
      </c>
      <c r="CC370" s="167">
        <f>'HourGH-SEP'!K27</f>
        <v>1.59</v>
      </c>
      <c r="CD370" s="263">
        <v>369</v>
      </c>
      <c r="CE370" s="9">
        <v>16</v>
      </c>
      <c r="CF370" s="9">
        <v>9</v>
      </c>
      <c r="CG370" s="167">
        <f>'HourGH-OCT'!K27</f>
        <v>0.57999999999999996</v>
      </c>
      <c r="CH370" s="9">
        <v>369</v>
      </c>
      <c r="CI370" s="9">
        <v>16</v>
      </c>
      <c r="CJ370" s="9">
        <v>9</v>
      </c>
      <c r="CK370" s="167">
        <f>'HourGH-NOV'!K27</f>
        <v>0.68</v>
      </c>
      <c r="CL370" s="263">
        <v>369</v>
      </c>
      <c r="CM370" s="9">
        <v>16</v>
      </c>
      <c r="CN370" s="9">
        <v>9</v>
      </c>
      <c r="CO370" s="167">
        <f>'HourGH-DEC'!K27</f>
        <v>0.96</v>
      </c>
      <c r="CP370" s="263">
        <v>369</v>
      </c>
      <c r="CQ370" s="9">
        <v>16</v>
      </c>
      <c r="CR370" s="9">
        <v>9</v>
      </c>
      <c r="CS370" s="167">
        <f>'HourGH-JAN'!K27</f>
        <v>0.4</v>
      </c>
      <c r="CT370" s="9">
        <v>369</v>
      </c>
      <c r="CU370" s="9">
        <v>16</v>
      </c>
      <c r="CV370" s="9">
        <v>9</v>
      </c>
      <c r="CW370" s="167">
        <f>'HourGH-FEB'!K27</f>
        <v>0.84</v>
      </c>
      <c r="CX370" s="263">
        <v>369</v>
      </c>
      <c r="CY370" s="9">
        <v>16</v>
      </c>
      <c r="CZ370" s="9">
        <v>9</v>
      </c>
      <c r="DA370" s="167">
        <f>'HourGH-MAR'!K27</f>
        <v>0.7</v>
      </c>
    </row>
    <row r="371" spans="58:105">
      <c r="BF371" s="9">
        <v>370</v>
      </c>
      <c r="BG371" s="9">
        <v>16</v>
      </c>
      <c r="BH371" s="9">
        <v>10</v>
      </c>
      <c r="BI371" s="167">
        <f>'HourGH-APR'!L27</f>
        <v>0.6</v>
      </c>
      <c r="BJ371" s="263">
        <v>370</v>
      </c>
      <c r="BK371" s="9">
        <v>16</v>
      </c>
      <c r="BL371" s="9">
        <v>10</v>
      </c>
      <c r="BM371" s="167">
        <f>'HourGH-MAY'!L27</f>
        <v>0.49</v>
      </c>
      <c r="BN371" s="9">
        <v>370</v>
      </c>
      <c r="BO371" s="9">
        <v>16</v>
      </c>
      <c r="BP371" s="9">
        <v>10</v>
      </c>
      <c r="BQ371" s="167">
        <f>'HourGH-JUN'!L27</f>
        <v>0.2</v>
      </c>
      <c r="BR371" s="263">
        <v>370</v>
      </c>
      <c r="BS371" s="9">
        <v>16</v>
      </c>
      <c r="BT371" s="9">
        <v>10</v>
      </c>
      <c r="BU371" s="167">
        <f>'HourGH-JUL'!L27</f>
        <v>0.52</v>
      </c>
      <c r="BV371" s="263">
        <v>370</v>
      </c>
      <c r="BW371" s="9">
        <v>16</v>
      </c>
      <c r="BX371" s="9">
        <v>10</v>
      </c>
      <c r="BY371" s="167">
        <f>'HourGH-AUG'!L27</f>
        <v>0.93</v>
      </c>
      <c r="BZ371" s="9">
        <v>370</v>
      </c>
      <c r="CA371" s="9">
        <v>16</v>
      </c>
      <c r="CB371" s="9">
        <v>10</v>
      </c>
      <c r="CC371" s="167">
        <f>'HourGH-SEP'!L27</f>
        <v>1.58</v>
      </c>
      <c r="CD371" s="263">
        <v>370</v>
      </c>
      <c r="CE371" s="9">
        <v>16</v>
      </c>
      <c r="CF371" s="9">
        <v>10</v>
      </c>
      <c r="CG371" s="167">
        <f>'HourGH-OCT'!L27</f>
        <v>0.57999999999999996</v>
      </c>
      <c r="CH371" s="9">
        <v>370</v>
      </c>
      <c r="CI371" s="9">
        <v>16</v>
      </c>
      <c r="CJ371" s="9">
        <v>10</v>
      </c>
      <c r="CK371" s="167">
        <f>'HourGH-NOV'!L27</f>
        <v>0.68</v>
      </c>
      <c r="CL371" s="263">
        <v>370</v>
      </c>
      <c r="CM371" s="9">
        <v>16</v>
      </c>
      <c r="CN371" s="9">
        <v>10</v>
      </c>
      <c r="CO371" s="167">
        <f>'HourGH-DEC'!L27</f>
        <v>0.94</v>
      </c>
      <c r="CP371" s="263">
        <v>370</v>
      </c>
      <c r="CQ371" s="9">
        <v>16</v>
      </c>
      <c r="CR371" s="9">
        <v>10</v>
      </c>
      <c r="CS371" s="167">
        <f>'HourGH-JAN'!L27</f>
        <v>0.4</v>
      </c>
      <c r="CT371" s="9">
        <v>370</v>
      </c>
      <c r="CU371" s="9">
        <v>16</v>
      </c>
      <c r="CV371" s="9">
        <v>10</v>
      </c>
      <c r="CW371" s="167">
        <f>'HourGH-FEB'!L27</f>
        <v>0.84</v>
      </c>
      <c r="CX371" s="263">
        <v>370</v>
      </c>
      <c r="CY371" s="9">
        <v>16</v>
      </c>
      <c r="CZ371" s="9">
        <v>10</v>
      </c>
      <c r="DA371" s="167">
        <f>'HourGH-MAR'!L27</f>
        <v>0.7</v>
      </c>
    </row>
    <row r="372" spans="58:105">
      <c r="BF372" s="9">
        <v>371</v>
      </c>
      <c r="BG372" s="9">
        <v>16</v>
      </c>
      <c r="BH372" s="9">
        <v>11</v>
      </c>
      <c r="BI372" s="167">
        <f>'HourGH-APR'!M27</f>
        <v>0.6</v>
      </c>
      <c r="BJ372" s="263">
        <v>371</v>
      </c>
      <c r="BK372" s="9">
        <v>16</v>
      </c>
      <c r="BL372" s="9">
        <v>11</v>
      </c>
      <c r="BM372" s="167">
        <f>'HourGH-MAY'!M27</f>
        <v>0.49</v>
      </c>
      <c r="BN372" s="9">
        <v>371</v>
      </c>
      <c r="BO372" s="9">
        <v>16</v>
      </c>
      <c r="BP372" s="9">
        <v>11</v>
      </c>
      <c r="BQ372" s="167">
        <f>'HourGH-JUN'!M27</f>
        <v>0.2</v>
      </c>
      <c r="BR372" s="263">
        <v>371</v>
      </c>
      <c r="BS372" s="9">
        <v>16</v>
      </c>
      <c r="BT372" s="9">
        <v>11</v>
      </c>
      <c r="BU372" s="167">
        <f>'HourGH-JUL'!M27</f>
        <v>0.51</v>
      </c>
      <c r="BV372" s="263">
        <v>371</v>
      </c>
      <c r="BW372" s="9">
        <v>16</v>
      </c>
      <c r="BX372" s="9">
        <v>11</v>
      </c>
      <c r="BY372" s="167">
        <f>'HourGH-AUG'!M27</f>
        <v>0.92</v>
      </c>
      <c r="BZ372" s="9">
        <v>371</v>
      </c>
      <c r="CA372" s="9">
        <v>16</v>
      </c>
      <c r="CB372" s="9">
        <v>11</v>
      </c>
      <c r="CC372" s="167">
        <f>'HourGH-SEP'!M27</f>
        <v>1.58</v>
      </c>
      <c r="CD372" s="263">
        <v>371</v>
      </c>
      <c r="CE372" s="9">
        <v>16</v>
      </c>
      <c r="CF372" s="9">
        <v>11</v>
      </c>
      <c r="CG372" s="167">
        <f>'HourGH-OCT'!M27</f>
        <v>0.57999999999999996</v>
      </c>
      <c r="CH372" s="9">
        <v>371</v>
      </c>
      <c r="CI372" s="9">
        <v>16</v>
      </c>
      <c r="CJ372" s="9">
        <v>11</v>
      </c>
      <c r="CK372" s="167">
        <f>'HourGH-NOV'!M27</f>
        <v>0.68</v>
      </c>
      <c r="CL372" s="263">
        <v>371</v>
      </c>
      <c r="CM372" s="9">
        <v>16</v>
      </c>
      <c r="CN372" s="9">
        <v>11</v>
      </c>
      <c r="CO372" s="167">
        <f>'HourGH-DEC'!M27</f>
        <v>0.93</v>
      </c>
      <c r="CP372" s="263">
        <v>371</v>
      </c>
      <c r="CQ372" s="9">
        <v>16</v>
      </c>
      <c r="CR372" s="9">
        <v>11</v>
      </c>
      <c r="CS372" s="167">
        <f>'HourGH-JAN'!M27</f>
        <v>0.4</v>
      </c>
      <c r="CT372" s="9">
        <v>371</v>
      </c>
      <c r="CU372" s="9">
        <v>16</v>
      </c>
      <c r="CV372" s="9">
        <v>11</v>
      </c>
      <c r="CW372" s="167">
        <f>'HourGH-FEB'!M27</f>
        <v>0.84</v>
      </c>
      <c r="CX372" s="263">
        <v>371</v>
      </c>
      <c r="CY372" s="9">
        <v>16</v>
      </c>
      <c r="CZ372" s="9">
        <v>11</v>
      </c>
      <c r="DA372" s="167">
        <f>'HourGH-MAR'!M27</f>
        <v>0.7</v>
      </c>
    </row>
    <row r="373" spans="58:105">
      <c r="BF373" s="9">
        <v>372</v>
      </c>
      <c r="BG373" s="9">
        <v>16</v>
      </c>
      <c r="BH373" s="9">
        <v>12</v>
      </c>
      <c r="BI373" s="167">
        <f>'HourGH-APR'!N27</f>
        <v>0.6</v>
      </c>
      <c r="BJ373" s="263">
        <v>372</v>
      </c>
      <c r="BK373" s="9">
        <v>16</v>
      </c>
      <c r="BL373" s="9">
        <v>12</v>
      </c>
      <c r="BM373" s="167">
        <f>'HourGH-MAY'!N27</f>
        <v>0.49</v>
      </c>
      <c r="BN373" s="9">
        <v>372</v>
      </c>
      <c r="BO373" s="9">
        <v>16</v>
      </c>
      <c r="BP373" s="9">
        <v>12</v>
      </c>
      <c r="BQ373" s="167">
        <f>'HourGH-JUN'!N27</f>
        <v>0.2</v>
      </c>
      <c r="BR373" s="263">
        <v>372</v>
      </c>
      <c r="BS373" s="9">
        <v>16</v>
      </c>
      <c r="BT373" s="9">
        <v>12</v>
      </c>
      <c r="BU373" s="167">
        <f>'HourGH-JUL'!N27</f>
        <v>0.51</v>
      </c>
      <c r="BV373" s="263">
        <v>372</v>
      </c>
      <c r="BW373" s="9">
        <v>16</v>
      </c>
      <c r="BX373" s="9">
        <v>12</v>
      </c>
      <c r="BY373" s="167">
        <f>'HourGH-AUG'!N27</f>
        <v>0.91</v>
      </c>
      <c r="BZ373" s="9">
        <v>372</v>
      </c>
      <c r="CA373" s="9">
        <v>16</v>
      </c>
      <c r="CB373" s="9">
        <v>12</v>
      </c>
      <c r="CC373" s="167">
        <f>'HourGH-SEP'!N27</f>
        <v>1.58</v>
      </c>
      <c r="CD373" s="263">
        <v>372</v>
      </c>
      <c r="CE373" s="9">
        <v>16</v>
      </c>
      <c r="CF373" s="9">
        <v>12</v>
      </c>
      <c r="CG373" s="167">
        <f>'HourGH-OCT'!N27</f>
        <v>0.57999999999999996</v>
      </c>
      <c r="CH373" s="9">
        <v>372</v>
      </c>
      <c r="CI373" s="9">
        <v>16</v>
      </c>
      <c r="CJ373" s="9">
        <v>12</v>
      </c>
      <c r="CK373" s="167">
        <f>'HourGH-NOV'!N27</f>
        <v>0.68</v>
      </c>
      <c r="CL373" s="263">
        <v>372</v>
      </c>
      <c r="CM373" s="9">
        <v>16</v>
      </c>
      <c r="CN373" s="9">
        <v>12</v>
      </c>
      <c r="CO373" s="167">
        <f>'HourGH-DEC'!N27</f>
        <v>0.91</v>
      </c>
      <c r="CP373" s="263">
        <v>372</v>
      </c>
      <c r="CQ373" s="9">
        <v>16</v>
      </c>
      <c r="CR373" s="9">
        <v>12</v>
      </c>
      <c r="CS373" s="167">
        <f>'HourGH-JAN'!N27</f>
        <v>0.4</v>
      </c>
      <c r="CT373" s="9">
        <v>372</v>
      </c>
      <c r="CU373" s="9">
        <v>16</v>
      </c>
      <c r="CV373" s="9">
        <v>12</v>
      </c>
      <c r="CW373" s="167">
        <f>'HourGH-FEB'!N27</f>
        <v>0.84</v>
      </c>
      <c r="CX373" s="263">
        <v>372</v>
      </c>
      <c r="CY373" s="9">
        <v>16</v>
      </c>
      <c r="CZ373" s="9">
        <v>12</v>
      </c>
      <c r="DA373" s="167">
        <f>'HourGH-MAR'!N27</f>
        <v>0.7</v>
      </c>
    </row>
    <row r="374" spans="58:105">
      <c r="BF374" s="9">
        <v>373</v>
      </c>
      <c r="BG374" s="9">
        <v>16</v>
      </c>
      <c r="BH374" s="9">
        <v>13</v>
      </c>
      <c r="BI374" s="167">
        <f>'HourGH-APR'!O27</f>
        <v>0.6</v>
      </c>
      <c r="BJ374" s="263">
        <v>373</v>
      </c>
      <c r="BK374" s="9">
        <v>16</v>
      </c>
      <c r="BL374" s="9">
        <v>13</v>
      </c>
      <c r="BM374" s="167">
        <f>'HourGH-MAY'!O27</f>
        <v>0.49</v>
      </c>
      <c r="BN374" s="9">
        <v>373</v>
      </c>
      <c r="BO374" s="9">
        <v>16</v>
      </c>
      <c r="BP374" s="9">
        <v>13</v>
      </c>
      <c r="BQ374" s="167">
        <f>'HourGH-JUN'!O27</f>
        <v>0.2</v>
      </c>
      <c r="BR374" s="263">
        <v>373</v>
      </c>
      <c r="BS374" s="9">
        <v>16</v>
      </c>
      <c r="BT374" s="9">
        <v>13</v>
      </c>
      <c r="BU374" s="167">
        <f>'HourGH-JUL'!O27</f>
        <v>0.51</v>
      </c>
      <c r="BV374" s="263">
        <v>373</v>
      </c>
      <c r="BW374" s="9">
        <v>16</v>
      </c>
      <c r="BX374" s="9">
        <v>13</v>
      </c>
      <c r="BY374" s="167">
        <f>'HourGH-AUG'!O27</f>
        <v>0.91</v>
      </c>
      <c r="BZ374" s="9">
        <v>373</v>
      </c>
      <c r="CA374" s="9">
        <v>16</v>
      </c>
      <c r="CB374" s="9">
        <v>13</v>
      </c>
      <c r="CC374" s="167">
        <f>'HourGH-SEP'!O27</f>
        <v>1.57</v>
      </c>
      <c r="CD374" s="263">
        <v>373</v>
      </c>
      <c r="CE374" s="9">
        <v>16</v>
      </c>
      <c r="CF374" s="9">
        <v>13</v>
      </c>
      <c r="CG374" s="167">
        <f>'HourGH-OCT'!O27</f>
        <v>0.57999999999999996</v>
      </c>
      <c r="CH374" s="9">
        <v>373</v>
      </c>
      <c r="CI374" s="9">
        <v>16</v>
      </c>
      <c r="CJ374" s="9">
        <v>13</v>
      </c>
      <c r="CK374" s="167">
        <f>'HourGH-NOV'!O27</f>
        <v>0.67</v>
      </c>
      <c r="CL374" s="263">
        <v>373</v>
      </c>
      <c r="CM374" s="9">
        <v>16</v>
      </c>
      <c r="CN374" s="9">
        <v>13</v>
      </c>
      <c r="CO374" s="167">
        <f>'HourGH-DEC'!O27</f>
        <v>0.9</v>
      </c>
      <c r="CP374" s="263">
        <v>373</v>
      </c>
      <c r="CQ374" s="9">
        <v>16</v>
      </c>
      <c r="CR374" s="9">
        <v>13</v>
      </c>
      <c r="CS374" s="167">
        <f>'HourGH-JAN'!O27</f>
        <v>0.4</v>
      </c>
      <c r="CT374" s="9">
        <v>373</v>
      </c>
      <c r="CU374" s="9">
        <v>16</v>
      </c>
      <c r="CV374" s="9">
        <v>13</v>
      </c>
      <c r="CW374" s="167">
        <f>'HourGH-FEB'!O27</f>
        <v>0.85</v>
      </c>
      <c r="CX374" s="263">
        <v>373</v>
      </c>
      <c r="CY374" s="9">
        <v>16</v>
      </c>
      <c r="CZ374" s="9">
        <v>13</v>
      </c>
      <c r="DA374" s="167">
        <f>'HourGH-MAR'!O27</f>
        <v>0.7</v>
      </c>
    </row>
    <row r="375" spans="58:105">
      <c r="BF375" s="9">
        <v>374</v>
      </c>
      <c r="BG375" s="9">
        <v>16</v>
      </c>
      <c r="BH375" s="9">
        <v>14</v>
      </c>
      <c r="BI375" s="167">
        <f>'HourGH-APR'!P27</f>
        <v>0.6</v>
      </c>
      <c r="BJ375" s="263">
        <v>374</v>
      </c>
      <c r="BK375" s="9">
        <v>16</v>
      </c>
      <c r="BL375" s="9">
        <v>14</v>
      </c>
      <c r="BM375" s="167">
        <f>'HourGH-MAY'!P27</f>
        <v>0.49</v>
      </c>
      <c r="BN375" s="9">
        <v>374</v>
      </c>
      <c r="BO375" s="9">
        <v>16</v>
      </c>
      <c r="BP375" s="9">
        <v>14</v>
      </c>
      <c r="BQ375" s="167">
        <f>'HourGH-JUN'!P27</f>
        <v>0.2</v>
      </c>
      <c r="BR375" s="263">
        <v>374</v>
      </c>
      <c r="BS375" s="9">
        <v>16</v>
      </c>
      <c r="BT375" s="9">
        <v>14</v>
      </c>
      <c r="BU375" s="167">
        <f>'HourGH-JUL'!P27</f>
        <v>0.5</v>
      </c>
      <c r="BV375" s="263">
        <v>374</v>
      </c>
      <c r="BW375" s="9">
        <v>16</v>
      </c>
      <c r="BX375" s="9">
        <v>14</v>
      </c>
      <c r="BY375" s="167">
        <f>'HourGH-AUG'!P27</f>
        <v>0.9</v>
      </c>
      <c r="BZ375" s="9">
        <v>374</v>
      </c>
      <c r="CA375" s="9">
        <v>16</v>
      </c>
      <c r="CB375" s="9">
        <v>14</v>
      </c>
      <c r="CC375" s="167">
        <f>'HourGH-SEP'!P27</f>
        <v>1.57</v>
      </c>
      <c r="CD375" s="263">
        <v>374</v>
      </c>
      <c r="CE375" s="9">
        <v>16</v>
      </c>
      <c r="CF375" s="9">
        <v>14</v>
      </c>
      <c r="CG375" s="167">
        <f>'HourGH-OCT'!P27</f>
        <v>0.57999999999999996</v>
      </c>
      <c r="CH375" s="9">
        <v>374</v>
      </c>
      <c r="CI375" s="9">
        <v>16</v>
      </c>
      <c r="CJ375" s="9">
        <v>14</v>
      </c>
      <c r="CK375" s="167">
        <f>'HourGH-NOV'!P27</f>
        <v>0.67</v>
      </c>
      <c r="CL375" s="263">
        <v>374</v>
      </c>
      <c r="CM375" s="9">
        <v>16</v>
      </c>
      <c r="CN375" s="9">
        <v>14</v>
      </c>
      <c r="CO375" s="167">
        <f>'HourGH-DEC'!P27</f>
        <v>0.89</v>
      </c>
      <c r="CP375" s="263">
        <v>374</v>
      </c>
      <c r="CQ375" s="9">
        <v>16</v>
      </c>
      <c r="CR375" s="9">
        <v>14</v>
      </c>
      <c r="CS375" s="167">
        <f>'HourGH-JAN'!P27</f>
        <v>0.4</v>
      </c>
      <c r="CT375" s="9">
        <v>374</v>
      </c>
      <c r="CU375" s="9">
        <v>16</v>
      </c>
      <c r="CV375" s="9">
        <v>14</v>
      </c>
      <c r="CW375" s="167">
        <f>'HourGH-FEB'!P27</f>
        <v>0.85</v>
      </c>
      <c r="CX375" s="263">
        <v>374</v>
      </c>
      <c r="CY375" s="9">
        <v>16</v>
      </c>
      <c r="CZ375" s="9">
        <v>14</v>
      </c>
      <c r="DA375" s="167">
        <f>'HourGH-MAR'!P27</f>
        <v>0.7</v>
      </c>
    </row>
    <row r="376" spans="58:105">
      <c r="BF376" s="9">
        <v>375</v>
      </c>
      <c r="BG376" s="9">
        <v>16</v>
      </c>
      <c r="BH376" s="9">
        <v>15</v>
      </c>
      <c r="BI376" s="167">
        <f>'HourGH-APR'!Q27</f>
        <v>0.6</v>
      </c>
      <c r="BJ376" s="263">
        <v>375</v>
      </c>
      <c r="BK376" s="9">
        <v>16</v>
      </c>
      <c r="BL376" s="9">
        <v>15</v>
      </c>
      <c r="BM376" s="167">
        <f>'HourGH-MAY'!Q27</f>
        <v>0.49</v>
      </c>
      <c r="BN376" s="9">
        <v>375</v>
      </c>
      <c r="BO376" s="9">
        <v>16</v>
      </c>
      <c r="BP376" s="9">
        <v>15</v>
      </c>
      <c r="BQ376" s="167">
        <f>'HourGH-JUN'!Q27</f>
        <v>0.2</v>
      </c>
      <c r="BR376" s="263">
        <v>375</v>
      </c>
      <c r="BS376" s="9">
        <v>16</v>
      </c>
      <c r="BT376" s="9">
        <v>15</v>
      </c>
      <c r="BU376" s="167">
        <f>'HourGH-JUL'!Q27</f>
        <v>0.5</v>
      </c>
      <c r="BV376" s="263">
        <v>375</v>
      </c>
      <c r="BW376" s="9">
        <v>16</v>
      </c>
      <c r="BX376" s="9">
        <v>15</v>
      </c>
      <c r="BY376" s="167">
        <f>'HourGH-AUG'!Q27</f>
        <v>0.9</v>
      </c>
      <c r="BZ376" s="9">
        <v>375</v>
      </c>
      <c r="CA376" s="9">
        <v>16</v>
      </c>
      <c r="CB376" s="9">
        <v>15</v>
      </c>
      <c r="CC376" s="167">
        <f>'HourGH-SEP'!Q27</f>
        <v>1.57</v>
      </c>
      <c r="CD376" s="263">
        <v>375</v>
      </c>
      <c r="CE376" s="9">
        <v>16</v>
      </c>
      <c r="CF376" s="9">
        <v>15</v>
      </c>
      <c r="CG376" s="167">
        <f>'HourGH-OCT'!Q27</f>
        <v>0.57999999999999996</v>
      </c>
      <c r="CH376" s="9">
        <v>375</v>
      </c>
      <c r="CI376" s="9">
        <v>16</v>
      </c>
      <c r="CJ376" s="9">
        <v>15</v>
      </c>
      <c r="CK376" s="167">
        <f>'HourGH-NOV'!Q27</f>
        <v>0.67</v>
      </c>
      <c r="CL376" s="263">
        <v>375</v>
      </c>
      <c r="CM376" s="9">
        <v>16</v>
      </c>
      <c r="CN376" s="9">
        <v>15</v>
      </c>
      <c r="CO376" s="167">
        <f>'HourGH-DEC'!Q27</f>
        <v>0.87</v>
      </c>
      <c r="CP376" s="263">
        <v>375</v>
      </c>
      <c r="CQ376" s="9">
        <v>16</v>
      </c>
      <c r="CR376" s="9">
        <v>15</v>
      </c>
      <c r="CS376" s="167">
        <f>'HourGH-JAN'!Q27</f>
        <v>0.4</v>
      </c>
      <c r="CT376" s="9">
        <v>375</v>
      </c>
      <c r="CU376" s="9">
        <v>16</v>
      </c>
      <c r="CV376" s="9">
        <v>15</v>
      </c>
      <c r="CW376" s="167">
        <f>'HourGH-FEB'!Q27</f>
        <v>0.85</v>
      </c>
      <c r="CX376" s="263">
        <v>375</v>
      </c>
      <c r="CY376" s="9">
        <v>16</v>
      </c>
      <c r="CZ376" s="9">
        <v>15</v>
      </c>
      <c r="DA376" s="167">
        <f>'HourGH-MAR'!Q27</f>
        <v>0.7</v>
      </c>
    </row>
    <row r="377" spans="58:105">
      <c r="BF377" s="9">
        <v>376</v>
      </c>
      <c r="BG377" s="9">
        <v>16</v>
      </c>
      <c r="BH377" s="9">
        <v>16</v>
      </c>
      <c r="BI377" s="167">
        <f>'HourGH-APR'!R27</f>
        <v>0.6</v>
      </c>
      <c r="BJ377" s="263">
        <v>376</v>
      </c>
      <c r="BK377" s="9">
        <v>16</v>
      </c>
      <c r="BL377" s="9">
        <v>16</v>
      </c>
      <c r="BM377" s="167">
        <f>'HourGH-MAY'!R27</f>
        <v>0.49</v>
      </c>
      <c r="BN377" s="9">
        <v>376</v>
      </c>
      <c r="BO377" s="9">
        <v>16</v>
      </c>
      <c r="BP377" s="9">
        <v>16</v>
      </c>
      <c r="BQ377" s="167">
        <f>'HourGH-JUN'!R27</f>
        <v>0.2</v>
      </c>
      <c r="BR377" s="263">
        <v>376</v>
      </c>
      <c r="BS377" s="9">
        <v>16</v>
      </c>
      <c r="BT377" s="9">
        <v>16</v>
      </c>
      <c r="BU377" s="167">
        <f>'HourGH-JUL'!R27</f>
        <v>0.5</v>
      </c>
      <c r="BV377" s="263">
        <v>376</v>
      </c>
      <c r="BW377" s="9">
        <v>16</v>
      </c>
      <c r="BX377" s="9">
        <v>16</v>
      </c>
      <c r="BY377" s="167">
        <f>'HourGH-AUG'!R27</f>
        <v>0.89</v>
      </c>
      <c r="BZ377" s="9">
        <v>376</v>
      </c>
      <c r="CA377" s="9">
        <v>16</v>
      </c>
      <c r="CB377" s="9">
        <v>16</v>
      </c>
      <c r="CC377" s="167">
        <f>'HourGH-SEP'!R27</f>
        <v>1.6</v>
      </c>
      <c r="CD377" s="263">
        <v>376</v>
      </c>
      <c r="CE377" s="9">
        <v>16</v>
      </c>
      <c r="CF377" s="9">
        <v>16</v>
      </c>
      <c r="CG377" s="167">
        <f>'HourGH-OCT'!R27</f>
        <v>0.57999999999999996</v>
      </c>
      <c r="CH377" s="9">
        <v>376</v>
      </c>
      <c r="CI377" s="9">
        <v>16</v>
      </c>
      <c r="CJ377" s="9">
        <v>16</v>
      </c>
      <c r="CK377" s="167">
        <f>'HourGH-NOV'!R27</f>
        <v>0.67</v>
      </c>
      <c r="CL377" s="263">
        <v>376</v>
      </c>
      <c r="CM377" s="9">
        <v>16</v>
      </c>
      <c r="CN377" s="9">
        <v>16</v>
      </c>
      <c r="CO377" s="167">
        <f>'HourGH-DEC'!R27</f>
        <v>0.85</v>
      </c>
      <c r="CP377" s="263">
        <v>376</v>
      </c>
      <c r="CQ377" s="9">
        <v>16</v>
      </c>
      <c r="CR377" s="9">
        <v>16</v>
      </c>
      <c r="CS377" s="167">
        <f>'HourGH-JAN'!R27</f>
        <v>0.4</v>
      </c>
      <c r="CT377" s="9">
        <v>376</v>
      </c>
      <c r="CU377" s="9">
        <v>16</v>
      </c>
      <c r="CV377" s="9">
        <v>16</v>
      </c>
      <c r="CW377" s="167">
        <f>'HourGH-FEB'!R27</f>
        <v>0.85</v>
      </c>
      <c r="CX377" s="263">
        <v>376</v>
      </c>
      <c r="CY377" s="9">
        <v>16</v>
      </c>
      <c r="CZ377" s="9">
        <v>16</v>
      </c>
      <c r="DA377" s="167">
        <f>'HourGH-MAR'!R27</f>
        <v>0.7</v>
      </c>
    </row>
    <row r="378" spans="58:105">
      <c r="BF378" s="9">
        <v>377</v>
      </c>
      <c r="BG378" s="9">
        <v>16</v>
      </c>
      <c r="BH378" s="9">
        <v>17</v>
      </c>
      <c r="BI378" s="167">
        <f>'HourGH-APR'!S27</f>
        <v>0.6</v>
      </c>
      <c r="BJ378" s="263">
        <v>377</v>
      </c>
      <c r="BK378" s="9">
        <v>16</v>
      </c>
      <c r="BL378" s="9">
        <v>17</v>
      </c>
      <c r="BM378" s="167">
        <f>'HourGH-MAY'!S27</f>
        <v>0.49</v>
      </c>
      <c r="BN378" s="9">
        <v>377</v>
      </c>
      <c r="BO378" s="9">
        <v>16</v>
      </c>
      <c r="BP378" s="9">
        <v>17</v>
      </c>
      <c r="BQ378" s="167">
        <f>'HourGH-JUN'!S27</f>
        <v>0.2</v>
      </c>
      <c r="BR378" s="263">
        <v>377</v>
      </c>
      <c r="BS378" s="9">
        <v>16</v>
      </c>
      <c r="BT378" s="9">
        <v>17</v>
      </c>
      <c r="BU378" s="167">
        <f>'HourGH-JUL'!S27</f>
        <v>0.5</v>
      </c>
      <c r="BV378" s="263">
        <v>377</v>
      </c>
      <c r="BW378" s="9">
        <v>16</v>
      </c>
      <c r="BX378" s="9">
        <v>17</v>
      </c>
      <c r="BY378" s="167">
        <f>'HourGH-AUG'!S27</f>
        <v>0.89</v>
      </c>
      <c r="BZ378" s="9">
        <v>377</v>
      </c>
      <c r="CA378" s="9">
        <v>16</v>
      </c>
      <c r="CB378" s="9">
        <v>17</v>
      </c>
      <c r="CC378" s="167">
        <f>'HourGH-SEP'!S27</f>
        <v>1.62</v>
      </c>
      <c r="CD378" s="263">
        <v>377</v>
      </c>
      <c r="CE378" s="9">
        <v>16</v>
      </c>
      <c r="CF378" s="9">
        <v>17</v>
      </c>
      <c r="CG378" s="167">
        <f>'HourGH-OCT'!S27</f>
        <v>0.57999999999999996</v>
      </c>
      <c r="CH378" s="9">
        <v>377</v>
      </c>
      <c r="CI378" s="9">
        <v>16</v>
      </c>
      <c r="CJ378" s="9">
        <v>17</v>
      </c>
      <c r="CK378" s="167">
        <f>'HourGH-NOV'!S27</f>
        <v>0.67</v>
      </c>
      <c r="CL378" s="263">
        <v>377</v>
      </c>
      <c r="CM378" s="9">
        <v>16</v>
      </c>
      <c r="CN378" s="9">
        <v>17</v>
      </c>
      <c r="CO378" s="167">
        <f>'HourGH-DEC'!S27</f>
        <v>0.84</v>
      </c>
      <c r="CP378" s="263">
        <v>377</v>
      </c>
      <c r="CQ378" s="9">
        <v>16</v>
      </c>
      <c r="CR378" s="9">
        <v>17</v>
      </c>
      <c r="CS378" s="167">
        <f>'HourGH-JAN'!S27</f>
        <v>0.4</v>
      </c>
      <c r="CT378" s="9">
        <v>377</v>
      </c>
      <c r="CU378" s="9">
        <v>16</v>
      </c>
      <c r="CV378" s="9">
        <v>17</v>
      </c>
      <c r="CW378" s="167">
        <f>'HourGH-FEB'!S27</f>
        <v>0.85</v>
      </c>
      <c r="CX378" s="263">
        <v>377</v>
      </c>
      <c r="CY378" s="9">
        <v>16</v>
      </c>
      <c r="CZ378" s="9">
        <v>17</v>
      </c>
      <c r="DA378" s="167">
        <f>'HourGH-MAR'!S27</f>
        <v>0.7</v>
      </c>
    </row>
    <row r="379" spans="58:105">
      <c r="BF379" s="9">
        <v>378</v>
      </c>
      <c r="BG379" s="9">
        <v>16</v>
      </c>
      <c r="BH379" s="9">
        <v>18</v>
      </c>
      <c r="BI379" s="167">
        <f>'HourGH-APR'!T27</f>
        <v>0.6</v>
      </c>
      <c r="BJ379" s="263">
        <v>378</v>
      </c>
      <c r="BK379" s="9">
        <v>16</v>
      </c>
      <c r="BL379" s="9">
        <v>18</v>
      </c>
      <c r="BM379" s="167">
        <f>'HourGH-MAY'!T27</f>
        <v>0.49</v>
      </c>
      <c r="BN379" s="9">
        <v>378</v>
      </c>
      <c r="BO379" s="9">
        <v>16</v>
      </c>
      <c r="BP379" s="9">
        <v>18</v>
      </c>
      <c r="BQ379" s="167">
        <f>'HourGH-JUN'!T27</f>
        <v>0.2</v>
      </c>
      <c r="BR379" s="263">
        <v>378</v>
      </c>
      <c r="BS379" s="9">
        <v>16</v>
      </c>
      <c r="BT379" s="9">
        <v>18</v>
      </c>
      <c r="BU379" s="167">
        <f>'HourGH-JUL'!T27</f>
        <v>0.5</v>
      </c>
      <c r="BV379" s="263">
        <v>378</v>
      </c>
      <c r="BW379" s="9">
        <v>16</v>
      </c>
      <c r="BX379" s="9">
        <v>18</v>
      </c>
      <c r="BY379" s="167">
        <f>'HourGH-AUG'!T27</f>
        <v>0.89</v>
      </c>
      <c r="BZ379" s="9">
        <v>378</v>
      </c>
      <c r="CA379" s="9">
        <v>16</v>
      </c>
      <c r="CB379" s="9">
        <v>18</v>
      </c>
      <c r="CC379" s="167">
        <f>'HourGH-SEP'!T27</f>
        <v>1.65</v>
      </c>
      <c r="CD379" s="263">
        <v>378</v>
      </c>
      <c r="CE379" s="9">
        <v>16</v>
      </c>
      <c r="CF379" s="9">
        <v>18</v>
      </c>
      <c r="CG379" s="167">
        <f>'HourGH-OCT'!T27</f>
        <v>0.57999999999999996</v>
      </c>
      <c r="CH379" s="9">
        <v>378</v>
      </c>
      <c r="CI379" s="9">
        <v>16</v>
      </c>
      <c r="CJ379" s="9">
        <v>18</v>
      </c>
      <c r="CK379" s="167">
        <f>'HourGH-NOV'!T27</f>
        <v>0.67</v>
      </c>
      <c r="CL379" s="263">
        <v>378</v>
      </c>
      <c r="CM379" s="9">
        <v>16</v>
      </c>
      <c r="CN379" s="9">
        <v>18</v>
      </c>
      <c r="CO379" s="167">
        <f>'HourGH-DEC'!T27</f>
        <v>0.83</v>
      </c>
      <c r="CP379" s="263">
        <v>378</v>
      </c>
      <c r="CQ379" s="9">
        <v>16</v>
      </c>
      <c r="CR379" s="9">
        <v>18</v>
      </c>
      <c r="CS379" s="167">
        <f>'HourGH-JAN'!T27</f>
        <v>0.4</v>
      </c>
      <c r="CT379" s="9">
        <v>378</v>
      </c>
      <c r="CU379" s="9">
        <v>16</v>
      </c>
      <c r="CV379" s="9">
        <v>18</v>
      </c>
      <c r="CW379" s="167">
        <f>'HourGH-FEB'!T27</f>
        <v>0.85</v>
      </c>
      <c r="CX379" s="263">
        <v>378</v>
      </c>
      <c r="CY379" s="9">
        <v>16</v>
      </c>
      <c r="CZ379" s="9">
        <v>18</v>
      </c>
      <c r="DA379" s="167">
        <f>'HourGH-MAR'!T27</f>
        <v>0.7</v>
      </c>
    </row>
    <row r="380" spans="58:105">
      <c r="BF380" s="9">
        <v>379</v>
      </c>
      <c r="BG380" s="9">
        <v>16</v>
      </c>
      <c r="BH380" s="9">
        <v>19</v>
      </c>
      <c r="BI380" s="167">
        <f>'HourGH-APR'!U27</f>
        <v>0.6</v>
      </c>
      <c r="BJ380" s="263">
        <v>379</v>
      </c>
      <c r="BK380" s="9">
        <v>16</v>
      </c>
      <c r="BL380" s="9">
        <v>19</v>
      </c>
      <c r="BM380" s="167">
        <f>'HourGH-MAY'!U27</f>
        <v>0.49</v>
      </c>
      <c r="BN380" s="9">
        <v>379</v>
      </c>
      <c r="BO380" s="9">
        <v>16</v>
      </c>
      <c r="BP380" s="9">
        <v>19</v>
      </c>
      <c r="BQ380" s="167">
        <f>'HourGH-JUN'!U27</f>
        <v>0.2</v>
      </c>
      <c r="BR380" s="263">
        <v>379</v>
      </c>
      <c r="BS380" s="9">
        <v>16</v>
      </c>
      <c r="BT380" s="9">
        <v>19</v>
      </c>
      <c r="BU380" s="167">
        <f>'HourGH-JUL'!U27</f>
        <v>0.49</v>
      </c>
      <c r="BV380" s="263">
        <v>379</v>
      </c>
      <c r="BW380" s="9">
        <v>16</v>
      </c>
      <c r="BX380" s="9">
        <v>19</v>
      </c>
      <c r="BY380" s="167">
        <f>'HourGH-AUG'!U27</f>
        <v>0.88</v>
      </c>
      <c r="BZ380" s="9">
        <v>379</v>
      </c>
      <c r="CA380" s="9">
        <v>16</v>
      </c>
      <c r="CB380" s="9">
        <v>19</v>
      </c>
      <c r="CC380" s="167">
        <f>'HourGH-SEP'!U27</f>
        <v>1.7</v>
      </c>
      <c r="CD380" s="263">
        <v>379</v>
      </c>
      <c r="CE380" s="9">
        <v>16</v>
      </c>
      <c r="CF380" s="9">
        <v>19</v>
      </c>
      <c r="CG380" s="167">
        <f>'HourGH-OCT'!U27</f>
        <v>0.57999999999999996</v>
      </c>
      <c r="CH380" s="9">
        <v>379</v>
      </c>
      <c r="CI380" s="9">
        <v>16</v>
      </c>
      <c r="CJ380" s="9">
        <v>19</v>
      </c>
      <c r="CK380" s="167">
        <f>'HourGH-NOV'!U27</f>
        <v>0.67</v>
      </c>
      <c r="CL380" s="263">
        <v>379</v>
      </c>
      <c r="CM380" s="9">
        <v>16</v>
      </c>
      <c r="CN380" s="9">
        <v>19</v>
      </c>
      <c r="CO380" s="167">
        <f>'HourGH-DEC'!U27</f>
        <v>0.82</v>
      </c>
      <c r="CP380" s="263">
        <v>379</v>
      </c>
      <c r="CQ380" s="9">
        <v>16</v>
      </c>
      <c r="CR380" s="9">
        <v>19</v>
      </c>
      <c r="CS380" s="167">
        <f>'HourGH-JAN'!U27</f>
        <v>0.4</v>
      </c>
      <c r="CT380" s="9">
        <v>379</v>
      </c>
      <c r="CU380" s="9">
        <v>16</v>
      </c>
      <c r="CV380" s="9">
        <v>19</v>
      </c>
      <c r="CW380" s="167">
        <f>'HourGH-FEB'!U27</f>
        <v>0.84</v>
      </c>
      <c r="CX380" s="263">
        <v>379</v>
      </c>
      <c r="CY380" s="9">
        <v>16</v>
      </c>
      <c r="CZ380" s="9">
        <v>19</v>
      </c>
      <c r="DA380" s="167">
        <f>'HourGH-MAR'!U27</f>
        <v>0.7</v>
      </c>
    </row>
    <row r="381" spans="58:105">
      <c r="BF381" s="9">
        <v>380</v>
      </c>
      <c r="BG381" s="9">
        <v>16</v>
      </c>
      <c r="BH381" s="9">
        <v>20</v>
      </c>
      <c r="BI381" s="167">
        <f>'HourGH-APR'!V27</f>
        <v>0.6</v>
      </c>
      <c r="BJ381" s="263">
        <v>380</v>
      </c>
      <c r="BK381" s="9">
        <v>16</v>
      </c>
      <c r="BL381" s="9">
        <v>20</v>
      </c>
      <c r="BM381" s="167">
        <f>'HourGH-MAY'!V27</f>
        <v>0.49</v>
      </c>
      <c r="BN381" s="9">
        <v>380</v>
      </c>
      <c r="BO381" s="9">
        <v>16</v>
      </c>
      <c r="BP381" s="9">
        <v>20</v>
      </c>
      <c r="BQ381" s="167">
        <f>'HourGH-JUN'!V27</f>
        <v>0.2</v>
      </c>
      <c r="BR381" s="263">
        <v>380</v>
      </c>
      <c r="BS381" s="9">
        <v>16</v>
      </c>
      <c r="BT381" s="9">
        <v>20</v>
      </c>
      <c r="BU381" s="167">
        <f>'HourGH-JUL'!V27</f>
        <v>0.49</v>
      </c>
      <c r="BV381" s="263">
        <v>380</v>
      </c>
      <c r="BW381" s="9">
        <v>16</v>
      </c>
      <c r="BX381" s="9">
        <v>20</v>
      </c>
      <c r="BY381" s="167">
        <f>'HourGH-AUG'!V27</f>
        <v>0.88</v>
      </c>
      <c r="BZ381" s="9">
        <v>380</v>
      </c>
      <c r="CA381" s="9">
        <v>16</v>
      </c>
      <c r="CB381" s="9">
        <v>20</v>
      </c>
      <c r="CC381" s="167">
        <f>'HourGH-SEP'!V27</f>
        <v>1.76</v>
      </c>
      <c r="CD381" s="263">
        <v>380</v>
      </c>
      <c r="CE381" s="9">
        <v>16</v>
      </c>
      <c r="CF381" s="9">
        <v>20</v>
      </c>
      <c r="CG381" s="167">
        <f>'HourGH-OCT'!V27</f>
        <v>0.57999999999999996</v>
      </c>
      <c r="CH381" s="9">
        <v>380</v>
      </c>
      <c r="CI381" s="9">
        <v>16</v>
      </c>
      <c r="CJ381" s="9">
        <v>20</v>
      </c>
      <c r="CK381" s="167">
        <f>'HourGH-NOV'!V27</f>
        <v>0.67</v>
      </c>
      <c r="CL381" s="263">
        <v>380</v>
      </c>
      <c r="CM381" s="9">
        <v>16</v>
      </c>
      <c r="CN381" s="9">
        <v>20</v>
      </c>
      <c r="CO381" s="167">
        <f>'HourGH-DEC'!V27</f>
        <v>0.81</v>
      </c>
      <c r="CP381" s="263">
        <v>380</v>
      </c>
      <c r="CQ381" s="9">
        <v>16</v>
      </c>
      <c r="CR381" s="9">
        <v>20</v>
      </c>
      <c r="CS381" s="167">
        <f>'HourGH-JAN'!V27</f>
        <v>0.4</v>
      </c>
      <c r="CT381" s="9">
        <v>380</v>
      </c>
      <c r="CU381" s="9">
        <v>16</v>
      </c>
      <c r="CV381" s="9">
        <v>20</v>
      </c>
      <c r="CW381" s="167">
        <f>'HourGH-FEB'!V27</f>
        <v>0.84</v>
      </c>
      <c r="CX381" s="263">
        <v>380</v>
      </c>
      <c r="CY381" s="9">
        <v>16</v>
      </c>
      <c r="CZ381" s="9">
        <v>20</v>
      </c>
      <c r="DA381" s="167">
        <f>'HourGH-MAR'!V27</f>
        <v>0.7</v>
      </c>
    </row>
    <row r="382" spans="58:105">
      <c r="BF382" s="9">
        <v>381</v>
      </c>
      <c r="BG382" s="9">
        <v>16</v>
      </c>
      <c r="BH382" s="9">
        <v>21</v>
      </c>
      <c r="BI382" s="167">
        <f>'HourGH-APR'!W27</f>
        <v>0.6</v>
      </c>
      <c r="BJ382" s="263">
        <v>381</v>
      </c>
      <c r="BK382" s="9">
        <v>16</v>
      </c>
      <c r="BL382" s="9">
        <v>21</v>
      </c>
      <c r="BM382" s="167">
        <f>'HourGH-MAY'!W27</f>
        <v>0.49</v>
      </c>
      <c r="BN382" s="9">
        <v>381</v>
      </c>
      <c r="BO382" s="9">
        <v>16</v>
      </c>
      <c r="BP382" s="9">
        <v>21</v>
      </c>
      <c r="BQ382" s="167">
        <f>'HourGH-JUN'!W27</f>
        <v>0.2</v>
      </c>
      <c r="BR382" s="263">
        <v>381</v>
      </c>
      <c r="BS382" s="9">
        <v>16</v>
      </c>
      <c r="BT382" s="9">
        <v>21</v>
      </c>
      <c r="BU382" s="167">
        <f>'HourGH-JUL'!W27</f>
        <v>0.49</v>
      </c>
      <c r="BV382" s="263">
        <v>381</v>
      </c>
      <c r="BW382" s="9">
        <v>16</v>
      </c>
      <c r="BX382" s="9">
        <v>21</v>
      </c>
      <c r="BY382" s="167">
        <f>'HourGH-AUG'!W27</f>
        <v>0.87</v>
      </c>
      <c r="BZ382" s="9">
        <v>381</v>
      </c>
      <c r="CA382" s="9">
        <v>16</v>
      </c>
      <c r="CB382" s="9">
        <v>21</v>
      </c>
      <c r="CC382" s="167">
        <f>'HourGH-SEP'!W27</f>
        <v>1.82</v>
      </c>
      <c r="CD382" s="263">
        <v>381</v>
      </c>
      <c r="CE382" s="9">
        <v>16</v>
      </c>
      <c r="CF382" s="9">
        <v>21</v>
      </c>
      <c r="CG382" s="167">
        <f>'HourGH-OCT'!W27</f>
        <v>0.57999999999999996</v>
      </c>
      <c r="CH382" s="9">
        <v>381</v>
      </c>
      <c r="CI382" s="9">
        <v>16</v>
      </c>
      <c r="CJ382" s="9">
        <v>21</v>
      </c>
      <c r="CK382" s="167">
        <f>'HourGH-NOV'!W27</f>
        <v>0.67</v>
      </c>
      <c r="CL382" s="263">
        <v>381</v>
      </c>
      <c r="CM382" s="9">
        <v>16</v>
      </c>
      <c r="CN382" s="9">
        <v>21</v>
      </c>
      <c r="CO382" s="167">
        <f>'HourGH-DEC'!W27</f>
        <v>0.8</v>
      </c>
      <c r="CP382" s="263">
        <v>381</v>
      </c>
      <c r="CQ382" s="9">
        <v>16</v>
      </c>
      <c r="CR382" s="9">
        <v>21</v>
      </c>
      <c r="CS382" s="167">
        <f>'HourGH-JAN'!W27</f>
        <v>0.4</v>
      </c>
      <c r="CT382" s="9">
        <v>381</v>
      </c>
      <c r="CU382" s="9">
        <v>16</v>
      </c>
      <c r="CV382" s="9">
        <v>21</v>
      </c>
      <c r="CW382" s="167">
        <f>'HourGH-FEB'!W27</f>
        <v>0.84</v>
      </c>
      <c r="CX382" s="263">
        <v>381</v>
      </c>
      <c r="CY382" s="9">
        <v>16</v>
      </c>
      <c r="CZ382" s="9">
        <v>21</v>
      </c>
      <c r="DA382" s="167">
        <f>'HourGH-MAR'!W27</f>
        <v>0.7</v>
      </c>
    </row>
    <row r="383" spans="58:105">
      <c r="BF383" s="9">
        <v>382</v>
      </c>
      <c r="BG383" s="9">
        <v>16</v>
      </c>
      <c r="BH383" s="9">
        <v>22</v>
      </c>
      <c r="BI383" s="167">
        <f>'HourGH-APR'!X27</f>
        <v>0.6</v>
      </c>
      <c r="BJ383" s="263">
        <v>382</v>
      </c>
      <c r="BK383" s="9">
        <v>16</v>
      </c>
      <c r="BL383" s="9">
        <v>22</v>
      </c>
      <c r="BM383" s="167">
        <f>'HourGH-MAY'!X27</f>
        <v>0.49</v>
      </c>
      <c r="BN383" s="9">
        <v>382</v>
      </c>
      <c r="BO383" s="9">
        <v>16</v>
      </c>
      <c r="BP383" s="9">
        <v>22</v>
      </c>
      <c r="BQ383" s="167">
        <f>'HourGH-JUN'!X27</f>
        <v>0.2</v>
      </c>
      <c r="BR383" s="263">
        <v>382</v>
      </c>
      <c r="BS383" s="9">
        <v>16</v>
      </c>
      <c r="BT383" s="9">
        <v>22</v>
      </c>
      <c r="BU383" s="167">
        <f>'HourGH-JUL'!X27</f>
        <v>0.49</v>
      </c>
      <c r="BV383" s="263">
        <v>382</v>
      </c>
      <c r="BW383" s="9">
        <v>16</v>
      </c>
      <c r="BX383" s="9">
        <v>22</v>
      </c>
      <c r="BY383" s="167">
        <f>'HourGH-AUG'!X27</f>
        <v>0.87</v>
      </c>
      <c r="BZ383" s="9">
        <v>382</v>
      </c>
      <c r="CA383" s="9">
        <v>16</v>
      </c>
      <c r="CB383" s="9">
        <v>22</v>
      </c>
      <c r="CC383" s="167">
        <f>'HourGH-SEP'!X27</f>
        <v>1.87</v>
      </c>
      <c r="CD383" s="263">
        <v>382</v>
      </c>
      <c r="CE383" s="9">
        <v>16</v>
      </c>
      <c r="CF383" s="9">
        <v>22</v>
      </c>
      <c r="CG383" s="167">
        <f>'HourGH-OCT'!X27</f>
        <v>0.57999999999999996</v>
      </c>
      <c r="CH383" s="9">
        <v>382</v>
      </c>
      <c r="CI383" s="9">
        <v>16</v>
      </c>
      <c r="CJ383" s="9">
        <v>22</v>
      </c>
      <c r="CK383" s="167">
        <f>'HourGH-NOV'!X27</f>
        <v>0.67</v>
      </c>
      <c r="CL383" s="263">
        <v>382</v>
      </c>
      <c r="CM383" s="9">
        <v>16</v>
      </c>
      <c r="CN383" s="9">
        <v>22</v>
      </c>
      <c r="CO383" s="167">
        <f>'HourGH-DEC'!X27</f>
        <v>0.79</v>
      </c>
      <c r="CP383" s="263">
        <v>382</v>
      </c>
      <c r="CQ383" s="9">
        <v>16</v>
      </c>
      <c r="CR383" s="9">
        <v>22</v>
      </c>
      <c r="CS383" s="167">
        <f>'HourGH-JAN'!X27</f>
        <v>0.4</v>
      </c>
      <c r="CT383" s="9">
        <v>382</v>
      </c>
      <c r="CU383" s="9">
        <v>16</v>
      </c>
      <c r="CV383" s="9">
        <v>22</v>
      </c>
      <c r="CW383" s="167">
        <f>'HourGH-FEB'!X27</f>
        <v>0.84</v>
      </c>
      <c r="CX383" s="263">
        <v>382</v>
      </c>
      <c r="CY383" s="9">
        <v>16</v>
      </c>
      <c r="CZ383" s="9">
        <v>22</v>
      </c>
      <c r="DA383" s="167">
        <f>'HourGH-MAR'!X27</f>
        <v>0.7</v>
      </c>
    </row>
    <row r="384" spans="58:105">
      <c r="BF384" s="9">
        <v>383</v>
      </c>
      <c r="BG384" s="9">
        <v>16</v>
      </c>
      <c r="BH384" s="9">
        <v>23</v>
      </c>
      <c r="BI384" s="167">
        <f>'HourGH-APR'!Y27</f>
        <v>0.6</v>
      </c>
      <c r="BJ384" s="263">
        <v>383</v>
      </c>
      <c r="BK384" s="9">
        <v>16</v>
      </c>
      <c r="BL384" s="9">
        <v>23</v>
      </c>
      <c r="BM384" s="167">
        <f>'HourGH-MAY'!Y27</f>
        <v>0.49</v>
      </c>
      <c r="BN384" s="9">
        <v>383</v>
      </c>
      <c r="BO384" s="9">
        <v>16</v>
      </c>
      <c r="BP384" s="9">
        <v>23</v>
      </c>
      <c r="BQ384" s="167">
        <f>'HourGH-JUN'!Y27</f>
        <v>0.2</v>
      </c>
      <c r="BR384" s="263">
        <v>383</v>
      </c>
      <c r="BS384" s="9">
        <v>16</v>
      </c>
      <c r="BT384" s="9">
        <v>23</v>
      </c>
      <c r="BU384" s="167">
        <f>'HourGH-JUL'!Y27</f>
        <v>0.49</v>
      </c>
      <c r="BV384" s="263">
        <v>383</v>
      </c>
      <c r="BW384" s="9">
        <v>16</v>
      </c>
      <c r="BX384" s="9">
        <v>23</v>
      </c>
      <c r="BY384" s="167">
        <f>'HourGH-AUG'!Y27</f>
        <v>0.87</v>
      </c>
      <c r="BZ384" s="9">
        <v>383</v>
      </c>
      <c r="CA384" s="9">
        <v>16</v>
      </c>
      <c r="CB384" s="9">
        <v>23</v>
      </c>
      <c r="CC384" s="167">
        <f>'HourGH-SEP'!Y27</f>
        <v>1.93</v>
      </c>
      <c r="CD384" s="263">
        <v>383</v>
      </c>
      <c r="CE384" s="9">
        <v>16</v>
      </c>
      <c r="CF384" s="9">
        <v>23</v>
      </c>
      <c r="CG384" s="167">
        <f>'HourGH-OCT'!Y27</f>
        <v>0.57999999999999996</v>
      </c>
      <c r="CH384" s="9">
        <v>383</v>
      </c>
      <c r="CI384" s="9">
        <v>16</v>
      </c>
      <c r="CJ384" s="9">
        <v>23</v>
      </c>
      <c r="CK384" s="167">
        <f>'HourGH-NOV'!Y27</f>
        <v>0.67</v>
      </c>
      <c r="CL384" s="263">
        <v>383</v>
      </c>
      <c r="CM384" s="9">
        <v>16</v>
      </c>
      <c r="CN384" s="9">
        <v>23</v>
      </c>
      <c r="CO384" s="167">
        <f>'HourGH-DEC'!Y27</f>
        <v>0.78</v>
      </c>
      <c r="CP384" s="263">
        <v>383</v>
      </c>
      <c r="CQ384" s="9">
        <v>16</v>
      </c>
      <c r="CR384" s="9">
        <v>23</v>
      </c>
      <c r="CS384" s="167">
        <f>'HourGH-JAN'!Y27</f>
        <v>0.4</v>
      </c>
      <c r="CT384" s="9">
        <v>383</v>
      </c>
      <c r="CU384" s="9">
        <v>16</v>
      </c>
      <c r="CV384" s="9">
        <v>23</v>
      </c>
      <c r="CW384" s="167">
        <f>'HourGH-FEB'!Y27</f>
        <v>0.84</v>
      </c>
      <c r="CX384" s="263">
        <v>383</v>
      </c>
      <c r="CY384" s="9">
        <v>16</v>
      </c>
      <c r="CZ384" s="9">
        <v>23</v>
      </c>
      <c r="DA384" s="167">
        <f>'HourGH-MAR'!Y27</f>
        <v>0.7</v>
      </c>
    </row>
    <row r="385" spans="58:105">
      <c r="BF385" s="9">
        <v>384</v>
      </c>
      <c r="BG385" s="9">
        <v>16</v>
      </c>
      <c r="BH385" s="9">
        <v>24</v>
      </c>
      <c r="BI385" s="167">
        <f>'HourGH-APR'!Z27</f>
        <v>0.6</v>
      </c>
      <c r="BJ385" s="263">
        <v>384</v>
      </c>
      <c r="BK385" s="9">
        <v>16</v>
      </c>
      <c r="BL385" s="9">
        <v>24</v>
      </c>
      <c r="BM385" s="167">
        <f>'HourGH-MAY'!Z27</f>
        <v>0.49</v>
      </c>
      <c r="BN385" s="9">
        <v>384</v>
      </c>
      <c r="BO385" s="9">
        <v>16</v>
      </c>
      <c r="BP385" s="9">
        <v>24</v>
      </c>
      <c r="BQ385" s="167">
        <f>'HourGH-JUN'!Z27</f>
        <v>0.2</v>
      </c>
      <c r="BR385" s="263">
        <v>384</v>
      </c>
      <c r="BS385" s="9">
        <v>16</v>
      </c>
      <c r="BT385" s="9">
        <v>24</v>
      </c>
      <c r="BU385" s="167">
        <f>'HourGH-JUL'!Z27</f>
        <v>0.49</v>
      </c>
      <c r="BV385" s="263">
        <v>384</v>
      </c>
      <c r="BW385" s="9">
        <v>16</v>
      </c>
      <c r="BX385" s="9">
        <v>24</v>
      </c>
      <c r="BY385" s="167">
        <f>'HourGH-AUG'!Z27</f>
        <v>0.87</v>
      </c>
      <c r="BZ385" s="9">
        <v>384</v>
      </c>
      <c r="CA385" s="9">
        <v>16</v>
      </c>
      <c r="CB385" s="9">
        <v>24</v>
      </c>
      <c r="CC385" s="167">
        <f>'HourGH-SEP'!Z27</f>
        <v>1.97</v>
      </c>
      <c r="CD385" s="263">
        <v>384</v>
      </c>
      <c r="CE385" s="9">
        <v>16</v>
      </c>
      <c r="CF385" s="9">
        <v>24</v>
      </c>
      <c r="CG385" s="167">
        <f>'HourGH-OCT'!Z27</f>
        <v>0.57999999999999996</v>
      </c>
      <c r="CH385" s="9">
        <v>384</v>
      </c>
      <c r="CI385" s="9">
        <v>16</v>
      </c>
      <c r="CJ385" s="9">
        <v>24</v>
      </c>
      <c r="CK385" s="167">
        <f>'HourGH-NOV'!Z27</f>
        <v>0.67</v>
      </c>
      <c r="CL385" s="263">
        <v>384</v>
      </c>
      <c r="CM385" s="9">
        <v>16</v>
      </c>
      <c r="CN385" s="9">
        <v>24</v>
      </c>
      <c r="CO385" s="167">
        <f>'HourGH-DEC'!Z27</f>
        <v>0.77</v>
      </c>
      <c r="CP385" s="263">
        <v>384</v>
      </c>
      <c r="CQ385" s="9">
        <v>16</v>
      </c>
      <c r="CR385" s="9">
        <v>24</v>
      </c>
      <c r="CS385" s="167">
        <f>'HourGH-JAN'!Z27</f>
        <v>0.4</v>
      </c>
      <c r="CT385" s="9">
        <v>384</v>
      </c>
      <c r="CU385" s="9">
        <v>16</v>
      </c>
      <c r="CV385" s="9">
        <v>24</v>
      </c>
      <c r="CW385" s="167">
        <f>'HourGH-FEB'!Z27</f>
        <v>0.84</v>
      </c>
      <c r="CX385" s="263">
        <v>384</v>
      </c>
      <c r="CY385" s="9">
        <v>16</v>
      </c>
      <c r="CZ385" s="9">
        <v>24</v>
      </c>
      <c r="DA385" s="167">
        <f>'HourGH-MAR'!Z27</f>
        <v>0.7</v>
      </c>
    </row>
    <row r="386" spans="58:105">
      <c r="BF386" s="9">
        <v>385</v>
      </c>
      <c r="BG386" s="9">
        <v>17</v>
      </c>
      <c r="BH386" s="9">
        <v>1</v>
      </c>
      <c r="BI386" s="167">
        <f>'HourGH-APR'!C28</f>
        <v>0.6</v>
      </c>
      <c r="BJ386" s="263">
        <v>385</v>
      </c>
      <c r="BK386" s="9">
        <v>17</v>
      </c>
      <c r="BL386" s="9">
        <v>1</v>
      </c>
      <c r="BM386" s="167">
        <f>'HourGH-MAY'!C28</f>
        <v>0.48</v>
      </c>
      <c r="BN386" s="9">
        <v>385</v>
      </c>
      <c r="BO386" s="9">
        <v>17</v>
      </c>
      <c r="BP386" s="9">
        <v>1</v>
      </c>
      <c r="BQ386" s="167">
        <f>'HourGH-JUN'!C28</f>
        <v>0.2</v>
      </c>
      <c r="BR386" s="263">
        <v>385</v>
      </c>
      <c r="BS386" s="9">
        <v>17</v>
      </c>
      <c r="BT386" s="9">
        <v>1</v>
      </c>
      <c r="BU386" s="167">
        <f>'HourGH-JUL'!C28</f>
        <v>0.48</v>
      </c>
      <c r="BV386" s="263">
        <v>385</v>
      </c>
      <c r="BW386" s="9">
        <v>17</v>
      </c>
      <c r="BX386" s="9">
        <v>1</v>
      </c>
      <c r="BY386" s="167">
        <f>'HourGH-AUG'!C28</f>
        <v>0.86</v>
      </c>
      <c r="BZ386" s="9">
        <v>385</v>
      </c>
      <c r="CA386" s="9">
        <v>17</v>
      </c>
      <c r="CB386" s="9">
        <v>1</v>
      </c>
      <c r="CC386" s="167">
        <f>'HourGH-SEP'!C28</f>
        <v>2</v>
      </c>
      <c r="CD386" s="263">
        <v>385</v>
      </c>
      <c r="CE386" s="9">
        <v>17</v>
      </c>
      <c r="CF386" s="9">
        <v>1</v>
      </c>
      <c r="CG386" s="167">
        <f>'HourGH-OCT'!C28</f>
        <v>0.57999999999999996</v>
      </c>
      <c r="CH386" s="9">
        <v>385</v>
      </c>
      <c r="CI386" s="9">
        <v>17</v>
      </c>
      <c r="CJ386" s="9">
        <v>1</v>
      </c>
      <c r="CK386" s="167">
        <f>'HourGH-NOV'!C28</f>
        <v>0.66</v>
      </c>
      <c r="CL386" s="263">
        <v>385</v>
      </c>
      <c r="CM386" s="9">
        <v>17</v>
      </c>
      <c r="CN386" s="9">
        <v>1</v>
      </c>
      <c r="CO386" s="167">
        <f>'HourGH-DEC'!C28</f>
        <v>0.76</v>
      </c>
      <c r="CP386" s="263">
        <v>385</v>
      </c>
      <c r="CQ386" s="9">
        <v>17</v>
      </c>
      <c r="CR386" s="9">
        <v>1</v>
      </c>
      <c r="CS386" s="167">
        <f>'HourGH-JAN'!C28</f>
        <v>0.39</v>
      </c>
      <c r="CT386" s="9">
        <v>385</v>
      </c>
      <c r="CU386" s="9">
        <v>17</v>
      </c>
      <c r="CV386" s="9">
        <v>1</v>
      </c>
      <c r="CW386" s="167">
        <f>'HourGH-FEB'!C28</f>
        <v>0.83</v>
      </c>
      <c r="CX386" s="263">
        <v>385</v>
      </c>
      <c r="CY386" s="9">
        <v>17</v>
      </c>
      <c r="CZ386" s="9">
        <v>1</v>
      </c>
      <c r="DA386" s="167">
        <f>'HourGH-MAR'!C28</f>
        <v>0.71</v>
      </c>
    </row>
    <row r="387" spans="58:105">
      <c r="BF387" s="9">
        <v>386</v>
      </c>
      <c r="BG387" s="9">
        <v>17</v>
      </c>
      <c r="BH387" s="9">
        <v>2</v>
      </c>
      <c r="BI387" s="167">
        <f>'HourGH-APR'!D28</f>
        <v>0.6</v>
      </c>
      <c r="BJ387" s="263">
        <v>386</v>
      </c>
      <c r="BK387" s="9">
        <v>17</v>
      </c>
      <c r="BL387" s="9">
        <v>2</v>
      </c>
      <c r="BM387" s="167">
        <f>'HourGH-MAY'!D28</f>
        <v>0.48</v>
      </c>
      <c r="BN387" s="9">
        <v>386</v>
      </c>
      <c r="BO387" s="9">
        <v>17</v>
      </c>
      <c r="BP387" s="9">
        <v>2</v>
      </c>
      <c r="BQ387" s="167">
        <f>'HourGH-JUN'!D28</f>
        <v>0.2</v>
      </c>
      <c r="BR387" s="263">
        <v>386</v>
      </c>
      <c r="BS387" s="9">
        <v>17</v>
      </c>
      <c r="BT387" s="9">
        <v>2</v>
      </c>
      <c r="BU387" s="167">
        <f>'HourGH-JUL'!D28</f>
        <v>0.48</v>
      </c>
      <c r="BV387" s="263">
        <v>386</v>
      </c>
      <c r="BW387" s="9">
        <v>17</v>
      </c>
      <c r="BX387" s="9">
        <v>2</v>
      </c>
      <c r="BY387" s="167">
        <f>'HourGH-AUG'!D28</f>
        <v>0.86</v>
      </c>
      <c r="BZ387" s="9">
        <v>386</v>
      </c>
      <c r="CA387" s="9">
        <v>17</v>
      </c>
      <c r="CB387" s="9">
        <v>2</v>
      </c>
      <c r="CC387" s="167">
        <f>'HourGH-SEP'!D28</f>
        <v>2.02</v>
      </c>
      <c r="CD387" s="263">
        <v>386</v>
      </c>
      <c r="CE387" s="9">
        <v>17</v>
      </c>
      <c r="CF387" s="9">
        <v>2</v>
      </c>
      <c r="CG387" s="167">
        <f>'HourGH-OCT'!D28</f>
        <v>0.57999999999999996</v>
      </c>
      <c r="CH387" s="9">
        <v>386</v>
      </c>
      <c r="CI387" s="9">
        <v>17</v>
      </c>
      <c r="CJ387" s="9">
        <v>2</v>
      </c>
      <c r="CK387" s="167">
        <f>'HourGH-NOV'!D28</f>
        <v>0.66</v>
      </c>
      <c r="CL387" s="263">
        <v>386</v>
      </c>
      <c r="CM387" s="9">
        <v>17</v>
      </c>
      <c r="CN387" s="9">
        <v>2</v>
      </c>
      <c r="CO387" s="167">
        <f>'HourGH-DEC'!D28</f>
        <v>0.75</v>
      </c>
      <c r="CP387" s="263">
        <v>386</v>
      </c>
      <c r="CQ387" s="9">
        <v>17</v>
      </c>
      <c r="CR387" s="9">
        <v>2</v>
      </c>
      <c r="CS387" s="167">
        <f>'HourGH-JAN'!D28</f>
        <v>0.39</v>
      </c>
      <c r="CT387" s="9">
        <v>386</v>
      </c>
      <c r="CU387" s="9">
        <v>17</v>
      </c>
      <c r="CV387" s="9">
        <v>2</v>
      </c>
      <c r="CW387" s="167">
        <f>'HourGH-FEB'!D28</f>
        <v>0.83</v>
      </c>
      <c r="CX387" s="263">
        <v>386</v>
      </c>
      <c r="CY387" s="9">
        <v>17</v>
      </c>
      <c r="CZ387" s="9">
        <v>2</v>
      </c>
      <c r="DA387" s="167">
        <f>'HourGH-MAR'!D28</f>
        <v>0.71</v>
      </c>
    </row>
    <row r="388" spans="58:105">
      <c r="BF388" s="9">
        <v>387</v>
      </c>
      <c r="BG388" s="9">
        <v>17</v>
      </c>
      <c r="BH388" s="9">
        <v>3</v>
      </c>
      <c r="BI388" s="167">
        <f>'HourGH-APR'!E28</f>
        <v>0.6</v>
      </c>
      <c r="BJ388" s="263">
        <v>387</v>
      </c>
      <c r="BK388" s="9">
        <v>17</v>
      </c>
      <c r="BL388" s="9">
        <v>3</v>
      </c>
      <c r="BM388" s="167">
        <f>'HourGH-MAY'!E28</f>
        <v>0.48</v>
      </c>
      <c r="BN388" s="9">
        <v>387</v>
      </c>
      <c r="BO388" s="9">
        <v>17</v>
      </c>
      <c r="BP388" s="9">
        <v>3</v>
      </c>
      <c r="BQ388" s="167">
        <f>'HourGH-JUN'!E28</f>
        <v>0.2</v>
      </c>
      <c r="BR388" s="263">
        <v>387</v>
      </c>
      <c r="BS388" s="9">
        <v>17</v>
      </c>
      <c r="BT388" s="9">
        <v>3</v>
      </c>
      <c r="BU388" s="167">
        <f>'HourGH-JUL'!E28</f>
        <v>0.48</v>
      </c>
      <c r="BV388" s="263">
        <v>387</v>
      </c>
      <c r="BW388" s="9">
        <v>17</v>
      </c>
      <c r="BX388" s="9">
        <v>3</v>
      </c>
      <c r="BY388" s="167">
        <f>'HourGH-AUG'!E28</f>
        <v>0.86</v>
      </c>
      <c r="BZ388" s="9">
        <v>387</v>
      </c>
      <c r="CA388" s="9">
        <v>17</v>
      </c>
      <c r="CB388" s="9">
        <v>3</v>
      </c>
      <c r="CC388" s="167">
        <f>'HourGH-SEP'!E28</f>
        <v>2.04</v>
      </c>
      <c r="CD388" s="263">
        <v>387</v>
      </c>
      <c r="CE388" s="9">
        <v>17</v>
      </c>
      <c r="CF388" s="9">
        <v>3</v>
      </c>
      <c r="CG388" s="167">
        <f>'HourGH-OCT'!E28</f>
        <v>0.57999999999999996</v>
      </c>
      <c r="CH388" s="9">
        <v>387</v>
      </c>
      <c r="CI388" s="9">
        <v>17</v>
      </c>
      <c r="CJ388" s="9">
        <v>3</v>
      </c>
      <c r="CK388" s="167">
        <f>'HourGH-NOV'!E28</f>
        <v>0.66</v>
      </c>
      <c r="CL388" s="263">
        <v>387</v>
      </c>
      <c r="CM388" s="9">
        <v>17</v>
      </c>
      <c r="CN388" s="9">
        <v>3</v>
      </c>
      <c r="CO388" s="167">
        <f>'HourGH-DEC'!E28</f>
        <v>0.74</v>
      </c>
      <c r="CP388" s="263">
        <v>387</v>
      </c>
      <c r="CQ388" s="9">
        <v>17</v>
      </c>
      <c r="CR388" s="9">
        <v>3</v>
      </c>
      <c r="CS388" s="167">
        <f>'HourGH-JAN'!E28</f>
        <v>0.39</v>
      </c>
      <c r="CT388" s="9">
        <v>387</v>
      </c>
      <c r="CU388" s="9">
        <v>17</v>
      </c>
      <c r="CV388" s="9">
        <v>3</v>
      </c>
      <c r="CW388" s="167">
        <f>'HourGH-FEB'!E28</f>
        <v>0.83</v>
      </c>
      <c r="CX388" s="263">
        <v>387</v>
      </c>
      <c r="CY388" s="9">
        <v>17</v>
      </c>
      <c r="CZ388" s="9">
        <v>3</v>
      </c>
      <c r="DA388" s="167">
        <f>'HourGH-MAR'!E28</f>
        <v>0.71</v>
      </c>
    </row>
    <row r="389" spans="58:105">
      <c r="BF389" s="9">
        <v>388</v>
      </c>
      <c r="BG389" s="9">
        <v>17</v>
      </c>
      <c r="BH389" s="9">
        <v>4</v>
      </c>
      <c r="BI389" s="167">
        <f>'HourGH-APR'!F28</f>
        <v>0.6</v>
      </c>
      <c r="BJ389" s="263">
        <v>388</v>
      </c>
      <c r="BK389" s="9">
        <v>17</v>
      </c>
      <c r="BL389" s="9">
        <v>4</v>
      </c>
      <c r="BM389" s="167">
        <f>'HourGH-MAY'!F28</f>
        <v>0.48</v>
      </c>
      <c r="BN389" s="9">
        <v>388</v>
      </c>
      <c r="BO389" s="9">
        <v>17</v>
      </c>
      <c r="BP389" s="9">
        <v>4</v>
      </c>
      <c r="BQ389" s="167">
        <f>'HourGH-JUN'!F28</f>
        <v>0.2</v>
      </c>
      <c r="BR389" s="263">
        <v>388</v>
      </c>
      <c r="BS389" s="9">
        <v>17</v>
      </c>
      <c r="BT389" s="9">
        <v>4</v>
      </c>
      <c r="BU389" s="167">
        <f>'HourGH-JUL'!F28</f>
        <v>0.48</v>
      </c>
      <c r="BV389" s="263">
        <v>388</v>
      </c>
      <c r="BW389" s="9">
        <v>17</v>
      </c>
      <c r="BX389" s="9">
        <v>4</v>
      </c>
      <c r="BY389" s="167">
        <f>'HourGH-AUG'!F28</f>
        <v>0.86</v>
      </c>
      <c r="BZ389" s="9">
        <v>388</v>
      </c>
      <c r="CA389" s="9">
        <v>17</v>
      </c>
      <c r="CB389" s="9">
        <v>4</v>
      </c>
      <c r="CC389" s="167">
        <f>'HourGH-SEP'!F28</f>
        <v>2.0499999999999998</v>
      </c>
      <c r="CD389" s="263">
        <v>388</v>
      </c>
      <c r="CE389" s="9">
        <v>17</v>
      </c>
      <c r="CF389" s="9">
        <v>4</v>
      </c>
      <c r="CG389" s="167">
        <f>'HourGH-OCT'!F28</f>
        <v>0.57999999999999996</v>
      </c>
      <c r="CH389" s="9">
        <v>388</v>
      </c>
      <c r="CI389" s="9">
        <v>17</v>
      </c>
      <c r="CJ389" s="9">
        <v>4</v>
      </c>
      <c r="CK389" s="167">
        <f>'HourGH-NOV'!F28</f>
        <v>0.66</v>
      </c>
      <c r="CL389" s="263">
        <v>388</v>
      </c>
      <c r="CM389" s="9">
        <v>17</v>
      </c>
      <c r="CN389" s="9">
        <v>4</v>
      </c>
      <c r="CO389" s="167">
        <f>'HourGH-DEC'!F28</f>
        <v>0.72</v>
      </c>
      <c r="CP389" s="263">
        <v>388</v>
      </c>
      <c r="CQ389" s="9">
        <v>17</v>
      </c>
      <c r="CR389" s="9">
        <v>4</v>
      </c>
      <c r="CS389" s="167">
        <f>'HourGH-JAN'!F28</f>
        <v>0.39</v>
      </c>
      <c r="CT389" s="9">
        <v>388</v>
      </c>
      <c r="CU389" s="9">
        <v>17</v>
      </c>
      <c r="CV389" s="9">
        <v>4</v>
      </c>
      <c r="CW389" s="167">
        <f>'HourGH-FEB'!F28</f>
        <v>0.83</v>
      </c>
      <c r="CX389" s="263">
        <v>388</v>
      </c>
      <c r="CY389" s="9">
        <v>17</v>
      </c>
      <c r="CZ389" s="9">
        <v>4</v>
      </c>
      <c r="DA389" s="167">
        <f>'HourGH-MAR'!F28</f>
        <v>0.71</v>
      </c>
    </row>
    <row r="390" spans="58:105">
      <c r="BF390" s="9">
        <v>389</v>
      </c>
      <c r="BG390" s="9">
        <v>17</v>
      </c>
      <c r="BH390" s="9">
        <v>5</v>
      </c>
      <c r="BI390" s="167">
        <f>'HourGH-APR'!G28</f>
        <v>0.6</v>
      </c>
      <c r="BJ390" s="263">
        <v>389</v>
      </c>
      <c r="BK390" s="9">
        <v>17</v>
      </c>
      <c r="BL390" s="9">
        <v>5</v>
      </c>
      <c r="BM390" s="167">
        <f>'HourGH-MAY'!G28</f>
        <v>0.48</v>
      </c>
      <c r="BN390" s="9">
        <v>389</v>
      </c>
      <c r="BO390" s="9">
        <v>17</v>
      </c>
      <c r="BP390" s="9">
        <v>5</v>
      </c>
      <c r="BQ390" s="167">
        <f>'HourGH-JUN'!G28</f>
        <v>0.2</v>
      </c>
      <c r="BR390" s="263">
        <v>389</v>
      </c>
      <c r="BS390" s="9">
        <v>17</v>
      </c>
      <c r="BT390" s="9">
        <v>5</v>
      </c>
      <c r="BU390" s="167">
        <f>'HourGH-JUL'!G28</f>
        <v>0.48</v>
      </c>
      <c r="BV390" s="263">
        <v>389</v>
      </c>
      <c r="BW390" s="9">
        <v>17</v>
      </c>
      <c r="BX390" s="9">
        <v>5</v>
      </c>
      <c r="BY390" s="167">
        <f>'HourGH-AUG'!G28</f>
        <v>0.86</v>
      </c>
      <c r="BZ390" s="9">
        <v>389</v>
      </c>
      <c r="CA390" s="9">
        <v>17</v>
      </c>
      <c r="CB390" s="9">
        <v>5</v>
      </c>
      <c r="CC390" s="167">
        <f>'HourGH-SEP'!G28</f>
        <v>2.0499999999999998</v>
      </c>
      <c r="CD390" s="263">
        <v>389</v>
      </c>
      <c r="CE390" s="9">
        <v>17</v>
      </c>
      <c r="CF390" s="9">
        <v>5</v>
      </c>
      <c r="CG390" s="167">
        <f>'HourGH-OCT'!G28</f>
        <v>0.57999999999999996</v>
      </c>
      <c r="CH390" s="9">
        <v>389</v>
      </c>
      <c r="CI390" s="9">
        <v>17</v>
      </c>
      <c r="CJ390" s="9">
        <v>5</v>
      </c>
      <c r="CK390" s="167">
        <f>'HourGH-NOV'!G28</f>
        <v>0.66</v>
      </c>
      <c r="CL390" s="263">
        <v>389</v>
      </c>
      <c r="CM390" s="9">
        <v>17</v>
      </c>
      <c r="CN390" s="9">
        <v>5</v>
      </c>
      <c r="CO390" s="167">
        <f>'HourGH-DEC'!G28</f>
        <v>0.71</v>
      </c>
      <c r="CP390" s="263">
        <v>389</v>
      </c>
      <c r="CQ390" s="9">
        <v>17</v>
      </c>
      <c r="CR390" s="9">
        <v>5</v>
      </c>
      <c r="CS390" s="167">
        <f>'HourGH-JAN'!G28</f>
        <v>0.39</v>
      </c>
      <c r="CT390" s="9">
        <v>389</v>
      </c>
      <c r="CU390" s="9">
        <v>17</v>
      </c>
      <c r="CV390" s="9">
        <v>5</v>
      </c>
      <c r="CW390" s="167">
        <f>'HourGH-FEB'!G28</f>
        <v>0.82</v>
      </c>
      <c r="CX390" s="263">
        <v>389</v>
      </c>
      <c r="CY390" s="9">
        <v>17</v>
      </c>
      <c r="CZ390" s="9">
        <v>5</v>
      </c>
      <c r="DA390" s="167">
        <f>'HourGH-MAR'!G28</f>
        <v>0.71</v>
      </c>
    </row>
    <row r="391" spans="58:105">
      <c r="BF391" s="9">
        <v>390</v>
      </c>
      <c r="BG391" s="9">
        <v>17</v>
      </c>
      <c r="BH391" s="9">
        <v>6</v>
      </c>
      <c r="BI391" s="167">
        <f>'HourGH-APR'!H28</f>
        <v>0.6</v>
      </c>
      <c r="BJ391" s="263">
        <v>390</v>
      </c>
      <c r="BK391" s="9">
        <v>17</v>
      </c>
      <c r="BL391" s="9">
        <v>6</v>
      </c>
      <c r="BM391" s="167">
        <f>'HourGH-MAY'!H28</f>
        <v>0.48</v>
      </c>
      <c r="BN391" s="9">
        <v>390</v>
      </c>
      <c r="BO391" s="9">
        <v>17</v>
      </c>
      <c r="BP391" s="9">
        <v>6</v>
      </c>
      <c r="BQ391" s="167">
        <f>'HourGH-JUN'!H28</f>
        <v>0.2</v>
      </c>
      <c r="BR391" s="263">
        <v>390</v>
      </c>
      <c r="BS391" s="9">
        <v>17</v>
      </c>
      <c r="BT391" s="9">
        <v>6</v>
      </c>
      <c r="BU391" s="167">
        <f>'HourGH-JUL'!H28</f>
        <v>0.47</v>
      </c>
      <c r="BV391" s="263">
        <v>390</v>
      </c>
      <c r="BW391" s="9">
        <v>17</v>
      </c>
      <c r="BX391" s="9">
        <v>6</v>
      </c>
      <c r="BY391" s="167">
        <f>'HourGH-AUG'!H28</f>
        <v>0.85</v>
      </c>
      <c r="BZ391" s="9">
        <v>390</v>
      </c>
      <c r="CA391" s="9">
        <v>17</v>
      </c>
      <c r="CB391" s="9">
        <v>6</v>
      </c>
      <c r="CC391" s="167">
        <f>'HourGH-SEP'!H28</f>
        <v>2.0499999999999998</v>
      </c>
      <c r="CD391" s="263">
        <v>390</v>
      </c>
      <c r="CE391" s="9">
        <v>17</v>
      </c>
      <c r="CF391" s="9">
        <v>6</v>
      </c>
      <c r="CG391" s="167">
        <f>'HourGH-OCT'!H28</f>
        <v>0.57999999999999996</v>
      </c>
      <c r="CH391" s="9">
        <v>390</v>
      </c>
      <c r="CI391" s="9">
        <v>17</v>
      </c>
      <c r="CJ391" s="9">
        <v>6</v>
      </c>
      <c r="CK391" s="167">
        <f>'HourGH-NOV'!H28</f>
        <v>0.66</v>
      </c>
      <c r="CL391" s="263">
        <v>390</v>
      </c>
      <c r="CM391" s="9">
        <v>17</v>
      </c>
      <c r="CN391" s="9">
        <v>6</v>
      </c>
      <c r="CO391" s="167">
        <f>'HourGH-DEC'!H28</f>
        <v>0.7</v>
      </c>
      <c r="CP391" s="263">
        <v>390</v>
      </c>
      <c r="CQ391" s="9">
        <v>17</v>
      </c>
      <c r="CR391" s="9">
        <v>6</v>
      </c>
      <c r="CS391" s="167">
        <f>'HourGH-JAN'!H28</f>
        <v>0.39</v>
      </c>
      <c r="CT391" s="9">
        <v>390</v>
      </c>
      <c r="CU391" s="9">
        <v>17</v>
      </c>
      <c r="CV391" s="9">
        <v>6</v>
      </c>
      <c r="CW391" s="167">
        <f>'HourGH-FEB'!H28</f>
        <v>0.82</v>
      </c>
      <c r="CX391" s="263">
        <v>390</v>
      </c>
      <c r="CY391" s="9">
        <v>17</v>
      </c>
      <c r="CZ391" s="9">
        <v>6</v>
      </c>
      <c r="DA391" s="167">
        <f>'HourGH-MAR'!H28</f>
        <v>0.71</v>
      </c>
    </row>
    <row r="392" spans="58:105">
      <c r="BF392" s="9">
        <v>391</v>
      </c>
      <c r="BG392" s="9">
        <v>17</v>
      </c>
      <c r="BH392" s="9">
        <v>7</v>
      </c>
      <c r="BI392" s="167">
        <f>'HourGH-APR'!I28</f>
        <v>0.6</v>
      </c>
      <c r="BJ392" s="263">
        <v>391</v>
      </c>
      <c r="BK392" s="9">
        <v>17</v>
      </c>
      <c r="BL392" s="9">
        <v>7</v>
      </c>
      <c r="BM392" s="167">
        <f>'HourGH-MAY'!I28</f>
        <v>0.48</v>
      </c>
      <c r="BN392" s="9">
        <v>391</v>
      </c>
      <c r="BO392" s="9">
        <v>17</v>
      </c>
      <c r="BP392" s="9">
        <v>7</v>
      </c>
      <c r="BQ392" s="167">
        <f>'HourGH-JUN'!I28</f>
        <v>0.2</v>
      </c>
      <c r="BR392" s="263">
        <v>391</v>
      </c>
      <c r="BS392" s="9">
        <v>17</v>
      </c>
      <c r="BT392" s="9">
        <v>7</v>
      </c>
      <c r="BU392" s="167">
        <f>'HourGH-JUL'!I28</f>
        <v>0.47</v>
      </c>
      <c r="BV392" s="263">
        <v>391</v>
      </c>
      <c r="BW392" s="9">
        <v>17</v>
      </c>
      <c r="BX392" s="9">
        <v>7</v>
      </c>
      <c r="BY392" s="167">
        <f>'HourGH-AUG'!I28</f>
        <v>0.85</v>
      </c>
      <c r="BZ392" s="9">
        <v>391</v>
      </c>
      <c r="CA392" s="9">
        <v>17</v>
      </c>
      <c r="CB392" s="9">
        <v>7</v>
      </c>
      <c r="CC392" s="167">
        <f>'HourGH-SEP'!I28</f>
        <v>2.0499999999999998</v>
      </c>
      <c r="CD392" s="263">
        <v>391</v>
      </c>
      <c r="CE392" s="9">
        <v>17</v>
      </c>
      <c r="CF392" s="9">
        <v>7</v>
      </c>
      <c r="CG392" s="167">
        <f>'HourGH-OCT'!I28</f>
        <v>0.57999999999999996</v>
      </c>
      <c r="CH392" s="9">
        <v>391</v>
      </c>
      <c r="CI392" s="9">
        <v>17</v>
      </c>
      <c r="CJ392" s="9">
        <v>7</v>
      </c>
      <c r="CK392" s="167">
        <f>'HourGH-NOV'!I28</f>
        <v>0.66</v>
      </c>
      <c r="CL392" s="263">
        <v>391</v>
      </c>
      <c r="CM392" s="9">
        <v>17</v>
      </c>
      <c r="CN392" s="9">
        <v>7</v>
      </c>
      <c r="CO392" s="167">
        <f>'HourGH-DEC'!I28</f>
        <v>0.69</v>
      </c>
      <c r="CP392" s="263">
        <v>391</v>
      </c>
      <c r="CQ392" s="9">
        <v>17</v>
      </c>
      <c r="CR392" s="9">
        <v>7</v>
      </c>
      <c r="CS392" s="167">
        <f>'HourGH-JAN'!I28</f>
        <v>0.4</v>
      </c>
      <c r="CT392" s="9">
        <v>391</v>
      </c>
      <c r="CU392" s="9">
        <v>17</v>
      </c>
      <c r="CV392" s="9">
        <v>7</v>
      </c>
      <c r="CW392" s="167">
        <f>'HourGH-FEB'!I28</f>
        <v>0.81</v>
      </c>
      <c r="CX392" s="263">
        <v>391</v>
      </c>
      <c r="CY392" s="9">
        <v>17</v>
      </c>
      <c r="CZ392" s="9">
        <v>7</v>
      </c>
      <c r="DA392" s="167">
        <f>'HourGH-MAR'!I28</f>
        <v>0.71</v>
      </c>
    </row>
    <row r="393" spans="58:105">
      <c r="BF393" s="9">
        <v>392</v>
      </c>
      <c r="BG393" s="9">
        <v>17</v>
      </c>
      <c r="BH393" s="9">
        <v>8</v>
      </c>
      <c r="BI393" s="167">
        <f>'HourGH-APR'!J28</f>
        <v>0.6</v>
      </c>
      <c r="BJ393" s="263">
        <v>392</v>
      </c>
      <c r="BK393" s="9">
        <v>17</v>
      </c>
      <c r="BL393" s="9">
        <v>8</v>
      </c>
      <c r="BM393" s="167">
        <f>'HourGH-MAY'!J28</f>
        <v>0.48</v>
      </c>
      <c r="BN393" s="9">
        <v>392</v>
      </c>
      <c r="BO393" s="9">
        <v>17</v>
      </c>
      <c r="BP393" s="9">
        <v>8</v>
      </c>
      <c r="BQ393" s="167">
        <f>'HourGH-JUN'!J28</f>
        <v>0.2</v>
      </c>
      <c r="BR393" s="263">
        <v>392</v>
      </c>
      <c r="BS393" s="9">
        <v>17</v>
      </c>
      <c r="BT393" s="9">
        <v>8</v>
      </c>
      <c r="BU393" s="167">
        <f>'HourGH-JUL'!J28</f>
        <v>0.47</v>
      </c>
      <c r="BV393" s="263">
        <v>392</v>
      </c>
      <c r="BW393" s="9">
        <v>17</v>
      </c>
      <c r="BX393" s="9">
        <v>8</v>
      </c>
      <c r="BY393" s="167">
        <f>'HourGH-AUG'!J28</f>
        <v>0.85</v>
      </c>
      <c r="BZ393" s="9">
        <v>392</v>
      </c>
      <c r="CA393" s="9">
        <v>17</v>
      </c>
      <c r="CB393" s="9">
        <v>8</v>
      </c>
      <c r="CC393" s="167">
        <f>'HourGH-SEP'!J28</f>
        <v>2.04</v>
      </c>
      <c r="CD393" s="263">
        <v>392</v>
      </c>
      <c r="CE393" s="9">
        <v>17</v>
      </c>
      <c r="CF393" s="9">
        <v>8</v>
      </c>
      <c r="CG393" s="167">
        <f>'HourGH-OCT'!J28</f>
        <v>0.57999999999999996</v>
      </c>
      <c r="CH393" s="9">
        <v>392</v>
      </c>
      <c r="CI393" s="9">
        <v>17</v>
      </c>
      <c r="CJ393" s="9">
        <v>8</v>
      </c>
      <c r="CK393" s="167">
        <f>'HourGH-NOV'!J28</f>
        <v>0.66</v>
      </c>
      <c r="CL393" s="263">
        <v>392</v>
      </c>
      <c r="CM393" s="9">
        <v>17</v>
      </c>
      <c r="CN393" s="9">
        <v>8</v>
      </c>
      <c r="CO393" s="167">
        <f>'HourGH-DEC'!J28</f>
        <v>0.68</v>
      </c>
      <c r="CP393" s="263">
        <v>392</v>
      </c>
      <c r="CQ393" s="9">
        <v>17</v>
      </c>
      <c r="CR393" s="9">
        <v>8</v>
      </c>
      <c r="CS393" s="167">
        <f>'HourGH-JAN'!J28</f>
        <v>0.4</v>
      </c>
      <c r="CT393" s="9">
        <v>392</v>
      </c>
      <c r="CU393" s="9">
        <v>17</v>
      </c>
      <c r="CV393" s="9">
        <v>8</v>
      </c>
      <c r="CW393" s="167">
        <f>'HourGH-FEB'!J28</f>
        <v>0.81</v>
      </c>
      <c r="CX393" s="263">
        <v>392</v>
      </c>
      <c r="CY393" s="9">
        <v>17</v>
      </c>
      <c r="CZ393" s="9">
        <v>8</v>
      </c>
      <c r="DA393" s="167">
        <f>'HourGH-MAR'!J28</f>
        <v>0.71</v>
      </c>
    </row>
    <row r="394" spans="58:105">
      <c r="BF394" s="9">
        <v>393</v>
      </c>
      <c r="BG394" s="9">
        <v>17</v>
      </c>
      <c r="BH394" s="9">
        <v>9</v>
      </c>
      <c r="BI394" s="167">
        <f>'HourGH-APR'!K28</f>
        <v>0.6</v>
      </c>
      <c r="BJ394" s="263">
        <v>393</v>
      </c>
      <c r="BK394" s="9">
        <v>17</v>
      </c>
      <c r="BL394" s="9">
        <v>9</v>
      </c>
      <c r="BM394" s="167">
        <f>'HourGH-MAY'!K28</f>
        <v>0.48</v>
      </c>
      <c r="BN394" s="9">
        <v>393</v>
      </c>
      <c r="BO394" s="9">
        <v>17</v>
      </c>
      <c r="BP394" s="9">
        <v>9</v>
      </c>
      <c r="BQ394" s="167">
        <f>'HourGH-JUN'!K28</f>
        <v>0.2</v>
      </c>
      <c r="BR394" s="263">
        <v>393</v>
      </c>
      <c r="BS394" s="9">
        <v>17</v>
      </c>
      <c r="BT394" s="9">
        <v>9</v>
      </c>
      <c r="BU394" s="167">
        <f>'HourGH-JUL'!K28</f>
        <v>0.47</v>
      </c>
      <c r="BV394" s="263">
        <v>393</v>
      </c>
      <c r="BW394" s="9">
        <v>17</v>
      </c>
      <c r="BX394" s="9">
        <v>9</v>
      </c>
      <c r="BY394" s="167">
        <f>'HourGH-AUG'!K28</f>
        <v>0.84</v>
      </c>
      <c r="BZ394" s="9">
        <v>393</v>
      </c>
      <c r="CA394" s="9">
        <v>17</v>
      </c>
      <c r="CB394" s="9">
        <v>9</v>
      </c>
      <c r="CC394" s="167">
        <f>'HourGH-SEP'!K28</f>
        <v>2.02</v>
      </c>
      <c r="CD394" s="263">
        <v>393</v>
      </c>
      <c r="CE394" s="9">
        <v>17</v>
      </c>
      <c r="CF394" s="9">
        <v>9</v>
      </c>
      <c r="CG394" s="167">
        <f>'HourGH-OCT'!K28</f>
        <v>0.57999999999999996</v>
      </c>
      <c r="CH394" s="9">
        <v>393</v>
      </c>
      <c r="CI394" s="9">
        <v>17</v>
      </c>
      <c r="CJ394" s="9">
        <v>9</v>
      </c>
      <c r="CK394" s="167">
        <f>'HourGH-NOV'!K28</f>
        <v>0.66</v>
      </c>
      <c r="CL394" s="263">
        <v>393</v>
      </c>
      <c r="CM394" s="9">
        <v>17</v>
      </c>
      <c r="CN394" s="9">
        <v>9</v>
      </c>
      <c r="CO394" s="167">
        <f>'HourGH-DEC'!K28</f>
        <v>0.67</v>
      </c>
      <c r="CP394" s="263">
        <v>393</v>
      </c>
      <c r="CQ394" s="9">
        <v>17</v>
      </c>
      <c r="CR394" s="9">
        <v>9</v>
      </c>
      <c r="CS394" s="167">
        <f>'HourGH-JAN'!K28</f>
        <v>0.41</v>
      </c>
      <c r="CT394" s="9">
        <v>393</v>
      </c>
      <c r="CU394" s="9">
        <v>17</v>
      </c>
      <c r="CV394" s="9">
        <v>9</v>
      </c>
      <c r="CW394" s="167">
        <f>'HourGH-FEB'!K28</f>
        <v>0.8</v>
      </c>
      <c r="CX394" s="263">
        <v>393</v>
      </c>
      <c r="CY394" s="9">
        <v>17</v>
      </c>
      <c r="CZ394" s="9">
        <v>9</v>
      </c>
      <c r="DA394" s="167">
        <f>'HourGH-MAR'!K28</f>
        <v>0.71</v>
      </c>
    </row>
    <row r="395" spans="58:105">
      <c r="BF395" s="9">
        <v>394</v>
      </c>
      <c r="BG395" s="9">
        <v>17</v>
      </c>
      <c r="BH395" s="9">
        <v>10</v>
      </c>
      <c r="BI395" s="167">
        <f>'HourGH-APR'!L28</f>
        <v>0.6</v>
      </c>
      <c r="BJ395" s="263">
        <v>394</v>
      </c>
      <c r="BK395" s="9">
        <v>17</v>
      </c>
      <c r="BL395" s="9">
        <v>10</v>
      </c>
      <c r="BM395" s="167">
        <f>'HourGH-MAY'!L28</f>
        <v>0.48</v>
      </c>
      <c r="BN395" s="9">
        <v>394</v>
      </c>
      <c r="BO395" s="9">
        <v>17</v>
      </c>
      <c r="BP395" s="9">
        <v>10</v>
      </c>
      <c r="BQ395" s="167">
        <f>'HourGH-JUN'!L28</f>
        <v>0.2</v>
      </c>
      <c r="BR395" s="263">
        <v>394</v>
      </c>
      <c r="BS395" s="9">
        <v>17</v>
      </c>
      <c r="BT395" s="9">
        <v>10</v>
      </c>
      <c r="BU395" s="167">
        <f>'HourGH-JUL'!L28</f>
        <v>0.47</v>
      </c>
      <c r="BV395" s="263">
        <v>394</v>
      </c>
      <c r="BW395" s="9">
        <v>17</v>
      </c>
      <c r="BX395" s="9">
        <v>10</v>
      </c>
      <c r="BY395" s="167">
        <f>'HourGH-AUG'!L28</f>
        <v>0.83</v>
      </c>
      <c r="BZ395" s="9">
        <v>394</v>
      </c>
      <c r="CA395" s="9">
        <v>17</v>
      </c>
      <c r="CB395" s="9">
        <v>10</v>
      </c>
      <c r="CC395" s="167">
        <f>'HourGH-SEP'!L28</f>
        <v>1.99</v>
      </c>
      <c r="CD395" s="263">
        <v>394</v>
      </c>
      <c r="CE395" s="9">
        <v>17</v>
      </c>
      <c r="CF395" s="9">
        <v>10</v>
      </c>
      <c r="CG395" s="167">
        <f>'HourGH-OCT'!L28</f>
        <v>0.57999999999999996</v>
      </c>
      <c r="CH395" s="9">
        <v>394</v>
      </c>
      <c r="CI395" s="9">
        <v>17</v>
      </c>
      <c r="CJ395" s="9">
        <v>10</v>
      </c>
      <c r="CK395" s="167">
        <f>'HourGH-NOV'!L28</f>
        <v>0.66</v>
      </c>
      <c r="CL395" s="263">
        <v>394</v>
      </c>
      <c r="CM395" s="9">
        <v>17</v>
      </c>
      <c r="CN395" s="9">
        <v>10</v>
      </c>
      <c r="CO395" s="167">
        <f>'HourGH-DEC'!L28</f>
        <v>0.67</v>
      </c>
      <c r="CP395" s="263">
        <v>394</v>
      </c>
      <c r="CQ395" s="9">
        <v>17</v>
      </c>
      <c r="CR395" s="9">
        <v>10</v>
      </c>
      <c r="CS395" s="167">
        <f>'HourGH-JAN'!L28</f>
        <v>0.41</v>
      </c>
      <c r="CT395" s="9">
        <v>394</v>
      </c>
      <c r="CU395" s="9">
        <v>17</v>
      </c>
      <c r="CV395" s="9">
        <v>10</v>
      </c>
      <c r="CW395" s="167">
        <f>'HourGH-FEB'!L28</f>
        <v>0.78</v>
      </c>
      <c r="CX395" s="263">
        <v>394</v>
      </c>
      <c r="CY395" s="9">
        <v>17</v>
      </c>
      <c r="CZ395" s="9">
        <v>10</v>
      </c>
      <c r="DA395" s="167">
        <f>'HourGH-MAR'!L28</f>
        <v>0.71</v>
      </c>
    </row>
    <row r="396" spans="58:105">
      <c r="BF396" s="9">
        <v>395</v>
      </c>
      <c r="BG396" s="9">
        <v>17</v>
      </c>
      <c r="BH396" s="9">
        <v>11</v>
      </c>
      <c r="BI396" s="167">
        <f>'HourGH-APR'!M28</f>
        <v>0.6</v>
      </c>
      <c r="BJ396" s="263">
        <v>395</v>
      </c>
      <c r="BK396" s="9">
        <v>17</v>
      </c>
      <c r="BL396" s="9">
        <v>11</v>
      </c>
      <c r="BM396" s="167">
        <f>'HourGH-MAY'!M28</f>
        <v>0.48</v>
      </c>
      <c r="BN396" s="9">
        <v>395</v>
      </c>
      <c r="BO396" s="9">
        <v>17</v>
      </c>
      <c r="BP396" s="9">
        <v>11</v>
      </c>
      <c r="BQ396" s="167">
        <f>'HourGH-JUN'!M28</f>
        <v>0.2</v>
      </c>
      <c r="BR396" s="263">
        <v>395</v>
      </c>
      <c r="BS396" s="9">
        <v>17</v>
      </c>
      <c r="BT396" s="9">
        <v>11</v>
      </c>
      <c r="BU396" s="167">
        <f>'HourGH-JUL'!M28</f>
        <v>0.47</v>
      </c>
      <c r="BV396" s="263">
        <v>395</v>
      </c>
      <c r="BW396" s="9">
        <v>17</v>
      </c>
      <c r="BX396" s="9">
        <v>11</v>
      </c>
      <c r="BY396" s="167">
        <f>'HourGH-AUG'!M28</f>
        <v>0.82</v>
      </c>
      <c r="BZ396" s="9">
        <v>395</v>
      </c>
      <c r="CA396" s="9">
        <v>17</v>
      </c>
      <c r="CB396" s="9">
        <v>11</v>
      </c>
      <c r="CC396" s="167">
        <f>'HourGH-SEP'!M28</f>
        <v>1.97</v>
      </c>
      <c r="CD396" s="263">
        <v>395</v>
      </c>
      <c r="CE396" s="9">
        <v>17</v>
      </c>
      <c r="CF396" s="9">
        <v>11</v>
      </c>
      <c r="CG396" s="167">
        <f>'HourGH-OCT'!M28</f>
        <v>0.57999999999999996</v>
      </c>
      <c r="CH396" s="9">
        <v>395</v>
      </c>
      <c r="CI396" s="9">
        <v>17</v>
      </c>
      <c r="CJ396" s="9">
        <v>11</v>
      </c>
      <c r="CK396" s="167">
        <f>'HourGH-NOV'!M28</f>
        <v>0.66</v>
      </c>
      <c r="CL396" s="263">
        <v>395</v>
      </c>
      <c r="CM396" s="9">
        <v>17</v>
      </c>
      <c r="CN396" s="9">
        <v>11</v>
      </c>
      <c r="CO396" s="167">
        <f>'HourGH-DEC'!M28</f>
        <v>0.66</v>
      </c>
      <c r="CP396" s="263">
        <v>395</v>
      </c>
      <c r="CQ396" s="9">
        <v>17</v>
      </c>
      <c r="CR396" s="9">
        <v>11</v>
      </c>
      <c r="CS396" s="167">
        <f>'HourGH-JAN'!M28</f>
        <v>0.42</v>
      </c>
      <c r="CT396" s="9">
        <v>395</v>
      </c>
      <c r="CU396" s="9">
        <v>17</v>
      </c>
      <c r="CV396" s="9">
        <v>11</v>
      </c>
      <c r="CW396" s="167">
        <f>'HourGH-FEB'!M28</f>
        <v>0.76</v>
      </c>
      <c r="CX396" s="263">
        <v>395</v>
      </c>
      <c r="CY396" s="9">
        <v>17</v>
      </c>
      <c r="CZ396" s="9">
        <v>11</v>
      </c>
      <c r="DA396" s="167">
        <f>'HourGH-MAR'!M28</f>
        <v>0.71</v>
      </c>
    </row>
    <row r="397" spans="58:105">
      <c r="BF397" s="9">
        <v>396</v>
      </c>
      <c r="BG397" s="9">
        <v>17</v>
      </c>
      <c r="BH397" s="9">
        <v>12</v>
      </c>
      <c r="BI397" s="167">
        <f>'HourGH-APR'!N28</f>
        <v>0.6</v>
      </c>
      <c r="BJ397" s="263">
        <v>396</v>
      </c>
      <c r="BK397" s="9">
        <v>17</v>
      </c>
      <c r="BL397" s="9">
        <v>12</v>
      </c>
      <c r="BM397" s="167">
        <f>'HourGH-MAY'!N28</f>
        <v>0.48</v>
      </c>
      <c r="BN397" s="9">
        <v>396</v>
      </c>
      <c r="BO397" s="9">
        <v>17</v>
      </c>
      <c r="BP397" s="9">
        <v>12</v>
      </c>
      <c r="BQ397" s="167">
        <f>'HourGH-JUN'!N28</f>
        <v>0.2</v>
      </c>
      <c r="BR397" s="263">
        <v>396</v>
      </c>
      <c r="BS397" s="9">
        <v>17</v>
      </c>
      <c r="BT397" s="9">
        <v>12</v>
      </c>
      <c r="BU397" s="167">
        <f>'HourGH-JUL'!N28</f>
        <v>0.47</v>
      </c>
      <c r="BV397" s="263">
        <v>396</v>
      </c>
      <c r="BW397" s="9">
        <v>17</v>
      </c>
      <c r="BX397" s="9">
        <v>12</v>
      </c>
      <c r="BY397" s="167">
        <f>'HourGH-AUG'!N28</f>
        <v>0.81</v>
      </c>
      <c r="BZ397" s="9">
        <v>396</v>
      </c>
      <c r="CA397" s="9">
        <v>17</v>
      </c>
      <c r="CB397" s="9">
        <v>12</v>
      </c>
      <c r="CC397" s="167">
        <f>'HourGH-SEP'!N28</f>
        <v>1.94</v>
      </c>
      <c r="CD397" s="263">
        <v>396</v>
      </c>
      <c r="CE397" s="9">
        <v>17</v>
      </c>
      <c r="CF397" s="9">
        <v>12</v>
      </c>
      <c r="CG397" s="167">
        <f>'HourGH-OCT'!N28</f>
        <v>0.57999999999999996</v>
      </c>
      <c r="CH397" s="9">
        <v>396</v>
      </c>
      <c r="CI397" s="9">
        <v>17</v>
      </c>
      <c r="CJ397" s="9">
        <v>12</v>
      </c>
      <c r="CK397" s="167">
        <f>'HourGH-NOV'!N28</f>
        <v>0.66</v>
      </c>
      <c r="CL397" s="263">
        <v>396</v>
      </c>
      <c r="CM397" s="9">
        <v>17</v>
      </c>
      <c r="CN397" s="9">
        <v>12</v>
      </c>
      <c r="CO397" s="167">
        <f>'HourGH-DEC'!N28</f>
        <v>0.66</v>
      </c>
      <c r="CP397" s="263">
        <v>396</v>
      </c>
      <c r="CQ397" s="9">
        <v>17</v>
      </c>
      <c r="CR397" s="9">
        <v>12</v>
      </c>
      <c r="CS397" s="167">
        <f>'HourGH-JAN'!N28</f>
        <v>0.43</v>
      </c>
      <c r="CT397" s="9">
        <v>396</v>
      </c>
      <c r="CU397" s="9">
        <v>17</v>
      </c>
      <c r="CV397" s="9">
        <v>12</v>
      </c>
      <c r="CW397" s="167">
        <f>'HourGH-FEB'!N28</f>
        <v>0.75</v>
      </c>
      <c r="CX397" s="263">
        <v>396</v>
      </c>
      <c r="CY397" s="9">
        <v>17</v>
      </c>
      <c r="CZ397" s="9">
        <v>12</v>
      </c>
      <c r="DA397" s="167">
        <f>'HourGH-MAR'!N28</f>
        <v>0.71</v>
      </c>
    </row>
    <row r="398" spans="58:105">
      <c r="BF398" s="9">
        <v>397</v>
      </c>
      <c r="BG398" s="9">
        <v>17</v>
      </c>
      <c r="BH398" s="9">
        <v>13</v>
      </c>
      <c r="BI398" s="167">
        <f>'HourGH-APR'!O28</f>
        <v>0.6</v>
      </c>
      <c r="BJ398" s="263">
        <v>397</v>
      </c>
      <c r="BK398" s="9">
        <v>17</v>
      </c>
      <c r="BL398" s="9">
        <v>13</v>
      </c>
      <c r="BM398" s="167">
        <f>'HourGH-MAY'!O28</f>
        <v>0.48</v>
      </c>
      <c r="BN398" s="9">
        <v>397</v>
      </c>
      <c r="BO398" s="9">
        <v>17</v>
      </c>
      <c r="BP398" s="9">
        <v>13</v>
      </c>
      <c r="BQ398" s="167">
        <f>'HourGH-JUN'!O28</f>
        <v>0.2</v>
      </c>
      <c r="BR398" s="263">
        <v>397</v>
      </c>
      <c r="BS398" s="9">
        <v>17</v>
      </c>
      <c r="BT398" s="9">
        <v>13</v>
      </c>
      <c r="BU398" s="167">
        <f>'HourGH-JUL'!O28</f>
        <v>0.48</v>
      </c>
      <c r="BV398" s="263">
        <v>397</v>
      </c>
      <c r="BW398" s="9">
        <v>17</v>
      </c>
      <c r="BX398" s="9">
        <v>13</v>
      </c>
      <c r="BY398" s="167">
        <f>'HourGH-AUG'!O28</f>
        <v>0.8</v>
      </c>
      <c r="BZ398" s="9">
        <v>397</v>
      </c>
      <c r="CA398" s="9">
        <v>17</v>
      </c>
      <c r="CB398" s="9">
        <v>13</v>
      </c>
      <c r="CC398" s="167">
        <f>'HourGH-SEP'!O28</f>
        <v>1.91</v>
      </c>
      <c r="CD398" s="263">
        <v>397</v>
      </c>
      <c r="CE398" s="9">
        <v>17</v>
      </c>
      <c r="CF398" s="9">
        <v>13</v>
      </c>
      <c r="CG398" s="167">
        <f>'HourGH-OCT'!O28</f>
        <v>0.57999999999999996</v>
      </c>
      <c r="CH398" s="9">
        <v>397</v>
      </c>
      <c r="CI398" s="9">
        <v>17</v>
      </c>
      <c r="CJ398" s="9">
        <v>13</v>
      </c>
      <c r="CK398" s="167">
        <f>'HourGH-NOV'!O28</f>
        <v>0.66</v>
      </c>
      <c r="CL398" s="263">
        <v>397</v>
      </c>
      <c r="CM398" s="9">
        <v>17</v>
      </c>
      <c r="CN398" s="9">
        <v>13</v>
      </c>
      <c r="CO398" s="167">
        <f>'HourGH-DEC'!O28</f>
        <v>0.65</v>
      </c>
      <c r="CP398" s="263">
        <v>397</v>
      </c>
      <c r="CQ398" s="9">
        <v>17</v>
      </c>
      <c r="CR398" s="9">
        <v>13</v>
      </c>
      <c r="CS398" s="167">
        <f>'HourGH-JAN'!O28</f>
        <v>0.45</v>
      </c>
      <c r="CT398" s="9">
        <v>397</v>
      </c>
      <c r="CU398" s="9">
        <v>17</v>
      </c>
      <c r="CV398" s="9">
        <v>13</v>
      </c>
      <c r="CW398" s="167">
        <f>'HourGH-FEB'!O28</f>
        <v>0.73</v>
      </c>
      <c r="CX398" s="263">
        <v>397</v>
      </c>
      <c r="CY398" s="9">
        <v>17</v>
      </c>
      <c r="CZ398" s="9">
        <v>13</v>
      </c>
      <c r="DA398" s="167">
        <f>'HourGH-MAR'!O28</f>
        <v>0.71</v>
      </c>
    </row>
    <row r="399" spans="58:105">
      <c r="BF399" s="9">
        <v>398</v>
      </c>
      <c r="BG399" s="9">
        <v>17</v>
      </c>
      <c r="BH399" s="9">
        <v>14</v>
      </c>
      <c r="BI399" s="167">
        <f>'HourGH-APR'!P28</f>
        <v>0.6</v>
      </c>
      <c r="BJ399" s="263">
        <v>398</v>
      </c>
      <c r="BK399" s="9">
        <v>17</v>
      </c>
      <c r="BL399" s="9">
        <v>14</v>
      </c>
      <c r="BM399" s="167">
        <f>'HourGH-MAY'!P28</f>
        <v>0.48</v>
      </c>
      <c r="BN399" s="9">
        <v>398</v>
      </c>
      <c r="BO399" s="9">
        <v>17</v>
      </c>
      <c r="BP399" s="9">
        <v>14</v>
      </c>
      <c r="BQ399" s="167">
        <f>'HourGH-JUN'!P28</f>
        <v>0.2</v>
      </c>
      <c r="BR399" s="263">
        <v>398</v>
      </c>
      <c r="BS399" s="9">
        <v>17</v>
      </c>
      <c r="BT399" s="9">
        <v>14</v>
      </c>
      <c r="BU399" s="167">
        <f>'HourGH-JUL'!P28</f>
        <v>0.48</v>
      </c>
      <c r="BV399" s="263">
        <v>398</v>
      </c>
      <c r="BW399" s="9">
        <v>17</v>
      </c>
      <c r="BX399" s="9">
        <v>14</v>
      </c>
      <c r="BY399" s="167">
        <f>'HourGH-AUG'!P28</f>
        <v>0.79</v>
      </c>
      <c r="BZ399" s="9">
        <v>398</v>
      </c>
      <c r="CA399" s="9">
        <v>17</v>
      </c>
      <c r="CB399" s="9">
        <v>14</v>
      </c>
      <c r="CC399" s="167">
        <f>'HourGH-SEP'!P28</f>
        <v>1.87</v>
      </c>
      <c r="CD399" s="263">
        <v>398</v>
      </c>
      <c r="CE399" s="9">
        <v>17</v>
      </c>
      <c r="CF399" s="9">
        <v>14</v>
      </c>
      <c r="CG399" s="167">
        <f>'HourGH-OCT'!P28</f>
        <v>0.57999999999999996</v>
      </c>
      <c r="CH399" s="9">
        <v>398</v>
      </c>
      <c r="CI399" s="9">
        <v>17</v>
      </c>
      <c r="CJ399" s="9">
        <v>14</v>
      </c>
      <c r="CK399" s="167">
        <f>'HourGH-NOV'!P28</f>
        <v>0.66</v>
      </c>
      <c r="CL399" s="263">
        <v>398</v>
      </c>
      <c r="CM399" s="9">
        <v>17</v>
      </c>
      <c r="CN399" s="9">
        <v>14</v>
      </c>
      <c r="CO399" s="167">
        <f>'HourGH-DEC'!P28</f>
        <v>0.65</v>
      </c>
      <c r="CP399" s="263">
        <v>398</v>
      </c>
      <c r="CQ399" s="9">
        <v>17</v>
      </c>
      <c r="CR399" s="9">
        <v>14</v>
      </c>
      <c r="CS399" s="167">
        <f>'HourGH-JAN'!P28</f>
        <v>0.46</v>
      </c>
      <c r="CT399" s="9">
        <v>398</v>
      </c>
      <c r="CU399" s="9">
        <v>17</v>
      </c>
      <c r="CV399" s="9">
        <v>14</v>
      </c>
      <c r="CW399" s="167">
        <f>'HourGH-FEB'!P28</f>
        <v>0.71</v>
      </c>
      <c r="CX399" s="263">
        <v>398</v>
      </c>
      <c r="CY399" s="9">
        <v>17</v>
      </c>
      <c r="CZ399" s="9">
        <v>14</v>
      </c>
      <c r="DA399" s="167">
        <f>'HourGH-MAR'!P28</f>
        <v>0.71</v>
      </c>
    </row>
    <row r="400" spans="58:105">
      <c r="BF400" s="9">
        <v>399</v>
      </c>
      <c r="BG400" s="9">
        <v>17</v>
      </c>
      <c r="BH400" s="9">
        <v>15</v>
      </c>
      <c r="BI400" s="167">
        <f>'HourGH-APR'!Q28</f>
        <v>0.6</v>
      </c>
      <c r="BJ400" s="263">
        <v>399</v>
      </c>
      <c r="BK400" s="9">
        <v>17</v>
      </c>
      <c r="BL400" s="9">
        <v>15</v>
      </c>
      <c r="BM400" s="167">
        <f>'HourGH-MAY'!Q28</f>
        <v>0.48</v>
      </c>
      <c r="BN400" s="9">
        <v>399</v>
      </c>
      <c r="BO400" s="9">
        <v>17</v>
      </c>
      <c r="BP400" s="9">
        <v>15</v>
      </c>
      <c r="BQ400" s="167">
        <f>'HourGH-JUN'!Q28</f>
        <v>0.2</v>
      </c>
      <c r="BR400" s="263">
        <v>399</v>
      </c>
      <c r="BS400" s="9">
        <v>17</v>
      </c>
      <c r="BT400" s="9">
        <v>15</v>
      </c>
      <c r="BU400" s="167">
        <f>'HourGH-JUL'!Q28</f>
        <v>0.48</v>
      </c>
      <c r="BV400" s="263">
        <v>399</v>
      </c>
      <c r="BW400" s="9">
        <v>17</v>
      </c>
      <c r="BX400" s="9">
        <v>15</v>
      </c>
      <c r="BY400" s="167">
        <f>'HourGH-AUG'!Q28</f>
        <v>0.79</v>
      </c>
      <c r="BZ400" s="9">
        <v>399</v>
      </c>
      <c r="CA400" s="9">
        <v>17</v>
      </c>
      <c r="CB400" s="9">
        <v>15</v>
      </c>
      <c r="CC400" s="167">
        <f>'HourGH-SEP'!Q28</f>
        <v>1.84</v>
      </c>
      <c r="CD400" s="263">
        <v>399</v>
      </c>
      <c r="CE400" s="9">
        <v>17</v>
      </c>
      <c r="CF400" s="9">
        <v>15</v>
      </c>
      <c r="CG400" s="167">
        <f>'HourGH-OCT'!Q28</f>
        <v>0.57999999999999996</v>
      </c>
      <c r="CH400" s="9">
        <v>399</v>
      </c>
      <c r="CI400" s="9">
        <v>17</v>
      </c>
      <c r="CJ400" s="9">
        <v>15</v>
      </c>
      <c r="CK400" s="167">
        <f>'HourGH-NOV'!Q28</f>
        <v>0.66</v>
      </c>
      <c r="CL400" s="263">
        <v>399</v>
      </c>
      <c r="CM400" s="9">
        <v>17</v>
      </c>
      <c r="CN400" s="9">
        <v>15</v>
      </c>
      <c r="CO400" s="167">
        <f>'HourGH-DEC'!Q28</f>
        <v>0.64</v>
      </c>
      <c r="CP400" s="263">
        <v>399</v>
      </c>
      <c r="CQ400" s="9">
        <v>17</v>
      </c>
      <c r="CR400" s="9">
        <v>15</v>
      </c>
      <c r="CS400" s="167">
        <f>'HourGH-JAN'!Q28</f>
        <v>0.47</v>
      </c>
      <c r="CT400" s="9">
        <v>399</v>
      </c>
      <c r="CU400" s="9">
        <v>17</v>
      </c>
      <c r="CV400" s="9">
        <v>15</v>
      </c>
      <c r="CW400" s="167">
        <f>'HourGH-FEB'!Q28</f>
        <v>0.68</v>
      </c>
      <c r="CX400" s="263">
        <v>399</v>
      </c>
      <c r="CY400" s="9">
        <v>17</v>
      </c>
      <c r="CZ400" s="9">
        <v>15</v>
      </c>
      <c r="DA400" s="167">
        <f>'HourGH-MAR'!Q28</f>
        <v>0.71</v>
      </c>
    </row>
    <row r="401" spans="58:105">
      <c r="BF401" s="9">
        <v>400</v>
      </c>
      <c r="BG401" s="9">
        <v>17</v>
      </c>
      <c r="BH401" s="9">
        <v>16</v>
      </c>
      <c r="BI401" s="167">
        <f>'HourGH-APR'!R28</f>
        <v>0.6</v>
      </c>
      <c r="BJ401" s="263">
        <v>400</v>
      </c>
      <c r="BK401" s="9">
        <v>17</v>
      </c>
      <c r="BL401" s="9">
        <v>16</v>
      </c>
      <c r="BM401" s="167">
        <f>'HourGH-MAY'!R28</f>
        <v>0.48</v>
      </c>
      <c r="BN401" s="9">
        <v>400</v>
      </c>
      <c r="BO401" s="9">
        <v>17</v>
      </c>
      <c r="BP401" s="9">
        <v>16</v>
      </c>
      <c r="BQ401" s="167">
        <f>'HourGH-JUN'!R28</f>
        <v>0.2</v>
      </c>
      <c r="BR401" s="263">
        <v>400</v>
      </c>
      <c r="BS401" s="9">
        <v>17</v>
      </c>
      <c r="BT401" s="9">
        <v>16</v>
      </c>
      <c r="BU401" s="167">
        <f>'HourGH-JUL'!R28</f>
        <v>0.48</v>
      </c>
      <c r="BV401" s="263">
        <v>400</v>
      </c>
      <c r="BW401" s="9">
        <v>17</v>
      </c>
      <c r="BX401" s="9">
        <v>16</v>
      </c>
      <c r="BY401" s="167">
        <f>'HourGH-AUG'!R28</f>
        <v>0.78</v>
      </c>
      <c r="BZ401" s="9">
        <v>400</v>
      </c>
      <c r="CA401" s="9">
        <v>17</v>
      </c>
      <c r="CB401" s="9">
        <v>16</v>
      </c>
      <c r="CC401" s="167">
        <f>'HourGH-SEP'!R28</f>
        <v>1.82</v>
      </c>
      <c r="CD401" s="263">
        <v>400</v>
      </c>
      <c r="CE401" s="9">
        <v>17</v>
      </c>
      <c r="CF401" s="9">
        <v>16</v>
      </c>
      <c r="CG401" s="167">
        <f>'HourGH-OCT'!R28</f>
        <v>0.57999999999999996</v>
      </c>
      <c r="CH401" s="9">
        <v>400</v>
      </c>
      <c r="CI401" s="9">
        <v>17</v>
      </c>
      <c r="CJ401" s="9">
        <v>16</v>
      </c>
      <c r="CK401" s="167">
        <f>'HourGH-NOV'!R28</f>
        <v>0.66</v>
      </c>
      <c r="CL401" s="263">
        <v>400</v>
      </c>
      <c r="CM401" s="9">
        <v>17</v>
      </c>
      <c r="CN401" s="9">
        <v>16</v>
      </c>
      <c r="CO401" s="167">
        <f>'HourGH-DEC'!R28</f>
        <v>0.64</v>
      </c>
      <c r="CP401" s="263">
        <v>400</v>
      </c>
      <c r="CQ401" s="9">
        <v>17</v>
      </c>
      <c r="CR401" s="9">
        <v>16</v>
      </c>
      <c r="CS401" s="167">
        <f>'HourGH-JAN'!R28</f>
        <v>0.49</v>
      </c>
      <c r="CT401" s="9">
        <v>400</v>
      </c>
      <c r="CU401" s="9">
        <v>17</v>
      </c>
      <c r="CV401" s="9">
        <v>16</v>
      </c>
      <c r="CW401" s="167">
        <f>'HourGH-FEB'!R28</f>
        <v>0.65</v>
      </c>
      <c r="CX401" s="263">
        <v>400</v>
      </c>
      <c r="CY401" s="9">
        <v>17</v>
      </c>
      <c r="CZ401" s="9">
        <v>16</v>
      </c>
      <c r="DA401" s="167">
        <f>'HourGH-MAR'!R28</f>
        <v>0.71</v>
      </c>
    </row>
    <row r="402" spans="58:105">
      <c r="BF402" s="9">
        <v>401</v>
      </c>
      <c r="BG402" s="9">
        <v>17</v>
      </c>
      <c r="BH402" s="9">
        <v>17</v>
      </c>
      <c r="BI402" s="167">
        <f>'HourGH-APR'!S28</f>
        <v>0.6</v>
      </c>
      <c r="BJ402" s="263">
        <v>401</v>
      </c>
      <c r="BK402" s="9">
        <v>17</v>
      </c>
      <c r="BL402" s="9">
        <v>17</v>
      </c>
      <c r="BM402" s="167">
        <f>'HourGH-MAY'!S28</f>
        <v>0.48</v>
      </c>
      <c r="BN402" s="9">
        <v>401</v>
      </c>
      <c r="BO402" s="9">
        <v>17</v>
      </c>
      <c r="BP402" s="9">
        <v>17</v>
      </c>
      <c r="BQ402" s="167">
        <f>'HourGH-JUN'!S28</f>
        <v>0.2</v>
      </c>
      <c r="BR402" s="263">
        <v>401</v>
      </c>
      <c r="BS402" s="9">
        <v>17</v>
      </c>
      <c r="BT402" s="9">
        <v>17</v>
      </c>
      <c r="BU402" s="167">
        <f>'HourGH-JUL'!S28</f>
        <v>0.48</v>
      </c>
      <c r="BV402" s="263">
        <v>401</v>
      </c>
      <c r="BW402" s="9">
        <v>17</v>
      </c>
      <c r="BX402" s="9">
        <v>17</v>
      </c>
      <c r="BY402" s="167">
        <f>'HourGH-AUG'!S28</f>
        <v>0.78</v>
      </c>
      <c r="BZ402" s="9">
        <v>401</v>
      </c>
      <c r="CA402" s="9">
        <v>17</v>
      </c>
      <c r="CB402" s="9">
        <v>17</v>
      </c>
      <c r="CC402" s="167">
        <f>'HourGH-SEP'!S28</f>
        <v>1.8</v>
      </c>
      <c r="CD402" s="263">
        <v>401</v>
      </c>
      <c r="CE402" s="9">
        <v>17</v>
      </c>
      <c r="CF402" s="9">
        <v>17</v>
      </c>
      <c r="CG402" s="167">
        <f>'HourGH-OCT'!S28</f>
        <v>0.57999999999999996</v>
      </c>
      <c r="CH402" s="9">
        <v>401</v>
      </c>
      <c r="CI402" s="9">
        <v>17</v>
      </c>
      <c r="CJ402" s="9">
        <v>17</v>
      </c>
      <c r="CK402" s="167">
        <f>'HourGH-NOV'!S28</f>
        <v>0.66</v>
      </c>
      <c r="CL402" s="263">
        <v>401</v>
      </c>
      <c r="CM402" s="9">
        <v>17</v>
      </c>
      <c r="CN402" s="9">
        <v>17</v>
      </c>
      <c r="CO402" s="167">
        <f>'HourGH-DEC'!S28</f>
        <v>0.64</v>
      </c>
      <c r="CP402" s="263">
        <v>401</v>
      </c>
      <c r="CQ402" s="9">
        <v>17</v>
      </c>
      <c r="CR402" s="9">
        <v>17</v>
      </c>
      <c r="CS402" s="167">
        <f>'HourGH-JAN'!S28</f>
        <v>0.51</v>
      </c>
      <c r="CT402" s="9">
        <v>401</v>
      </c>
      <c r="CU402" s="9">
        <v>17</v>
      </c>
      <c r="CV402" s="9">
        <v>17</v>
      </c>
      <c r="CW402" s="167">
        <f>'HourGH-FEB'!S28</f>
        <v>0.63</v>
      </c>
      <c r="CX402" s="263">
        <v>401</v>
      </c>
      <c r="CY402" s="9">
        <v>17</v>
      </c>
      <c r="CZ402" s="9">
        <v>17</v>
      </c>
      <c r="DA402" s="167">
        <f>'HourGH-MAR'!S28</f>
        <v>0.71</v>
      </c>
    </row>
    <row r="403" spans="58:105">
      <c r="BF403" s="9">
        <v>402</v>
      </c>
      <c r="BG403" s="9">
        <v>17</v>
      </c>
      <c r="BH403" s="9">
        <v>18</v>
      </c>
      <c r="BI403" s="167">
        <f>'HourGH-APR'!T28</f>
        <v>0.6</v>
      </c>
      <c r="BJ403" s="263">
        <v>402</v>
      </c>
      <c r="BK403" s="9">
        <v>17</v>
      </c>
      <c r="BL403" s="9">
        <v>18</v>
      </c>
      <c r="BM403" s="167">
        <f>'HourGH-MAY'!T28</f>
        <v>0.48</v>
      </c>
      <c r="BN403" s="9">
        <v>402</v>
      </c>
      <c r="BO403" s="9">
        <v>17</v>
      </c>
      <c r="BP403" s="9">
        <v>18</v>
      </c>
      <c r="BQ403" s="167">
        <f>'HourGH-JUN'!T28</f>
        <v>0.2</v>
      </c>
      <c r="BR403" s="263">
        <v>402</v>
      </c>
      <c r="BS403" s="9">
        <v>17</v>
      </c>
      <c r="BT403" s="9">
        <v>18</v>
      </c>
      <c r="BU403" s="167">
        <f>'HourGH-JUL'!T28</f>
        <v>0.48</v>
      </c>
      <c r="BV403" s="263">
        <v>402</v>
      </c>
      <c r="BW403" s="9">
        <v>17</v>
      </c>
      <c r="BX403" s="9">
        <v>18</v>
      </c>
      <c r="BY403" s="167">
        <f>'HourGH-AUG'!T28</f>
        <v>0.77</v>
      </c>
      <c r="BZ403" s="9">
        <v>402</v>
      </c>
      <c r="CA403" s="9">
        <v>17</v>
      </c>
      <c r="CB403" s="9">
        <v>18</v>
      </c>
      <c r="CC403" s="167">
        <f>'HourGH-SEP'!T28</f>
        <v>1.79</v>
      </c>
      <c r="CD403" s="263">
        <v>402</v>
      </c>
      <c r="CE403" s="9">
        <v>17</v>
      </c>
      <c r="CF403" s="9">
        <v>18</v>
      </c>
      <c r="CG403" s="167">
        <f>'HourGH-OCT'!T28</f>
        <v>0.57999999999999996</v>
      </c>
      <c r="CH403" s="9">
        <v>402</v>
      </c>
      <c r="CI403" s="9">
        <v>17</v>
      </c>
      <c r="CJ403" s="9">
        <v>18</v>
      </c>
      <c r="CK403" s="167">
        <f>'HourGH-NOV'!T28</f>
        <v>0.66</v>
      </c>
      <c r="CL403" s="263">
        <v>402</v>
      </c>
      <c r="CM403" s="9">
        <v>17</v>
      </c>
      <c r="CN403" s="9">
        <v>18</v>
      </c>
      <c r="CO403" s="167">
        <f>'HourGH-DEC'!T28</f>
        <v>0.64</v>
      </c>
      <c r="CP403" s="263">
        <v>402</v>
      </c>
      <c r="CQ403" s="9">
        <v>17</v>
      </c>
      <c r="CR403" s="9">
        <v>18</v>
      </c>
      <c r="CS403" s="167">
        <f>'HourGH-JAN'!T28</f>
        <v>0.53</v>
      </c>
      <c r="CT403" s="9">
        <v>402</v>
      </c>
      <c r="CU403" s="9">
        <v>17</v>
      </c>
      <c r="CV403" s="9">
        <v>18</v>
      </c>
      <c r="CW403" s="167">
        <f>'HourGH-FEB'!T28</f>
        <v>0.6</v>
      </c>
      <c r="CX403" s="263">
        <v>402</v>
      </c>
      <c r="CY403" s="9">
        <v>17</v>
      </c>
      <c r="CZ403" s="9">
        <v>18</v>
      </c>
      <c r="DA403" s="167">
        <f>'HourGH-MAR'!T28</f>
        <v>0.71</v>
      </c>
    </row>
    <row r="404" spans="58:105">
      <c r="BF404" s="9">
        <v>403</v>
      </c>
      <c r="BG404" s="9">
        <v>17</v>
      </c>
      <c r="BH404" s="9">
        <v>19</v>
      </c>
      <c r="BI404" s="167">
        <f>'HourGH-APR'!U28</f>
        <v>0.6</v>
      </c>
      <c r="BJ404" s="263">
        <v>403</v>
      </c>
      <c r="BK404" s="9">
        <v>17</v>
      </c>
      <c r="BL404" s="9">
        <v>19</v>
      </c>
      <c r="BM404" s="167">
        <f>'HourGH-MAY'!U28</f>
        <v>0.48</v>
      </c>
      <c r="BN404" s="9">
        <v>403</v>
      </c>
      <c r="BO404" s="9">
        <v>17</v>
      </c>
      <c r="BP404" s="9">
        <v>19</v>
      </c>
      <c r="BQ404" s="167">
        <f>'HourGH-JUN'!U28</f>
        <v>0.2</v>
      </c>
      <c r="BR404" s="263">
        <v>403</v>
      </c>
      <c r="BS404" s="9">
        <v>17</v>
      </c>
      <c r="BT404" s="9">
        <v>19</v>
      </c>
      <c r="BU404" s="167">
        <f>'HourGH-JUL'!U28</f>
        <v>0.49</v>
      </c>
      <c r="BV404" s="263">
        <v>403</v>
      </c>
      <c r="BW404" s="9">
        <v>17</v>
      </c>
      <c r="BX404" s="9">
        <v>19</v>
      </c>
      <c r="BY404" s="167">
        <f>'HourGH-AUG'!U28</f>
        <v>0.77</v>
      </c>
      <c r="BZ404" s="9">
        <v>403</v>
      </c>
      <c r="CA404" s="9">
        <v>17</v>
      </c>
      <c r="CB404" s="9">
        <v>19</v>
      </c>
      <c r="CC404" s="167">
        <f>'HourGH-SEP'!U28</f>
        <v>1.78</v>
      </c>
      <c r="CD404" s="263">
        <v>403</v>
      </c>
      <c r="CE404" s="9">
        <v>17</v>
      </c>
      <c r="CF404" s="9">
        <v>19</v>
      </c>
      <c r="CG404" s="167">
        <f>'HourGH-OCT'!U28</f>
        <v>0.59</v>
      </c>
      <c r="CH404" s="9">
        <v>403</v>
      </c>
      <c r="CI404" s="9">
        <v>17</v>
      </c>
      <c r="CJ404" s="9">
        <v>19</v>
      </c>
      <c r="CK404" s="167">
        <f>'HourGH-NOV'!U28</f>
        <v>0.66</v>
      </c>
      <c r="CL404" s="263">
        <v>403</v>
      </c>
      <c r="CM404" s="9">
        <v>17</v>
      </c>
      <c r="CN404" s="9">
        <v>19</v>
      </c>
      <c r="CO404" s="167">
        <f>'HourGH-DEC'!U28</f>
        <v>0.63</v>
      </c>
      <c r="CP404" s="263">
        <v>403</v>
      </c>
      <c r="CQ404" s="9">
        <v>17</v>
      </c>
      <c r="CR404" s="9">
        <v>19</v>
      </c>
      <c r="CS404" s="167">
        <f>'HourGH-JAN'!U28</f>
        <v>0.55000000000000004</v>
      </c>
      <c r="CT404" s="9">
        <v>403</v>
      </c>
      <c r="CU404" s="9">
        <v>17</v>
      </c>
      <c r="CV404" s="9">
        <v>19</v>
      </c>
      <c r="CW404" s="167">
        <f>'HourGH-FEB'!U28</f>
        <v>0.56000000000000005</v>
      </c>
      <c r="CX404" s="263">
        <v>403</v>
      </c>
      <c r="CY404" s="9">
        <v>17</v>
      </c>
      <c r="CZ404" s="9">
        <v>19</v>
      </c>
      <c r="DA404" s="167">
        <f>'HourGH-MAR'!U28</f>
        <v>0.71</v>
      </c>
    </row>
    <row r="405" spans="58:105">
      <c r="BF405" s="9">
        <v>404</v>
      </c>
      <c r="BG405" s="9">
        <v>17</v>
      </c>
      <c r="BH405" s="9">
        <v>20</v>
      </c>
      <c r="BI405" s="167">
        <f>'HourGH-APR'!V28</f>
        <v>0.6</v>
      </c>
      <c r="BJ405" s="263">
        <v>404</v>
      </c>
      <c r="BK405" s="9">
        <v>17</v>
      </c>
      <c r="BL405" s="9">
        <v>20</v>
      </c>
      <c r="BM405" s="167">
        <f>'HourGH-MAY'!V28</f>
        <v>0.48</v>
      </c>
      <c r="BN405" s="9">
        <v>404</v>
      </c>
      <c r="BO405" s="9">
        <v>17</v>
      </c>
      <c r="BP405" s="9">
        <v>20</v>
      </c>
      <c r="BQ405" s="167">
        <f>'HourGH-JUN'!V28</f>
        <v>0.2</v>
      </c>
      <c r="BR405" s="263">
        <v>404</v>
      </c>
      <c r="BS405" s="9">
        <v>17</v>
      </c>
      <c r="BT405" s="9">
        <v>20</v>
      </c>
      <c r="BU405" s="167">
        <f>'HourGH-JUL'!V28</f>
        <v>0.49</v>
      </c>
      <c r="BV405" s="263">
        <v>404</v>
      </c>
      <c r="BW405" s="9">
        <v>17</v>
      </c>
      <c r="BX405" s="9">
        <v>20</v>
      </c>
      <c r="BY405" s="167">
        <f>'HourGH-AUG'!V28</f>
        <v>0.76</v>
      </c>
      <c r="BZ405" s="9">
        <v>404</v>
      </c>
      <c r="CA405" s="9">
        <v>17</v>
      </c>
      <c r="CB405" s="9">
        <v>20</v>
      </c>
      <c r="CC405" s="167">
        <f>'HourGH-SEP'!V28</f>
        <v>1.78</v>
      </c>
      <c r="CD405" s="263">
        <v>404</v>
      </c>
      <c r="CE405" s="9">
        <v>17</v>
      </c>
      <c r="CF405" s="9">
        <v>20</v>
      </c>
      <c r="CG405" s="167">
        <f>'HourGH-OCT'!V28</f>
        <v>0.59</v>
      </c>
      <c r="CH405" s="9">
        <v>404</v>
      </c>
      <c r="CI405" s="9">
        <v>17</v>
      </c>
      <c r="CJ405" s="9">
        <v>20</v>
      </c>
      <c r="CK405" s="167">
        <f>'HourGH-NOV'!V28</f>
        <v>0.66</v>
      </c>
      <c r="CL405" s="263">
        <v>404</v>
      </c>
      <c r="CM405" s="9">
        <v>17</v>
      </c>
      <c r="CN405" s="9">
        <v>20</v>
      </c>
      <c r="CO405" s="167">
        <f>'HourGH-DEC'!V28</f>
        <v>0.63</v>
      </c>
      <c r="CP405" s="263">
        <v>404</v>
      </c>
      <c r="CQ405" s="9">
        <v>17</v>
      </c>
      <c r="CR405" s="9">
        <v>20</v>
      </c>
      <c r="CS405" s="167">
        <f>'HourGH-JAN'!V28</f>
        <v>0.56999999999999995</v>
      </c>
      <c r="CT405" s="9">
        <v>404</v>
      </c>
      <c r="CU405" s="9">
        <v>17</v>
      </c>
      <c r="CV405" s="9">
        <v>20</v>
      </c>
      <c r="CW405" s="167">
        <f>'HourGH-FEB'!V28</f>
        <v>0.53</v>
      </c>
      <c r="CX405" s="263">
        <v>404</v>
      </c>
      <c r="CY405" s="9">
        <v>17</v>
      </c>
      <c r="CZ405" s="9">
        <v>20</v>
      </c>
      <c r="DA405" s="167">
        <f>'HourGH-MAR'!V28</f>
        <v>0.71</v>
      </c>
    </row>
    <row r="406" spans="58:105">
      <c r="BF406" s="9">
        <v>405</v>
      </c>
      <c r="BG406" s="9">
        <v>17</v>
      </c>
      <c r="BH406" s="9">
        <v>21</v>
      </c>
      <c r="BI406" s="167">
        <f>'HourGH-APR'!W28</f>
        <v>0.6</v>
      </c>
      <c r="BJ406" s="263">
        <v>405</v>
      </c>
      <c r="BK406" s="9">
        <v>17</v>
      </c>
      <c r="BL406" s="9">
        <v>21</v>
      </c>
      <c r="BM406" s="167">
        <f>'HourGH-MAY'!W28</f>
        <v>0.48</v>
      </c>
      <c r="BN406" s="9">
        <v>405</v>
      </c>
      <c r="BO406" s="9">
        <v>17</v>
      </c>
      <c r="BP406" s="9">
        <v>21</v>
      </c>
      <c r="BQ406" s="167">
        <f>'HourGH-JUN'!W28</f>
        <v>0.2</v>
      </c>
      <c r="BR406" s="263">
        <v>405</v>
      </c>
      <c r="BS406" s="9">
        <v>17</v>
      </c>
      <c r="BT406" s="9">
        <v>21</v>
      </c>
      <c r="BU406" s="167">
        <f>'HourGH-JUL'!W28</f>
        <v>0.49</v>
      </c>
      <c r="BV406" s="263">
        <v>405</v>
      </c>
      <c r="BW406" s="9">
        <v>17</v>
      </c>
      <c r="BX406" s="9">
        <v>21</v>
      </c>
      <c r="BY406" s="167">
        <f>'HourGH-AUG'!W28</f>
        <v>0.75</v>
      </c>
      <c r="BZ406" s="9">
        <v>405</v>
      </c>
      <c r="CA406" s="9">
        <v>17</v>
      </c>
      <c r="CB406" s="9">
        <v>21</v>
      </c>
      <c r="CC406" s="167">
        <f>'HourGH-SEP'!W28</f>
        <v>1.78</v>
      </c>
      <c r="CD406" s="263">
        <v>405</v>
      </c>
      <c r="CE406" s="9">
        <v>17</v>
      </c>
      <c r="CF406" s="9">
        <v>21</v>
      </c>
      <c r="CG406" s="167">
        <f>'HourGH-OCT'!W28</f>
        <v>0.6</v>
      </c>
      <c r="CH406" s="9">
        <v>405</v>
      </c>
      <c r="CI406" s="9">
        <v>17</v>
      </c>
      <c r="CJ406" s="9">
        <v>21</v>
      </c>
      <c r="CK406" s="167">
        <f>'HourGH-NOV'!W28</f>
        <v>0.66</v>
      </c>
      <c r="CL406" s="263">
        <v>405</v>
      </c>
      <c r="CM406" s="9">
        <v>17</v>
      </c>
      <c r="CN406" s="9">
        <v>21</v>
      </c>
      <c r="CO406" s="167">
        <f>'HourGH-DEC'!W28</f>
        <v>0.63</v>
      </c>
      <c r="CP406" s="263">
        <v>405</v>
      </c>
      <c r="CQ406" s="9">
        <v>17</v>
      </c>
      <c r="CR406" s="9">
        <v>21</v>
      </c>
      <c r="CS406" s="167">
        <f>'HourGH-JAN'!W28</f>
        <v>0.59</v>
      </c>
      <c r="CT406" s="9">
        <v>405</v>
      </c>
      <c r="CU406" s="9">
        <v>17</v>
      </c>
      <c r="CV406" s="9">
        <v>21</v>
      </c>
      <c r="CW406" s="167">
        <f>'HourGH-FEB'!W28</f>
        <v>0.5</v>
      </c>
      <c r="CX406" s="263">
        <v>405</v>
      </c>
      <c r="CY406" s="9">
        <v>17</v>
      </c>
      <c r="CZ406" s="9">
        <v>21</v>
      </c>
      <c r="DA406" s="167">
        <f>'HourGH-MAR'!W28</f>
        <v>0.71</v>
      </c>
    </row>
    <row r="407" spans="58:105">
      <c r="BF407" s="9">
        <v>406</v>
      </c>
      <c r="BG407" s="9">
        <v>17</v>
      </c>
      <c r="BH407" s="9">
        <v>22</v>
      </c>
      <c r="BI407" s="167">
        <f>'HourGH-APR'!X28</f>
        <v>0.6</v>
      </c>
      <c r="BJ407" s="263">
        <v>406</v>
      </c>
      <c r="BK407" s="9">
        <v>17</v>
      </c>
      <c r="BL407" s="9">
        <v>22</v>
      </c>
      <c r="BM407" s="167">
        <f>'HourGH-MAY'!X28</f>
        <v>0.48</v>
      </c>
      <c r="BN407" s="9">
        <v>406</v>
      </c>
      <c r="BO407" s="9">
        <v>17</v>
      </c>
      <c r="BP407" s="9">
        <v>22</v>
      </c>
      <c r="BQ407" s="167">
        <f>'HourGH-JUN'!X28</f>
        <v>0.2</v>
      </c>
      <c r="BR407" s="263">
        <v>406</v>
      </c>
      <c r="BS407" s="9">
        <v>17</v>
      </c>
      <c r="BT407" s="9">
        <v>22</v>
      </c>
      <c r="BU407" s="167">
        <f>'HourGH-JUL'!X28</f>
        <v>0.49</v>
      </c>
      <c r="BV407" s="263">
        <v>406</v>
      </c>
      <c r="BW407" s="9">
        <v>17</v>
      </c>
      <c r="BX407" s="9">
        <v>22</v>
      </c>
      <c r="BY407" s="167">
        <f>'HourGH-AUG'!X28</f>
        <v>0.74</v>
      </c>
      <c r="BZ407" s="9">
        <v>406</v>
      </c>
      <c r="CA407" s="9">
        <v>17</v>
      </c>
      <c r="CB407" s="9">
        <v>22</v>
      </c>
      <c r="CC407" s="167">
        <f>'HourGH-SEP'!X28</f>
        <v>1.78</v>
      </c>
      <c r="CD407" s="263">
        <v>406</v>
      </c>
      <c r="CE407" s="9">
        <v>17</v>
      </c>
      <c r="CF407" s="9">
        <v>22</v>
      </c>
      <c r="CG407" s="167">
        <f>'HourGH-OCT'!X28</f>
        <v>0.6</v>
      </c>
      <c r="CH407" s="9">
        <v>406</v>
      </c>
      <c r="CI407" s="9">
        <v>17</v>
      </c>
      <c r="CJ407" s="9">
        <v>22</v>
      </c>
      <c r="CK407" s="167">
        <f>'HourGH-NOV'!X28</f>
        <v>0.66</v>
      </c>
      <c r="CL407" s="263">
        <v>406</v>
      </c>
      <c r="CM407" s="9">
        <v>17</v>
      </c>
      <c r="CN407" s="9">
        <v>22</v>
      </c>
      <c r="CO407" s="167">
        <f>'HourGH-DEC'!X28</f>
        <v>0.63</v>
      </c>
      <c r="CP407" s="263">
        <v>406</v>
      </c>
      <c r="CQ407" s="9">
        <v>17</v>
      </c>
      <c r="CR407" s="9">
        <v>22</v>
      </c>
      <c r="CS407" s="167">
        <f>'HourGH-JAN'!X28</f>
        <v>0.61</v>
      </c>
      <c r="CT407" s="9">
        <v>406</v>
      </c>
      <c r="CU407" s="9">
        <v>17</v>
      </c>
      <c r="CV407" s="9">
        <v>22</v>
      </c>
      <c r="CW407" s="167">
        <f>'HourGH-FEB'!X28</f>
        <v>0.47</v>
      </c>
      <c r="CX407" s="263">
        <v>406</v>
      </c>
      <c r="CY407" s="9">
        <v>17</v>
      </c>
      <c r="CZ407" s="9">
        <v>22</v>
      </c>
      <c r="DA407" s="167">
        <f>'HourGH-MAR'!X28</f>
        <v>0.71</v>
      </c>
    </row>
    <row r="408" spans="58:105">
      <c r="BF408" s="9">
        <v>407</v>
      </c>
      <c r="BG408" s="9">
        <v>17</v>
      </c>
      <c r="BH408" s="9">
        <v>23</v>
      </c>
      <c r="BI408" s="167">
        <f>'HourGH-APR'!Y28</f>
        <v>0.6</v>
      </c>
      <c r="BJ408" s="263">
        <v>407</v>
      </c>
      <c r="BK408" s="9">
        <v>17</v>
      </c>
      <c r="BL408" s="9">
        <v>23</v>
      </c>
      <c r="BM408" s="167">
        <f>'HourGH-MAY'!Y28</f>
        <v>0.48</v>
      </c>
      <c r="BN408" s="9">
        <v>407</v>
      </c>
      <c r="BO408" s="9">
        <v>17</v>
      </c>
      <c r="BP408" s="9">
        <v>23</v>
      </c>
      <c r="BQ408" s="167">
        <f>'HourGH-JUN'!Y28</f>
        <v>0.2</v>
      </c>
      <c r="BR408" s="263">
        <v>407</v>
      </c>
      <c r="BS408" s="9">
        <v>17</v>
      </c>
      <c r="BT408" s="9">
        <v>23</v>
      </c>
      <c r="BU408" s="167">
        <f>'HourGH-JUL'!Y28</f>
        <v>0.49</v>
      </c>
      <c r="BV408" s="263">
        <v>407</v>
      </c>
      <c r="BW408" s="9">
        <v>17</v>
      </c>
      <c r="BX408" s="9">
        <v>23</v>
      </c>
      <c r="BY408" s="167">
        <f>'HourGH-AUG'!Y28</f>
        <v>0.74</v>
      </c>
      <c r="BZ408" s="9">
        <v>407</v>
      </c>
      <c r="CA408" s="9">
        <v>17</v>
      </c>
      <c r="CB408" s="9">
        <v>23</v>
      </c>
      <c r="CC408" s="167">
        <f>'HourGH-SEP'!Y28</f>
        <v>1.78</v>
      </c>
      <c r="CD408" s="263">
        <v>407</v>
      </c>
      <c r="CE408" s="9">
        <v>17</v>
      </c>
      <c r="CF408" s="9">
        <v>23</v>
      </c>
      <c r="CG408" s="167">
        <f>'HourGH-OCT'!Y28</f>
        <v>0.61</v>
      </c>
      <c r="CH408" s="9">
        <v>407</v>
      </c>
      <c r="CI408" s="9">
        <v>17</v>
      </c>
      <c r="CJ408" s="9">
        <v>23</v>
      </c>
      <c r="CK408" s="167">
        <f>'HourGH-NOV'!Y28</f>
        <v>0.66</v>
      </c>
      <c r="CL408" s="263">
        <v>407</v>
      </c>
      <c r="CM408" s="9">
        <v>17</v>
      </c>
      <c r="CN408" s="9">
        <v>23</v>
      </c>
      <c r="CO408" s="167">
        <f>'HourGH-DEC'!Y28</f>
        <v>0.62</v>
      </c>
      <c r="CP408" s="263">
        <v>407</v>
      </c>
      <c r="CQ408" s="9">
        <v>17</v>
      </c>
      <c r="CR408" s="9">
        <v>23</v>
      </c>
      <c r="CS408" s="167">
        <f>'HourGH-JAN'!Y28</f>
        <v>0.63</v>
      </c>
      <c r="CT408" s="9">
        <v>407</v>
      </c>
      <c r="CU408" s="9">
        <v>17</v>
      </c>
      <c r="CV408" s="9">
        <v>23</v>
      </c>
      <c r="CW408" s="167">
        <f>'HourGH-FEB'!Y28</f>
        <v>0.43</v>
      </c>
      <c r="CX408" s="263">
        <v>407</v>
      </c>
      <c r="CY408" s="9">
        <v>17</v>
      </c>
      <c r="CZ408" s="9">
        <v>23</v>
      </c>
      <c r="DA408" s="167">
        <f>'HourGH-MAR'!Y28</f>
        <v>0.71</v>
      </c>
    </row>
    <row r="409" spans="58:105">
      <c r="BF409" s="9">
        <v>408</v>
      </c>
      <c r="BG409" s="9">
        <v>17</v>
      </c>
      <c r="BH409" s="9">
        <v>24</v>
      </c>
      <c r="BI409" s="167">
        <f>'HourGH-APR'!Z28</f>
        <v>0.6</v>
      </c>
      <c r="BJ409" s="263">
        <v>408</v>
      </c>
      <c r="BK409" s="9">
        <v>17</v>
      </c>
      <c r="BL409" s="9">
        <v>24</v>
      </c>
      <c r="BM409" s="167">
        <f>'HourGH-MAY'!Z28</f>
        <v>0.48</v>
      </c>
      <c r="BN409" s="9">
        <v>408</v>
      </c>
      <c r="BO409" s="9">
        <v>17</v>
      </c>
      <c r="BP409" s="9">
        <v>24</v>
      </c>
      <c r="BQ409" s="167">
        <f>'HourGH-JUN'!Z28</f>
        <v>0.2</v>
      </c>
      <c r="BR409" s="263">
        <v>408</v>
      </c>
      <c r="BS409" s="9">
        <v>17</v>
      </c>
      <c r="BT409" s="9">
        <v>24</v>
      </c>
      <c r="BU409" s="167">
        <f>'HourGH-JUL'!Z28</f>
        <v>0.49</v>
      </c>
      <c r="BV409" s="263">
        <v>408</v>
      </c>
      <c r="BW409" s="9">
        <v>17</v>
      </c>
      <c r="BX409" s="9">
        <v>24</v>
      </c>
      <c r="BY409" s="167">
        <f>'HourGH-AUG'!Z28</f>
        <v>0.73</v>
      </c>
      <c r="BZ409" s="9">
        <v>408</v>
      </c>
      <c r="CA409" s="9">
        <v>17</v>
      </c>
      <c r="CB409" s="9">
        <v>24</v>
      </c>
      <c r="CC409" s="167">
        <f>'HourGH-SEP'!Z28</f>
        <v>1.79</v>
      </c>
      <c r="CD409" s="263">
        <v>408</v>
      </c>
      <c r="CE409" s="9">
        <v>17</v>
      </c>
      <c r="CF409" s="9">
        <v>24</v>
      </c>
      <c r="CG409" s="167">
        <f>'HourGH-OCT'!Z28</f>
        <v>0.62</v>
      </c>
      <c r="CH409" s="9">
        <v>408</v>
      </c>
      <c r="CI409" s="9">
        <v>17</v>
      </c>
      <c r="CJ409" s="9">
        <v>24</v>
      </c>
      <c r="CK409" s="167">
        <f>'HourGH-NOV'!Z28</f>
        <v>0.66</v>
      </c>
      <c r="CL409" s="263">
        <v>408</v>
      </c>
      <c r="CM409" s="9">
        <v>17</v>
      </c>
      <c r="CN409" s="9">
        <v>24</v>
      </c>
      <c r="CO409" s="167">
        <f>'HourGH-DEC'!Z28</f>
        <v>0.62</v>
      </c>
      <c r="CP409" s="263">
        <v>408</v>
      </c>
      <c r="CQ409" s="9">
        <v>17</v>
      </c>
      <c r="CR409" s="9">
        <v>24</v>
      </c>
      <c r="CS409" s="167">
        <f>'HourGH-JAN'!Z28</f>
        <v>0.64</v>
      </c>
      <c r="CT409" s="9">
        <v>408</v>
      </c>
      <c r="CU409" s="9">
        <v>17</v>
      </c>
      <c r="CV409" s="9">
        <v>24</v>
      </c>
      <c r="CW409" s="167">
        <f>'HourGH-FEB'!Z28</f>
        <v>0.41</v>
      </c>
      <c r="CX409" s="263">
        <v>408</v>
      </c>
      <c r="CY409" s="9">
        <v>17</v>
      </c>
      <c r="CZ409" s="9">
        <v>24</v>
      </c>
      <c r="DA409" s="167">
        <f>'HourGH-MAR'!Z28</f>
        <v>0.71</v>
      </c>
    </row>
    <row r="410" spans="58:105">
      <c r="BF410" s="9">
        <v>409</v>
      </c>
      <c r="BG410" s="9">
        <v>18</v>
      </c>
      <c r="BH410" s="9">
        <v>1</v>
      </c>
      <c r="BI410" s="167">
        <f>'HourGH-APR'!C29</f>
        <v>0.6</v>
      </c>
      <c r="BJ410" s="263">
        <v>409</v>
      </c>
      <c r="BK410" s="9">
        <v>18</v>
      </c>
      <c r="BL410" s="9">
        <v>1</v>
      </c>
      <c r="BM410" s="167">
        <f>'HourGH-MAY'!C29</f>
        <v>0.48</v>
      </c>
      <c r="BN410" s="9">
        <v>409</v>
      </c>
      <c r="BO410" s="9">
        <v>18</v>
      </c>
      <c r="BP410" s="9">
        <v>1</v>
      </c>
      <c r="BQ410" s="167">
        <f>'HourGH-JUN'!C29</f>
        <v>0.21</v>
      </c>
      <c r="BR410" s="263">
        <v>409</v>
      </c>
      <c r="BS410" s="9">
        <v>18</v>
      </c>
      <c r="BT410" s="9">
        <v>1</v>
      </c>
      <c r="BU410" s="167">
        <f>'HourGH-JUL'!C29</f>
        <v>0.5</v>
      </c>
      <c r="BV410" s="263">
        <v>409</v>
      </c>
      <c r="BW410" s="9">
        <v>18</v>
      </c>
      <c r="BX410" s="9">
        <v>1</v>
      </c>
      <c r="BY410" s="167">
        <f>'HourGH-AUG'!C29</f>
        <v>0.73</v>
      </c>
      <c r="BZ410" s="9">
        <v>409</v>
      </c>
      <c r="CA410" s="9">
        <v>18</v>
      </c>
      <c r="CB410" s="9">
        <v>1</v>
      </c>
      <c r="CC410" s="167">
        <f>'HourGH-SEP'!C29</f>
        <v>1.8</v>
      </c>
      <c r="CD410" s="263">
        <v>409</v>
      </c>
      <c r="CE410" s="9">
        <v>18</v>
      </c>
      <c r="CF410" s="9">
        <v>1</v>
      </c>
      <c r="CG410" s="167">
        <f>'HourGH-OCT'!C29</f>
        <v>0.63</v>
      </c>
      <c r="CH410" s="9">
        <v>409</v>
      </c>
      <c r="CI410" s="9">
        <v>18</v>
      </c>
      <c r="CJ410" s="9">
        <v>1</v>
      </c>
      <c r="CK410" s="167">
        <f>'HourGH-NOV'!C29</f>
        <v>0.65</v>
      </c>
      <c r="CL410" s="263">
        <v>409</v>
      </c>
      <c r="CM410" s="9">
        <v>18</v>
      </c>
      <c r="CN410" s="9">
        <v>1</v>
      </c>
      <c r="CO410" s="167">
        <f>'HourGH-DEC'!C29</f>
        <v>0.62</v>
      </c>
      <c r="CP410" s="263">
        <v>409</v>
      </c>
      <c r="CQ410" s="9">
        <v>18</v>
      </c>
      <c r="CR410" s="9">
        <v>1</v>
      </c>
      <c r="CS410" s="167">
        <f>'HourGH-JAN'!C29</f>
        <v>0.66</v>
      </c>
      <c r="CT410" s="9">
        <v>409</v>
      </c>
      <c r="CU410" s="9">
        <v>18</v>
      </c>
      <c r="CV410" s="9">
        <v>1</v>
      </c>
      <c r="CW410" s="167">
        <f>'HourGH-FEB'!C29</f>
        <v>0.38</v>
      </c>
      <c r="CX410" s="263">
        <v>409</v>
      </c>
      <c r="CY410" s="9">
        <v>18</v>
      </c>
      <c r="CZ410" s="9">
        <v>1</v>
      </c>
      <c r="DA410" s="167">
        <f>'HourGH-MAR'!C29</f>
        <v>0.7</v>
      </c>
    </row>
    <row r="411" spans="58:105">
      <c r="BF411" s="9">
        <v>410</v>
      </c>
      <c r="BG411" s="9">
        <v>18</v>
      </c>
      <c r="BH411" s="9">
        <v>2</v>
      </c>
      <c r="BI411" s="167">
        <f>'HourGH-APR'!D29</f>
        <v>0.6</v>
      </c>
      <c r="BJ411" s="263">
        <v>410</v>
      </c>
      <c r="BK411" s="9">
        <v>18</v>
      </c>
      <c r="BL411" s="9">
        <v>2</v>
      </c>
      <c r="BM411" s="167">
        <f>'HourGH-MAY'!D29</f>
        <v>0.48</v>
      </c>
      <c r="BN411" s="9">
        <v>410</v>
      </c>
      <c r="BO411" s="9">
        <v>18</v>
      </c>
      <c r="BP411" s="9">
        <v>2</v>
      </c>
      <c r="BQ411" s="167">
        <f>'HourGH-JUN'!D29</f>
        <v>0.21</v>
      </c>
      <c r="BR411" s="263">
        <v>410</v>
      </c>
      <c r="BS411" s="9">
        <v>18</v>
      </c>
      <c r="BT411" s="9">
        <v>2</v>
      </c>
      <c r="BU411" s="167">
        <f>'HourGH-JUL'!D29</f>
        <v>0.5</v>
      </c>
      <c r="BV411" s="263">
        <v>410</v>
      </c>
      <c r="BW411" s="9">
        <v>18</v>
      </c>
      <c r="BX411" s="9">
        <v>2</v>
      </c>
      <c r="BY411" s="167">
        <f>'HourGH-AUG'!D29</f>
        <v>0.72</v>
      </c>
      <c r="BZ411" s="9">
        <v>410</v>
      </c>
      <c r="CA411" s="9">
        <v>18</v>
      </c>
      <c r="CB411" s="9">
        <v>2</v>
      </c>
      <c r="CC411" s="167">
        <f>'HourGH-SEP'!D29</f>
        <v>1.81</v>
      </c>
      <c r="CD411" s="263">
        <v>410</v>
      </c>
      <c r="CE411" s="9">
        <v>18</v>
      </c>
      <c r="CF411" s="9">
        <v>2</v>
      </c>
      <c r="CG411" s="167">
        <f>'HourGH-OCT'!D29</f>
        <v>0.64</v>
      </c>
      <c r="CH411" s="9">
        <v>410</v>
      </c>
      <c r="CI411" s="9">
        <v>18</v>
      </c>
      <c r="CJ411" s="9">
        <v>2</v>
      </c>
      <c r="CK411" s="167">
        <f>'HourGH-NOV'!D29</f>
        <v>0.65</v>
      </c>
      <c r="CL411" s="263">
        <v>410</v>
      </c>
      <c r="CM411" s="9">
        <v>18</v>
      </c>
      <c r="CN411" s="9">
        <v>2</v>
      </c>
      <c r="CO411" s="167">
        <f>'HourGH-DEC'!D29</f>
        <v>0.61</v>
      </c>
      <c r="CP411" s="263">
        <v>410</v>
      </c>
      <c r="CQ411" s="9">
        <v>18</v>
      </c>
      <c r="CR411" s="9">
        <v>2</v>
      </c>
      <c r="CS411" s="167">
        <f>'HourGH-JAN'!D29</f>
        <v>0.68</v>
      </c>
      <c r="CT411" s="9">
        <v>410</v>
      </c>
      <c r="CU411" s="9">
        <v>18</v>
      </c>
      <c r="CV411" s="9">
        <v>2</v>
      </c>
      <c r="CW411" s="167">
        <f>'HourGH-FEB'!D29</f>
        <v>0.35</v>
      </c>
      <c r="CX411" s="263">
        <v>410</v>
      </c>
      <c r="CY411" s="9">
        <v>18</v>
      </c>
      <c r="CZ411" s="9">
        <v>2</v>
      </c>
      <c r="DA411" s="167">
        <f>'HourGH-MAR'!D29</f>
        <v>0.7</v>
      </c>
    </row>
    <row r="412" spans="58:105">
      <c r="BF412" s="9">
        <v>411</v>
      </c>
      <c r="BG412" s="9">
        <v>18</v>
      </c>
      <c r="BH412" s="9">
        <v>3</v>
      </c>
      <c r="BI412" s="167">
        <f>'HourGH-APR'!E29</f>
        <v>0.6</v>
      </c>
      <c r="BJ412" s="263">
        <v>411</v>
      </c>
      <c r="BK412" s="9">
        <v>18</v>
      </c>
      <c r="BL412" s="9">
        <v>3</v>
      </c>
      <c r="BM412" s="167">
        <f>'HourGH-MAY'!E29</f>
        <v>0.48</v>
      </c>
      <c r="BN412" s="9">
        <v>411</v>
      </c>
      <c r="BO412" s="9">
        <v>18</v>
      </c>
      <c r="BP412" s="9">
        <v>3</v>
      </c>
      <c r="BQ412" s="167">
        <f>'HourGH-JUN'!E29</f>
        <v>0.21</v>
      </c>
      <c r="BR412" s="263">
        <v>411</v>
      </c>
      <c r="BS412" s="9">
        <v>18</v>
      </c>
      <c r="BT412" s="9">
        <v>3</v>
      </c>
      <c r="BU412" s="167">
        <f>'HourGH-JUL'!E29</f>
        <v>0.5</v>
      </c>
      <c r="BV412" s="263">
        <v>411</v>
      </c>
      <c r="BW412" s="9">
        <v>18</v>
      </c>
      <c r="BX412" s="9">
        <v>3</v>
      </c>
      <c r="BY412" s="167">
        <f>'HourGH-AUG'!E29</f>
        <v>0.72</v>
      </c>
      <c r="BZ412" s="9">
        <v>411</v>
      </c>
      <c r="CA412" s="9">
        <v>18</v>
      </c>
      <c r="CB412" s="9">
        <v>3</v>
      </c>
      <c r="CC412" s="167">
        <f>'HourGH-SEP'!E29</f>
        <v>1.83</v>
      </c>
      <c r="CD412" s="263">
        <v>411</v>
      </c>
      <c r="CE412" s="9">
        <v>18</v>
      </c>
      <c r="CF412" s="9">
        <v>3</v>
      </c>
      <c r="CG412" s="167">
        <f>'HourGH-OCT'!E29</f>
        <v>0.65</v>
      </c>
      <c r="CH412" s="9">
        <v>411</v>
      </c>
      <c r="CI412" s="9">
        <v>18</v>
      </c>
      <c r="CJ412" s="9">
        <v>3</v>
      </c>
      <c r="CK412" s="167">
        <f>'HourGH-NOV'!E29</f>
        <v>0.65</v>
      </c>
      <c r="CL412" s="263">
        <v>411</v>
      </c>
      <c r="CM412" s="9">
        <v>18</v>
      </c>
      <c r="CN412" s="9">
        <v>3</v>
      </c>
      <c r="CO412" s="167">
        <f>'HourGH-DEC'!E29</f>
        <v>0.61</v>
      </c>
      <c r="CP412" s="263">
        <v>411</v>
      </c>
      <c r="CQ412" s="9">
        <v>18</v>
      </c>
      <c r="CR412" s="9">
        <v>3</v>
      </c>
      <c r="CS412" s="167">
        <f>'HourGH-JAN'!E29</f>
        <v>0.7</v>
      </c>
      <c r="CT412" s="9">
        <v>411</v>
      </c>
      <c r="CU412" s="9">
        <v>18</v>
      </c>
      <c r="CV412" s="9">
        <v>3</v>
      </c>
      <c r="CW412" s="167">
        <f>'HourGH-FEB'!E29</f>
        <v>0.33</v>
      </c>
      <c r="CX412" s="263">
        <v>411</v>
      </c>
      <c r="CY412" s="9">
        <v>18</v>
      </c>
      <c r="CZ412" s="9">
        <v>3</v>
      </c>
      <c r="DA412" s="167">
        <f>'HourGH-MAR'!E29</f>
        <v>0.7</v>
      </c>
    </row>
    <row r="413" spans="58:105">
      <c r="BF413" s="9">
        <v>412</v>
      </c>
      <c r="BG413" s="9">
        <v>18</v>
      </c>
      <c r="BH413" s="9">
        <v>4</v>
      </c>
      <c r="BI413" s="167">
        <f>'HourGH-APR'!F29</f>
        <v>0.6</v>
      </c>
      <c r="BJ413" s="263">
        <v>412</v>
      </c>
      <c r="BK413" s="9">
        <v>18</v>
      </c>
      <c r="BL413" s="9">
        <v>4</v>
      </c>
      <c r="BM413" s="167">
        <f>'HourGH-MAY'!F29</f>
        <v>0.48</v>
      </c>
      <c r="BN413" s="9">
        <v>412</v>
      </c>
      <c r="BO413" s="9">
        <v>18</v>
      </c>
      <c r="BP413" s="9">
        <v>4</v>
      </c>
      <c r="BQ413" s="167">
        <f>'HourGH-JUN'!F29</f>
        <v>0.21</v>
      </c>
      <c r="BR413" s="263">
        <v>412</v>
      </c>
      <c r="BS413" s="9">
        <v>18</v>
      </c>
      <c r="BT413" s="9">
        <v>4</v>
      </c>
      <c r="BU413" s="167">
        <f>'HourGH-JUL'!F29</f>
        <v>0.5</v>
      </c>
      <c r="BV413" s="263">
        <v>412</v>
      </c>
      <c r="BW413" s="9">
        <v>18</v>
      </c>
      <c r="BX413" s="9">
        <v>4</v>
      </c>
      <c r="BY413" s="167">
        <f>'HourGH-AUG'!F29</f>
        <v>0.71</v>
      </c>
      <c r="BZ413" s="9">
        <v>412</v>
      </c>
      <c r="CA413" s="9">
        <v>18</v>
      </c>
      <c r="CB413" s="9">
        <v>4</v>
      </c>
      <c r="CC413" s="167">
        <f>'HourGH-SEP'!F29</f>
        <v>1.85</v>
      </c>
      <c r="CD413" s="263">
        <v>412</v>
      </c>
      <c r="CE413" s="9">
        <v>18</v>
      </c>
      <c r="CF413" s="9">
        <v>4</v>
      </c>
      <c r="CG413" s="167">
        <f>'HourGH-OCT'!F29</f>
        <v>0.66</v>
      </c>
      <c r="CH413" s="9">
        <v>412</v>
      </c>
      <c r="CI413" s="9">
        <v>18</v>
      </c>
      <c r="CJ413" s="9">
        <v>4</v>
      </c>
      <c r="CK413" s="167">
        <f>'HourGH-NOV'!F29</f>
        <v>0.65</v>
      </c>
      <c r="CL413" s="263">
        <v>412</v>
      </c>
      <c r="CM413" s="9">
        <v>18</v>
      </c>
      <c r="CN413" s="9">
        <v>4</v>
      </c>
      <c r="CO413" s="167">
        <f>'HourGH-DEC'!F29</f>
        <v>0.61</v>
      </c>
      <c r="CP413" s="263">
        <v>412</v>
      </c>
      <c r="CQ413" s="9">
        <v>18</v>
      </c>
      <c r="CR413" s="9">
        <v>4</v>
      </c>
      <c r="CS413" s="167">
        <f>'HourGH-JAN'!F29</f>
        <v>0.71</v>
      </c>
      <c r="CT413" s="9">
        <v>412</v>
      </c>
      <c r="CU413" s="9">
        <v>18</v>
      </c>
      <c r="CV413" s="9">
        <v>4</v>
      </c>
      <c r="CW413" s="167">
        <f>'HourGH-FEB'!F29</f>
        <v>0.31</v>
      </c>
      <c r="CX413" s="263">
        <v>412</v>
      </c>
      <c r="CY413" s="9">
        <v>18</v>
      </c>
      <c r="CZ413" s="9">
        <v>4</v>
      </c>
      <c r="DA413" s="167">
        <f>'HourGH-MAR'!F29</f>
        <v>0.7</v>
      </c>
    </row>
    <row r="414" spans="58:105">
      <c r="BF414" s="9">
        <v>413</v>
      </c>
      <c r="BG414" s="9">
        <v>18</v>
      </c>
      <c r="BH414" s="9">
        <v>5</v>
      </c>
      <c r="BI414" s="167">
        <f>'HourGH-APR'!G29</f>
        <v>0.6</v>
      </c>
      <c r="BJ414" s="263">
        <v>413</v>
      </c>
      <c r="BK414" s="9">
        <v>18</v>
      </c>
      <c r="BL414" s="9">
        <v>5</v>
      </c>
      <c r="BM414" s="167">
        <f>'HourGH-MAY'!G29</f>
        <v>0.48</v>
      </c>
      <c r="BN414" s="9">
        <v>413</v>
      </c>
      <c r="BO414" s="9">
        <v>18</v>
      </c>
      <c r="BP414" s="9">
        <v>5</v>
      </c>
      <c r="BQ414" s="167">
        <f>'HourGH-JUN'!G29</f>
        <v>0.21</v>
      </c>
      <c r="BR414" s="263">
        <v>413</v>
      </c>
      <c r="BS414" s="9">
        <v>18</v>
      </c>
      <c r="BT414" s="9">
        <v>5</v>
      </c>
      <c r="BU414" s="167">
        <f>'HourGH-JUL'!G29</f>
        <v>0.5</v>
      </c>
      <c r="BV414" s="263">
        <v>413</v>
      </c>
      <c r="BW414" s="9">
        <v>18</v>
      </c>
      <c r="BX414" s="9">
        <v>5</v>
      </c>
      <c r="BY414" s="167">
        <f>'HourGH-AUG'!G29</f>
        <v>0.71</v>
      </c>
      <c r="BZ414" s="9">
        <v>413</v>
      </c>
      <c r="CA414" s="9">
        <v>18</v>
      </c>
      <c r="CB414" s="9">
        <v>5</v>
      </c>
      <c r="CC414" s="167">
        <f>'HourGH-SEP'!G29</f>
        <v>1.89</v>
      </c>
      <c r="CD414" s="263">
        <v>413</v>
      </c>
      <c r="CE414" s="9">
        <v>18</v>
      </c>
      <c r="CF414" s="9">
        <v>5</v>
      </c>
      <c r="CG414" s="167">
        <f>'HourGH-OCT'!G29</f>
        <v>0.67</v>
      </c>
      <c r="CH414" s="9">
        <v>413</v>
      </c>
      <c r="CI414" s="9">
        <v>18</v>
      </c>
      <c r="CJ414" s="9">
        <v>5</v>
      </c>
      <c r="CK414" s="167">
        <f>'HourGH-NOV'!G29</f>
        <v>0.65</v>
      </c>
      <c r="CL414" s="263">
        <v>413</v>
      </c>
      <c r="CM414" s="9">
        <v>18</v>
      </c>
      <c r="CN414" s="9">
        <v>5</v>
      </c>
      <c r="CO414" s="167">
        <f>'HourGH-DEC'!G29</f>
        <v>0.62</v>
      </c>
      <c r="CP414" s="263">
        <v>413</v>
      </c>
      <c r="CQ414" s="9">
        <v>18</v>
      </c>
      <c r="CR414" s="9">
        <v>5</v>
      </c>
      <c r="CS414" s="167">
        <f>'HourGH-JAN'!G29</f>
        <v>0.71</v>
      </c>
      <c r="CT414" s="9">
        <v>413</v>
      </c>
      <c r="CU414" s="9">
        <v>18</v>
      </c>
      <c r="CV414" s="9">
        <v>5</v>
      </c>
      <c r="CW414" s="167">
        <f>'HourGH-FEB'!G29</f>
        <v>0.28999999999999998</v>
      </c>
      <c r="CX414" s="263">
        <v>413</v>
      </c>
      <c r="CY414" s="9">
        <v>18</v>
      </c>
      <c r="CZ414" s="9">
        <v>5</v>
      </c>
      <c r="DA414" s="167">
        <f>'HourGH-MAR'!G29</f>
        <v>0.7</v>
      </c>
    </row>
    <row r="415" spans="58:105">
      <c r="BF415" s="9">
        <v>414</v>
      </c>
      <c r="BG415" s="9">
        <v>18</v>
      </c>
      <c r="BH415" s="9">
        <v>6</v>
      </c>
      <c r="BI415" s="167">
        <f>'HourGH-APR'!H29</f>
        <v>0.6</v>
      </c>
      <c r="BJ415" s="263">
        <v>414</v>
      </c>
      <c r="BK415" s="9">
        <v>18</v>
      </c>
      <c r="BL415" s="9">
        <v>6</v>
      </c>
      <c r="BM415" s="167">
        <f>'HourGH-MAY'!H29</f>
        <v>0.48</v>
      </c>
      <c r="BN415" s="9">
        <v>414</v>
      </c>
      <c r="BO415" s="9">
        <v>18</v>
      </c>
      <c r="BP415" s="9">
        <v>6</v>
      </c>
      <c r="BQ415" s="167">
        <f>'HourGH-JUN'!H29</f>
        <v>0.21</v>
      </c>
      <c r="BR415" s="263">
        <v>414</v>
      </c>
      <c r="BS415" s="9">
        <v>18</v>
      </c>
      <c r="BT415" s="9">
        <v>6</v>
      </c>
      <c r="BU415" s="167">
        <f>'HourGH-JUL'!H29</f>
        <v>0.5</v>
      </c>
      <c r="BV415" s="263">
        <v>414</v>
      </c>
      <c r="BW415" s="9">
        <v>18</v>
      </c>
      <c r="BX415" s="9">
        <v>6</v>
      </c>
      <c r="BY415" s="167">
        <f>'HourGH-AUG'!H29</f>
        <v>0.7</v>
      </c>
      <c r="BZ415" s="9">
        <v>414</v>
      </c>
      <c r="CA415" s="9">
        <v>18</v>
      </c>
      <c r="CB415" s="9">
        <v>6</v>
      </c>
      <c r="CC415" s="167">
        <f>'HourGH-SEP'!H29</f>
        <v>1.92</v>
      </c>
      <c r="CD415" s="263">
        <v>414</v>
      </c>
      <c r="CE415" s="9">
        <v>18</v>
      </c>
      <c r="CF415" s="9">
        <v>6</v>
      </c>
      <c r="CG415" s="167">
        <f>'HourGH-OCT'!H29</f>
        <v>0.68</v>
      </c>
      <c r="CH415" s="9">
        <v>414</v>
      </c>
      <c r="CI415" s="9">
        <v>18</v>
      </c>
      <c r="CJ415" s="9">
        <v>6</v>
      </c>
      <c r="CK415" s="167">
        <f>'HourGH-NOV'!H29</f>
        <v>0.65</v>
      </c>
      <c r="CL415" s="263">
        <v>414</v>
      </c>
      <c r="CM415" s="9">
        <v>18</v>
      </c>
      <c r="CN415" s="9">
        <v>6</v>
      </c>
      <c r="CO415" s="167">
        <f>'HourGH-DEC'!H29</f>
        <v>0.6</v>
      </c>
      <c r="CP415" s="263">
        <v>414</v>
      </c>
      <c r="CQ415" s="9">
        <v>18</v>
      </c>
      <c r="CR415" s="9">
        <v>6</v>
      </c>
      <c r="CS415" s="167">
        <f>'HourGH-JAN'!H29</f>
        <v>0.72</v>
      </c>
      <c r="CT415" s="9">
        <v>414</v>
      </c>
      <c r="CU415" s="9">
        <v>18</v>
      </c>
      <c r="CV415" s="9">
        <v>6</v>
      </c>
      <c r="CW415" s="167">
        <f>'HourGH-FEB'!H29</f>
        <v>0.27</v>
      </c>
      <c r="CX415" s="263">
        <v>414</v>
      </c>
      <c r="CY415" s="9">
        <v>18</v>
      </c>
      <c r="CZ415" s="9">
        <v>6</v>
      </c>
      <c r="DA415" s="167">
        <f>'HourGH-MAR'!H29</f>
        <v>0.7</v>
      </c>
    </row>
    <row r="416" spans="58:105">
      <c r="BF416" s="9">
        <v>415</v>
      </c>
      <c r="BG416" s="9">
        <v>18</v>
      </c>
      <c r="BH416" s="9">
        <v>7</v>
      </c>
      <c r="BI416" s="167">
        <f>'HourGH-APR'!I29</f>
        <v>0.6</v>
      </c>
      <c r="BJ416" s="263">
        <v>415</v>
      </c>
      <c r="BK416" s="9">
        <v>18</v>
      </c>
      <c r="BL416" s="9">
        <v>7</v>
      </c>
      <c r="BM416" s="167">
        <f>'HourGH-MAY'!I29</f>
        <v>0.48</v>
      </c>
      <c r="BN416" s="9">
        <v>415</v>
      </c>
      <c r="BO416" s="9">
        <v>18</v>
      </c>
      <c r="BP416" s="9">
        <v>7</v>
      </c>
      <c r="BQ416" s="167">
        <f>'HourGH-JUN'!I29</f>
        <v>0.21</v>
      </c>
      <c r="BR416" s="263">
        <v>415</v>
      </c>
      <c r="BS416" s="9">
        <v>18</v>
      </c>
      <c r="BT416" s="9">
        <v>7</v>
      </c>
      <c r="BU416" s="167">
        <f>'HourGH-JUL'!I29</f>
        <v>0.49</v>
      </c>
      <c r="BV416" s="263">
        <v>415</v>
      </c>
      <c r="BW416" s="9">
        <v>18</v>
      </c>
      <c r="BX416" s="9">
        <v>7</v>
      </c>
      <c r="BY416" s="167">
        <f>'HourGH-AUG'!I29</f>
        <v>0.7</v>
      </c>
      <c r="BZ416" s="9">
        <v>415</v>
      </c>
      <c r="CA416" s="9">
        <v>18</v>
      </c>
      <c r="CB416" s="9">
        <v>7</v>
      </c>
      <c r="CC416" s="167">
        <f>'HourGH-SEP'!I29</f>
        <v>1.95</v>
      </c>
      <c r="CD416" s="263">
        <v>415</v>
      </c>
      <c r="CE416" s="9">
        <v>18</v>
      </c>
      <c r="CF416" s="9">
        <v>7</v>
      </c>
      <c r="CG416" s="167">
        <f>'HourGH-OCT'!I29</f>
        <v>0.71</v>
      </c>
      <c r="CH416" s="9">
        <v>415</v>
      </c>
      <c r="CI416" s="9">
        <v>18</v>
      </c>
      <c r="CJ416" s="9">
        <v>7</v>
      </c>
      <c r="CK416" s="167">
        <f>'HourGH-NOV'!I29</f>
        <v>0.66</v>
      </c>
      <c r="CL416" s="263">
        <v>415</v>
      </c>
      <c r="CM416" s="9">
        <v>18</v>
      </c>
      <c r="CN416" s="9">
        <v>7</v>
      </c>
      <c r="CO416" s="167">
        <f>'HourGH-DEC'!I29</f>
        <v>0.6</v>
      </c>
      <c r="CP416" s="263">
        <v>415</v>
      </c>
      <c r="CQ416" s="9">
        <v>18</v>
      </c>
      <c r="CR416" s="9">
        <v>7</v>
      </c>
      <c r="CS416" s="167">
        <f>'HourGH-JAN'!I29</f>
        <v>0.72</v>
      </c>
      <c r="CT416" s="9">
        <v>415</v>
      </c>
      <c r="CU416" s="9">
        <v>18</v>
      </c>
      <c r="CV416" s="9">
        <v>7</v>
      </c>
      <c r="CW416" s="167">
        <f>'HourGH-FEB'!I29</f>
        <v>0.27</v>
      </c>
      <c r="CX416" s="263">
        <v>415</v>
      </c>
      <c r="CY416" s="9">
        <v>18</v>
      </c>
      <c r="CZ416" s="9">
        <v>7</v>
      </c>
      <c r="DA416" s="167">
        <f>'HourGH-MAR'!I29</f>
        <v>0.69</v>
      </c>
    </row>
    <row r="417" spans="58:105">
      <c r="BF417" s="9">
        <v>416</v>
      </c>
      <c r="BG417" s="9">
        <v>18</v>
      </c>
      <c r="BH417" s="9">
        <v>8</v>
      </c>
      <c r="BI417" s="167">
        <f>'HourGH-APR'!J29</f>
        <v>0.6</v>
      </c>
      <c r="BJ417" s="263">
        <v>416</v>
      </c>
      <c r="BK417" s="9">
        <v>18</v>
      </c>
      <c r="BL417" s="9">
        <v>8</v>
      </c>
      <c r="BM417" s="167">
        <f>'HourGH-MAY'!J29</f>
        <v>0.48</v>
      </c>
      <c r="BN417" s="9">
        <v>416</v>
      </c>
      <c r="BO417" s="9">
        <v>18</v>
      </c>
      <c r="BP417" s="9">
        <v>8</v>
      </c>
      <c r="BQ417" s="167">
        <f>'HourGH-JUN'!J29</f>
        <v>0.21</v>
      </c>
      <c r="BR417" s="263">
        <v>416</v>
      </c>
      <c r="BS417" s="9">
        <v>18</v>
      </c>
      <c r="BT417" s="9">
        <v>8</v>
      </c>
      <c r="BU417" s="167">
        <f>'HourGH-JUL'!J29</f>
        <v>0.49</v>
      </c>
      <c r="BV417" s="263">
        <v>416</v>
      </c>
      <c r="BW417" s="9">
        <v>18</v>
      </c>
      <c r="BX417" s="9">
        <v>8</v>
      </c>
      <c r="BY417" s="167">
        <f>'HourGH-AUG'!J29</f>
        <v>0.69</v>
      </c>
      <c r="BZ417" s="9">
        <v>416</v>
      </c>
      <c r="CA417" s="9">
        <v>18</v>
      </c>
      <c r="CB417" s="9">
        <v>8</v>
      </c>
      <c r="CC417" s="167">
        <f>'HourGH-SEP'!J29</f>
        <v>1.97</v>
      </c>
      <c r="CD417" s="263">
        <v>416</v>
      </c>
      <c r="CE417" s="9">
        <v>18</v>
      </c>
      <c r="CF417" s="9">
        <v>8</v>
      </c>
      <c r="CG417" s="167">
        <f>'HourGH-OCT'!J29</f>
        <v>0.74</v>
      </c>
      <c r="CH417" s="9">
        <v>416</v>
      </c>
      <c r="CI417" s="9">
        <v>18</v>
      </c>
      <c r="CJ417" s="9">
        <v>8</v>
      </c>
      <c r="CK417" s="167">
        <f>'HourGH-NOV'!J29</f>
        <v>0.66</v>
      </c>
      <c r="CL417" s="263">
        <v>416</v>
      </c>
      <c r="CM417" s="9">
        <v>18</v>
      </c>
      <c r="CN417" s="9">
        <v>8</v>
      </c>
      <c r="CO417" s="167">
        <f>'HourGH-DEC'!J29</f>
        <v>0.6</v>
      </c>
      <c r="CP417" s="263">
        <v>416</v>
      </c>
      <c r="CQ417" s="9">
        <v>18</v>
      </c>
      <c r="CR417" s="9">
        <v>8</v>
      </c>
      <c r="CS417" s="167">
        <f>'HourGH-JAN'!J29</f>
        <v>0.72</v>
      </c>
      <c r="CT417" s="9">
        <v>416</v>
      </c>
      <c r="CU417" s="9">
        <v>18</v>
      </c>
      <c r="CV417" s="9">
        <v>8</v>
      </c>
      <c r="CW417" s="167">
        <f>'HourGH-FEB'!J29</f>
        <v>0.27</v>
      </c>
      <c r="CX417" s="263">
        <v>416</v>
      </c>
      <c r="CY417" s="9">
        <v>18</v>
      </c>
      <c r="CZ417" s="9">
        <v>8</v>
      </c>
      <c r="DA417" s="167">
        <f>'HourGH-MAR'!J29</f>
        <v>0.69</v>
      </c>
    </row>
    <row r="418" spans="58:105">
      <c r="BF418" s="9">
        <v>417</v>
      </c>
      <c r="BG418" s="9">
        <v>18</v>
      </c>
      <c r="BH418" s="9">
        <v>9</v>
      </c>
      <c r="BI418" s="167">
        <f>'HourGH-APR'!K29</f>
        <v>0.6</v>
      </c>
      <c r="BJ418" s="263">
        <v>417</v>
      </c>
      <c r="BK418" s="9">
        <v>18</v>
      </c>
      <c r="BL418" s="9">
        <v>9</v>
      </c>
      <c r="BM418" s="167">
        <f>'HourGH-MAY'!K29</f>
        <v>0.48</v>
      </c>
      <c r="BN418" s="9">
        <v>417</v>
      </c>
      <c r="BO418" s="9">
        <v>18</v>
      </c>
      <c r="BP418" s="9">
        <v>9</v>
      </c>
      <c r="BQ418" s="167">
        <f>'HourGH-JUN'!K29</f>
        <v>0.21</v>
      </c>
      <c r="BR418" s="263">
        <v>417</v>
      </c>
      <c r="BS418" s="9">
        <v>18</v>
      </c>
      <c r="BT418" s="9">
        <v>9</v>
      </c>
      <c r="BU418" s="167">
        <f>'HourGH-JUL'!K29</f>
        <v>0.49</v>
      </c>
      <c r="BV418" s="263">
        <v>417</v>
      </c>
      <c r="BW418" s="9">
        <v>18</v>
      </c>
      <c r="BX418" s="9">
        <v>9</v>
      </c>
      <c r="BY418" s="167">
        <f>'HourGH-AUG'!K29</f>
        <v>0.69</v>
      </c>
      <c r="BZ418" s="9">
        <v>417</v>
      </c>
      <c r="CA418" s="9">
        <v>18</v>
      </c>
      <c r="CB418" s="9">
        <v>9</v>
      </c>
      <c r="CC418" s="167">
        <f>'HourGH-SEP'!K29</f>
        <v>1.98</v>
      </c>
      <c r="CD418" s="263">
        <v>417</v>
      </c>
      <c r="CE418" s="9">
        <v>18</v>
      </c>
      <c r="CF418" s="9">
        <v>9</v>
      </c>
      <c r="CG418" s="167">
        <f>'HourGH-OCT'!K29</f>
        <v>0.79</v>
      </c>
      <c r="CH418" s="9">
        <v>417</v>
      </c>
      <c r="CI418" s="9">
        <v>18</v>
      </c>
      <c r="CJ418" s="9">
        <v>9</v>
      </c>
      <c r="CK418" s="167">
        <f>'HourGH-NOV'!K29</f>
        <v>0.66</v>
      </c>
      <c r="CL418" s="263">
        <v>417</v>
      </c>
      <c r="CM418" s="9">
        <v>18</v>
      </c>
      <c r="CN418" s="9">
        <v>9</v>
      </c>
      <c r="CO418" s="167">
        <f>'HourGH-DEC'!K29</f>
        <v>0.6</v>
      </c>
      <c r="CP418" s="263">
        <v>417</v>
      </c>
      <c r="CQ418" s="9">
        <v>18</v>
      </c>
      <c r="CR418" s="9">
        <v>9</v>
      </c>
      <c r="CS418" s="167">
        <f>'HourGH-JAN'!K29</f>
        <v>0.72</v>
      </c>
      <c r="CT418" s="9">
        <v>417</v>
      </c>
      <c r="CU418" s="9">
        <v>18</v>
      </c>
      <c r="CV418" s="9">
        <v>9</v>
      </c>
      <c r="CW418" s="167">
        <f>'HourGH-FEB'!K29</f>
        <v>0.27</v>
      </c>
      <c r="CX418" s="263">
        <v>417</v>
      </c>
      <c r="CY418" s="9">
        <v>18</v>
      </c>
      <c r="CZ418" s="9">
        <v>9</v>
      </c>
      <c r="DA418" s="167">
        <f>'HourGH-MAR'!K29</f>
        <v>0.68</v>
      </c>
    </row>
    <row r="419" spans="58:105">
      <c r="BF419" s="9">
        <v>418</v>
      </c>
      <c r="BG419" s="9">
        <v>18</v>
      </c>
      <c r="BH419" s="9">
        <v>10</v>
      </c>
      <c r="BI419" s="167">
        <f>'HourGH-APR'!L29</f>
        <v>0.6</v>
      </c>
      <c r="BJ419" s="263">
        <v>418</v>
      </c>
      <c r="BK419" s="9">
        <v>18</v>
      </c>
      <c r="BL419" s="9">
        <v>10</v>
      </c>
      <c r="BM419" s="167">
        <f>'HourGH-MAY'!L29</f>
        <v>0.48</v>
      </c>
      <c r="BN419" s="9">
        <v>418</v>
      </c>
      <c r="BO419" s="9">
        <v>18</v>
      </c>
      <c r="BP419" s="9">
        <v>10</v>
      </c>
      <c r="BQ419" s="167">
        <f>'HourGH-JUN'!L29</f>
        <v>0.21</v>
      </c>
      <c r="BR419" s="263">
        <v>418</v>
      </c>
      <c r="BS419" s="9">
        <v>18</v>
      </c>
      <c r="BT419" s="9">
        <v>10</v>
      </c>
      <c r="BU419" s="167">
        <f>'HourGH-JUL'!L29</f>
        <v>0.49</v>
      </c>
      <c r="BV419" s="263">
        <v>418</v>
      </c>
      <c r="BW419" s="9">
        <v>18</v>
      </c>
      <c r="BX419" s="9">
        <v>10</v>
      </c>
      <c r="BY419" s="167">
        <f>'HourGH-AUG'!L29</f>
        <v>0.68</v>
      </c>
      <c r="BZ419" s="9">
        <v>418</v>
      </c>
      <c r="CA419" s="9">
        <v>18</v>
      </c>
      <c r="CB419" s="9">
        <v>10</v>
      </c>
      <c r="CC419" s="167">
        <f>'HourGH-SEP'!L29</f>
        <v>1.99</v>
      </c>
      <c r="CD419" s="263">
        <v>418</v>
      </c>
      <c r="CE419" s="9">
        <v>18</v>
      </c>
      <c r="CF419" s="9">
        <v>10</v>
      </c>
      <c r="CG419" s="167">
        <f>'HourGH-OCT'!L29</f>
        <v>0.83</v>
      </c>
      <c r="CH419" s="9">
        <v>418</v>
      </c>
      <c r="CI419" s="9">
        <v>18</v>
      </c>
      <c r="CJ419" s="9">
        <v>10</v>
      </c>
      <c r="CK419" s="167">
        <f>'HourGH-NOV'!L29</f>
        <v>0.66</v>
      </c>
      <c r="CL419" s="263">
        <v>418</v>
      </c>
      <c r="CM419" s="9">
        <v>18</v>
      </c>
      <c r="CN419" s="9">
        <v>10</v>
      </c>
      <c r="CO419" s="167">
        <f>'HourGH-DEC'!L29</f>
        <v>0.6</v>
      </c>
      <c r="CP419" s="263">
        <v>418</v>
      </c>
      <c r="CQ419" s="9">
        <v>18</v>
      </c>
      <c r="CR419" s="9">
        <v>10</v>
      </c>
      <c r="CS419" s="167">
        <f>'HourGH-JAN'!L29</f>
        <v>0.72</v>
      </c>
      <c r="CT419" s="9">
        <v>418</v>
      </c>
      <c r="CU419" s="9">
        <v>18</v>
      </c>
      <c r="CV419" s="9">
        <v>10</v>
      </c>
      <c r="CW419" s="167">
        <f>'HourGH-FEB'!L29</f>
        <v>0.27</v>
      </c>
      <c r="CX419" s="263">
        <v>418</v>
      </c>
      <c r="CY419" s="9">
        <v>18</v>
      </c>
      <c r="CZ419" s="9">
        <v>10</v>
      </c>
      <c r="DA419" s="167">
        <f>'HourGH-MAR'!L29</f>
        <v>0.67</v>
      </c>
    </row>
    <row r="420" spans="58:105">
      <c r="BF420" s="9">
        <v>419</v>
      </c>
      <c r="BG420" s="9">
        <v>18</v>
      </c>
      <c r="BH420" s="9">
        <v>11</v>
      </c>
      <c r="BI420" s="167">
        <f>'HourGH-APR'!M29</f>
        <v>0.6</v>
      </c>
      <c r="BJ420" s="263">
        <v>419</v>
      </c>
      <c r="BK420" s="9">
        <v>18</v>
      </c>
      <c r="BL420" s="9">
        <v>11</v>
      </c>
      <c r="BM420" s="167">
        <f>'HourGH-MAY'!M29</f>
        <v>0.48</v>
      </c>
      <c r="BN420" s="9">
        <v>419</v>
      </c>
      <c r="BO420" s="9">
        <v>18</v>
      </c>
      <c r="BP420" s="9">
        <v>11</v>
      </c>
      <c r="BQ420" s="167">
        <f>'HourGH-JUN'!M29</f>
        <v>0.21</v>
      </c>
      <c r="BR420" s="263">
        <v>419</v>
      </c>
      <c r="BS420" s="9">
        <v>18</v>
      </c>
      <c r="BT420" s="9">
        <v>11</v>
      </c>
      <c r="BU420" s="167">
        <f>'HourGH-JUL'!M29</f>
        <v>0.49</v>
      </c>
      <c r="BV420" s="263">
        <v>419</v>
      </c>
      <c r="BW420" s="9">
        <v>18</v>
      </c>
      <c r="BX420" s="9">
        <v>11</v>
      </c>
      <c r="BY420" s="167">
        <f>'HourGH-AUG'!M29</f>
        <v>0.68</v>
      </c>
      <c r="BZ420" s="9">
        <v>419</v>
      </c>
      <c r="CA420" s="9">
        <v>18</v>
      </c>
      <c r="CB420" s="9">
        <v>11</v>
      </c>
      <c r="CC420" s="167">
        <f>'HourGH-SEP'!M29</f>
        <v>2</v>
      </c>
      <c r="CD420" s="263">
        <v>419</v>
      </c>
      <c r="CE420" s="9">
        <v>18</v>
      </c>
      <c r="CF420" s="9">
        <v>11</v>
      </c>
      <c r="CG420" s="167">
        <f>'HourGH-OCT'!M29</f>
        <v>0.92</v>
      </c>
      <c r="CH420" s="9">
        <v>419</v>
      </c>
      <c r="CI420" s="9">
        <v>18</v>
      </c>
      <c r="CJ420" s="9">
        <v>11</v>
      </c>
      <c r="CK420" s="167">
        <f>'HourGH-NOV'!M29</f>
        <v>0.66</v>
      </c>
      <c r="CL420" s="263">
        <v>419</v>
      </c>
      <c r="CM420" s="9">
        <v>18</v>
      </c>
      <c r="CN420" s="9">
        <v>11</v>
      </c>
      <c r="CO420" s="167">
        <f>'HourGH-DEC'!M29</f>
        <v>0.6</v>
      </c>
      <c r="CP420" s="263">
        <v>419</v>
      </c>
      <c r="CQ420" s="9">
        <v>18</v>
      </c>
      <c r="CR420" s="9">
        <v>11</v>
      </c>
      <c r="CS420" s="167">
        <f>'HourGH-JAN'!M29</f>
        <v>0.72</v>
      </c>
      <c r="CT420" s="9">
        <v>419</v>
      </c>
      <c r="CU420" s="9">
        <v>18</v>
      </c>
      <c r="CV420" s="9">
        <v>11</v>
      </c>
      <c r="CW420" s="167">
        <f>'HourGH-FEB'!M29</f>
        <v>0.27</v>
      </c>
      <c r="CX420" s="263">
        <v>419</v>
      </c>
      <c r="CY420" s="9">
        <v>18</v>
      </c>
      <c r="CZ420" s="9">
        <v>11</v>
      </c>
      <c r="DA420" s="167">
        <f>'HourGH-MAR'!M29</f>
        <v>0.66</v>
      </c>
    </row>
    <row r="421" spans="58:105">
      <c r="BF421" s="9">
        <v>420</v>
      </c>
      <c r="BG421" s="9">
        <v>18</v>
      </c>
      <c r="BH421" s="9">
        <v>12</v>
      </c>
      <c r="BI421" s="167">
        <f>'HourGH-APR'!N29</f>
        <v>0.6</v>
      </c>
      <c r="BJ421" s="263">
        <v>420</v>
      </c>
      <c r="BK421" s="9">
        <v>18</v>
      </c>
      <c r="BL421" s="9">
        <v>12</v>
      </c>
      <c r="BM421" s="167">
        <f>'HourGH-MAY'!N29</f>
        <v>0.48</v>
      </c>
      <c r="BN421" s="9">
        <v>420</v>
      </c>
      <c r="BO421" s="9">
        <v>18</v>
      </c>
      <c r="BP421" s="9">
        <v>12</v>
      </c>
      <c r="BQ421" s="167">
        <f>'HourGH-JUN'!N29</f>
        <v>0.21</v>
      </c>
      <c r="BR421" s="263">
        <v>420</v>
      </c>
      <c r="BS421" s="9">
        <v>18</v>
      </c>
      <c r="BT421" s="9">
        <v>12</v>
      </c>
      <c r="BU421" s="167">
        <f>'HourGH-JUL'!N29</f>
        <v>0.48</v>
      </c>
      <c r="BV421" s="263">
        <v>420</v>
      </c>
      <c r="BW421" s="9">
        <v>18</v>
      </c>
      <c r="BX421" s="9">
        <v>12</v>
      </c>
      <c r="BY421" s="167">
        <f>'HourGH-AUG'!N29</f>
        <v>0.67</v>
      </c>
      <c r="BZ421" s="9">
        <v>420</v>
      </c>
      <c r="CA421" s="9">
        <v>18</v>
      </c>
      <c r="CB421" s="9">
        <v>12</v>
      </c>
      <c r="CC421" s="167">
        <f>'HourGH-SEP'!N29</f>
        <v>2</v>
      </c>
      <c r="CD421" s="263">
        <v>420</v>
      </c>
      <c r="CE421" s="9">
        <v>18</v>
      </c>
      <c r="CF421" s="9">
        <v>12</v>
      </c>
      <c r="CG421" s="167">
        <f>'HourGH-OCT'!N29</f>
        <v>1.1000000000000001</v>
      </c>
      <c r="CH421" s="9">
        <v>420</v>
      </c>
      <c r="CI421" s="9">
        <v>18</v>
      </c>
      <c r="CJ421" s="9">
        <v>12</v>
      </c>
      <c r="CK421" s="167">
        <f>'HourGH-NOV'!N29</f>
        <v>0.66</v>
      </c>
      <c r="CL421" s="263">
        <v>420</v>
      </c>
      <c r="CM421" s="9">
        <v>18</v>
      </c>
      <c r="CN421" s="9">
        <v>12</v>
      </c>
      <c r="CO421" s="167">
        <f>'HourGH-DEC'!N29</f>
        <v>0.6</v>
      </c>
      <c r="CP421" s="263">
        <v>420</v>
      </c>
      <c r="CQ421" s="9">
        <v>18</v>
      </c>
      <c r="CR421" s="9">
        <v>12</v>
      </c>
      <c r="CS421" s="167">
        <f>'HourGH-JAN'!N29</f>
        <v>0.72</v>
      </c>
      <c r="CT421" s="9">
        <v>420</v>
      </c>
      <c r="CU421" s="9">
        <v>18</v>
      </c>
      <c r="CV421" s="9">
        <v>12</v>
      </c>
      <c r="CW421" s="167">
        <f>'HourGH-FEB'!N29</f>
        <v>0.27</v>
      </c>
      <c r="CX421" s="263">
        <v>420</v>
      </c>
      <c r="CY421" s="9">
        <v>18</v>
      </c>
      <c r="CZ421" s="9">
        <v>12</v>
      </c>
      <c r="DA421" s="167">
        <f>'HourGH-MAR'!N29</f>
        <v>0.64</v>
      </c>
    </row>
    <row r="422" spans="58:105">
      <c r="BF422" s="9">
        <v>421</v>
      </c>
      <c r="BG422" s="9">
        <v>18</v>
      </c>
      <c r="BH422" s="9">
        <v>13</v>
      </c>
      <c r="BI422" s="167">
        <f>'HourGH-APR'!O29</f>
        <v>0.6</v>
      </c>
      <c r="BJ422" s="263">
        <v>421</v>
      </c>
      <c r="BK422" s="9">
        <v>18</v>
      </c>
      <c r="BL422" s="9">
        <v>13</v>
      </c>
      <c r="BM422" s="167">
        <f>'HourGH-MAY'!O29</f>
        <v>0.48</v>
      </c>
      <c r="BN422" s="9">
        <v>421</v>
      </c>
      <c r="BO422" s="9">
        <v>18</v>
      </c>
      <c r="BP422" s="9">
        <v>13</v>
      </c>
      <c r="BQ422" s="167">
        <f>'HourGH-JUN'!O29</f>
        <v>0.21</v>
      </c>
      <c r="BR422" s="263">
        <v>421</v>
      </c>
      <c r="BS422" s="9">
        <v>18</v>
      </c>
      <c r="BT422" s="9">
        <v>13</v>
      </c>
      <c r="BU422" s="167">
        <f>'HourGH-JUL'!O29</f>
        <v>0.48</v>
      </c>
      <c r="BV422" s="263">
        <v>421</v>
      </c>
      <c r="BW422" s="9">
        <v>18</v>
      </c>
      <c r="BX422" s="9">
        <v>13</v>
      </c>
      <c r="BY422" s="167">
        <f>'HourGH-AUG'!O29</f>
        <v>0.67</v>
      </c>
      <c r="BZ422" s="9">
        <v>421</v>
      </c>
      <c r="CA422" s="9">
        <v>18</v>
      </c>
      <c r="CB422" s="9">
        <v>13</v>
      </c>
      <c r="CC422" s="167">
        <f>'HourGH-SEP'!O29</f>
        <v>2</v>
      </c>
      <c r="CD422" s="263">
        <v>421</v>
      </c>
      <c r="CE422" s="9">
        <v>18</v>
      </c>
      <c r="CF422" s="9">
        <v>13</v>
      </c>
      <c r="CG422" s="167">
        <f>'HourGH-OCT'!O29</f>
        <v>1.28</v>
      </c>
      <c r="CH422" s="9">
        <v>421</v>
      </c>
      <c r="CI422" s="9">
        <v>18</v>
      </c>
      <c r="CJ422" s="9">
        <v>13</v>
      </c>
      <c r="CK422" s="167">
        <f>'HourGH-NOV'!O29</f>
        <v>0.67</v>
      </c>
      <c r="CL422" s="263">
        <v>421</v>
      </c>
      <c r="CM422" s="9">
        <v>18</v>
      </c>
      <c r="CN422" s="9">
        <v>13</v>
      </c>
      <c r="CO422" s="167">
        <f>'HourGH-DEC'!O29</f>
        <v>0.59</v>
      </c>
      <c r="CP422" s="263">
        <v>421</v>
      </c>
      <c r="CQ422" s="9">
        <v>18</v>
      </c>
      <c r="CR422" s="9">
        <v>13</v>
      </c>
      <c r="CS422" s="167">
        <f>'HourGH-JAN'!O29</f>
        <v>0.72</v>
      </c>
      <c r="CT422" s="9">
        <v>421</v>
      </c>
      <c r="CU422" s="9">
        <v>18</v>
      </c>
      <c r="CV422" s="9">
        <v>13</v>
      </c>
      <c r="CW422" s="167">
        <f>'HourGH-FEB'!O29</f>
        <v>0.27</v>
      </c>
      <c r="CX422" s="263">
        <v>421</v>
      </c>
      <c r="CY422" s="9">
        <v>18</v>
      </c>
      <c r="CZ422" s="9">
        <v>13</v>
      </c>
      <c r="DA422" s="167">
        <f>'HourGH-MAR'!O29</f>
        <v>0.62</v>
      </c>
    </row>
    <row r="423" spans="58:105">
      <c r="BF423" s="9">
        <v>422</v>
      </c>
      <c r="BG423" s="9">
        <v>18</v>
      </c>
      <c r="BH423" s="9">
        <v>14</v>
      </c>
      <c r="BI423" s="167">
        <f>'HourGH-APR'!P29</f>
        <v>0.6</v>
      </c>
      <c r="BJ423" s="263">
        <v>422</v>
      </c>
      <c r="BK423" s="9">
        <v>18</v>
      </c>
      <c r="BL423" s="9">
        <v>14</v>
      </c>
      <c r="BM423" s="167">
        <f>'HourGH-MAY'!P29</f>
        <v>0.48</v>
      </c>
      <c r="BN423" s="9">
        <v>422</v>
      </c>
      <c r="BO423" s="9">
        <v>18</v>
      </c>
      <c r="BP423" s="9">
        <v>14</v>
      </c>
      <c r="BQ423" s="167">
        <f>'HourGH-JUN'!P29</f>
        <v>0.21</v>
      </c>
      <c r="BR423" s="263">
        <v>422</v>
      </c>
      <c r="BS423" s="9">
        <v>18</v>
      </c>
      <c r="BT423" s="9">
        <v>14</v>
      </c>
      <c r="BU423" s="167">
        <f>'HourGH-JUL'!P29</f>
        <v>0.48</v>
      </c>
      <c r="BV423" s="263">
        <v>422</v>
      </c>
      <c r="BW423" s="9">
        <v>18</v>
      </c>
      <c r="BX423" s="9">
        <v>14</v>
      </c>
      <c r="BY423" s="167">
        <f>'HourGH-AUG'!P29</f>
        <v>0.66</v>
      </c>
      <c r="BZ423" s="9">
        <v>422</v>
      </c>
      <c r="CA423" s="9">
        <v>18</v>
      </c>
      <c r="CB423" s="9">
        <v>14</v>
      </c>
      <c r="CC423" s="167">
        <f>'HourGH-SEP'!P29</f>
        <v>1.98</v>
      </c>
      <c r="CD423" s="263">
        <v>422</v>
      </c>
      <c r="CE423" s="9">
        <v>18</v>
      </c>
      <c r="CF423" s="9">
        <v>14</v>
      </c>
      <c r="CG423" s="167">
        <f>'HourGH-OCT'!P29</f>
        <v>1.5</v>
      </c>
      <c r="CH423" s="9">
        <v>422</v>
      </c>
      <c r="CI423" s="9">
        <v>18</v>
      </c>
      <c r="CJ423" s="9">
        <v>14</v>
      </c>
      <c r="CK423" s="167">
        <f>'HourGH-NOV'!P29</f>
        <v>0.67</v>
      </c>
      <c r="CL423" s="263">
        <v>422</v>
      </c>
      <c r="CM423" s="9">
        <v>18</v>
      </c>
      <c r="CN423" s="9">
        <v>14</v>
      </c>
      <c r="CO423" s="167">
        <f>'HourGH-DEC'!P29</f>
        <v>0.59</v>
      </c>
      <c r="CP423" s="263">
        <v>422</v>
      </c>
      <c r="CQ423" s="9">
        <v>18</v>
      </c>
      <c r="CR423" s="9">
        <v>14</v>
      </c>
      <c r="CS423" s="167">
        <f>'HourGH-JAN'!P29</f>
        <v>0.72</v>
      </c>
      <c r="CT423" s="9">
        <v>422</v>
      </c>
      <c r="CU423" s="9">
        <v>18</v>
      </c>
      <c r="CV423" s="9">
        <v>14</v>
      </c>
      <c r="CW423" s="167">
        <f>'HourGH-FEB'!P29</f>
        <v>0.27</v>
      </c>
      <c r="CX423" s="263">
        <v>422</v>
      </c>
      <c r="CY423" s="9">
        <v>18</v>
      </c>
      <c r="CZ423" s="9">
        <v>14</v>
      </c>
      <c r="DA423" s="167">
        <f>'HourGH-MAR'!P29</f>
        <v>0.6</v>
      </c>
    </row>
    <row r="424" spans="58:105">
      <c r="BF424" s="9">
        <v>423</v>
      </c>
      <c r="BG424" s="9">
        <v>18</v>
      </c>
      <c r="BH424" s="9">
        <v>15</v>
      </c>
      <c r="BI424" s="167">
        <f>'HourGH-APR'!Q29</f>
        <v>0.6</v>
      </c>
      <c r="BJ424" s="263">
        <v>423</v>
      </c>
      <c r="BK424" s="9">
        <v>18</v>
      </c>
      <c r="BL424" s="9">
        <v>15</v>
      </c>
      <c r="BM424" s="167">
        <f>'HourGH-MAY'!Q29</f>
        <v>0.48</v>
      </c>
      <c r="BN424" s="9">
        <v>423</v>
      </c>
      <c r="BO424" s="9">
        <v>18</v>
      </c>
      <c r="BP424" s="9">
        <v>15</v>
      </c>
      <c r="BQ424" s="167">
        <f>'HourGH-JUN'!Q29</f>
        <v>0.21</v>
      </c>
      <c r="BR424" s="263">
        <v>423</v>
      </c>
      <c r="BS424" s="9">
        <v>18</v>
      </c>
      <c r="BT424" s="9">
        <v>15</v>
      </c>
      <c r="BU424" s="167">
        <f>'HourGH-JUL'!Q29</f>
        <v>0.48</v>
      </c>
      <c r="BV424" s="263">
        <v>423</v>
      </c>
      <c r="BW424" s="9">
        <v>18</v>
      </c>
      <c r="BX424" s="9">
        <v>15</v>
      </c>
      <c r="BY424" s="167">
        <f>'HourGH-AUG'!Q29</f>
        <v>0.66</v>
      </c>
      <c r="BZ424" s="9">
        <v>423</v>
      </c>
      <c r="CA424" s="9">
        <v>18</v>
      </c>
      <c r="CB424" s="9">
        <v>15</v>
      </c>
      <c r="CC424" s="167">
        <f>'HourGH-SEP'!Q29</f>
        <v>1.96</v>
      </c>
      <c r="CD424" s="263">
        <v>423</v>
      </c>
      <c r="CE424" s="9">
        <v>18</v>
      </c>
      <c r="CF424" s="9">
        <v>15</v>
      </c>
      <c r="CG424" s="167">
        <f>'HourGH-OCT'!Q29</f>
        <v>1.67</v>
      </c>
      <c r="CH424" s="9">
        <v>423</v>
      </c>
      <c r="CI424" s="9">
        <v>18</v>
      </c>
      <c r="CJ424" s="9">
        <v>15</v>
      </c>
      <c r="CK424" s="167">
        <f>'HourGH-NOV'!Q29</f>
        <v>0.67</v>
      </c>
      <c r="CL424" s="263">
        <v>423</v>
      </c>
      <c r="CM424" s="9">
        <v>18</v>
      </c>
      <c r="CN424" s="9">
        <v>15</v>
      </c>
      <c r="CO424" s="167">
        <f>'HourGH-DEC'!Q29</f>
        <v>0.59</v>
      </c>
      <c r="CP424" s="263">
        <v>423</v>
      </c>
      <c r="CQ424" s="9">
        <v>18</v>
      </c>
      <c r="CR424" s="9">
        <v>15</v>
      </c>
      <c r="CS424" s="167">
        <f>'HourGH-JAN'!Q29</f>
        <v>0.72</v>
      </c>
      <c r="CT424" s="9">
        <v>423</v>
      </c>
      <c r="CU424" s="9">
        <v>18</v>
      </c>
      <c r="CV424" s="9">
        <v>15</v>
      </c>
      <c r="CW424" s="167">
        <f>'HourGH-FEB'!Q29</f>
        <v>0.27</v>
      </c>
      <c r="CX424" s="263">
        <v>423</v>
      </c>
      <c r="CY424" s="9">
        <v>18</v>
      </c>
      <c r="CZ424" s="9">
        <v>15</v>
      </c>
      <c r="DA424" s="167">
        <f>'HourGH-MAR'!Q29</f>
        <v>0.57999999999999996</v>
      </c>
    </row>
    <row r="425" spans="58:105">
      <c r="BF425" s="9">
        <v>424</v>
      </c>
      <c r="BG425" s="9">
        <v>18</v>
      </c>
      <c r="BH425" s="9">
        <v>16</v>
      </c>
      <c r="BI425" s="167">
        <f>'HourGH-APR'!R29</f>
        <v>0.6</v>
      </c>
      <c r="BJ425" s="263">
        <v>424</v>
      </c>
      <c r="BK425" s="9">
        <v>18</v>
      </c>
      <c r="BL425" s="9">
        <v>16</v>
      </c>
      <c r="BM425" s="167">
        <f>'HourGH-MAY'!R29</f>
        <v>0.48</v>
      </c>
      <c r="BN425" s="9">
        <v>424</v>
      </c>
      <c r="BO425" s="9">
        <v>18</v>
      </c>
      <c r="BP425" s="9">
        <v>16</v>
      </c>
      <c r="BQ425" s="167">
        <f>'HourGH-JUN'!R29</f>
        <v>0.21</v>
      </c>
      <c r="BR425" s="263">
        <v>424</v>
      </c>
      <c r="BS425" s="9">
        <v>18</v>
      </c>
      <c r="BT425" s="9">
        <v>16</v>
      </c>
      <c r="BU425" s="167">
        <f>'HourGH-JUL'!R29</f>
        <v>0.48</v>
      </c>
      <c r="BV425" s="263">
        <v>424</v>
      </c>
      <c r="BW425" s="9">
        <v>18</v>
      </c>
      <c r="BX425" s="9">
        <v>16</v>
      </c>
      <c r="BY425" s="167">
        <f>'HourGH-AUG'!R29</f>
        <v>0.65</v>
      </c>
      <c r="BZ425" s="9">
        <v>424</v>
      </c>
      <c r="CA425" s="9">
        <v>18</v>
      </c>
      <c r="CB425" s="9">
        <v>16</v>
      </c>
      <c r="CC425" s="167">
        <f>'HourGH-SEP'!R29</f>
        <v>1.93</v>
      </c>
      <c r="CD425" s="263">
        <v>424</v>
      </c>
      <c r="CE425" s="9">
        <v>18</v>
      </c>
      <c r="CF425" s="9">
        <v>16</v>
      </c>
      <c r="CG425" s="167">
        <f>'HourGH-OCT'!R29</f>
        <v>1.78</v>
      </c>
      <c r="CH425" s="9">
        <v>424</v>
      </c>
      <c r="CI425" s="9">
        <v>18</v>
      </c>
      <c r="CJ425" s="9">
        <v>16</v>
      </c>
      <c r="CK425" s="167">
        <f>'HourGH-NOV'!R29</f>
        <v>0.67</v>
      </c>
      <c r="CL425" s="263">
        <v>424</v>
      </c>
      <c r="CM425" s="9">
        <v>18</v>
      </c>
      <c r="CN425" s="9">
        <v>16</v>
      </c>
      <c r="CO425" s="167">
        <f>'HourGH-DEC'!R29</f>
        <v>0.59</v>
      </c>
      <c r="CP425" s="263">
        <v>424</v>
      </c>
      <c r="CQ425" s="9">
        <v>18</v>
      </c>
      <c r="CR425" s="9">
        <v>16</v>
      </c>
      <c r="CS425" s="167">
        <f>'HourGH-JAN'!R29</f>
        <v>0.72</v>
      </c>
      <c r="CT425" s="9">
        <v>424</v>
      </c>
      <c r="CU425" s="9">
        <v>18</v>
      </c>
      <c r="CV425" s="9">
        <v>16</v>
      </c>
      <c r="CW425" s="167">
        <f>'HourGH-FEB'!R29</f>
        <v>0.27</v>
      </c>
      <c r="CX425" s="263">
        <v>424</v>
      </c>
      <c r="CY425" s="9">
        <v>18</v>
      </c>
      <c r="CZ425" s="9">
        <v>16</v>
      </c>
      <c r="DA425" s="167">
        <f>'HourGH-MAR'!R29</f>
        <v>0.51</v>
      </c>
    </row>
    <row r="426" spans="58:105">
      <c r="BF426" s="9">
        <v>425</v>
      </c>
      <c r="BG426" s="9">
        <v>18</v>
      </c>
      <c r="BH426" s="9">
        <v>17</v>
      </c>
      <c r="BI426" s="167">
        <f>'HourGH-APR'!S29</f>
        <v>0.6</v>
      </c>
      <c r="BJ426" s="263">
        <v>425</v>
      </c>
      <c r="BK426" s="9">
        <v>18</v>
      </c>
      <c r="BL426" s="9">
        <v>17</v>
      </c>
      <c r="BM426" s="167">
        <f>'HourGH-MAY'!S29</f>
        <v>0.48</v>
      </c>
      <c r="BN426" s="9">
        <v>425</v>
      </c>
      <c r="BO426" s="9">
        <v>18</v>
      </c>
      <c r="BP426" s="9">
        <v>17</v>
      </c>
      <c r="BQ426" s="167">
        <f>'HourGH-JUN'!S29</f>
        <v>0.21</v>
      </c>
      <c r="BR426" s="263">
        <v>425</v>
      </c>
      <c r="BS426" s="9">
        <v>18</v>
      </c>
      <c r="BT426" s="9">
        <v>17</v>
      </c>
      <c r="BU426" s="167">
        <f>'HourGH-JUL'!S29</f>
        <v>0.48</v>
      </c>
      <c r="BV426" s="263">
        <v>425</v>
      </c>
      <c r="BW426" s="9">
        <v>18</v>
      </c>
      <c r="BX426" s="9">
        <v>17</v>
      </c>
      <c r="BY426" s="167">
        <f>'HourGH-AUG'!S29</f>
        <v>0.65</v>
      </c>
      <c r="BZ426" s="9">
        <v>425</v>
      </c>
      <c r="CA426" s="9">
        <v>18</v>
      </c>
      <c r="CB426" s="9">
        <v>17</v>
      </c>
      <c r="CC426" s="167">
        <f>'HourGH-SEP'!S29</f>
        <v>1.89</v>
      </c>
      <c r="CD426" s="263">
        <v>425</v>
      </c>
      <c r="CE426" s="9">
        <v>18</v>
      </c>
      <c r="CF426" s="9">
        <v>17</v>
      </c>
      <c r="CG426" s="167">
        <f>'HourGH-OCT'!S29</f>
        <v>1.88</v>
      </c>
      <c r="CH426" s="9">
        <v>425</v>
      </c>
      <c r="CI426" s="9">
        <v>18</v>
      </c>
      <c r="CJ426" s="9">
        <v>17</v>
      </c>
      <c r="CK426" s="167">
        <f>'HourGH-NOV'!S29</f>
        <v>0.67</v>
      </c>
      <c r="CL426" s="263">
        <v>425</v>
      </c>
      <c r="CM426" s="9">
        <v>18</v>
      </c>
      <c r="CN426" s="9">
        <v>17</v>
      </c>
      <c r="CO426" s="167">
        <f>'HourGH-DEC'!S29</f>
        <v>0.59</v>
      </c>
      <c r="CP426" s="263">
        <v>425</v>
      </c>
      <c r="CQ426" s="9">
        <v>18</v>
      </c>
      <c r="CR426" s="9">
        <v>17</v>
      </c>
      <c r="CS426" s="167">
        <f>'HourGH-JAN'!S29</f>
        <v>0.72</v>
      </c>
      <c r="CT426" s="9">
        <v>425</v>
      </c>
      <c r="CU426" s="9">
        <v>18</v>
      </c>
      <c r="CV426" s="9">
        <v>17</v>
      </c>
      <c r="CW426" s="167">
        <f>'HourGH-FEB'!S29</f>
        <v>0.27</v>
      </c>
      <c r="CX426" s="263">
        <v>425</v>
      </c>
      <c r="CY426" s="9">
        <v>18</v>
      </c>
      <c r="CZ426" s="9">
        <v>17</v>
      </c>
      <c r="DA426" s="167">
        <f>'HourGH-MAR'!S29</f>
        <v>0.49</v>
      </c>
    </row>
    <row r="427" spans="58:105">
      <c r="BF427" s="9">
        <v>426</v>
      </c>
      <c r="BG427" s="9">
        <v>18</v>
      </c>
      <c r="BH427" s="9">
        <v>18</v>
      </c>
      <c r="BI427" s="167">
        <f>'HourGH-APR'!T29</f>
        <v>0.6</v>
      </c>
      <c r="BJ427" s="263">
        <v>426</v>
      </c>
      <c r="BK427" s="9">
        <v>18</v>
      </c>
      <c r="BL427" s="9">
        <v>18</v>
      </c>
      <c r="BM427" s="167">
        <f>'HourGH-MAY'!T29</f>
        <v>0.48</v>
      </c>
      <c r="BN427" s="9">
        <v>426</v>
      </c>
      <c r="BO427" s="9">
        <v>18</v>
      </c>
      <c r="BP427" s="9">
        <v>18</v>
      </c>
      <c r="BQ427" s="167">
        <f>'HourGH-JUN'!T29</f>
        <v>0.21</v>
      </c>
      <c r="BR427" s="263">
        <v>426</v>
      </c>
      <c r="BS427" s="9">
        <v>18</v>
      </c>
      <c r="BT427" s="9">
        <v>18</v>
      </c>
      <c r="BU427" s="167">
        <f>'HourGH-JUL'!T29</f>
        <v>0.47</v>
      </c>
      <c r="BV427" s="263">
        <v>426</v>
      </c>
      <c r="BW427" s="9">
        <v>18</v>
      </c>
      <c r="BX427" s="9">
        <v>18</v>
      </c>
      <c r="BY427" s="167">
        <f>'HourGH-AUG'!T29</f>
        <v>0.65</v>
      </c>
      <c r="BZ427" s="9">
        <v>426</v>
      </c>
      <c r="CA427" s="9">
        <v>18</v>
      </c>
      <c r="CB427" s="9">
        <v>18</v>
      </c>
      <c r="CC427" s="167">
        <f>'HourGH-SEP'!T29</f>
        <v>1.84</v>
      </c>
      <c r="CD427" s="263">
        <v>426</v>
      </c>
      <c r="CE427" s="9">
        <v>18</v>
      </c>
      <c r="CF427" s="9">
        <v>18</v>
      </c>
      <c r="CG427" s="167">
        <f>'HourGH-OCT'!T29</f>
        <v>1.98</v>
      </c>
      <c r="CH427" s="9">
        <v>426</v>
      </c>
      <c r="CI427" s="9">
        <v>18</v>
      </c>
      <c r="CJ427" s="9">
        <v>18</v>
      </c>
      <c r="CK427" s="167">
        <f>'HourGH-NOV'!T29</f>
        <v>0.67</v>
      </c>
      <c r="CL427" s="263">
        <v>426</v>
      </c>
      <c r="CM427" s="9">
        <v>18</v>
      </c>
      <c r="CN427" s="9">
        <v>18</v>
      </c>
      <c r="CO427" s="167">
        <f>'HourGH-DEC'!T29</f>
        <v>0.59</v>
      </c>
      <c r="CP427" s="263">
        <v>426</v>
      </c>
      <c r="CQ427" s="9">
        <v>18</v>
      </c>
      <c r="CR427" s="9">
        <v>18</v>
      </c>
      <c r="CS427" s="167">
        <f>'HourGH-JAN'!T29</f>
        <v>0.72</v>
      </c>
      <c r="CT427" s="9">
        <v>426</v>
      </c>
      <c r="CU427" s="9">
        <v>18</v>
      </c>
      <c r="CV427" s="9">
        <v>18</v>
      </c>
      <c r="CW427" s="167">
        <f>'HourGH-FEB'!T29</f>
        <v>0.27</v>
      </c>
      <c r="CX427" s="263">
        <v>426</v>
      </c>
      <c r="CY427" s="9">
        <v>18</v>
      </c>
      <c r="CZ427" s="9">
        <v>18</v>
      </c>
      <c r="DA427" s="167">
        <f>'HourGH-MAR'!T29</f>
        <v>0.47</v>
      </c>
    </row>
    <row r="428" spans="58:105">
      <c r="BF428" s="9">
        <v>427</v>
      </c>
      <c r="BG428" s="9">
        <v>18</v>
      </c>
      <c r="BH428" s="9">
        <v>19</v>
      </c>
      <c r="BI428" s="167">
        <f>'HourGH-APR'!U29</f>
        <v>0.6</v>
      </c>
      <c r="BJ428" s="263">
        <v>427</v>
      </c>
      <c r="BK428" s="9">
        <v>18</v>
      </c>
      <c r="BL428" s="9">
        <v>19</v>
      </c>
      <c r="BM428" s="167">
        <f>'HourGH-MAY'!U29</f>
        <v>0.48</v>
      </c>
      <c r="BN428" s="9">
        <v>427</v>
      </c>
      <c r="BO428" s="9">
        <v>18</v>
      </c>
      <c r="BP428" s="9">
        <v>19</v>
      </c>
      <c r="BQ428" s="167">
        <f>'HourGH-JUN'!U29</f>
        <v>0.21</v>
      </c>
      <c r="BR428" s="263">
        <v>427</v>
      </c>
      <c r="BS428" s="9">
        <v>18</v>
      </c>
      <c r="BT428" s="9">
        <v>19</v>
      </c>
      <c r="BU428" s="167">
        <f>'HourGH-JUL'!U29</f>
        <v>0.47</v>
      </c>
      <c r="BV428" s="263">
        <v>427</v>
      </c>
      <c r="BW428" s="9">
        <v>18</v>
      </c>
      <c r="BX428" s="9">
        <v>19</v>
      </c>
      <c r="BY428" s="167">
        <f>'HourGH-AUG'!U29</f>
        <v>0.65</v>
      </c>
      <c r="BZ428" s="9">
        <v>427</v>
      </c>
      <c r="CA428" s="9">
        <v>18</v>
      </c>
      <c r="CB428" s="9">
        <v>19</v>
      </c>
      <c r="CC428" s="167">
        <f>'HourGH-SEP'!U29</f>
        <v>1.8</v>
      </c>
      <c r="CD428" s="263">
        <v>427</v>
      </c>
      <c r="CE428" s="9">
        <v>18</v>
      </c>
      <c r="CF428" s="9">
        <v>19</v>
      </c>
      <c r="CG428" s="167">
        <f>'HourGH-OCT'!U29</f>
        <v>2.1</v>
      </c>
      <c r="CH428" s="9">
        <v>427</v>
      </c>
      <c r="CI428" s="9">
        <v>18</v>
      </c>
      <c r="CJ428" s="9">
        <v>19</v>
      </c>
      <c r="CK428" s="167">
        <f>'HourGH-NOV'!U29</f>
        <v>0.68</v>
      </c>
      <c r="CL428" s="263">
        <v>427</v>
      </c>
      <c r="CM428" s="9">
        <v>18</v>
      </c>
      <c r="CN428" s="9">
        <v>19</v>
      </c>
      <c r="CO428" s="167">
        <f>'HourGH-DEC'!U29</f>
        <v>0.57999999999999996</v>
      </c>
      <c r="CP428" s="263">
        <v>427</v>
      </c>
      <c r="CQ428" s="9">
        <v>18</v>
      </c>
      <c r="CR428" s="9">
        <v>19</v>
      </c>
      <c r="CS428" s="167">
        <f>'HourGH-JAN'!U29</f>
        <v>0.72</v>
      </c>
      <c r="CT428" s="9">
        <v>427</v>
      </c>
      <c r="CU428" s="9">
        <v>18</v>
      </c>
      <c r="CV428" s="9">
        <v>19</v>
      </c>
      <c r="CW428" s="167">
        <f>'HourGH-FEB'!U29</f>
        <v>0.27</v>
      </c>
      <c r="CX428" s="263">
        <v>427</v>
      </c>
      <c r="CY428" s="9">
        <v>18</v>
      </c>
      <c r="CZ428" s="9">
        <v>19</v>
      </c>
      <c r="DA428" s="167">
        <f>'HourGH-MAR'!U29</f>
        <v>0.46</v>
      </c>
    </row>
    <row r="429" spans="58:105">
      <c r="BF429" s="9">
        <v>428</v>
      </c>
      <c r="BG429" s="9">
        <v>18</v>
      </c>
      <c r="BH429" s="9">
        <v>20</v>
      </c>
      <c r="BI429" s="167">
        <f>'HourGH-APR'!V29</f>
        <v>0.6</v>
      </c>
      <c r="BJ429" s="263">
        <v>428</v>
      </c>
      <c r="BK429" s="9">
        <v>18</v>
      </c>
      <c r="BL429" s="9">
        <v>20</v>
      </c>
      <c r="BM429" s="167">
        <f>'HourGH-MAY'!V29</f>
        <v>0.48</v>
      </c>
      <c r="BN429" s="9">
        <v>428</v>
      </c>
      <c r="BO429" s="9">
        <v>18</v>
      </c>
      <c r="BP429" s="9">
        <v>20</v>
      </c>
      <c r="BQ429" s="167">
        <f>'HourGH-JUN'!V29</f>
        <v>0.21</v>
      </c>
      <c r="BR429" s="263">
        <v>428</v>
      </c>
      <c r="BS429" s="9">
        <v>18</v>
      </c>
      <c r="BT429" s="9">
        <v>20</v>
      </c>
      <c r="BU429" s="167">
        <f>'HourGH-JUL'!V29</f>
        <v>0.47</v>
      </c>
      <c r="BV429" s="263">
        <v>428</v>
      </c>
      <c r="BW429" s="9">
        <v>18</v>
      </c>
      <c r="BX429" s="9">
        <v>20</v>
      </c>
      <c r="BY429" s="167">
        <f>'HourGH-AUG'!V29</f>
        <v>0.64</v>
      </c>
      <c r="BZ429" s="9">
        <v>428</v>
      </c>
      <c r="CA429" s="9">
        <v>18</v>
      </c>
      <c r="CB429" s="9">
        <v>20</v>
      </c>
      <c r="CC429" s="167">
        <f>'HourGH-SEP'!V29</f>
        <v>1.75</v>
      </c>
      <c r="CD429" s="263">
        <v>428</v>
      </c>
      <c r="CE429" s="9">
        <v>18</v>
      </c>
      <c r="CF429" s="9">
        <v>20</v>
      </c>
      <c r="CG429" s="167">
        <f>'HourGH-OCT'!V29</f>
        <v>2.17</v>
      </c>
      <c r="CH429" s="9">
        <v>428</v>
      </c>
      <c r="CI429" s="9">
        <v>18</v>
      </c>
      <c r="CJ429" s="9">
        <v>20</v>
      </c>
      <c r="CK429" s="167">
        <f>'HourGH-NOV'!V29</f>
        <v>0.68</v>
      </c>
      <c r="CL429" s="263">
        <v>428</v>
      </c>
      <c r="CM429" s="9">
        <v>18</v>
      </c>
      <c r="CN429" s="9">
        <v>20</v>
      </c>
      <c r="CO429" s="167">
        <f>'HourGH-DEC'!V29</f>
        <v>0.57999999999999996</v>
      </c>
      <c r="CP429" s="263">
        <v>428</v>
      </c>
      <c r="CQ429" s="9">
        <v>18</v>
      </c>
      <c r="CR429" s="9">
        <v>20</v>
      </c>
      <c r="CS429" s="167">
        <f>'HourGH-JAN'!V29</f>
        <v>0.72</v>
      </c>
      <c r="CT429" s="9">
        <v>428</v>
      </c>
      <c r="CU429" s="9">
        <v>18</v>
      </c>
      <c r="CV429" s="9">
        <v>20</v>
      </c>
      <c r="CW429" s="167">
        <f>'HourGH-FEB'!V29</f>
        <v>0.27</v>
      </c>
      <c r="CX429" s="263">
        <v>428</v>
      </c>
      <c r="CY429" s="9">
        <v>18</v>
      </c>
      <c r="CZ429" s="9">
        <v>20</v>
      </c>
      <c r="DA429" s="167">
        <f>'HourGH-MAR'!V29</f>
        <v>0.45</v>
      </c>
    </row>
    <row r="430" spans="58:105">
      <c r="BF430" s="9">
        <v>429</v>
      </c>
      <c r="BG430" s="9">
        <v>18</v>
      </c>
      <c r="BH430" s="9">
        <v>21</v>
      </c>
      <c r="BI430" s="167">
        <f>'HourGH-APR'!W29</f>
        <v>0.6</v>
      </c>
      <c r="BJ430" s="263">
        <v>429</v>
      </c>
      <c r="BK430" s="9">
        <v>18</v>
      </c>
      <c r="BL430" s="9">
        <v>21</v>
      </c>
      <c r="BM430" s="167">
        <f>'HourGH-MAY'!W29</f>
        <v>0.48</v>
      </c>
      <c r="BN430" s="9">
        <v>429</v>
      </c>
      <c r="BO430" s="9">
        <v>18</v>
      </c>
      <c r="BP430" s="9">
        <v>21</v>
      </c>
      <c r="BQ430" s="167">
        <f>'HourGH-JUN'!W29</f>
        <v>0.21</v>
      </c>
      <c r="BR430" s="263">
        <v>429</v>
      </c>
      <c r="BS430" s="9">
        <v>18</v>
      </c>
      <c r="BT430" s="9">
        <v>21</v>
      </c>
      <c r="BU430" s="167">
        <f>'HourGH-JUL'!W29</f>
        <v>0.47</v>
      </c>
      <c r="BV430" s="263">
        <v>429</v>
      </c>
      <c r="BW430" s="9">
        <v>18</v>
      </c>
      <c r="BX430" s="9">
        <v>21</v>
      </c>
      <c r="BY430" s="167">
        <f>'HourGH-AUG'!W29</f>
        <v>0.64</v>
      </c>
      <c r="BZ430" s="9">
        <v>429</v>
      </c>
      <c r="CA430" s="9">
        <v>18</v>
      </c>
      <c r="CB430" s="9">
        <v>21</v>
      </c>
      <c r="CC430" s="167">
        <f>'HourGH-SEP'!W29</f>
        <v>1.7</v>
      </c>
      <c r="CD430" s="263">
        <v>429</v>
      </c>
      <c r="CE430" s="9">
        <v>18</v>
      </c>
      <c r="CF430" s="9">
        <v>21</v>
      </c>
      <c r="CG430" s="167">
        <f>'HourGH-OCT'!W29</f>
        <v>2.25</v>
      </c>
      <c r="CH430" s="9">
        <v>429</v>
      </c>
      <c r="CI430" s="9">
        <v>18</v>
      </c>
      <c r="CJ430" s="9">
        <v>21</v>
      </c>
      <c r="CK430" s="167">
        <f>'HourGH-NOV'!W29</f>
        <v>0.68</v>
      </c>
      <c r="CL430" s="263">
        <v>429</v>
      </c>
      <c r="CM430" s="9">
        <v>18</v>
      </c>
      <c r="CN430" s="9">
        <v>21</v>
      </c>
      <c r="CO430" s="167">
        <f>'HourGH-DEC'!W29</f>
        <v>0.57999999999999996</v>
      </c>
      <c r="CP430" s="263">
        <v>429</v>
      </c>
      <c r="CQ430" s="9">
        <v>18</v>
      </c>
      <c r="CR430" s="9">
        <v>21</v>
      </c>
      <c r="CS430" s="167">
        <f>'HourGH-JAN'!W29</f>
        <v>0.72</v>
      </c>
      <c r="CT430" s="9">
        <v>429</v>
      </c>
      <c r="CU430" s="9">
        <v>18</v>
      </c>
      <c r="CV430" s="9">
        <v>21</v>
      </c>
      <c r="CW430" s="167">
        <f>'HourGH-FEB'!W29</f>
        <v>0.27</v>
      </c>
      <c r="CX430" s="263">
        <v>429</v>
      </c>
      <c r="CY430" s="9">
        <v>18</v>
      </c>
      <c r="CZ430" s="9">
        <v>21</v>
      </c>
      <c r="DA430" s="167">
        <f>'HourGH-MAR'!W29</f>
        <v>0.43</v>
      </c>
    </row>
    <row r="431" spans="58:105">
      <c r="BF431" s="9">
        <v>430</v>
      </c>
      <c r="BG431" s="9">
        <v>18</v>
      </c>
      <c r="BH431" s="9">
        <v>22</v>
      </c>
      <c r="BI431" s="167">
        <f>'HourGH-APR'!X29</f>
        <v>0.6</v>
      </c>
      <c r="BJ431" s="263">
        <v>430</v>
      </c>
      <c r="BK431" s="9">
        <v>18</v>
      </c>
      <c r="BL431" s="9">
        <v>22</v>
      </c>
      <c r="BM431" s="167">
        <f>'HourGH-MAY'!X29</f>
        <v>0.48</v>
      </c>
      <c r="BN431" s="9">
        <v>430</v>
      </c>
      <c r="BO431" s="9">
        <v>18</v>
      </c>
      <c r="BP431" s="9">
        <v>22</v>
      </c>
      <c r="BQ431" s="167">
        <f>'HourGH-JUN'!X29</f>
        <v>0.21</v>
      </c>
      <c r="BR431" s="263">
        <v>430</v>
      </c>
      <c r="BS431" s="9">
        <v>18</v>
      </c>
      <c r="BT431" s="9">
        <v>22</v>
      </c>
      <c r="BU431" s="167">
        <f>'HourGH-JUL'!X29</f>
        <v>0.47</v>
      </c>
      <c r="BV431" s="263">
        <v>430</v>
      </c>
      <c r="BW431" s="9">
        <v>18</v>
      </c>
      <c r="BX431" s="9">
        <v>22</v>
      </c>
      <c r="BY431" s="167">
        <f>'HourGH-AUG'!X29</f>
        <v>0.64</v>
      </c>
      <c r="BZ431" s="9">
        <v>430</v>
      </c>
      <c r="CA431" s="9">
        <v>18</v>
      </c>
      <c r="CB431" s="9">
        <v>22</v>
      </c>
      <c r="CC431" s="167">
        <f>'HourGH-SEP'!X29</f>
        <v>1.66</v>
      </c>
      <c r="CD431" s="263">
        <v>430</v>
      </c>
      <c r="CE431" s="9">
        <v>18</v>
      </c>
      <c r="CF431" s="9">
        <v>22</v>
      </c>
      <c r="CG431" s="167">
        <f>'HourGH-OCT'!X29</f>
        <v>2.31</v>
      </c>
      <c r="CH431" s="9">
        <v>430</v>
      </c>
      <c r="CI431" s="9">
        <v>18</v>
      </c>
      <c r="CJ431" s="9">
        <v>22</v>
      </c>
      <c r="CK431" s="167">
        <f>'HourGH-NOV'!X29</f>
        <v>0.68</v>
      </c>
      <c r="CL431" s="263">
        <v>430</v>
      </c>
      <c r="CM431" s="9">
        <v>18</v>
      </c>
      <c r="CN431" s="9">
        <v>22</v>
      </c>
      <c r="CO431" s="167">
        <f>'HourGH-DEC'!X29</f>
        <v>0.57999999999999996</v>
      </c>
      <c r="CP431" s="263">
        <v>430</v>
      </c>
      <c r="CQ431" s="9">
        <v>18</v>
      </c>
      <c r="CR431" s="9">
        <v>22</v>
      </c>
      <c r="CS431" s="167">
        <f>'HourGH-JAN'!X29</f>
        <v>0.72</v>
      </c>
      <c r="CT431" s="9">
        <v>430</v>
      </c>
      <c r="CU431" s="9">
        <v>18</v>
      </c>
      <c r="CV431" s="9">
        <v>22</v>
      </c>
      <c r="CW431" s="167">
        <f>'HourGH-FEB'!X29</f>
        <v>0.27</v>
      </c>
      <c r="CX431" s="263">
        <v>430</v>
      </c>
      <c r="CY431" s="9">
        <v>18</v>
      </c>
      <c r="CZ431" s="9">
        <v>22</v>
      </c>
      <c r="DA431" s="167">
        <f>'HourGH-MAR'!X29</f>
        <v>0.41</v>
      </c>
    </row>
    <row r="432" spans="58:105">
      <c r="BF432" s="9">
        <v>431</v>
      </c>
      <c r="BG432" s="9">
        <v>18</v>
      </c>
      <c r="BH432" s="9">
        <v>23</v>
      </c>
      <c r="BI432" s="167">
        <f>'HourGH-APR'!Y29</f>
        <v>0.6</v>
      </c>
      <c r="BJ432" s="263">
        <v>431</v>
      </c>
      <c r="BK432" s="9">
        <v>18</v>
      </c>
      <c r="BL432" s="9">
        <v>23</v>
      </c>
      <c r="BM432" s="167">
        <f>'HourGH-MAY'!Y29</f>
        <v>0.48</v>
      </c>
      <c r="BN432" s="9">
        <v>431</v>
      </c>
      <c r="BO432" s="9">
        <v>18</v>
      </c>
      <c r="BP432" s="9">
        <v>23</v>
      </c>
      <c r="BQ432" s="167">
        <f>'HourGH-JUN'!Y29</f>
        <v>0.21</v>
      </c>
      <c r="BR432" s="263">
        <v>431</v>
      </c>
      <c r="BS432" s="9">
        <v>18</v>
      </c>
      <c r="BT432" s="9">
        <v>23</v>
      </c>
      <c r="BU432" s="167">
        <f>'HourGH-JUL'!Y29</f>
        <v>0.47</v>
      </c>
      <c r="BV432" s="263">
        <v>431</v>
      </c>
      <c r="BW432" s="9">
        <v>18</v>
      </c>
      <c r="BX432" s="9">
        <v>23</v>
      </c>
      <c r="BY432" s="167">
        <f>'HourGH-AUG'!Y29</f>
        <v>0.63</v>
      </c>
      <c r="BZ432" s="9">
        <v>431</v>
      </c>
      <c r="CA432" s="9">
        <v>18</v>
      </c>
      <c r="CB432" s="9">
        <v>23</v>
      </c>
      <c r="CC432" s="167">
        <f>'HourGH-SEP'!Y29</f>
        <v>1.61</v>
      </c>
      <c r="CD432" s="263">
        <v>431</v>
      </c>
      <c r="CE432" s="9">
        <v>18</v>
      </c>
      <c r="CF432" s="9">
        <v>23</v>
      </c>
      <c r="CG432" s="167">
        <f>'HourGH-OCT'!Y29</f>
        <v>2.36</v>
      </c>
      <c r="CH432" s="9">
        <v>431</v>
      </c>
      <c r="CI432" s="9">
        <v>18</v>
      </c>
      <c r="CJ432" s="9">
        <v>23</v>
      </c>
      <c r="CK432" s="167">
        <f>'HourGH-NOV'!Y29</f>
        <v>0.68</v>
      </c>
      <c r="CL432" s="263">
        <v>431</v>
      </c>
      <c r="CM432" s="9">
        <v>18</v>
      </c>
      <c r="CN432" s="9">
        <v>23</v>
      </c>
      <c r="CO432" s="167">
        <f>'HourGH-DEC'!Y29</f>
        <v>0.57999999999999996</v>
      </c>
      <c r="CP432" s="263">
        <v>431</v>
      </c>
      <c r="CQ432" s="9">
        <v>18</v>
      </c>
      <c r="CR432" s="9">
        <v>23</v>
      </c>
      <c r="CS432" s="167">
        <f>'HourGH-JAN'!Y29</f>
        <v>0.72</v>
      </c>
      <c r="CT432" s="9">
        <v>431</v>
      </c>
      <c r="CU432" s="9">
        <v>18</v>
      </c>
      <c r="CV432" s="9">
        <v>23</v>
      </c>
      <c r="CW432" s="167">
        <f>'HourGH-FEB'!Y29</f>
        <v>0.27</v>
      </c>
      <c r="CX432" s="263">
        <v>431</v>
      </c>
      <c r="CY432" s="9">
        <v>18</v>
      </c>
      <c r="CZ432" s="9">
        <v>23</v>
      </c>
      <c r="DA432" s="167">
        <f>'HourGH-MAR'!Y29</f>
        <v>0.39</v>
      </c>
    </row>
    <row r="433" spans="58:105">
      <c r="BF433" s="9">
        <v>432</v>
      </c>
      <c r="BG433" s="9">
        <v>18</v>
      </c>
      <c r="BH433" s="9">
        <v>24</v>
      </c>
      <c r="BI433" s="167">
        <f>'HourGH-APR'!Z29</f>
        <v>0.6</v>
      </c>
      <c r="BJ433" s="263">
        <v>432</v>
      </c>
      <c r="BK433" s="9">
        <v>18</v>
      </c>
      <c r="BL433" s="9">
        <v>24</v>
      </c>
      <c r="BM433" s="167">
        <f>'HourGH-MAY'!Z29</f>
        <v>0.48</v>
      </c>
      <c r="BN433" s="9">
        <v>432</v>
      </c>
      <c r="BO433" s="9">
        <v>18</v>
      </c>
      <c r="BP433" s="9">
        <v>24</v>
      </c>
      <c r="BQ433" s="167">
        <f>'HourGH-JUN'!Z29</f>
        <v>0.21</v>
      </c>
      <c r="BR433" s="263">
        <v>432</v>
      </c>
      <c r="BS433" s="9">
        <v>18</v>
      </c>
      <c r="BT433" s="9">
        <v>24</v>
      </c>
      <c r="BU433" s="167">
        <f>'HourGH-JUL'!Z29</f>
        <v>0.47</v>
      </c>
      <c r="BV433" s="263">
        <v>432</v>
      </c>
      <c r="BW433" s="9">
        <v>18</v>
      </c>
      <c r="BX433" s="9">
        <v>24</v>
      </c>
      <c r="BY433" s="167">
        <f>'HourGH-AUG'!Z29</f>
        <v>0.63</v>
      </c>
      <c r="BZ433" s="9">
        <v>432</v>
      </c>
      <c r="CA433" s="9">
        <v>18</v>
      </c>
      <c r="CB433" s="9">
        <v>24</v>
      </c>
      <c r="CC433" s="167">
        <f>'HourGH-SEP'!Z29</f>
        <v>1.57</v>
      </c>
      <c r="CD433" s="263">
        <v>432</v>
      </c>
      <c r="CE433" s="9">
        <v>18</v>
      </c>
      <c r="CF433" s="9">
        <v>24</v>
      </c>
      <c r="CG433" s="167">
        <f>'HourGH-OCT'!Z29</f>
        <v>2.41</v>
      </c>
      <c r="CH433" s="9">
        <v>432</v>
      </c>
      <c r="CI433" s="9">
        <v>18</v>
      </c>
      <c r="CJ433" s="9">
        <v>24</v>
      </c>
      <c r="CK433" s="167">
        <f>'HourGH-NOV'!Z29</f>
        <v>0.68</v>
      </c>
      <c r="CL433" s="263">
        <v>432</v>
      </c>
      <c r="CM433" s="9">
        <v>18</v>
      </c>
      <c r="CN433" s="9">
        <v>24</v>
      </c>
      <c r="CO433" s="167">
        <f>'HourGH-DEC'!Z29</f>
        <v>0.57999999999999996</v>
      </c>
      <c r="CP433" s="263">
        <v>432</v>
      </c>
      <c r="CQ433" s="9">
        <v>18</v>
      </c>
      <c r="CR433" s="9">
        <v>24</v>
      </c>
      <c r="CS433" s="167">
        <f>'HourGH-JAN'!Z29</f>
        <v>0.72</v>
      </c>
      <c r="CT433" s="9">
        <v>432</v>
      </c>
      <c r="CU433" s="9">
        <v>18</v>
      </c>
      <c r="CV433" s="9">
        <v>24</v>
      </c>
      <c r="CW433" s="167">
        <f>'HourGH-FEB'!Z29</f>
        <v>0.27</v>
      </c>
      <c r="CX433" s="263">
        <v>432</v>
      </c>
      <c r="CY433" s="9">
        <v>18</v>
      </c>
      <c r="CZ433" s="9">
        <v>24</v>
      </c>
      <c r="DA433" s="167">
        <f>'HourGH-MAR'!Z29</f>
        <v>0.36</v>
      </c>
    </row>
    <row r="434" spans="58:105">
      <c r="BF434" s="9">
        <v>433</v>
      </c>
      <c r="BG434" s="9">
        <v>19</v>
      </c>
      <c r="BH434" s="9">
        <v>1</v>
      </c>
      <c r="BI434" s="167">
        <f>'HourGH-APR'!C30</f>
        <v>0.6</v>
      </c>
      <c r="BJ434" s="263">
        <v>433</v>
      </c>
      <c r="BK434" s="9">
        <v>19</v>
      </c>
      <c r="BL434" s="9">
        <v>1</v>
      </c>
      <c r="BM434" s="167">
        <f>'HourGH-MAY'!C30</f>
        <v>0.48</v>
      </c>
      <c r="BN434" s="9">
        <v>433</v>
      </c>
      <c r="BO434" s="9">
        <v>19</v>
      </c>
      <c r="BP434" s="9">
        <v>1</v>
      </c>
      <c r="BQ434" s="167">
        <f>'HourGH-JUN'!C30</f>
        <v>0.22</v>
      </c>
      <c r="BR434" s="263">
        <v>433</v>
      </c>
      <c r="BS434" s="9">
        <v>19</v>
      </c>
      <c r="BT434" s="9">
        <v>1</v>
      </c>
      <c r="BU434" s="167">
        <f>'HourGH-JUL'!C30</f>
        <v>0.46</v>
      </c>
      <c r="BV434" s="263">
        <v>433</v>
      </c>
      <c r="BW434" s="9">
        <v>19</v>
      </c>
      <c r="BX434" s="9">
        <v>1</v>
      </c>
      <c r="BY434" s="167">
        <f>'HourGH-AUG'!C30</f>
        <v>0.63</v>
      </c>
      <c r="BZ434" s="9">
        <v>433</v>
      </c>
      <c r="CA434" s="9">
        <v>19</v>
      </c>
      <c r="CB434" s="9">
        <v>1</v>
      </c>
      <c r="CC434" s="167">
        <f>'HourGH-SEP'!C30</f>
        <v>1.54</v>
      </c>
      <c r="CD434" s="263">
        <v>433</v>
      </c>
      <c r="CE434" s="9">
        <v>19</v>
      </c>
      <c r="CF434" s="9">
        <v>1</v>
      </c>
      <c r="CG434" s="167">
        <f>'HourGH-OCT'!C30</f>
        <v>2.4500000000000002</v>
      </c>
      <c r="CH434" s="9">
        <v>433</v>
      </c>
      <c r="CI434" s="9">
        <v>19</v>
      </c>
      <c r="CJ434" s="9">
        <v>1</v>
      </c>
      <c r="CK434" s="167">
        <f>'HourGH-NOV'!C30</f>
        <v>0.69</v>
      </c>
      <c r="CL434" s="263">
        <v>433</v>
      </c>
      <c r="CM434" s="9">
        <v>19</v>
      </c>
      <c r="CN434" s="9">
        <v>1</v>
      </c>
      <c r="CO434" s="167">
        <f>'HourGH-DEC'!C30</f>
        <v>0.56999999999999995</v>
      </c>
      <c r="CP434" s="263">
        <v>433</v>
      </c>
      <c r="CQ434" s="9">
        <v>19</v>
      </c>
      <c r="CR434" s="9">
        <v>1</v>
      </c>
      <c r="CS434" s="167">
        <f>'HourGH-JAN'!C30</f>
        <v>0.72</v>
      </c>
      <c r="CT434" s="9">
        <v>433</v>
      </c>
      <c r="CU434" s="9">
        <v>19</v>
      </c>
      <c r="CV434" s="9">
        <v>1</v>
      </c>
      <c r="CW434" s="167">
        <f>'HourGH-FEB'!C30</f>
        <v>0.27</v>
      </c>
      <c r="CX434" s="263">
        <v>433</v>
      </c>
      <c r="CY434" s="9">
        <v>19</v>
      </c>
      <c r="CZ434" s="9">
        <v>1</v>
      </c>
      <c r="DA434" s="167">
        <f>'HourGH-MAR'!C30</f>
        <v>0.34</v>
      </c>
    </row>
    <row r="435" spans="58:105">
      <c r="BF435" s="9">
        <v>434</v>
      </c>
      <c r="BG435" s="9">
        <v>19</v>
      </c>
      <c r="BH435" s="9">
        <v>2</v>
      </c>
      <c r="BI435" s="167">
        <f>'HourGH-APR'!D30</f>
        <v>0.6</v>
      </c>
      <c r="BJ435" s="263">
        <v>434</v>
      </c>
      <c r="BK435" s="9">
        <v>19</v>
      </c>
      <c r="BL435" s="9">
        <v>2</v>
      </c>
      <c r="BM435" s="167">
        <f>'HourGH-MAY'!D30</f>
        <v>0.48</v>
      </c>
      <c r="BN435" s="9">
        <v>434</v>
      </c>
      <c r="BO435" s="9">
        <v>19</v>
      </c>
      <c r="BP435" s="9">
        <v>2</v>
      </c>
      <c r="BQ435" s="167">
        <f>'HourGH-JUN'!D30</f>
        <v>0.22</v>
      </c>
      <c r="BR435" s="263">
        <v>434</v>
      </c>
      <c r="BS435" s="9">
        <v>19</v>
      </c>
      <c r="BT435" s="9">
        <v>2</v>
      </c>
      <c r="BU435" s="167">
        <f>'HourGH-JUL'!D30</f>
        <v>0.46</v>
      </c>
      <c r="BV435" s="263">
        <v>434</v>
      </c>
      <c r="BW435" s="9">
        <v>19</v>
      </c>
      <c r="BX435" s="9">
        <v>2</v>
      </c>
      <c r="BY435" s="167">
        <f>'HourGH-AUG'!D30</f>
        <v>0.63</v>
      </c>
      <c r="BZ435" s="9">
        <v>434</v>
      </c>
      <c r="CA435" s="9">
        <v>19</v>
      </c>
      <c r="CB435" s="9">
        <v>2</v>
      </c>
      <c r="CC435" s="167">
        <f>'HourGH-SEP'!D30</f>
        <v>1.51</v>
      </c>
      <c r="CD435" s="263">
        <v>434</v>
      </c>
      <c r="CE435" s="9">
        <v>19</v>
      </c>
      <c r="CF435" s="9">
        <v>2</v>
      </c>
      <c r="CG435" s="167">
        <f>'HourGH-OCT'!D30</f>
        <v>2.4900000000000002</v>
      </c>
      <c r="CH435" s="9">
        <v>434</v>
      </c>
      <c r="CI435" s="9">
        <v>19</v>
      </c>
      <c r="CJ435" s="9">
        <v>2</v>
      </c>
      <c r="CK435" s="167">
        <f>'HourGH-NOV'!D30</f>
        <v>0.69</v>
      </c>
      <c r="CL435" s="263">
        <v>434</v>
      </c>
      <c r="CM435" s="9">
        <v>19</v>
      </c>
      <c r="CN435" s="9">
        <v>2</v>
      </c>
      <c r="CO435" s="167">
        <f>'HourGH-DEC'!D30</f>
        <v>0.56999999999999995</v>
      </c>
      <c r="CP435" s="263">
        <v>434</v>
      </c>
      <c r="CQ435" s="9">
        <v>19</v>
      </c>
      <c r="CR435" s="9">
        <v>2</v>
      </c>
      <c r="CS435" s="167">
        <f>'HourGH-JAN'!D30</f>
        <v>0.72</v>
      </c>
      <c r="CT435" s="9">
        <v>434</v>
      </c>
      <c r="CU435" s="9">
        <v>19</v>
      </c>
      <c r="CV435" s="9">
        <v>2</v>
      </c>
      <c r="CW435" s="167">
        <f>'HourGH-FEB'!D30</f>
        <v>0.27</v>
      </c>
      <c r="CX435" s="263">
        <v>434</v>
      </c>
      <c r="CY435" s="9">
        <v>19</v>
      </c>
      <c r="CZ435" s="9">
        <v>2</v>
      </c>
      <c r="DA435" s="167">
        <f>'HourGH-MAR'!D30</f>
        <v>0.31</v>
      </c>
    </row>
    <row r="436" spans="58:105">
      <c r="BF436" s="9">
        <v>435</v>
      </c>
      <c r="BG436" s="9">
        <v>19</v>
      </c>
      <c r="BH436" s="9">
        <v>3</v>
      </c>
      <c r="BI436" s="167">
        <f>'HourGH-APR'!E30</f>
        <v>0.6</v>
      </c>
      <c r="BJ436" s="263">
        <v>435</v>
      </c>
      <c r="BK436" s="9">
        <v>19</v>
      </c>
      <c r="BL436" s="9">
        <v>3</v>
      </c>
      <c r="BM436" s="167">
        <f>'HourGH-MAY'!E30</f>
        <v>0.48</v>
      </c>
      <c r="BN436" s="9">
        <v>435</v>
      </c>
      <c r="BO436" s="9">
        <v>19</v>
      </c>
      <c r="BP436" s="9">
        <v>3</v>
      </c>
      <c r="BQ436" s="167">
        <f>'HourGH-JUN'!E30</f>
        <v>0.22</v>
      </c>
      <c r="BR436" s="263">
        <v>435</v>
      </c>
      <c r="BS436" s="9">
        <v>19</v>
      </c>
      <c r="BT436" s="9">
        <v>3</v>
      </c>
      <c r="BU436" s="167">
        <f>'HourGH-JUL'!E30</f>
        <v>0.46</v>
      </c>
      <c r="BV436" s="263">
        <v>435</v>
      </c>
      <c r="BW436" s="9">
        <v>19</v>
      </c>
      <c r="BX436" s="9">
        <v>3</v>
      </c>
      <c r="BY436" s="167">
        <f>'HourGH-AUG'!E30</f>
        <v>0.62</v>
      </c>
      <c r="BZ436" s="9">
        <v>435</v>
      </c>
      <c r="CA436" s="9">
        <v>19</v>
      </c>
      <c r="CB436" s="9">
        <v>3</v>
      </c>
      <c r="CC436" s="167">
        <f>'HourGH-SEP'!E30</f>
        <v>1.49</v>
      </c>
      <c r="CD436" s="263">
        <v>435</v>
      </c>
      <c r="CE436" s="9">
        <v>19</v>
      </c>
      <c r="CF436" s="9">
        <v>3</v>
      </c>
      <c r="CG436" s="167">
        <f>'HourGH-OCT'!E30</f>
        <v>2.52</v>
      </c>
      <c r="CH436" s="9">
        <v>435</v>
      </c>
      <c r="CI436" s="9">
        <v>19</v>
      </c>
      <c r="CJ436" s="9">
        <v>3</v>
      </c>
      <c r="CK436" s="167">
        <f>'HourGH-NOV'!E30</f>
        <v>0.69</v>
      </c>
      <c r="CL436" s="263">
        <v>435</v>
      </c>
      <c r="CM436" s="9">
        <v>19</v>
      </c>
      <c r="CN436" s="9">
        <v>3</v>
      </c>
      <c r="CO436" s="167">
        <f>'HourGH-DEC'!E30</f>
        <v>0.56999999999999995</v>
      </c>
      <c r="CP436" s="263">
        <v>435</v>
      </c>
      <c r="CQ436" s="9">
        <v>19</v>
      </c>
      <c r="CR436" s="9">
        <v>3</v>
      </c>
      <c r="CS436" s="167">
        <f>'HourGH-JAN'!E30</f>
        <v>0.72</v>
      </c>
      <c r="CT436" s="9">
        <v>435</v>
      </c>
      <c r="CU436" s="9">
        <v>19</v>
      </c>
      <c r="CV436" s="9">
        <v>3</v>
      </c>
      <c r="CW436" s="167">
        <f>'HourGH-FEB'!E30</f>
        <v>0.27</v>
      </c>
      <c r="CX436" s="263">
        <v>435</v>
      </c>
      <c r="CY436" s="9">
        <v>19</v>
      </c>
      <c r="CZ436" s="9">
        <v>3</v>
      </c>
      <c r="DA436" s="167">
        <f>'HourGH-MAR'!E30</f>
        <v>0.28000000000000003</v>
      </c>
    </row>
    <row r="437" spans="58:105">
      <c r="BF437" s="9">
        <v>436</v>
      </c>
      <c r="BG437" s="9">
        <v>19</v>
      </c>
      <c r="BH437" s="9">
        <v>4</v>
      </c>
      <c r="BI437" s="167">
        <f>'HourGH-APR'!F30</f>
        <v>0.6</v>
      </c>
      <c r="BJ437" s="263">
        <v>436</v>
      </c>
      <c r="BK437" s="9">
        <v>19</v>
      </c>
      <c r="BL437" s="9">
        <v>4</v>
      </c>
      <c r="BM437" s="167">
        <f>'HourGH-MAY'!F30</f>
        <v>0.48</v>
      </c>
      <c r="BN437" s="9">
        <v>436</v>
      </c>
      <c r="BO437" s="9">
        <v>19</v>
      </c>
      <c r="BP437" s="9">
        <v>4</v>
      </c>
      <c r="BQ437" s="167">
        <f>'HourGH-JUN'!F30</f>
        <v>0.22</v>
      </c>
      <c r="BR437" s="263">
        <v>436</v>
      </c>
      <c r="BS437" s="9">
        <v>19</v>
      </c>
      <c r="BT437" s="9">
        <v>4</v>
      </c>
      <c r="BU437" s="167">
        <f>'HourGH-JUL'!F30</f>
        <v>0.46</v>
      </c>
      <c r="BV437" s="263">
        <v>436</v>
      </c>
      <c r="BW437" s="9">
        <v>19</v>
      </c>
      <c r="BX437" s="9">
        <v>4</v>
      </c>
      <c r="BY437" s="167">
        <f>'HourGH-AUG'!F30</f>
        <v>0.62</v>
      </c>
      <c r="BZ437" s="9">
        <v>436</v>
      </c>
      <c r="CA437" s="9">
        <v>19</v>
      </c>
      <c r="CB437" s="9">
        <v>4</v>
      </c>
      <c r="CC437" s="167">
        <f>'HourGH-SEP'!F30</f>
        <v>1.47</v>
      </c>
      <c r="CD437" s="263">
        <v>436</v>
      </c>
      <c r="CE437" s="9">
        <v>19</v>
      </c>
      <c r="CF437" s="9">
        <v>4</v>
      </c>
      <c r="CG437" s="167">
        <f>'HourGH-OCT'!F30</f>
        <v>2.54</v>
      </c>
      <c r="CH437" s="9">
        <v>436</v>
      </c>
      <c r="CI437" s="9">
        <v>19</v>
      </c>
      <c r="CJ437" s="9">
        <v>4</v>
      </c>
      <c r="CK437" s="167">
        <f>'HourGH-NOV'!F30</f>
        <v>0.69</v>
      </c>
      <c r="CL437" s="263">
        <v>436</v>
      </c>
      <c r="CM437" s="9">
        <v>19</v>
      </c>
      <c r="CN437" s="9">
        <v>4</v>
      </c>
      <c r="CO437" s="167">
        <f>'HourGH-DEC'!F30</f>
        <v>0.56999999999999995</v>
      </c>
      <c r="CP437" s="263">
        <v>436</v>
      </c>
      <c r="CQ437" s="9">
        <v>19</v>
      </c>
      <c r="CR437" s="9">
        <v>4</v>
      </c>
      <c r="CS437" s="167">
        <f>'HourGH-JAN'!F30</f>
        <v>0.72</v>
      </c>
      <c r="CT437" s="9">
        <v>436</v>
      </c>
      <c r="CU437" s="9">
        <v>19</v>
      </c>
      <c r="CV437" s="9">
        <v>4</v>
      </c>
      <c r="CW437" s="167">
        <f>'HourGH-FEB'!F30</f>
        <v>0.27</v>
      </c>
      <c r="CX437" s="263">
        <v>436</v>
      </c>
      <c r="CY437" s="9">
        <v>19</v>
      </c>
      <c r="CZ437" s="9">
        <v>4</v>
      </c>
      <c r="DA437" s="167">
        <f>'HourGH-MAR'!F30</f>
        <v>0.26</v>
      </c>
    </row>
    <row r="438" spans="58:105">
      <c r="BF438" s="9">
        <v>437</v>
      </c>
      <c r="BG438" s="9">
        <v>19</v>
      </c>
      <c r="BH438" s="9">
        <v>5</v>
      </c>
      <c r="BI438" s="167">
        <f>'HourGH-APR'!G30</f>
        <v>0.6</v>
      </c>
      <c r="BJ438" s="263">
        <v>437</v>
      </c>
      <c r="BK438" s="9">
        <v>19</v>
      </c>
      <c r="BL438" s="9">
        <v>5</v>
      </c>
      <c r="BM438" s="167">
        <f>'HourGH-MAY'!G30</f>
        <v>0.48</v>
      </c>
      <c r="BN438" s="9">
        <v>437</v>
      </c>
      <c r="BO438" s="9">
        <v>19</v>
      </c>
      <c r="BP438" s="9">
        <v>5</v>
      </c>
      <c r="BQ438" s="167">
        <f>'HourGH-JUN'!G30</f>
        <v>0.22</v>
      </c>
      <c r="BR438" s="263">
        <v>437</v>
      </c>
      <c r="BS438" s="9">
        <v>19</v>
      </c>
      <c r="BT438" s="9">
        <v>5</v>
      </c>
      <c r="BU438" s="167">
        <f>'HourGH-JUL'!G30</f>
        <v>0.46</v>
      </c>
      <c r="BV438" s="263">
        <v>437</v>
      </c>
      <c r="BW438" s="9">
        <v>19</v>
      </c>
      <c r="BX438" s="9">
        <v>5</v>
      </c>
      <c r="BY438" s="167">
        <f>'HourGH-AUG'!G30</f>
        <v>0.62</v>
      </c>
      <c r="BZ438" s="9">
        <v>437</v>
      </c>
      <c r="CA438" s="9">
        <v>19</v>
      </c>
      <c r="CB438" s="9">
        <v>5</v>
      </c>
      <c r="CC438" s="167">
        <f>'HourGH-SEP'!G30</f>
        <v>1.45</v>
      </c>
      <c r="CD438" s="263">
        <v>437</v>
      </c>
      <c r="CE438" s="9">
        <v>19</v>
      </c>
      <c r="CF438" s="9">
        <v>5</v>
      </c>
      <c r="CG438" s="167">
        <f>'HourGH-OCT'!G30</f>
        <v>2.56</v>
      </c>
      <c r="CH438" s="9">
        <v>437</v>
      </c>
      <c r="CI438" s="9">
        <v>19</v>
      </c>
      <c r="CJ438" s="9">
        <v>5</v>
      </c>
      <c r="CK438" s="167">
        <f>'HourGH-NOV'!G30</f>
        <v>0.69</v>
      </c>
      <c r="CL438" s="263">
        <v>437</v>
      </c>
      <c r="CM438" s="9">
        <v>19</v>
      </c>
      <c r="CN438" s="9">
        <v>5</v>
      </c>
      <c r="CO438" s="167">
        <f>'HourGH-DEC'!G30</f>
        <v>0.56999999999999995</v>
      </c>
      <c r="CP438" s="263">
        <v>437</v>
      </c>
      <c r="CQ438" s="9">
        <v>19</v>
      </c>
      <c r="CR438" s="9">
        <v>5</v>
      </c>
      <c r="CS438" s="167">
        <f>'HourGH-JAN'!G30</f>
        <v>0.72</v>
      </c>
      <c r="CT438" s="9">
        <v>437</v>
      </c>
      <c r="CU438" s="9">
        <v>19</v>
      </c>
      <c r="CV438" s="9">
        <v>5</v>
      </c>
      <c r="CW438" s="167">
        <f>'HourGH-FEB'!G30</f>
        <v>0.27</v>
      </c>
      <c r="CX438" s="263">
        <v>437</v>
      </c>
      <c r="CY438" s="9">
        <v>19</v>
      </c>
      <c r="CZ438" s="9">
        <v>5</v>
      </c>
      <c r="DA438" s="167">
        <f>'HourGH-MAR'!G30</f>
        <v>0.24</v>
      </c>
    </row>
    <row r="439" spans="58:105">
      <c r="BF439" s="9">
        <v>438</v>
      </c>
      <c r="BG439" s="9">
        <v>19</v>
      </c>
      <c r="BH439" s="9">
        <v>6</v>
      </c>
      <c r="BI439" s="167">
        <f>'HourGH-APR'!H30</f>
        <v>0.6</v>
      </c>
      <c r="BJ439" s="263">
        <v>438</v>
      </c>
      <c r="BK439" s="9">
        <v>19</v>
      </c>
      <c r="BL439" s="9">
        <v>6</v>
      </c>
      <c r="BM439" s="167">
        <f>'HourGH-MAY'!H30</f>
        <v>0.48</v>
      </c>
      <c r="BN439" s="9">
        <v>438</v>
      </c>
      <c r="BO439" s="9">
        <v>19</v>
      </c>
      <c r="BP439" s="9">
        <v>6</v>
      </c>
      <c r="BQ439" s="167">
        <f>'HourGH-JUN'!H30</f>
        <v>0.22</v>
      </c>
      <c r="BR439" s="263">
        <v>438</v>
      </c>
      <c r="BS439" s="9">
        <v>19</v>
      </c>
      <c r="BT439" s="9">
        <v>6</v>
      </c>
      <c r="BU439" s="167">
        <f>'HourGH-JUL'!H30</f>
        <v>0.45</v>
      </c>
      <c r="BV439" s="263">
        <v>438</v>
      </c>
      <c r="BW439" s="9">
        <v>19</v>
      </c>
      <c r="BX439" s="9">
        <v>6</v>
      </c>
      <c r="BY439" s="167">
        <f>'HourGH-AUG'!H30</f>
        <v>0.62</v>
      </c>
      <c r="BZ439" s="9">
        <v>438</v>
      </c>
      <c r="CA439" s="9">
        <v>19</v>
      </c>
      <c r="CB439" s="9">
        <v>6</v>
      </c>
      <c r="CC439" s="167">
        <f>'HourGH-SEP'!H30</f>
        <v>1.43</v>
      </c>
      <c r="CD439" s="263">
        <v>438</v>
      </c>
      <c r="CE439" s="9">
        <v>19</v>
      </c>
      <c r="CF439" s="9">
        <v>6</v>
      </c>
      <c r="CG439" s="167">
        <f>'HourGH-OCT'!H30</f>
        <v>2.58</v>
      </c>
      <c r="CH439" s="9">
        <v>438</v>
      </c>
      <c r="CI439" s="9">
        <v>19</v>
      </c>
      <c r="CJ439" s="9">
        <v>6</v>
      </c>
      <c r="CK439" s="167">
        <f>'HourGH-NOV'!H30</f>
        <v>0.7</v>
      </c>
      <c r="CL439" s="263">
        <v>438</v>
      </c>
      <c r="CM439" s="9">
        <v>19</v>
      </c>
      <c r="CN439" s="9">
        <v>6</v>
      </c>
      <c r="CO439" s="167">
        <f>'HourGH-DEC'!H30</f>
        <v>0.56999999999999995</v>
      </c>
      <c r="CP439" s="263">
        <v>438</v>
      </c>
      <c r="CQ439" s="9">
        <v>19</v>
      </c>
      <c r="CR439" s="9">
        <v>6</v>
      </c>
      <c r="CS439" s="167">
        <f>'HourGH-JAN'!H30</f>
        <v>0.72</v>
      </c>
      <c r="CT439" s="9">
        <v>438</v>
      </c>
      <c r="CU439" s="9">
        <v>19</v>
      </c>
      <c r="CV439" s="9">
        <v>6</v>
      </c>
      <c r="CW439" s="167">
        <f>'HourGH-FEB'!H30</f>
        <v>0.27</v>
      </c>
      <c r="CX439" s="263">
        <v>438</v>
      </c>
      <c r="CY439" s="9">
        <v>19</v>
      </c>
      <c r="CZ439" s="9">
        <v>6</v>
      </c>
      <c r="DA439" s="167">
        <f>'HourGH-MAR'!H30</f>
        <v>0.22</v>
      </c>
    </row>
    <row r="440" spans="58:105">
      <c r="BF440" s="9">
        <v>439</v>
      </c>
      <c r="BG440" s="9">
        <v>19</v>
      </c>
      <c r="BH440" s="9">
        <v>7</v>
      </c>
      <c r="BI440" s="167">
        <f>'HourGH-APR'!I30</f>
        <v>0.59</v>
      </c>
      <c r="BJ440" s="263">
        <v>439</v>
      </c>
      <c r="BK440" s="9">
        <v>19</v>
      </c>
      <c r="BL440" s="9">
        <v>7</v>
      </c>
      <c r="BM440" s="167">
        <f>'HourGH-MAY'!I30</f>
        <v>0.48</v>
      </c>
      <c r="BN440" s="9">
        <v>439</v>
      </c>
      <c r="BO440" s="9">
        <v>19</v>
      </c>
      <c r="BP440" s="9">
        <v>7</v>
      </c>
      <c r="BQ440" s="167">
        <f>'HourGH-JUN'!I30</f>
        <v>0.21</v>
      </c>
      <c r="BR440" s="263">
        <v>439</v>
      </c>
      <c r="BS440" s="9">
        <v>19</v>
      </c>
      <c r="BT440" s="9">
        <v>7</v>
      </c>
      <c r="BU440" s="167">
        <f>'HourGH-JUL'!I30</f>
        <v>0.45</v>
      </c>
      <c r="BV440" s="263">
        <v>439</v>
      </c>
      <c r="BW440" s="9">
        <v>19</v>
      </c>
      <c r="BX440" s="9">
        <v>7</v>
      </c>
      <c r="BY440" s="167">
        <f>'HourGH-AUG'!I30</f>
        <v>0.62</v>
      </c>
      <c r="BZ440" s="9">
        <v>439</v>
      </c>
      <c r="CA440" s="9">
        <v>19</v>
      </c>
      <c r="CB440" s="9">
        <v>7</v>
      </c>
      <c r="CC440" s="167">
        <f>'HourGH-SEP'!I30</f>
        <v>1.41</v>
      </c>
      <c r="CD440" s="263">
        <v>439</v>
      </c>
      <c r="CE440" s="9">
        <v>19</v>
      </c>
      <c r="CF440" s="9">
        <v>7</v>
      </c>
      <c r="CG440" s="167">
        <f>'HourGH-OCT'!I30</f>
        <v>2.6</v>
      </c>
      <c r="CH440" s="9">
        <v>439</v>
      </c>
      <c r="CI440" s="9">
        <v>19</v>
      </c>
      <c r="CJ440" s="9">
        <v>7</v>
      </c>
      <c r="CK440" s="167">
        <f>'HourGH-NOV'!I30</f>
        <v>0.71</v>
      </c>
      <c r="CL440" s="263">
        <v>439</v>
      </c>
      <c r="CM440" s="9">
        <v>19</v>
      </c>
      <c r="CN440" s="9">
        <v>7</v>
      </c>
      <c r="CO440" s="167">
        <f>'HourGH-DEC'!I30</f>
        <v>0.56999999999999995</v>
      </c>
      <c r="CP440" s="263">
        <v>439</v>
      </c>
      <c r="CQ440" s="9">
        <v>19</v>
      </c>
      <c r="CR440" s="9">
        <v>7</v>
      </c>
      <c r="CS440" s="167">
        <f>'HourGH-JAN'!I30</f>
        <v>0.72</v>
      </c>
      <c r="CT440" s="9">
        <v>439</v>
      </c>
      <c r="CU440" s="9">
        <v>19</v>
      </c>
      <c r="CV440" s="9">
        <v>7</v>
      </c>
      <c r="CW440" s="167">
        <f>'HourGH-FEB'!I30</f>
        <v>0.27</v>
      </c>
      <c r="CX440" s="263">
        <v>439</v>
      </c>
      <c r="CY440" s="9">
        <v>19</v>
      </c>
      <c r="CZ440" s="9">
        <v>7</v>
      </c>
      <c r="DA440" s="167">
        <f>'HourGH-MAR'!I30</f>
        <v>0.22</v>
      </c>
    </row>
    <row r="441" spans="58:105">
      <c r="BF441" s="9">
        <v>440</v>
      </c>
      <c r="BG441" s="9">
        <v>19</v>
      </c>
      <c r="BH441" s="9">
        <v>8</v>
      </c>
      <c r="BI441" s="167">
        <f>'HourGH-APR'!J30</f>
        <v>0.59</v>
      </c>
      <c r="BJ441" s="263">
        <v>440</v>
      </c>
      <c r="BK441" s="9">
        <v>19</v>
      </c>
      <c r="BL441" s="9">
        <v>8</v>
      </c>
      <c r="BM441" s="167">
        <f>'HourGH-MAY'!J30</f>
        <v>0.47</v>
      </c>
      <c r="BN441" s="9">
        <v>440</v>
      </c>
      <c r="BO441" s="9">
        <v>19</v>
      </c>
      <c r="BP441" s="9">
        <v>8</v>
      </c>
      <c r="BQ441" s="167">
        <f>'HourGH-JUN'!J30</f>
        <v>0.21</v>
      </c>
      <c r="BR441" s="263">
        <v>440</v>
      </c>
      <c r="BS441" s="9">
        <v>19</v>
      </c>
      <c r="BT441" s="9">
        <v>8</v>
      </c>
      <c r="BU441" s="167">
        <f>'HourGH-JUL'!J30</f>
        <v>0.45</v>
      </c>
      <c r="BV441" s="263">
        <v>440</v>
      </c>
      <c r="BW441" s="9">
        <v>19</v>
      </c>
      <c r="BX441" s="9">
        <v>8</v>
      </c>
      <c r="BY441" s="167">
        <f>'HourGH-AUG'!J30</f>
        <v>0.62</v>
      </c>
      <c r="BZ441" s="9">
        <v>440</v>
      </c>
      <c r="CA441" s="9">
        <v>19</v>
      </c>
      <c r="CB441" s="9">
        <v>8</v>
      </c>
      <c r="CC441" s="167">
        <f>'HourGH-SEP'!J30</f>
        <v>1.4</v>
      </c>
      <c r="CD441" s="263">
        <v>440</v>
      </c>
      <c r="CE441" s="9">
        <v>19</v>
      </c>
      <c r="CF441" s="9">
        <v>8</v>
      </c>
      <c r="CG441" s="167">
        <f>'HourGH-OCT'!J30</f>
        <v>2.61</v>
      </c>
      <c r="CH441" s="9">
        <v>440</v>
      </c>
      <c r="CI441" s="9">
        <v>19</v>
      </c>
      <c r="CJ441" s="9">
        <v>8</v>
      </c>
      <c r="CK441" s="167">
        <f>'HourGH-NOV'!J30</f>
        <v>0.71</v>
      </c>
      <c r="CL441" s="263">
        <v>440</v>
      </c>
      <c r="CM441" s="9">
        <v>19</v>
      </c>
      <c r="CN441" s="9">
        <v>8</v>
      </c>
      <c r="CO441" s="167">
        <f>'HourGH-DEC'!J30</f>
        <v>0.56999999999999995</v>
      </c>
      <c r="CP441" s="263">
        <v>440</v>
      </c>
      <c r="CQ441" s="9">
        <v>19</v>
      </c>
      <c r="CR441" s="9">
        <v>8</v>
      </c>
      <c r="CS441" s="167">
        <f>'HourGH-JAN'!J30</f>
        <v>0.72</v>
      </c>
      <c r="CT441" s="9">
        <v>440</v>
      </c>
      <c r="CU441" s="9">
        <v>19</v>
      </c>
      <c r="CV441" s="9">
        <v>8</v>
      </c>
      <c r="CW441" s="167">
        <f>'HourGH-FEB'!J30</f>
        <v>0.27</v>
      </c>
      <c r="CX441" s="263">
        <v>440</v>
      </c>
      <c r="CY441" s="9">
        <v>19</v>
      </c>
      <c r="CZ441" s="9">
        <v>8</v>
      </c>
      <c r="DA441" s="167">
        <f>'HourGH-MAR'!J30</f>
        <v>0.22</v>
      </c>
    </row>
    <row r="442" spans="58:105">
      <c r="BF442" s="9">
        <v>441</v>
      </c>
      <c r="BG442" s="9">
        <v>19</v>
      </c>
      <c r="BH442" s="9">
        <v>9</v>
      </c>
      <c r="BI442" s="167">
        <f>'HourGH-APR'!K30</f>
        <v>0.59</v>
      </c>
      <c r="BJ442" s="263">
        <v>441</v>
      </c>
      <c r="BK442" s="9">
        <v>19</v>
      </c>
      <c r="BL442" s="9">
        <v>9</v>
      </c>
      <c r="BM442" s="167">
        <f>'HourGH-MAY'!K30</f>
        <v>0.46</v>
      </c>
      <c r="BN442" s="9">
        <v>441</v>
      </c>
      <c r="BO442" s="9">
        <v>19</v>
      </c>
      <c r="BP442" s="9">
        <v>9</v>
      </c>
      <c r="BQ442" s="167">
        <f>'HourGH-JUN'!K30</f>
        <v>0.2</v>
      </c>
      <c r="BR442" s="263">
        <v>441</v>
      </c>
      <c r="BS442" s="9">
        <v>19</v>
      </c>
      <c r="BT442" s="9">
        <v>9</v>
      </c>
      <c r="BU442" s="167">
        <f>'HourGH-JUL'!K30</f>
        <v>0.45</v>
      </c>
      <c r="BV442" s="263">
        <v>441</v>
      </c>
      <c r="BW442" s="9">
        <v>19</v>
      </c>
      <c r="BX442" s="9">
        <v>9</v>
      </c>
      <c r="BY442" s="167">
        <f>'HourGH-AUG'!K30</f>
        <v>0.62</v>
      </c>
      <c r="BZ442" s="9">
        <v>441</v>
      </c>
      <c r="CA442" s="9">
        <v>19</v>
      </c>
      <c r="CB442" s="9">
        <v>9</v>
      </c>
      <c r="CC442" s="167">
        <f>'HourGH-SEP'!K30</f>
        <v>1.39</v>
      </c>
      <c r="CD442" s="263">
        <v>441</v>
      </c>
      <c r="CE442" s="9">
        <v>19</v>
      </c>
      <c r="CF442" s="9">
        <v>9</v>
      </c>
      <c r="CG442" s="167">
        <f>'HourGH-OCT'!K30</f>
        <v>2.62</v>
      </c>
      <c r="CH442" s="9">
        <v>441</v>
      </c>
      <c r="CI442" s="9">
        <v>19</v>
      </c>
      <c r="CJ442" s="9">
        <v>9</v>
      </c>
      <c r="CK442" s="167">
        <f>'HourGH-NOV'!K30</f>
        <v>0.72</v>
      </c>
      <c r="CL442" s="263">
        <v>441</v>
      </c>
      <c r="CM442" s="9">
        <v>19</v>
      </c>
      <c r="CN442" s="9">
        <v>9</v>
      </c>
      <c r="CO442" s="167">
        <f>'HourGH-DEC'!K30</f>
        <v>0.56999999999999995</v>
      </c>
      <c r="CP442" s="263">
        <v>441</v>
      </c>
      <c r="CQ442" s="9">
        <v>19</v>
      </c>
      <c r="CR442" s="9">
        <v>9</v>
      </c>
      <c r="CS442" s="167">
        <f>'HourGH-JAN'!K30</f>
        <v>0.72</v>
      </c>
      <c r="CT442" s="9">
        <v>441</v>
      </c>
      <c r="CU442" s="9">
        <v>19</v>
      </c>
      <c r="CV442" s="9">
        <v>9</v>
      </c>
      <c r="CW442" s="167">
        <f>'HourGH-FEB'!K30</f>
        <v>0.27</v>
      </c>
      <c r="CX442" s="263">
        <v>441</v>
      </c>
      <c r="CY442" s="9">
        <v>19</v>
      </c>
      <c r="CZ442" s="9">
        <v>9</v>
      </c>
      <c r="DA442" s="167">
        <f>'HourGH-MAR'!K30</f>
        <v>0.22</v>
      </c>
    </row>
    <row r="443" spans="58:105">
      <c r="BF443" s="9">
        <v>442</v>
      </c>
      <c r="BG443" s="9">
        <v>19</v>
      </c>
      <c r="BH443" s="9">
        <v>10</v>
      </c>
      <c r="BI443" s="167">
        <f>'HourGH-APR'!L30</f>
        <v>0.59</v>
      </c>
      <c r="BJ443" s="263">
        <v>442</v>
      </c>
      <c r="BK443" s="9">
        <v>19</v>
      </c>
      <c r="BL443" s="9">
        <v>10</v>
      </c>
      <c r="BM443" s="167">
        <f>'HourGH-MAY'!L30</f>
        <v>0.45</v>
      </c>
      <c r="BN443" s="9">
        <v>442</v>
      </c>
      <c r="BO443" s="9">
        <v>19</v>
      </c>
      <c r="BP443" s="9">
        <v>10</v>
      </c>
      <c r="BQ443" s="167">
        <f>'HourGH-JUN'!L30</f>
        <v>0.2</v>
      </c>
      <c r="BR443" s="263">
        <v>442</v>
      </c>
      <c r="BS443" s="9">
        <v>19</v>
      </c>
      <c r="BT443" s="9">
        <v>10</v>
      </c>
      <c r="BU443" s="167">
        <f>'HourGH-JUL'!L30</f>
        <v>0.45</v>
      </c>
      <c r="BV443" s="263">
        <v>442</v>
      </c>
      <c r="BW443" s="9">
        <v>19</v>
      </c>
      <c r="BX443" s="9">
        <v>10</v>
      </c>
      <c r="BY443" s="167">
        <f>'HourGH-AUG'!L30</f>
        <v>0.62</v>
      </c>
      <c r="BZ443" s="9">
        <v>442</v>
      </c>
      <c r="CA443" s="9">
        <v>19</v>
      </c>
      <c r="CB443" s="9">
        <v>10</v>
      </c>
      <c r="CC443" s="167">
        <f>'HourGH-SEP'!L30</f>
        <v>1.38</v>
      </c>
      <c r="CD443" s="263">
        <v>442</v>
      </c>
      <c r="CE443" s="9">
        <v>19</v>
      </c>
      <c r="CF443" s="9">
        <v>10</v>
      </c>
      <c r="CG443" s="167">
        <f>'HourGH-OCT'!L30</f>
        <v>2.63</v>
      </c>
      <c r="CH443" s="9">
        <v>442</v>
      </c>
      <c r="CI443" s="9">
        <v>19</v>
      </c>
      <c r="CJ443" s="9">
        <v>10</v>
      </c>
      <c r="CK443" s="167">
        <f>'HourGH-NOV'!L30</f>
        <v>0.72</v>
      </c>
      <c r="CL443" s="263">
        <v>442</v>
      </c>
      <c r="CM443" s="9">
        <v>19</v>
      </c>
      <c r="CN443" s="9">
        <v>10</v>
      </c>
      <c r="CO443" s="167">
        <f>'HourGH-DEC'!L30</f>
        <v>0.56999999999999995</v>
      </c>
      <c r="CP443" s="263">
        <v>442</v>
      </c>
      <c r="CQ443" s="9">
        <v>19</v>
      </c>
      <c r="CR443" s="9">
        <v>10</v>
      </c>
      <c r="CS443" s="167">
        <f>'HourGH-JAN'!L30</f>
        <v>0.72</v>
      </c>
      <c r="CT443" s="9">
        <v>442</v>
      </c>
      <c r="CU443" s="9">
        <v>19</v>
      </c>
      <c r="CV443" s="9">
        <v>10</v>
      </c>
      <c r="CW443" s="167">
        <f>'HourGH-FEB'!L30</f>
        <v>0.27</v>
      </c>
      <c r="CX443" s="263">
        <v>442</v>
      </c>
      <c r="CY443" s="9">
        <v>19</v>
      </c>
      <c r="CZ443" s="9">
        <v>10</v>
      </c>
      <c r="DA443" s="167">
        <f>'HourGH-MAR'!L30</f>
        <v>0.22</v>
      </c>
    </row>
    <row r="444" spans="58:105">
      <c r="BF444" s="9">
        <v>443</v>
      </c>
      <c r="BG444" s="9">
        <v>19</v>
      </c>
      <c r="BH444" s="9">
        <v>11</v>
      </c>
      <c r="BI444" s="167">
        <f>'HourGH-APR'!M30</f>
        <v>0.59</v>
      </c>
      <c r="BJ444" s="263">
        <v>443</v>
      </c>
      <c r="BK444" s="9">
        <v>19</v>
      </c>
      <c r="BL444" s="9">
        <v>11</v>
      </c>
      <c r="BM444" s="167">
        <f>'HourGH-MAY'!M30</f>
        <v>0.44</v>
      </c>
      <c r="BN444" s="9">
        <v>443</v>
      </c>
      <c r="BO444" s="9">
        <v>19</v>
      </c>
      <c r="BP444" s="9">
        <v>11</v>
      </c>
      <c r="BQ444" s="167">
        <f>'HourGH-JUN'!M30</f>
        <v>0.2</v>
      </c>
      <c r="BR444" s="263">
        <v>443</v>
      </c>
      <c r="BS444" s="9">
        <v>19</v>
      </c>
      <c r="BT444" s="9">
        <v>11</v>
      </c>
      <c r="BU444" s="167">
        <f>'HourGH-JUL'!M30</f>
        <v>0.45</v>
      </c>
      <c r="BV444" s="263">
        <v>443</v>
      </c>
      <c r="BW444" s="9">
        <v>19</v>
      </c>
      <c r="BX444" s="9">
        <v>11</v>
      </c>
      <c r="BY444" s="167">
        <f>'HourGH-AUG'!M30</f>
        <v>0.62</v>
      </c>
      <c r="BZ444" s="9">
        <v>443</v>
      </c>
      <c r="CA444" s="9">
        <v>19</v>
      </c>
      <c r="CB444" s="9">
        <v>11</v>
      </c>
      <c r="CC444" s="167">
        <f>'HourGH-SEP'!M30</f>
        <v>1.37</v>
      </c>
      <c r="CD444" s="263">
        <v>443</v>
      </c>
      <c r="CE444" s="9">
        <v>19</v>
      </c>
      <c r="CF444" s="9">
        <v>11</v>
      </c>
      <c r="CG444" s="167">
        <f>'HourGH-OCT'!M30</f>
        <v>2.63</v>
      </c>
      <c r="CH444" s="9">
        <v>443</v>
      </c>
      <c r="CI444" s="9">
        <v>19</v>
      </c>
      <c r="CJ444" s="9">
        <v>11</v>
      </c>
      <c r="CK444" s="167">
        <f>'HourGH-NOV'!M30</f>
        <v>0.73</v>
      </c>
      <c r="CL444" s="263">
        <v>443</v>
      </c>
      <c r="CM444" s="9">
        <v>19</v>
      </c>
      <c r="CN444" s="9">
        <v>11</v>
      </c>
      <c r="CO444" s="167">
        <f>'HourGH-DEC'!M30</f>
        <v>0.56999999999999995</v>
      </c>
      <c r="CP444" s="263">
        <v>443</v>
      </c>
      <c r="CQ444" s="9">
        <v>19</v>
      </c>
      <c r="CR444" s="9">
        <v>11</v>
      </c>
      <c r="CS444" s="167">
        <f>'HourGH-JAN'!M30</f>
        <v>0.72</v>
      </c>
      <c r="CT444" s="9">
        <v>443</v>
      </c>
      <c r="CU444" s="9">
        <v>19</v>
      </c>
      <c r="CV444" s="9">
        <v>11</v>
      </c>
      <c r="CW444" s="167">
        <f>'HourGH-FEB'!M30</f>
        <v>0.27</v>
      </c>
      <c r="CX444" s="263">
        <v>443</v>
      </c>
      <c r="CY444" s="9">
        <v>19</v>
      </c>
      <c r="CZ444" s="9">
        <v>11</v>
      </c>
      <c r="DA444" s="167">
        <f>'HourGH-MAR'!M30</f>
        <v>0.22</v>
      </c>
    </row>
    <row r="445" spans="58:105">
      <c r="BF445" s="9">
        <v>444</v>
      </c>
      <c r="BG445" s="9">
        <v>19</v>
      </c>
      <c r="BH445" s="9">
        <v>12</v>
      </c>
      <c r="BI445" s="167">
        <f>'HourGH-APR'!N30</f>
        <v>0.59</v>
      </c>
      <c r="BJ445" s="263">
        <v>444</v>
      </c>
      <c r="BK445" s="9">
        <v>19</v>
      </c>
      <c r="BL445" s="9">
        <v>12</v>
      </c>
      <c r="BM445" s="167">
        <f>'HourGH-MAY'!N30</f>
        <v>0.43</v>
      </c>
      <c r="BN445" s="9">
        <v>444</v>
      </c>
      <c r="BO445" s="9">
        <v>19</v>
      </c>
      <c r="BP445" s="9">
        <v>12</v>
      </c>
      <c r="BQ445" s="167">
        <f>'HourGH-JUN'!N30</f>
        <v>0.19</v>
      </c>
      <c r="BR445" s="263">
        <v>444</v>
      </c>
      <c r="BS445" s="9">
        <v>19</v>
      </c>
      <c r="BT445" s="9">
        <v>12</v>
      </c>
      <c r="BU445" s="167">
        <f>'HourGH-JUL'!N30</f>
        <v>0.45</v>
      </c>
      <c r="BV445" s="263">
        <v>444</v>
      </c>
      <c r="BW445" s="9">
        <v>19</v>
      </c>
      <c r="BX445" s="9">
        <v>12</v>
      </c>
      <c r="BY445" s="167">
        <f>'HourGH-AUG'!N30</f>
        <v>0.62</v>
      </c>
      <c r="BZ445" s="9">
        <v>444</v>
      </c>
      <c r="CA445" s="9">
        <v>19</v>
      </c>
      <c r="CB445" s="9">
        <v>12</v>
      </c>
      <c r="CC445" s="167">
        <f>'HourGH-SEP'!N30</f>
        <v>1.36</v>
      </c>
      <c r="CD445" s="263">
        <v>444</v>
      </c>
      <c r="CE445" s="9">
        <v>19</v>
      </c>
      <c r="CF445" s="9">
        <v>12</v>
      </c>
      <c r="CG445" s="167">
        <f>'HourGH-OCT'!N30</f>
        <v>2.63</v>
      </c>
      <c r="CH445" s="9">
        <v>444</v>
      </c>
      <c r="CI445" s="9">
        <v>19</v>
      </c>
      <c r="CJ445" s="9">
        <v>12</v>
      </c>
      <c r="CK445" s="167">
        <f>'HourGH-NOV'!N30</f>
        <v>0.73</v>
      </c>
      <c r="CL445" s="263">
        <v>444</v>
      </c>
      <c r="CM445" s="9">
        <v>19</v>
      </c>
      <c r="CN445" s="9">
        <v>12</v>
      </c>
      <c r="CO445" s="167">
        <f>'HourGH-DEC'!N30</f>
        <v>0.56999999999999995</v>
      </c>
      <c r="CP445" s="263">
        <v>444</v>
      </c>
      <c r="CQ445" s="9">
        <v>19</v>
      </c>
      <c r="CR445" s="9">
        <v>12</v>
      </c>
      <c r="CS445" s="167">
        <f>'HourGH-JAN'!N30</f>
        <v>0.72</v>
      </c>
      <c r="CT445" s="9">
        <v>444</v>
      </c>
      <c r="CU445" s="9">
        <v>19</v>
      </c>
      <c r="CV445" s="9">
        <v>12</v>
      </c>
      <c r="CW445" s="167">
        <f>'HourGH-FEB'!N30</f>
        <v>0.27</v>
      </c>
      <c r="CX445" s="263">
        <v>444</v>
      </c>
      <c r="CY445" s="9">
        <v>19</v>
      </c>
      <c r="CZ445" s="9">
        <v>12</v>
      </c>
      <c r="DA445" s="167">
        <f>'HourGH-MAR'!N30</f>
        <v>0.22</v>
      </c>
    </row>
    <row r="446" spans="58:105">
      <c r="BF446" s="9">
        <v>445</v>
      </c>
      <c r="BG446" s="9">
        <v>19</v>
      </c>
      <c r="BH446" s="9">
        <v>13</v>
      </c>
      <c r="BI446" s="167">
        <f>'HourGH-APR'!O30</f>
        <v>0.59</v>
      </c>
      <c r="BJ446" s="263">
        <v>445</v>
      </c>
      <c r="BK446" s="9">
        <v>19</v>
      </c>
      <c r="BL446" s="9">
        <v>13</v>
      </c>
      <c r="BM446" s="167">
        <f>'HourGH-MAY'!O30</f>
        <v>0.41</v>
      </c>
      <c r="BN446" s="9">
        <v>445</v>
      </c>
      <c r="BO446" s="9">
        <v>19</v>
      </c>
      <c r="BP446" s="9">
        <v>13</v>
      </c>
      <c r="BQ446" s="167">
        <f>'HourGH-JUN'!O30</f>
        <v>0.19</v>
      </c>
      <c r="BR446" s="263">
        <v>445</v>
      </c>
      <c r="BS446" s="9">
        <v>19</v>
      </c>
      <c r="BT446" s="9">
        <v>13</v>
      </c>
      <c r="BU446" s="167">
        <f>'HourGH-JUL'!O30</f>
        <v>0.44</v>
      </c>
      <c r="BV446" s="263">
        <v>445</v>
      </c>
      <c r="BW446" s="9">
        <v>19</v>
      </c>
      <c r="BX446" s="9">
        <v>13</v>
      </c>
      <c r="BY446" s="167">
        <f>'HourGH-AUG'!O30</f>
        <v>0.62</v>
      </c>
      <c r="BZ446" s="9">
        <v>445</v>
      </c>
      <c r="CA446" s="9">
        <v>19</v>
      </c>
      <c r="CB446" s="9">
        <v>13</v>
      </c>
      <c r="CC446" s="167">
        <f>'HourGH-SEP'!O30</f>
        <v>1.36</v>
      </c>
      <c r="CD446" s="263">
        <v>445</v>
      </c>
      <c r="CE446" s="9">
        <v>19</v>
      </c>
      <c r="CF446" s="9">
        <v>13</v>
      </c>
      <c r="CG446" s="167">
        <f>'HourGH-OCT'!O30</f>
        <v>2.63</v>
      </c>
      <c r="CH446" s="9">
        <v>445</v>
      </c>
      <c r="CI446" s="9">
        <v>19</v>
      </c>
      <c r="CJ446" s="9">
        <v>13</v>
      </c>
      <c r="CK446" s="167">
        <f>'HourGH-NOV'!O30</f>
        <v>0.74</v>
      </c>
      <c r="CL446" s="263">
        <v>445</v>
      </c>
      <c r="CM446" s="9">
        <v>19</v>
      </c>
      <c r="CN446" s="9">
        <v>13</v>
      </c>
      <c r="CO446" s="167">
        <f>'HourGH-DEC'!O30</f>
        <v>0.56999999999999995</v>
      </c>
      <c r="CP446" s="263">
        <v>445</v>
      </c>
      <c r="CQ446" s="9">
        <v>19</v>
      </c>
      <c r="CR446" s="9">
        <v>13</v>
      </c>
      <c r="CS446" s="167">
        <f>'HourGH-JAN'!O30</f>
        <v>0.73</v>
      </c>
      <c r="CT446" s="9">
        <v>445</v>
      </c>
      <c r="CU446" s="9">
        <v>19</v>
      </c>
      <c r="CV446" s="9">
        <v>13</v>
      </c>
      <c r="CW446" s="167">
        <f>'HourGH-FEB'!O30</f>
        <v>0.27</v>
      </c>
      <c r="CX446" s="263">
        <v>445</v>
      </c>
      <c r="CY446" s="9">
        <v>19</v>
      </c>
      <c r="CZ446" s="9">
        <v>13</v>
      </c>
      <c r="DA446" s="167">
        <f>'HourGH-MAR'!O30</f>
        <v>0.22</v>
      </c>
    </row>
    <row r="447" spans="58:105">
      <c r="BF447" s="9">
        <v>446</v>
      </c>
      <c r="BG447" s="9">
        <v>19</v>
      </c>
      <c r="BH447" s="9">
        <v>14</v>
      </c>
      <c r="BI447" s="167">
        <f>'HourGH-APR'!P30</f>
        <v>0.59</v>
      </c>
      <c r="BJ447" s="263">
        <v>446</v>
      </c>
      <c r="BK447" s="9">
        <v>19</v>
      </c>
      <c r="BL447" s="9">
        <v>14</v>
      </c>
      <c r="BM447" s="167">
        <f>'HourGH-MAY'!P30</f>
        <v>0.39</v>
      </c>
      <c r="BN447" s="9">
        <v>446</v>
      </c>
      <c r="BO447" s="9">
        <v>19</v>
      </c>
      <c r="BP447" s="9">
        <v>14</v>
      </c>
      <c r="BQ447" s="167">
        <f>'HourGH-JUN'!P30</f>
        <v>0.19</v>
      </c>
      <c r="BR447" s="263">
        <v>446</v>
      </c>
      <c r="BS447" s="9">
        <v>19</v>
      </c>
      <c r="BT447" s="9">
        <v>14</v>
      </c>
      <c r="BU447" s="167">
        <f>'HourGH-JUL'!P30</f>
        <v>0.44</v>
      </c>
      <c r="BV447" s="263">
        <v>446</v>
      </c>
      <c r="BW447" s="9">
        <v>19</v>
      </c>
      <c r="BX447" s="9">
        <v>14</v>
      </c>
      <c r="BY447" s="167">
        <f>'HourGH-AUG'!P30</f>
        <v>0.62</v>
      </c>
      <c r="BZ447" s="9">
        <v>446</v>
      </c>
      <c r="CA447" s="9">
        <v>19</v>
      </c>
      <c r="CB447" s="9">
        <v>14</v>
      </c>
      <c r="CC447" s="167">
        <f>'HourGH-SEP'!P30</f>
        <v>1.35</v>
      </c>
      <c r="CD447" s="263">
        <v>446</v>
      </c>
      <c r="CE447" s="9">
        <v>19</v>
      </c>
      <c r="CF447" s="9">
        <v>14</v>
      </c>
      <c r="CG447" s="167">
        <f>'HourGH-OCT'!P30</f>
        <v>2.63</v>
      </c>
      <c r="CH447" s="9">
        <v>446</v>
      </c>
      <c r="CI447" s="9">
        <v>19</v>
      </c>
      <c r="CJ447" s="9">
        <v>14</v>
      </c>
      <c r="CK447" s="167">
        <f>'HourGH-NOV'!P30</f>
        <v>0.74</v>
      </c>
      <c r="CL447" s="263">
        <v>446</v>
      </c>
      <c r="CM447" s="9">
        <v>19</v>
      </c>
      <c r="CN447" s="9">
        <v>14</v>
      </c>
      <c r="CO447" s="167">
        <f>'HourGH-DEC'!P30</f>
        <v>0.56999999999999995</v>
      </c>
      <c r="CP447" s="263">
        <v>446</v>
      </c>
      <c r="CQ447" s="9">
        <v>19</v>
      </c>
      <c r="CR447" s="9">
        <v>14</v>
      </c>
      <c r="CS447" s="167">
        <f>'HourGH-JAN'!P30</f>
        <v>0.73</v>
      </c>
      <c r="CT447" s="9">
        <v>446</v>
      </c>
      <c r="CU447" s="9">
        <v>19</v>
      </c>
      <c r="CV447" s="9">
        <v>14</v>
      </c>
      <c r="CW447" s="167">
        <f>'HourGH-FEB'!P30</f>
        <v>0.27</v>
      </c>
      <c r="CX447" s="263">
        <v>446</v>
      </c>
      <c r="CY447" s="9">
        <v>19</v>
      </c>
      <c r="CZ447" s="9">
        <v>14</v>
      </c>
      <c r="DA447" s="167">
        <f>'HourGH-MAR'!P30</f>
        <v>0.22</v>
      </c>
    </row>
    <row r="448" spans="58:105">
      <c r="BF448" s="9">
        <v>447</v>
      </c>
      <c r="BG448" s="9">
        <v>19</v>
      </c>
      <c r="BH448" s="9">
        <v>15</v>
      </c>
      <c r="BI448" s="167">
        <f>'HourGH-APR'!Q30</f>
        <v>0.59</v>
      </c>
      <c r="BJ448" s="263">
        <v>447</v>
      </c>
      <c r="BK448" s="9">
        <v>19</v>
      </c>
      <c r="BL448" s="9">
        <v>15</v>
      </c>
      <c r="BM448" s="167">
        <f>'HourGH-MAY'!Q30</f>
        <v>0.37</v>
      </c>
      <c r="BN448" s="9">
        <v>447</v>
      </c>
      <c r="BO448" s="9">
        <v>19</v>
      </c>
      <c r="BP448" s="9">
        <v>15</v>
      </c>
      <c r="BQ448" s="167">
        <f>'HourGH-JUN'!Q30</f>
        <v>0.19</v>
      </c>
      <c r="BR448" s="263">
        <v>447</v>
      </c>
      <c r="BS448" s="9">
        <v>19</v>
      </c>
      <c r="BT448" s="9">
        <v>15</v>
      </c>
      <c r="BU448" s="167">
        <f>'HourGH-JUL'!Q30</f>
        <v>0.44</v>
      </c>
      <c r="BV448" s="263">
        <v>447</v>
      </c>
      <c r="BW448" s="9">
        <v>19</v>
      </c>
      <c r="BX448" s="9">
        <v>15</v>
      </c>
      <c r="BY448" s="167">
        <f>'HourGH-AUG'!Q30</f>
        <v>0.62</v>
      </c>
      <c r="BZ448" s="9">
        <v>447</v>
      </c>
      <c r="CA448" s="9">
        <v>19</v>
      </c>
      <c r="CB448" s="9">
        <v>15</v>
      </c>
      <c r="CC448" s="167">
        <f>'HourGH-SEP'!Q30</f>
        <v>1.35</v>
      </c>
      <c r="CD448" s="263">
        <v>447</v>
      </c>
      <c r="CE448" s="9">
        <v>19</v>
      </c>
      <c r="CF448" s="9">
        <v>15</v>
      </c>
      <c r="CG448" s="167">
        <f>'HourGH-OCT'!Q30</f>
        <v>2.62</v>
      </c>
      <c r="CH448" s="9">
        <v>447</v>
      </c>
      <c r="CI448" s="9">
        <v>19</v>
      </c>
      <c r="CJ448" s="9">
        <v>15</v>
      </c>
      <c r="CK448" s="167">
        <f>'HourGH-NOV'!Q30</f>
        <v>0.75</v>
      </c>
      <c r="CL448" s="263">
        <v>447</v>
      </c>
      <c r="CM448" s="9">
        <v>19</v>
      </c>
      <c r="CN448" s="9">
        <v>15</v>
      </c>
      <c r="CO448" s="167">
        <f>'HourGH-DEC'!Q30</f>
        <v>0.56999999999999995</v>
      </c>
      <c r="CP448" s="263">
        <v>447</v>
      </c>
      <c r="CQ448" s="9">
        <v>19</v>
      </c>
      <c r="CR448" s="9">
        <v>15</v>
      </c>
      <c r="CS448" s="167">
        <f>'HourGH-JAN'!Q30</f>
        <v>0.73</v>
      </c>
      <c r="CT448" s="9">
        <v>447</v>
      </c>
      <c r="CU448" s="9">
        <v>19</v>
      </c>
      <c r="CV448" s="9">
        <v>15</v>
      </c>
      <c r="CW448" s="167">
        <f>'HourGH-FEB'!Q30</f>
        <v>0.27</v>
      </c>
      <c r="CX448" s="263">
        <v>447</v>
      </c>
      <c r="CY448" s="9">
        <v>19</v>
      </c>
      <c r="CZ448" s="9">
        <v>15</v>
      </c>
      <c r="DA448" s="167">
        <f>'HourGH-MAR'!Q30</f>
        <v>0.22</v>
      </c>
    </row>
    <row r="449" spans="58:105">
      <c r="BF449" s="9">
        <v>448</v>
      </c>
      <c r="BG449" s="9">
        <v>19</v>
      </c>
      <c r="BH449" s="9">
        <v>16</v>
      </c>
      <c r="BI449" s="167">
        <f>'HourGH-APR'!R30</f>
        <v>0.59</v>
      </c>
      <c r="BJ449" s="263">
        <v>448</v>
      </c>
      <c r="BK449" s="9">
        <v>19</v>
      </c>
      <c r="BL449" s="9">
        <v>16</v>
      </c>
      <c r="BM449" s="167">
        <f>'HourGH-MAY'!R30</f>
        <v>0.35</v>
      </c>
      <c r="BN449" s="9">
        <v>448</v>
      </c>
      <c r="BO449" s="9">
        <v>19</v>
      </c>
      <c r="BP449" s="9">
        <v>16</v>
      </c>
      <c r="BQ449" s="167">
        <f>'HourGH-JUN'!R30</f>
        <v>0.19</v>
      </c>
      <c r="BR449" s="263">
        <v>448</v>
      </c>
      <c r="BS449" s="9">
        <v>19</v>
      </c>
      <c r="BT449" s="9">
        <v>16</v>
      </c>
      <c r="BU449" s="167">
        <f>'HourGH-JUL'!R30</f>
        <v>0.43</v>
      </c>
      <c r="BV449" s="263">
        <v>448</v>
      </c>
      <c r="BW449" s="9">
        <v>19</v>
      </c>
      <c r="BX449" s="9">
        <v>16</v>
      </c>
      <c r="BY449" s="167">
        <f>'HourGH-AUG'!R30</f>
        <v>0.62</v>
      </c>
      <c r="BZ449" s="9">
        <v>448</v>
      </c>
      <c r="CA449" s="9">
        <v>19</v>
      </c>
      <c r="CB449" s="9">
        <v>16</v>
      </c>
      <c r="CC449" s="167">
        <f>'HourGH-SEP'!R30</f>
        <v>1.34</v>
      </c>
      <c r="CD449" s="263">
        <v>448</v>
      </c>
      <c r="CE449" s="9">
        <v>19</v>
      </c>
      <c r="CF449" s="9">
        <v>16</v>
      </c>
      <c r="CG449" s="167">
        <f>'HourGH-OCT'!R30</f>
        <v>2.61</v>
      </c>
      <c r="CH449" s="9">
        <v>448</v>
      </c>
      <c r="CI449" s="9">
        <v>19</v>
      </c>
      <c r="CJ449" s="9">
        <v>16</v>
      </c>
      <c r="CK449" s="167">
        <f>'HourGH-NOV'!R30</f>
        <v>0.75</v>
      </c>
      <c r="CL449" s="263">
        <v>448</v>
      </c>
      <c r="CM449" s="9">
        <v>19</v>
      </c>
      <c r="CN449" s="9">
        <v>16</v>
      </c>
      <c r="CO449" s="167">
        <f>'HourGH-DEC'!R30</f>
        <v>0.56999999999999995</v>
      </c>
      <c r="CP449" s="263">
        <v>448</v>
      </c>
      <c r="CQ449" s="9">
        <v>19</v>
      </c>
      <c r="CR449" s="9">
        <v>16</v>
      </c>
      <c r="CS449" s="167">
        <f>'HourGH-JAN'!R30</f>
        <v>0.73</v>
      </c>
      <c r="CT449" s="9">
        <v>448</v>
      </c>
      <c r="CU449" s="9">
        <v>19</v>
      </c>
      <c r="CV449" s="9">
        <v>16</v>
      </c>
      <c r="CW449" s="167">
        <f>'HourGH-FEB'!R30</f>
        <v>0.27</v>
      </c>
      <c r="CX449" s="263">
        <v>448</v>
      </c>
      <c r="CY449" s="9">
        <v>19</v>
      </c>
      <c r="CZ449" s="9">
        <v>16</v>
      </c>
      <c r="DA449" s="167">
        <f>'HourGH-MAR'!R30</f>
        <v>0.22</v>
      </c>
    </row>
    <row r="450" spans="58:105">
      <c r="BF450" s="9">
        <v>449</v>
      </c>
      <c r="BG450" s="9">
        <v>19</v>
      </c>
      <c r="BH450" s="9">
        <v>17</v>
      </c>
      <c r="BI450" s="167">
        <f>'HourGH-APR'!S30</f>
        <v>0.59</v>
      </c>
      <c r="BJ450" s="263">
        <v>449</v>
      </c>
      <c r="BK450" s="9">
        <v>19</v>
      </c>
      <c r="BL450" s="9">
        <v>17</v>
      </c>
      <c r="BM450" s="167">
        <f>'HourGH-MAY'!S30</f>
        <v>0.33</v>
      </c>
      <c r="BN450" s="9">
        <v>449</v>
      </c>
      <c r="BO450" s="9">
        <v>19</v>
      </c>
      <c r="BP450" s="9">
        <v>17</v>
      </c>
      <c r="BQ450" s="167">
        <f>'HourGH-JUN'!S30</f>
        <v>0.2</v>
      </c>
      <c r="BR450" s="263">
        <v>449</v>
      </c>
      <c r="BS450" s="9">
        <v>19</v>
      </c>
      <c r="BT450" s="9">
        <v>17</v>
      </c>
      <c r="BU450" s="167">
        <f>'HourGH-JUL'!S30</f>
        <v>0.43</v>
      </c>
      <c r="BV450" s="263">
        <v>449</v>
      </c>
      <c r="BW450" s="9">
        <v>19</v>
      </c>
      <c r="BX450" s="9">
        <v>17</v>
      </c>
      <c r="BY450" s="167">
        <f>'HourGH-AUG'!S30</f>
        <v>0.62</v>
      </c>
      <c r="BZ450" s="9">
        <v>449</v>
      </c>
      <c r="CA450" s="9">
        <v>19</v>
      </c>
      <c r="CB450" s="9">
        <v>17</v>
      </c>
      <c r="CC450" s="167">
        <f>'HourGH-SEP'!S30</f>
        <v>1.33</v>
      </c>
      <c r="CD450" s="263">
        <v>449</v>
      </c>
      <c r="CE450" s="9">
        <v>19</v>
      </c>
      <c r="CF450" s="9">
        <v>17</v>
      </c>
      <c r="CG450" s="167">
        <f>'HourGH-OCT'!S30</f>
        <v>2.59</v>
      </c>
      <c r="CH450" s="9">
        <v>449</v>
      </c>
      <c r="CI450" s="9">
        <v>19</v>
      </c>
      <c r="CJ450" s="9">
        <v>17</v>
      </c>
      <c r="CK450" s="167">
        <f>'HourGH-NOV'!S30</f>
        <v>0.76</v>
      </c>
      <c r="CL450" s="263">
        <v>449</v>
      </c>
      <c r="CM450" s="9">
        <v>19</v>
      </c>
      <c r="CN450" s="9">
        <v>17</v>
      </c>
      <c r="CO450" s="167">
        <f>'HourGH-DEC'!S30</f>
        <v>0.56999999999999995</v>
      </c>
      <c r="CP450" s="263">
        <v>449</v>
      </c>
      <c r="CQ450" s="9">
        <v>19</v>
      </c>
      <c r="CR450" s="9">
        <v>17</v>
      </c>
      <c r="CS450" s="167">
        <f>'HourGH-JAN'!S30</f>
        <v>0.73</v>
      </c>
      <c r="CT450" s="9">
        <v>449</v>
      </c>
      <c r="CU450" s="9">
        <v>19</v>
      </c>
      <c r="CV450" s="9">
        <v>17</v>
      </c>
      <c r="CW450" s="167">
        <f>'HourGH-FEB'!S30</f>
        <v>0.27</v>
      </c>
      <c r="CX450" s="263">
        <v>449</v>
      </c>
      <c r="CY450" s="9">
        <v>19</v>
      </c>
      <c r="CZ450" s="9">
        <v>17</v>
      </c>
      <c r="DA450" s="167">
        <f>'HourGH-MAR'!S30</f>
        <v>0.22</v>
      </c>
    </row>
    <row r="451" spans="58:105">
      <c r="BF451" s="9">
        <v>450</v>
      </c>
      <c r="BG451" s="9">
        <v>19</v>
      </c>
      <c r="BH451" s="9">
        <v>18</v>
      </c>
      <c r="BI451" s="167">
        <f>'HourGH-APR'!T30</f>
        <v>0.57999999999999996</v>
      </c>
      <c r="BJ451" s="263">
        <v>450</v>
      </c>
      <c r="BK451" s="9">
        <v>19</v>
      </c>
      <c r="BL451" s="9">
        <v>18</v>
      </c>
      <c r="BM451" s="167">
        <f>'HourGH-MAY'!T30</f>
        <v>0.31</v>
      </c>
      <c r="BN451" s="9">
        <v>450</v>
      </c>
      <c r="BO451" s="9">
        <v>19</v>
      </c>
      <c r="BP451" s="9">
        <v>18</v>
      </c>
      <c r="BQ451" s="167">
        <f>'HourGH-JUN'!T30</f>
        <v>0.2</v>
      </c>
      <c r="BR451" s="263">
        <v>450</v>
      </c>
      <c r="BS451" s="9">
        <v>19</v>
      </c>
      <c r="BT451" s="9">
        <v>18</v>
      </c>
      <c r="BU451" s="167">
        <f>'HourGH-JUL'!T30</f>
        <v>0.43</v>
      </c>
      <c r="BV451" s="263">
        <v>450</v>
      </c>
      <c r="BW451" s="9">
        <v>19</v>
      </c>
      <c r="BX451" s="9">
        <v>18</v>
      </c>
      <c r="BY451" s="167">
        <f>'HourGH-AUG'!T30</f>
        <v>0.62</v>
      </c>
      <c r="BZ451" s="9">
        <v>450</v>
      </c>
      <c r="CA451" s="9">
        <v>19</v>
      </c>
      <c r="CB451" s="9">
        <v>18</v>
      </c>
      <c r="CC451" s="167">
        <f>'HourGH-SEP'!T30</f>
        <v>1.32</v>
      </c>
      <c r="CD451" s="263">
        <v>450</v>
      </c>
      <c r="CE451" s="9">
        <v>19</v>
      </c>
      <c r="CF451" s="9">
        <v>18</v>
      </c>
      <c r="CG451" s="167">
        <f>'HourGH-OCT'!T30</f>
        <v>2.57</v>
      </c>
      <c r="CH451" s="9">
        <v>450</v>
      </c>
      <c r="CI451" s="9">
        <v>19</v>
      </c>
      <c r="CJ451" s="9">
        <v>18</v>
      </c>
      <c r="CK451" s="167">
        <f>'HourGH-NOV'!T30</f>
        <v>0.76</v>
      </c>
      <c r="CL451" s="263">
        <v>450</v>
      </c>
      <c r="CM451" s="9">
        <v>19</v>
      </c>
      <c r="CN451" s="9">
        <v>18</v>
      </c>
      <c r="CO451" s="167">
        <f>'HourGH-DEC'!T30</f>
        <v>0.56999999999999995</v>
      </c>
      <c r="CP451" s="263">
        <v>450</v>
      </c>
      <c r="CQ451" s="9">
        <v>19</v>
      </c>
      <c r="CR451" s="9">
        <v>18</v>
      </c>
      <c r="CS451" s="167">
        <f>'HourGH-JAN'!T30</f>
        <v>0.73</v>
      </c>
      <c r="CT451" s="9">
        <v>450</v>
      </c>
      <c r="CU451" s="9">
        <v>19</v>
      </c>
      <c r="CV451" s="9">
        <v>18</v>
      </c>
      <c r="CW451" s="167">
        <f>'HourGH-FEB'!T30</f>
        <v>0.27</v>
      </c>
      <c r="CX451" s="263">
        <v>450</v>
      </c>
      <c r="CY451" s="9">
        <v>19</v>
      </c>
      <c r="CZ451" s="9">
        <v>18</v>
      </c>
      <c r="DA451" s="167">
        <f>'HourGH-MAR'!T30</f>
        <v>0.22</v>
      </c>
    </row>
    <row r="452" spans="58:105">
      <c r="BF452" s="9">
        <v>451</v>
      </c>
      <c r="BG452" s="9">
        <v>19</v>
      </c>
      <c r="BH452" s="9">
        <v>19</v>
      </c>
      <c r="BI452" s="167">
        <f>'HourGH-APR'!U30</f>
        <v>0.57999999999999996</v>
      </c>
      <c r="BJ452" s="263">
        <v>451</v>
      </c>
      <c r="BK452" s="9">
        <v>19</v>
      </c>
      <c r="BL452" s="9">
        <v>19</v>
      </c>
      <c r="BM452" s="167">
        <f>'HourGH-MAY'!U30</f>
        <v>0.28999999999999998</v>
      </c>
      <c r="BN452" s="9">
        <v>451</v>
      </c>
      <c r="BO452" s="9">
        <v>19</v>
      </c>
      <c r="BP452" s="9">
        <v>19</v>
      </c>
      <c r="BQ452" s="167">
        <f>'HourGH-JUN'!U30</f>
        <v>0.2</v>
      </c>
      <c r="BR452" s="263">
        <v>451</v>
      </c>
      <c r="BS452" s="9">
        <v>19</v>
      </c>
      <c r="BT452" s="9">
        <v>19</v>
      </c>
      <c r="BU452" s="167">
        <f>'HourGH-JUL'!U30</f>
        <v>0.42</v>
      </c>
      <c r="BV452" s="263">
        <v>451</v>
      </c>
      <c r="BW452" s="9">
        <v>19</v>
      </c>
      <c r="BX452" s="9">
        <v>19</v>
      </c>
      <c r="BY452" s="167">
        <f>'HourGH-AUG'!U30</f>
        <v>0.62</v>
      </c>
      <c r="BZ452" s="9">
        <v>451</v>
      </c>
      <c r="CA452" s="9">
        <v>19</v>
      </c>
      <c r="CB452" s="9">
        <v>19</v>
      </c>
      <c r="CC452" s="167">
        <f>'HourGH-SEP'!U30</f>
        <v>1.31</v>
      </c>
      <c r="CD452" s="263">
        <v>451</v>
      </c>
      <c r="CE452" s="9">
        <v>19</v>
      </c>
      <c r="CF452" s="9">
        <v>19</v>
      </c>
      <c r="CG452" s="167">
        <f>'HourGH-OCT'!U30</f>
        <v>2.5499999999999998</v>
      </c>
      <c r="CH452" s="9">
        <v>451</v>
      </c>
      <c r="CI452" s="9">
        <v>19</v>
      </c>
      <c r="CJ452" s="9">
        <v>19</v>
      </c>
      <c r="CK452" s="167">
        <f>'HourGH-NOV'!U30</f>
        <v>0.77</v>
      </c>
      <c r="CL452" s="263">
        <v>451</v>
      </c>
      <c r="CM452" s="9">
        <v>19</v>
      </c>
      <c r="CN452" s="9">
        <v>19</v>
      </c>
      <c r="CO452" s="167">
        <f>'HourGH-DEC'!U30</f>
        <v>0.56000000000000005</v>
      </c>
      <c r="CP452" s="263">
        <v>451</v>
      </c>
      <c r="CQ452" s="9">
        <v>19</v>
      </c>
      <c r="CR452" s="9">
        <v>19</v>
      </c>
      <c r="CS452" s="167">
        <f>'HourGH-JAN'!U30</f>
        <v>0.74</v>
      </c>
      <c r="CT452" s="9">
        <v>451</v>
      </c>
      <c r="CU452" s="9">
        <v>19</v>
      </c>
      <c r="CV452" s="9">
        <v>19</v>
      </c>
      <c r="CW452" s="167">
        <f>'HourGH-FEB'!U30</f>
        <v>0.27</v>
      </c>
      <c r="CX452" s="263">
        <v>451</v>
      </c>
      <c r="CY452" s="9">
        <v>19</v>
      </c>
      <c r="CZ452" s="9">
        <v>19</v>
      </c>
      <c r="DA452" s="167">
        <f>'HourGH-MAR'!U30</f>
        <v>0.22</v>
      </c>
    </row>
    <row r="453" spans="58:105">
      <c r="BF453" s="9">
        <v>452</v>
      </c>
      <c r="BG453" s="9">
        <v>19</v>
      </c>
      <c r="BH453" s="9">
        <v>20</v>
      </c>
      <c r="BI453" s="167">
        <f>'HourGH-APR'!V30</f>
        <v>0.57999999999999996</v>
      </c>
      <c r="BJ453" s="263">
        <v>452</v>
      </c>
      <c r="BK453" s="9">
        <v>19</v>
      </c>
      <c r="BL453" s="9">
        <v>20</v>
      </c>
      <c r="BM453" s="167">
        <f>'HourGH-MAY'!V30</f>
        <v>0.27</v>
      </c>
      <c r="BN453" s="9">
        <v>452</v>
      </c>
      <c r="BO453" s="9">
        <v>19</v>
      </c>
      <c r="BP453" s="9">
        <v>20</v>
      </c>
      <c r="BQ453" s="167">
        <f>'HourGH-JUN'!V30</f>
        <v>0.21</v>
      </c>
      <c r="BR453" s="263">
        <v>452</v>
      </c>
      <c r="BS453" s="9">
        <v>19</v>
      </c>
      <c r="BT453" s="9">
        <v>20</v>
      </c>
      <c r="BU453" s="167">
        <f>'HourGH-JUL'!V30</f>
        <v>0.42</v>
      </c>
      <c r="BV453" s="263">
        <v>452</v>
      </c>
      <c r="BW453" s="9">
        <v>19</v>
      </c>
      <c r="BX453" s="9">
        <v>20</v>
      </c>
      <c r="BY453" s="167">
        <f>'HourGH-AUG'!V30</f>
        <v>0.62</v>
      </c>
      <c r="BZ453" s="9">
        <v>452</v>
      </c>
      <c r="CA453" s="9">
        <v>19</v>
      </c>
      <c r="CB453" s="9">
        <v>20</v>
      </c>
      <c r="CC453" s="167">
        <f>'HourGH-SEP'!V30</f>
        <v>1.3</v>
      </c>
      <c r="CD453" s="263">
        <v>452</v>
      </c>
      <c r="CE453" s="9">
        <v>19</v>
      </c>
      <c r="CF453" s="9">
        <v>20</v>
      </c>
      <c r="CG453" s="167">
        <f>'HourGH-OCT'!V30</f>
        <v>2.52</v>
      </c>
      <c r="CH453" s="9">
        <v>452</v>
      </c>
      <c r="CI453" s="9">
        <v>19</v>
      </c>
      <c r="CJ453" s="9">
        <v>20</v>
      </c>
      <c r="CK453" s="167">
        <f>'HourGH-NOV'!V30</f>
        <v>0.77</v>
      </c>
      <c r="CL453" s="263">
        <v>452</v>
      </c>
      <c r="CM453" s="9">
        <v>19</v>
      </c>
      <c r="CN453" s="9">
        <v>20</v>
      </c>
      <c r="CO453" s="167">
        <f>'HourGH-DEC'!V30</f>
        <v>0.56000000000000005</v>
      </c>
      <c r="CP453" s="263">
        <v>452</v>
      </c>
      <c r="CQ453" s="9">
        <v>19</v>
      </c>
      <c r="CR453" s="9">
        <v>20</v>
      </c>
      <c r="CS453" s="167">
        <f>'HourGH-JAN'!V30</f>
        <v>0.74</v>
      </c>
      <c r="CT453" s="9">
        <v>452</v>
      </c>
      <c r="CU453" s="9">
        <v>19</v>
      </c>
      <c r="CV453" s="9">
        <v>20</v>
      </c>
      <c r="CW453" s="167">
        <f>'HourGH-FEB'!V30</f>
        <v>0.27</v>
      </c>
      <c r="CX453" s="263">
        <v>452</v>
      </c>
      <c r="CY453" s="9">
        <v>19</v>
      </c>
      <c r="CZ453" s="9">
        <v>20</v>
      </c>
      <c r="DA453" s="167">
        <f>'HourGH-MAR'!V30</f>
        <v>0.22</v>
      </c>
    </row>
    <row r="454" spans="58:105">
      <c r="BF454" s="9">
        <v>453</v>
      </c>
      <c r="BG454" s="9">
        <v>19</v>
      </c>
      <c r="BH454" s="9">
        <v>21</v>
      </c>
      <c r="BI454" s="167">
        <f>'HourGH-APR'!W30</f>
        <v>0.57999999999999996</v>
      </c>
      <c r="BJ454" s="263">
        <v>453</v>
      </c>
      <c r="BK454" s="9">
        <v>19</v>
      </c>
      <c r="BL454" s="9">
        <v>21</v>
      </c>
      <c r="BM454" s="167">
        <f>'HourGH-MAY'!W30</f>
        <v>0.25</v>
      </c>
      <c r="BN454" s="9">
        <v>453</v>
      </c>
      <c r="BO454" s="9">
        <v>19</v>
      </c>
      <c r="BP454" s="9">
        <v>21</v>
      </c>
      <c r="BQ454" s="167">
        <f>'HourGH-JUN'!W30</f>
        <v>0.21</v>
      </c>
      <c r="BR454" s="263">
        <v>453</v>
      </c>
      <c r="BS454" s="9">
        <v>19</v>
      </c>
      <c r="BT454" s="9">
        <v>21</v>
      </c>
      <c r="BU454" s="167">
        <f>'HourGH-JUL'!W30</f>
        <v>0.42</v>
      </c>
      <c r="BV454" s="263">
        <v>453</v>
      </c>
      <c r="BW454" s="9">
        <v>19</v>
      </c>
      <c r="BX454" s="9">
        <v>21</v>
      </c>
      <c r="BY454" s="167">
        <f>'HourGH-AUG'!W30</f>
        <v>0.62</v>
      </c>
      <c r="BZ454" s="9">
        <v>453</v>
      </c>
      <c r="CA454" s="9">
        <v>19</v>
      </c>
      <c r="CB454" s="9">
        <v>21</v>
      </c>
      <c r="CC454" s="167">
        <f>'HourGH-SEP'!W30</f>
        <v>1.29</v>
      </c>
      <c r="CD454" s="263">
        <v>453</v>
      </c>
      <c r="CE454" s="9">
        <v>19</v>
      </c>
      <c r="CF454" s="9">
        <v>21</v>
      </c>
      <c r="CG454" s="167">
        <f>'HourGH-OCT'!W30</f>
        <v>2.4900000000000002</v>
      </c>
      <c r="CH454" s="9">
        <v>453</v>
      </c>
      <c r="CI454" s="9">
        <v>19</v>
      </c>
      <c r="CJ454" s="9">
        <v>21</v>
      </c>
      <c r="CK454" s="167">
        <f>'HourGH-NOV'!W30</f>
        <v>0.78</v>
      </c>
      <c r="CL454" s="263">
        <v>453</v>
      </c>
      <c r="CM454" s="9">
        <v>19</v>
      </c>
      <c r="CN454" s="9">
        <v>21</v>
      </c>
      <c r="CO454" s="167">
        <f>'HourGH-DEC'!W30</f>
        <v>0.56000000000000005</v>
      </c>
      <c r="CP454" s="263">
        <v>453</v>
      </c>
      <c r="CQ454" s="9">
        <v>19</v>
      </c>
      <c r="CR454" s="9">
        <v>21</v>
      </c>
      <c r="CS454" s="167">
        <f>'HourGH-JAN'!W30</f>
        <v>0.74</v>
      </c>
      <c r="CT454" s="9">
        <v>453</v>
      </c>
      <c r="CU454" s="9">
        <v>19</v>
      </c>
      <c r="CV454" s="9">
        <v>21</v>
      </c>
      <c r="CW454" s="167">
        <f>'HourGH-FEB'!W30</f>
        <v>0.27</v>
      </c>
      <c r="CX454" s="263">
        <v>453</v>
      </c>
      <c r="CY454" s="9">
        <v>19</v>
      </c>
      <c r="CZ454" s="9">
        <v>21</v>
      </c>
      <c r="DA454" s="167">
        <f>'HourGH-MAR'!W30</f>
        <v>0.22</v>
      </c>
    </row>
    <row r="455" spans="58:105">
      <c r="BF455" s="9">
        <v>454</v>
      </c>
      <c r="BG455" s="9">
        <v>19</v>
      </c>
      <c r="BH455" s="9">
        <v>22</v>
      </c>
      <c r="BI455" s="167">
        <f>'HourGH-APR'!X30</f>
        <v>0.57999999999999996</v>
      </c>
      <c r="BJ455" s="263">
        <v>454</v>
      </c>
      <c r="BK455" s="9">
        <v>19</v>
      </c>
      <c r="BL455" s="9">
        <v>22</v>
      </c>
      <c r="BM455" s="167">
        <f>'HourGH-MAY'!X30</f>
        <v>0.24</v>
      </c>
      <c r="BN455" s="9">
        <v>454</v>
      </c>
      <c r="BO455" s="9">
        <v>19</v>
      </c>
      <c r="BP455" s="9">
        <v>22</v>
      </c>
      <c r="BQ455" s="167">
        <f>'HourGH-JUN'!X30</f>
        <v>0.21</v>
      </c>
      <c r="BR455" s="263">
        <v>454</v>
      </c>
      <c r="BS455" s="9">
        <v>19</v>
      </c>
      <c r="BT455" s="9">
        <v>22</v>
      </c>
      <c r="BU455" s="167">
        <f>'HourGH-JUL'!X30</f>
        <v>0.41</v>
      </c>
      <c r="BV455" s="263">
        <v>454</v>
      </c>
      <c r="BW455" s="9">
        <v>19</v>
      </c>
      <c r="BX455" s="9">
        <v>22</v>
      </c>
      <c r="BY455" s="167">
        <f>'HourGH-AUG'!X30</f>
        <v>0.62</v>
      </c>
      <c r="BZ455" s="9">
        <v>454</v>
      </c>
      <c r="CA455" s="9">
        <v>19</v>
      </c>
      <c r="CB455" s="9">
        <v>22</v>
      </c>
      <c r="CC455" s="167">
        <f>'HourGH-SEP'!X30</f>
        <v>1.29</v>
      </c>
      <c r="CD455" s="263">
        <v>454</v>
      </c>
      <c r="CE455" s="9">
        <v>19</v>
      </c>
      <c r="CF455" s="9">
        <v>22</v>
      </c>
      <c r="CG455" s="167">
        <f>'HourGH-OCT'!X30</f>
        <v>2.4500000000000002</v>
      </c>
      <c r="CH455" s="9">
        <v>454</v>
      </c>
      <c r="CI455" s="9">
        <v>19</v>
      </c>
      <c r="CJ455" s="9">
        <v>22</v>
      </c>
      <c r="CK455" s="167">
        <f>'HourGH-NOV'!X30</f>
        <v>0.79</v>
      </c>
      <c r="CL455" s="263">
        <v>454</v>
      </c>
      <c r="CM455" s="9">
        <v>19</v>
      </c>
      <c r="CN455" s="9">
        <v>22</v>
      </c>
      <c r="CO455" s="167">
        <f>'HourGH-DEC'!X30</f>
        <v>0.56000000000000005</v>
      </c>
      <c r="CP455" s="263">
        <v>454</v>
      </c>
      <c r="CQ455" s="9">
        <v>19</v>
      </c>
      <c r="CR455" s="9">
        <v>22</v>
      </c>
      <c r="CS455" s="167">
        <f>'HourGH-JAN'!X30</f>
        <v>0.74</v>
      </c>
      <c r="CT455" s="9">
        <v>454</v>
      </c>
      <c r="CU455" s="9">
        <v>19</v>
      </c>
      <c r="CV455" s="9">
        <v>22</v>
      </c>
      <c r="CW455" s="167">
        <f>'HourGH-FEB'!X30</f>
        <v>0.27</v>
      </c>
      <c r="CX455" s="263">
        <v>454</v>
      </c>
      <c r="CY455" s="9">
        <v>19</v>
      </c>
      <c r="CZ455" s="9">
        <v>22</v>
      </c>
      <c r="DA455" s="167">
        <f>'HourGH-MAR'!X30</f>
        <v>0.22</v>
      </c>
    </row>
    <row r="456" spans="58:105">
      <c r="BF456" s="9">
        <v>455</v>
      </c>
      <c r="BG456" s="9">
        <v>19</v>
      </c>
      <c r="BH456" s="9">
        <v>23</v>
      </c>
      <c r="BI456" s="167">
        <f>'HourGH-APR'!Y30</f>
        <v>0.57999999999999996</v>
      </c>
      <c r="BJ456" s="263">
        <v>455</v>
      </c>
      <c r="BK456" s="9">
        <v>19</v>
      </c>
      <c r="BL456" s="9">
        <v>23</v>
      </c>
      <c r="BM456" s="167">
        <f>'HourGH-MAY'!Y30</f>
        <v>0.23</v>
      </c>
      <c r="BN456" s="9">
        <v>455</v>
      </c>
      <c r="BO456" s="9">
        <v>19</v>
      </c>
      <c r="BP456" s="9">
        <v>23</v>
      </c>
      <c r="BQ456" s="167">
        <f>'HourGH-JUN'!Y30</f>
        <v>0.21</v>
      </c>
      <c r="BR456" s="263">
        <v>455</v>
      </c>
      <c r="BS456" s="9">
        <v>19</v>
      </c>
      <c r="BT456" s="9">
        <v>23</v>
      </c>
      <c r="BU456" s="167">
        <f>'HourGH-JUL'!Y30</f>
        <v>0.41</v>
      </c>
      <c r="BV456" s="263">
        <v>455</v>
      </c>
      <c r="BW456" s="9">
        <v>19</v>
      </c>
      <c r="BX456" s="9">
        <v>23</v>
      </c>
      <c r="BY456" s="167">
        <f>'HourGH-AUG'!Y30</f>
        <v>0.62</v>
      </c>
      <c r="BZ456" s="9">
        <v>455</v>
      </c>
      <c r="CA456" s="9">
        <v>19</v>
      </c>
      <c r="CB456" s="9">
        <v>23</v>
      </c>
      <c r="CC456" s="167">
        <f>'HourGH-SEP'!Y30</f>
        <v>1.28</v>
      </c>
      <c r="CD456" s="263">
        <v>455</v>
      </c>
      <c r="CE456" s="9">
        <v>19</v>
      </c>
      <c r="CF456" s="9">
        <v>23</v>
      </c>
      <c r="CG456" s="167">
        <f>'HourGH-OCT'!Y30</f>
        <v>2.41</v>
      </c>
      <c r="CH456" s="9">
        <v>455</v>
      </c>
      <c r="CI456" s="9">
        <v>19</v>
      </c>
      <c r="CJ456" s="9">
        <v>23</v>
      </c>
      <c r="CK456" s="167">
        <f>'HourGH-NOV'!Y30</f>
        <v>0.8</v>
      </c>
      <c r="CL456" s="263">
        <v>455</v>
      </c>
      <c r="CM456" s="9">
        <v>19</v>
      </c>
      <c r="CN456" s="9">
        <v>23</v>
      </c>
      <c r="CO456" s="167">
        <f>'HourGH-DEC'!Y30</f>
        <v>0.56000000000000005</v>
      </c>
      <c r="CP456" s="263">
        <v>455</v>
      </c>
      <c r="CQ456" s="9">
        <v>19</v>
      </c>
      <c r="CR456" s="9">
        <v>23</v>
      </c>
      <c r="CS456" s="167">
        <f>'HourGH-JAN'!Y30</f>
        <v>0.74</v>
      </c>
      <c r="CT456" s="9">
        <v>455</v>
      </c>
      <c r="CU456" s="9">
        <v>19</v>
      </c>
      <c r="CV456" s="9">
        <v>23</v>
      </c>
      <c r="CW456" s="167">
        <f>'HourGH-FEB'!Y30</f>
        <v>0.27</v>
      </c>
      <c r="CX456" s="263">
        <v>455</v>
      </c>
      <c r="CY456" s="9">
        <v>19</v>
      </c>
      <c r="CZ456" s="9">
        <v>23</v>
      </c>
      <c r="DA456" s="167">
        <f>'HourGH-MAR'!Y30</f>
        <v>0.22</v>
      </c>
    </row>
    <row r="457" spans="58:105">
      <c r="BF457" s="9">
        <v>456</v>
      </c>
      <c r="BG457" s="9">
        <v>19</v>
      </c>
      <c r="BH457" s="9">
        <v>24</v>
      </c>
      <c r="BI457" s="167">
        <f>'HourGH-APR'!Z30</f>
        <v>0.57999999999999996</v>
      </c>
      <c r="BJ457" s="263">
        <v>456</v>
      </c>
      <c r="BK457" s="9">
        <v>19</v>
      </c>
      <c r="BL457" s="9">
        <v>24</v>
      </c>
      <c r="BM457" s="167">
        <f>'HourGH-MAY'!Z30</f>
        <v>0.22</v>
      </c>
      <c r="BN457" s="9">
        <v>456</v>
      </c>
      <c r="BO457" s="9">
        <v>19</v>
      </c>
      <c r="BP457" s="9">
        <v>24</v>
      </c>
      <c r="BQ457" s="167">
        <f>'HourGH-JUN'!Z30</f>
        <v>0.22</v>
      </c>
      <c r="BR457" s="263">
        <v>456</v>
      </c>
      <c r="BS457" s="9">
        <v>19</v>
      </c>
      <c r="BT457" s="9">
        <v>24</v>
      </c>
      <c r="BU457" s="167">
        <f>'HourGH-JUL'!Z30</f>
        <v>0.41</v>
      </c>
      <c r="BV457" s="263">
        <v>456</v>
      </c>
      <c r="BW457" s="9">
        <v>19</v>
      </c>
      <c r="BX457" s="9">
        <v>24</v>
      </c>
      <c r="BY457" s="167">
        <f>'HourGH-AUG'!Z30</f>
        <v>0.62</v>
      </c>
      <c r="BZ457" s="9">
        <v>456</v>
      </c>
      <c r="CA457" s="9">
        <v>19</v>
      </c>
      <c r="CB457" s="9">
        <v>24</v>
      </c>
      <c r="CC457" s="167">
        <f>'HourGH-SEP'!Z30</f>
        <v>1.28</v>
      </c>
      <c r="CD457" s="263">
        <v>456</v>
      </c>
      <c r="CE457" s="9">
        <v>19</v>
      </c>
      <c r="CF457" s="9">
        <v>24</v>
      </c>
      <c r="CG457" s="167">
        <f>'HourGH-OCT'!Z30</f>
        <v>2.37</v>
      </c>
      <c r="CH457" s="9">
        <v>456</v>
      </c>
      <c r="CI457" s="9">
        <v>19</v>
      </c>
      <c r="CJ457" s="9">
        <v>24</v>
      </c>
      <c r="CK457" s="167">
        <f>'HourGH-NOV'!Z30</f>
        <v>0.81</v>
      </c>
      <c r="CL457" s="263">
        <v>456</v>
      </c>
      <c r="CM457" s="9">
        <v>19</v>
      </c>
      <c r="CN457" s="9">
        <v>24</v>
      </c>
      <c r="CO457" s="167">
        <f>'HourGH-DEC'!Z30</f>
        <v>0.56000000000000005</v>
      </c>
      <c r="CP457" s="263">
        <v>456</v>
      </c>
      <c r="CQ457" s="9">
        <v>19</v>
      </c>
      <c r="CR457" s="9">
        <v>24</v>
      </c>
      <c r="CS457" s="167">
        <f>'HourGH-JAN'!Z30</f>
        <v>0.74</v>
      </c>
      <c r="CT457" s="9">
        <v>456</v>
      </c>
      <c r="CU457" s="9">
        <v>19</v>
      </c>
      <c r="CV457" s="9">
        <v>24</v>
      </c>
      <c r="CW457" s="167">
        <f>'HourGH-FEB'!Z30</f>
        <v>0.27</v>
      </c>
      <c r="CX457" s="263">
        <v>456</v>
      </c>
      <c r="CY457" s="9">
        <v>19</v>
      </c>
      <c r="CZ457" s="9">
        <v>24</v>
      </c>
      <c r="DA457" s="167">
        <f>'HourGH-MAR'!Z30</f>
        <v>0.22</v>
      </c>
    </row>
    <row r="458" spans="58:105">
      <c r="BF458" s="9">
        <v>457</v>
      </c>
      <c r="BG458" s="9">
        <v>20</v>
      </c>
      <c r="BH458" s="9">
        <v>1</v>
      </c>
      <c r="BI458" s="167">
        <f>'HourGH-APR'!C31</f>
        <v>0.56999999999999995</v>
      </c>
      <c r="BJ458" s="263">
        <v>457</v>
      </c>
      <c r="BK458" s="9">
        <v>20</v>
      </c>
      <c r="BL458" s="9">
        <v>1</v>
      </c>
      <c r="BM458" s="167">
        <f>'HourGH-MAY'!C31</f>
        <v>0.21</v>
      </c>
      <c r="BN458" s="9">
        <v>457</v>
      </c>
      <c r="BO458" s="9">
        <v>20</v>
      </c>
      <c r="BP458" s="9">
        <v>1</v>
      </c>
      <c r="BQ458" s="167">
        <f>'HourGH-JUN'!C31</f>
        <v>0.22</v>
      </c>
      <c r="BR458" s="263">
        <v>457</v>
      </c>
      <c r="BS458" s="9">
        <v>20</v>
      </c>
      <c r="BT458" s="9">
        <v>1</v>
      </c>
      <c r="BU458" s="167">
        <f>'HourGH-JUL'!C31</f>
        <v>0.4</v>
      </c>
      <c r="BV458" s="263">
        <v>457</v>
      </c>
      <c r="BW458" s="9">
        <v>20</v>
      </c>
      <c r="BX458" s="9">
        <v>1</v>
      </c>
      <c r="BY458" s="167">
        <f>'HourGH-AUG'!C31</f>
        <v>0.61</v>
      </c>
      <c r="BZ458" s="9">
        <v>457</v>
      </c>
      <c r="CA458" s="9">
        <v>20</v>
      </c>
      <c r="CB458" s="9">
        <v>1</v>
      </c>
      <c r="CC458" s="167">
        <f>'HourGH-SEP'!C31</f>
        <v>1.28</v>
      </c>
      <c r="CD458" s="263">
        <v>457</v>
      </c>
      <c r="CE458" s="9">
        <v>20</v>
      </c>
      <c r="CF458" s="9">
        <v>1</v>
      </c>
      <c r="CG458" s="167">
        <f>'HourGH-OCT'!C31</f>
        <v>2.33</v>
      </c>
      <c r="CH458" s="9">
        <v>457</v>
      </c>
      <c r="CI458" s="9">
        <v>20</v>
      </c>
      <c r="CJ458" s="9">
        <v>1</v>
      </c>
      <c r="CK458" s="167">
        <f>'HourGH-NOV'!C31</f>
        <v>0.82</v>
      </c>
      <c r="CL458" s="263">
        <v>457</v>
      </c>
      <c r="CM458" s="9">
        <v>20</v>
      </c>
      <c r="CN458" s="9">
        <v>1</v>
      </c>
      <c r="CO458" s="167">
        <f>'HourGH-DEC'!C31</f>
        <v>0.55000000000000004</v>
      </c>
      <c r="CP458" s="263">
        <v>457</v>
      </c>
      <c r="CQ458" s="9">
        <v>20</v>
      </c>
      <c r="CR458" s="9">
        <v>1</v>
      </c>
      <c r="CS458" s="167">
        <f>'HourGH-JAN'!C31</f>
        <v>0.74</v>
      </c>
      <c r="CT458" s="9">
        <v>457</v>
      </c>
      <c r="CU458" s="9">
        <v>20</v>
      </c>
      <c r="CV458" s="9">
        <v>1</v>
      </c>
      <c r="CW458" s="167">
        <f>'HourGH-FEB'!C31</f>
        <v>0.28000000000000003</v>
      </c>
      <c r="CX458" s="263">
        <v>457</v>
      </c>
      <c r="CY458" s="9">
        <v>20</v>
      </c>
      <c r="CZ458" s="9">
        <v>1</v>
      </c>
      <c r="DA458" s="167">
        <f>'HourGH-MAR'!C31</f>
        <v>0.21</v>
      </c>
    </row>
    <row r="459" spans="58:105">
      <c r="BF459" s="9">
        <v>458</v>
      </c>
      <c r="BG459" s="9">
        <v>20</v>
      </c>
      <c r="BH459" s="9">
        <v>2</v>
      </c>
      <c r="BI459" s="167">
        <f>'HourGH-APR'!D31</f>
        <v>0.56999999999999995</v>
      </c>
      <c r="BJ459" s="263">
        <v>458</v>
      </c>
      <c r="BK459" s="9">
        <v>20</v>
      </c>
      <c r="BL459" s="9">
        <v>2</v>
      </c>
      <c r="BM459" s="167">
        <f>'HourGH-MAY'!D31</f>
        <v>0.2</v>
      </c>
      <c r="BN459" s="9">
        <v>458</v>
      </c>
      <c r="BO459" s="9">
        <v>20</v>
      </c>
      <c r="BP459" s="9">
        <v>2</v>
      </c>
      <c r="BQ459" s="167">
        <f>'HourGH-JUN'!D31</f>
        <v>0.23</v>
      </c>
      <c r="BR459" s="263">
        <v>458</v>
      </c>
      <c r="BS459" s="9">
        <v>20</v>
      </c>
      <c r="BT459" s="9">
        <v>2</v>
      </c>
      <c r="BU459" s="167">
        <f>'HourGH-JUL'!D31</f>
        <v>0.4</v>
      </c>
      <c r="BV459" s="263">
        <v>458</v>
      </c>
      <c r="BW459" s="9">
        <v>20</v>
      </c>
      <c r="BX459" s="9">
        <v>2</v>
      </c>
      <c r="BY459" s="167">
        <f>'HourGH-AUG'!D31</f>
        <v>0.61</v>
      </c>
      <c r="BZ459" s="9">
        <v>458</v>
      </c>
      <c r="CA459" s="9">
        <v>20</v>
      </c>
      <c r="CB459" s="9">
        <v>2</v>
      </c>
      <c r="CC459" s="167">
        <f>'HourGH-SEP'!D31</f>
        <v>1.27</v>
      </c>
      <c r="CD459" s="263">
        <v>458</v>
      </c>
      <c r="CE459" s="9">
        <v>20</v>
      </c>
      <c r="CF459" s="9">
        <v>2</v>
      </c>
      <c r="CG459" s="167">
        <f>'HourGH-OCT'!D31</f>
        <v>2.2799999999999998</v>
      </c>
      <c r="CH459" s="9">
        <v>458</v>
      </c>
      <c r="CI459" s="9">
        <v>20</v>
      </c>
      <c r="CJ459" s="9">
        <v>2</v>
      </c>
      <c r="CK459" s="167">
        <f>'HourGH-NOV'!D31</f>
        <v>0.83</v>
      </c>
      <c r="CL459" s="263">
        <v>458</v>
      </c>
      <c r="CM459" s="9">
        <v>20</v>
      </c>
      <c r="CN459" s="9">
        <v>2</v>
      </c>
      <c r="CO459" s="167">
        <f>'HourGH-DEC'!D31</f>
        <v>0.55000000000000004</v>
      </c>
      <c r="CP459" s="263">
        <v>458</v>
      </c>
      <c r="CQ459" s="9">
        <v>20</v>
      </c>
      <c r="CR459" s="9">
        <v>2</v>
      </c>
      <c r="CS459" s="167">
        <f>'HourGH-JAN'!D31</f>
        <v>0.74</v>
      </c>
      <c r="CT459" s="9">
        <v>458</v>
      </c>
      <c r="CU459" s="9">
        <v>20</v>
      </c>
      <c r="CV459" s="9">
        <v>2</v>
      </c>
      <c r="CW459" s="167">
        <f>'HourGH-FEB'!D31</f>
        <v>0.28000000000000003</v>
      </c>
      <c r="CX459" s="263">
        <v>458</v>
      </c>
      <c r="CY459" s="9">
        <v>20</v>
      </c>
      <c r="CZ459" s="9">
        <v>2</v>
      </c>
      <c r="DA459" s="167">
        <f>'HourGH-MAR'!D31</f>
        <v>0.21</v>
      </c>
    </row>
    <row r="460" spans="58:105">
      <c r="BF460" s="9">
        <v>459</v>
      </c>
      <c r="BG460" s="9">
        <v>20</v>
      </c>
      <c r="BH460" s="9">
        <v>3</v>
      </c>
      <c r="BI460" s="167">
        <f>'HourGH-APR'!E31</f>
        <v>0.56999999999999995</v>
      </c>
      <c r="BJ460" s="263">
        <v>459</v>
      </c>
      <c r="BK460" s="9">
        <v>20</v>
      </c>
      <c r="BL460" s="9">
        <v>3</v>
      </c>
      <c r="BM460" s="167">
        <f>'HourGH-MAY'!E31</f>
        <v>0.19</v>
      </c>
      <c r="BN460" s="9">
        <v>459</v>
      </c>
      <c r="BO460" s="9">
        <v>20</v>
      </c>
      <c r="BP460" s="9">
        <v>3</v>
      </c>
      <c r="BQ460" s="167">
        <f>'HourGH-JUN'!E31</f>
        <v>0.23</v>
      </c>
      <c r="BR460" s="263">
        <v>459</v>
      </c>
      <c r="BS460" s="9">
        <v>20</v>
      </c>
      <c r="BT460" s="9">
        <v>3</v>
      </c>
      <c r="BU460" s="167">
        <f>'HourGH-JUL'!E31</f>
        <v>0.4</v>
      </c>
      <c r="BV460" s="263">
        <v>459</v>
      </c>
      <c r="BW460" s="9">
        <v>20</v>
      </c>
      <c r="BX460" s="9">
        <v>3</v>
      </c>
      <c r="BY460" s="167">
        <f>'HourGH-AUG'!E31</f>
        <v>0.61</v>
      </c>
      <c r="BZ460" s="9">
        <v>459</v>
      </c>
      <c r="CA460" s="9">
        <v>20</v>
      </c>
      <c r="CB460" s="9">
        <v>3</v>
      </c>
      <c r="CC460" s="167">
        <f>'HourGH-SEP'!E31</f>
        <v>1.26</v>
      </c>
      <c r="CD460" s="263">
        <v>459</v>
      </c>
      <c r="CE460" s="9">
        <v>20</v>
      </c>
      <c r="CF460" s="9">
        <v>3</v>
      </c>
      <c r="CG460" s="167">
        <f>'HourGH-OCT'!E31</f>
        <v>2.23</v>
      </c>
      <c r="CH460" s="9">
        <v>459</v>
      </c>
      <c r="CI460" s="9">
        <v>20</v>
      </c>
      <c r="CJ460" s="9">
        <v>3</v>
      </c>
      <c r="CK460" s="167">
        <f>'HourGH-NOV'!E31</f>
        <v>0.84</v>
      </c>
      <c r="CL460" s="263">
        <v>459</v>
      </c>
      <c r="CM460" s="9">
        <v>20</v>
      </c>
      <c r="CN460" s="9">
        <v>3</v>
      </c>
      <c r="CO460" s="167">
        <f>'HourGH-DEC'!E31</f>
        <v>0.55000000000000004</v>
      </c>
      <c r="CP460" s="263">
        <v>459</v>
      </c>
      <c r="CQ460" s="9">
        <v>20</v>
      </c>
      <c r="CR460" s="9">
        <v>3</v>
      </c>
      <c r="CS460" s="167">
        <f>'HourGH-JAN'!E31</f>
        <v>0.74</v>
      </c>
      <c r="CT460" s="9">
        <v>459</v>
      </c>
      <c r="CU460" s="9">
        <v>20</v>
      </c>
      <c r="CV460" s="9">
        <v>3</v>
      </c>
      <c r="CW460" s="167">
        <f>'HourGH-FEB'!E31</f>
        <v>0.28000000000000003</v>
      </c>
      <c r="CX460" s="263">
        <v>459</v>
      </c>
      <c r="CY460" s="9">
        <v>20</v>
      </c>
      <c r="CZ460" s="9">
        <v>3</v>
      </c>
      <c r="DA460" s="167">
        <f>'HourGH-MAR'!E31</f>
        <v>0.21</v>
      </c>
    </row>
    <row r="461" spans="58:105">
      <c r="BF461" s="9">
        <v>460</v>
      </c>
      <c r="BG461" s="9">
        <v>20</v>
      </c>
      <c r="BH461" s="9">
        <v>4</v>
      </c>
      <c r="BI461" s="167">
        <f>'HourGH-APR'!F31</f>
        <v>0.56999999999999995</v>
      </c>
      <c r="BJ461" s="263">
        <v>460</v>
      </c>
      <c r="BK461" s="9">
        <v>20</v>
      </c>
      <c r="BL461" s="9">
        <v>4</v>
      </c>
      <c r="BM461" s="167">
        <f>'HourGH-MAY'!F31</f>
        <v>0.18</v>
      </c>
      <c r="BN461" s="9">
        <v>460</v>
      </c>
      <c r="BO461" s="9">
        <v>20</v>
      </c>
      <c r="BP461" s="9">
        <v>4</v>
      </c>
      <c r="BQ461" s="167">
        <f>'HourGH-JUN'!F31</f>
        <v>0.23</v>
      </c>
      <c r="BR461" s="263">
        <v>460</v>
      </c>
      <c r="BS461" s="9">
        <v>20</v>
      </c>
      <c r="BT461" s="9">
        <v>4</v>
      </c>
      <c r="BU461" s="167">
        <f>'HourGH-JUL'!F31</f>
        <v>0.4</v>
      </c>
      <c r="BV461" s="263">
        <v>460</v>
      </c>
      <c r="BW461" s="9">
        <v>20</v>
      </c>
      <c r="BX461" s="9">
        <v>4</v>
      </c>
      <c r="BY461" s="167">
        <f>'HourGH-AUG'!F31</f>
        <v>0.61</v>
      </c>
      <c r="BZ461" s="9">
        <v>460</v>
      </c>
      <c r="CA461" s="9">
        <v>20</v>
      </c>
      <c r="CB461" s="9">
        <v>4</v>
      </c>
      <c r="CC461" s="167">
        <f>'HourGH-SEP'!F31</f>
        <v>1.26</v>
      </c>
      <c r="CD461" s="263">
        <v>460</v>
      </c>
      <c r="CE461" s="9">
        <v>20</v>
      </c>
      <c r="CF461" s="9">
        <v>4</v>
      </c>
      <c r="CG461" s="167">
        <f>'HourGH-OCT'!F31</f>
        <v>2.19</v>
      </c>
      <c r="CH461" s="9">
        <v>460</v>
      </c>
      <c r="CI461" s="9">
        <v>20</v>
      </c>
      <c r="CJ461" s="9">
        <v>4</v>
      </c>
      <c r="CK461" s="167">
        <f>'HourGH-NOV'!F31</f>
        <v>0.85</v>
      </c>
      <c r="CL461" s="263">
        <v>460</v>
      </c>
      <c r="CM461" s="9">
        <v>20</v>
      </c>
      <c r="CN461" s="9">
        <v>4</v>
      </c>
      <c r="CO461" s="167">
        <f>'HourGH-DEC'!F31</f>
        <v>0.55000000000000004</v>
      </c>
      <c r="CP461" s="263">
        <v>460</v>
      </c>
      <c r="CQ461" s="9">
        <v>20</v>
      </c>
      <c r="CR461" s="9">
        <v>4</v>
      </c>
      <c r="CS461" s="167">
        <f>'HourGH-JAN'!F31</f>
        <v>0.74</v>
      </c>
      <c r="CT461" s="9">
        <v>460</v>
      </c>
      <c r="CU461" s="9">
        <v>20</v>
      </c>
      <c r="CV461" s="9">
        <v>4</v>
      </c>
      <c r="CW461" s="167">
        <f>'HourGH-FEB'!F31</f>
        <v>0.28000000000000003</v>
      </c>
      <c r="CX461" s="263">
        <v>460</v>
      </c>
      <c r="CY461" s="9">
        <v>20</v>
      </c>
      <c r="CZ461" s="9">
        <v>4</v>
      </c>
      <c r="DA461" s="167">
        <f>'HourGH-MAR'!F31</f>
        <v>0.21</v>
      </c>
    </row>
    <row r="462" spans="58:105">
      <c r="BF462" s="9">
        <v>461</v>
      </c>
      <c r="BG462" s="9">
        <v>20</v>
      </c>
      <c r="BH462" s="9">
        <v>5</v>
      </c>
      <c r="BI462" s="167">
        <f>'HourGH-APR'!G31</f>
        <v>0.56999999999999995</v>
      </c>
      <c r="BJ462" s="263">
        <v>461</v>
      </c>
      <c r="BK462" s="9">
        <v>20</v>
      </c>
      <c r="BL462" s="9">
        <v>5</v>
      </c>
      <c r="BM462" s="167">
        <f>'HourGH-MAY'!G31</f>
        <v>0.17</v>
      </c>
      <c r="BN462" s="9">
        <v>461</v>
      </c>
      <c r="BO462" s="9">
        <v>20</v>
      </c>
      <c r="BP462" s="9">
        <v>5</v>
      </c>
      <c r="BQ462" s="167">
        <f>'HourGH-JUN'!G31</f>
        <v>0.23</v>
      </c>
      <c r="BR462" s="263">
        <v>461</v>
      </c>
      <c r="BS462" s="9">
        <v>20</v>
      </c>
      <c r="BT462" s="9">
        <v>5</v>
      </c>
      <c r="BU462" s="167">
        <f>'HourGH-JUL'!G31</f>
        <v>0.39</v>
      </c>
      <c r="BV462" s="263">
        <v>461</v>
      </c>
      <c r="BW462" s="9">
        <v>20</v>
      </c>
      <c r="BX462" s="9">
        <v>5</v>
      </c>
      <c r="BY462" s="167">
        <f>'HourGH-AUG'!G31</f>
        <v>0.61</v>
      </c>
      <c r="BZ462" s="9">
        <v>461</v>
      </c>
      <c r="CA462" s="9">
        <v>20</v>
      </c>
      <c r="CB462" s="9">
        <v>5</v>
      </c>
      <c r="CC462" s="167">
        <f>'HourGH-SEP'!G31</f>
        <v>1.25</v>
      </c>
      <c r="CD462" s="263">
        <v>461</v>
      </c>
      <c r="CE462" s="9">
        <v>20</v>
      </c>
      <c r="CF462" s="9">
        <v>5</v>
      </c>
      <c r="CG462" s="167">
        <f>'HourGH-OCT'!G31</f>
        <v>2.16</v>
      </c>
      <c r="CH462" s="9">
        <v>461</v>
      </c>
      <c r="CI462" s="9">
        <v>20</v>
      </c>
      <c r="CJ462" s="9">
        <v>5</v>
      </c>
      <c r="CK462" s="167">
        <f>'HourGH-NOV'!G31</f>
        <v>0.85</v>
      </c>
      <c r="CL462" s="263">
        <v>461</v>
      </c>
      <c r="CM462" s="9">
        <v>20</v>
      </c>
      <c r="CN462" s="9">
        <v>5</v>
      </c>
      <c r="CO462" s="167">
        <f>'HourGH-DEC'!G31</f>
        <v>0.55000000000000004</v>
      </c>
      <c r="CP462" s="263">
        <v>461</v>
      </c>
      <c r="CQ462" s="9">
        <v>20</v>
      </c>
      <c r="CR462" s="9">
        <v>5</v>
      </c>
      <c r="CS462" s="167">
        <f>'HourGH-JAN'!G31</f>
        <v>0.74</v>
      </c>
      <c r="CT462" s="9">
        <v>461</v>
      </c>
      <c r="CU462" s="9">
        <v>20</v>
      </c>
      <c r="CV462" s="9">
        <v>5</v>
      </c>
      <c r="CW462" s="167">
        <f>'HourGH-FEB'!G31</f>
        <v>0.28000000000000003</v>
      </c>
      <c r="CX462" s="263">
        <v>461</v>
      </c>
      <c r="CY462" s="9">
        <v>20</v>
      </c>
      <c r="CZ462" s="9">
        <v>5</v>
      </c>
      <c r="DA462" s="167">
        <f>'HourGH-MAR'!G31</f>
        <v>0.21</v>
      </c>
    </row>
    <row r="463" spans="58:105">
      <c r="BF463" s="9">
        <v>462</v>
      </c>
      <c r="BG463" s="9">
        <v>20</v>
      </c>
      <c r="BH463" s="9">
        <v>6</v>
      </c>
      <c r="BI463" s="167">
        <f>'HourGH-APR'!H31</f>
        <v>0.56999999999999995</v>
      </c>
      <c r="BJ463" s="263">
        <v>462</v>
      </c>
      <c r="BK463" s="9">
        <v>20</v>
      </c>
      <c r="BL463" s="9">
        <v>6</v>
      </c>
      <c r="BM463" s="167">
        <f>'HourGH-MAY'!H31</f>
        <v>0.16</v>
      </c>
      <c r="BN463" s="9">
        <v>462</v>
      </c>
      <c r="BO463" s="9">
        <v>20</v>
      </c>
      <c r="BP463" s="9">
        <v>6</v>
      </c>
      <c r="BQ463" s="167">
        <f>'HourGH-JUN'!H31</f>
        <v>0.24</v>
      </c>
      <c r="BR463" s="263">
        <v>462</v>
      </c>
      <c r="BS463" s="9">
        <v>20</v>
      </c>
      <c r="BT463" s="9">
        <v>6</v>
      </c>
      <c r="BU463" s="167">
        <f>'HourGH-JUL'!H31</f>
        <v>0.39</v>
      </c>
      <c r="BV463" s="263">
        <v>462</v>
      </c>
      <c r="BW463" s="9">
        <v>20</v>
      </c>
      <c r="BX463" s="9">
        <v>6</v>
      </c>
      <c r="BY463" s="167">
        <f>'HourGH-AUG'!H31</f>
        <v>0.61</v>
      </c>
      <c r="BZ463" s="9">
        <v>462</v>
      </c>
      <c r="CA463" s="9">
        <v>20</v>
      </c>
      <c r="CB463" s="9">
        <v>6</v>
      </c>
      <c r="CC463" s="167">
        <f>'HourGH-SEP'!H31</f>
        <v>1.25</v>
      </c>
      <c r="CD463" s="263">
        <v>462</v>
      </c>
      <c r="CE463" s="9">
        <v>20</v>
      </c>
      <c r="CF463" s="9">
        <v>6</v>
      </c>
      <c r="CG463" s="167">
        <f>'HourGH-OCT'!H31</f>
        <v>2.12</v>
      </c>
      <c r="CH463" s="9">
        <v>462</v>
      </c>
      <c r="CI463" s="9">
        <v>20</v>
      </c>
      <c r="CJ463" s="9">
        <v>6</v>
      </c>
      <c r="CK463" s="167">
        <f>'HourGH-NOV'!H31</f>
        <v>0.86</v>
      </c>
      <c r="CL463" s="263">
        <v>462</v>
      </c>
      <c r="CM463" s="9">
        <v>20</v>
      </c>
      <c r="CN463" s="9">
        <v>6</v>
      </c>
      <c r="CO463" s="167">
        <f>'HourGH-DEC'!H31</f>
        <v>0.54</v>
      </c>
      <c r="CP463" s="263">
        <v>462</v>
      </c>
      <c r="CQ463" s="9">
        <v>20</v>
      </c>
      <c r="CR463" s="9">
        <v>6</v>
      </c>
      <c r="CS463" s="167">
        <f>'HourGH-JAN'!H31</f>
        <v>0.74</v>
      </c>
      <c r="CT463" s="9">
        <v>462</v>
      </c>
      <c r="CU463" s="9">
        <v>20</v>
      </c>
      <c r="CV463" s="9">
        <v>6</v>
      </c>
      <c r="CW463" s="167">
        <f>'HourGH-FEB'!H31</f>
        <v>0.28000000000000003</v>
      </c>
      <c r="CX463" s="263">
        <v>462</v>
      </c>
      <c r="CY463" s="9">
        <v>20</v>
      </c>
      <c r="CZ463" s="9">
        <v>6</v>
      </c>
      <c r="DA463" s="167">
        <f>'HourGH-MAR'!H31</f>
        <v>0.21</v>
      </c>
    </row>
    <row r="464" spans="58:105">
      <c r="BF464" s="9">
        <v>463</v>
      </c>
      <c r="BG464" s="9">
        <v>20</v>
      </c>
      <c r="BH464" s="9">
        <v>7</v>
      </c>
      <c r="BI464" s="167">
        <f>'HourGH-APR'!I31</f>
        <v>0.56999999999999995</v>
      </c>
      <c r="BJ464" s="263">
        <v>463</v>
      </c>
      <c r="BK464" s="9">
        <v>20</v>
      </c>
      <c r="BL464" s="9">
        <v>7</v>
      </c>
      <c r="BM464" s="167">
        <f>'HourGH-MAY'!I31</f>
        <v>0.15</v>
      </c>
      <c r="BN464" s="9">
        <v>463</v>
      </c>
      <c r="BO464" s="9">
        <v>20</v>
      </c>
      <c r="BP464" s="9">
        <v>7</v>
      </c>
      <c r="BQ464" s="167">
        <f>'HourGH-JUN'!I31</f>
        <v>0.24</v>
      </c>
      <c r="BR464" s="263">
        <v>463</v>
      </c>
      <c r="BS464" s="9">
        <v>20</v>
      </c>
      <c r="BT464" s="9">
        <v>7</v>
      </c>
      <c r="BU464" s="167">
        <f>'HourGH-JUL'!I31</f>
        <v>0.39</v>
      </c>
      <c r="BV464" s="263">
        <v>463</v>
      </c>
      <c r="BW464" s="9">
        <v>20</v>
      </c>
      <c r="BX464" s="9">
        <v>7</v>
      </c>
      <c r="BY464" s="167">
        <f>'HourGH-AUG'!I31</f>
        <v>0.61</v>
      </c>
      <c r="BZ464" s="9">
        <v>463</v>
      </c>
      <c r="CA464" s="9">
        <v>20</v>
      </c>
      <c r="CB464" s="9">
        <v>7</v>
      </c>
      <c r="CC464" s="167">
        <f>'HourGH-SEP'!I31</f>
        <v>1.25</v>
      </c>
      <c r="CD464" s="263">
        <v>463</v>
      </c>
      <c r="CE464" s="9">
        <v>20</v>
      </c>
      <c r="CF464" s="9">
        <v>7</v>
      </c>
      <c r="CG464" s="167">
        <f>'HourGH-OCT'!I31</f>
        <v>2.1</v>
      </c>
      <c r="CH464" s="9">
        <v>463</v>
      </c>
      <c r="CI464" s="9">
        <v>20</v>
      </c>
      <c r="CJ464" s="9">
        <v>7</v>
      </c>
      <c r="CK464" s="167">
        <f>'HourGH-NOV'!I31</f>
        <v>0.87</v>
      </c>
      <c r="CL464" s="263">
        <v>463</v>
      </c>
      <c r="CM464" s="9">
        <v>20</v>
      </c>
      <c r="CN464" s="9">
        <v>7</v>
      </c>
      <c r="CO464" s="167">
        <f>'HourGH-DEC'!I31</f>
        <v>0.54</v>
      </c>
      <c r="CP464" s="263">
        <v>463</v>
      </c>
      <c r="CQ464" s="9">
        <v>20</v>
      </c>
      <c r="CR464" s="9">
        <v>7</v>
      </c>
      <c r="CS464" s="167">
        <f>'HourGH-JAN'!I31</f>
        <v>0.74</v>
      </c>
      <c r="CT464" s="9">
        <v>463</v>
      </c>
      <c r="CU464" s="9">
        <v>20</v>
      </c>
      <c r="CV464" s="9">
        <v>7</v>
      </c>
      <c r="CW464" s="167">
        <f>'HourGH-FEB'!I31</f>
        <v>0.28000000000000003</v>
      </c>
      <c r="CX464" s="263">
        <v>463</v>
      </c>
      <c r="CY464" s="9">
        <v>20</v>
      </c>
      <c r="CZ464" s="9">
        <v>7</v>
      </c>
      <c r="DA464" s="167">
        <f>'HourGH-MAR'!I31</f>
        <v>0.21</v>
      </c>
    </row>
    <row r="465" spans="58:105">
      <c r="BF465" s="9">
        <v>464</v>
      </c>
      <c r="BG465" s="9">
        <v>20</v>
      </c>
      <c r="BH465" s="9">
        <v>8</v>
      </c>
      <c r="BI465" s="167">
        <f>'HourGH-APR'!J31</f>
        <v>0.56999999999999995</v>
      </c>
      <c r="BJ465" s="263">
        <v>464</v>
      </c>
      <c r="BK465" s="9">
        <v>20</v>
      </c>
      <c r="BL465" s="9">
        <v>8</v>
      </c>
      <c r="BM465" s="167">
        <f>'HourGH-MAY'!J31</f>
        <v>0.14000000000000001</v>
      </c>
      <c r="BN465" s="9">
        <v>464</v>
      </c>
      <c r="BO465" s="9">
        <v>20</v>
      </c>
      <c r="BP465" s="9">
        <v>8</v>
      </c>
      <c r="BQ465" s="167">
        <f>'HourGH-JUN'!J31</f>
        <v>0.24</v>
      </c>
      <c r="BR465" s="263">
        <v>464</v>
      </c>
      <c r="BS465" s="9">
        <v>20</v>
      </c>
      <c r="BT465" s="9">
        <v>8</v>
      </c>
      <c r="BU465" s="167">
        <f>'HourGH-JUL'!J31</f>
        <v>0.38</v>
      </c>
      <c r="BV465" s="263">
        <v>464</v>
      </c>
      <c r="BW465" s="9">
        <v>20</v>
      </c>
      <c r="BX465" s="9">
        <v>8</v>
      </c>
      <c r="BY465" s="167">
        <f>'HourGH-AUG'!J31</f>
        <v>0.61</v>
      </c>
      <c r="BZ465" s="9">
        <v>464</v>
      </c>
      <c r="CA465" s="9">
        <v>20</v>
      </c>
      <c r="CB465" s="9">
        <v>8</v>
      </c>
      <c r="CC465" s="167">
        <f>'HourGH-SEP'!J31</f>
        <v>1.24</v>
      </c>
      <c r="CD465" s="263">
        <v>464</v>
      </c>
      <c r="CE465" s="9">
        <v>20</v>
      </c>
      <c r="CF465" s="9">
        <v>8</v>
      </c>
      <c r="CG465" s="167">
        <f>'HourGH-OCT'!J31</f>
        <v>2.0699999999999998</v>
      </c>
      <c r="CH465" s="9">
        <v>464</v>
      </c>
      <c r="CI465" s="9">
        <v>20</v>
      </c>
      <c r="CJ465" s="9">
        <v>8</v>
      </c>
      <c r="CK465" s="167">
        <f>'HourGH-NOV'!J31</f>
        <v>0.88</v>
      </c>
      <c r="CL465" s="263">
        <v>464</v>
      </c>
      <c r="CM465" s="9">
        <v>20</v>
      </c>
      <c r="CN465" s="9">
        <v>8</v>
      </c>
      <c r="CO465" s="167">
        <f>'HourGH-DEC'!J31</f>
        <v>0.54</v>
      </c>
      <c r="CP465" s="263">
        <v>464</v>
      </c>
      <c r="CQ465" s="9">
        <v>20</v>
      </c>
      <c r="CR465" s="9">
        <v>8</v>
      </c>
      <c r="CS465" s="167">
        <f>'HourGH-JAN'!J31</f>
        <v>0.74</v>
      </c>
      <c r="CT465" s="9">
        <v>464</v>
      </c>
      <c r="CU465" s="9">
        <v>20</v>
      </c>
      <c r="CV465" s="9">
        <v>8</v>
      </c>
      <c r="CW465" s="167">
        <f>'HourGH-FEB'!J31</f>
        <v>0.28000000000000003</v>
      </c>
      <c r="CX465" s="263">
        <v>464</v>
      </c>
      <c r="CY465" s="9">
        <v>20</v>
      </c>
      <c r="CZ465" s="9">
        <v>8</v>
      </c>
      <c r="DA465" s="167">
        <f>'HourGH-MAR'!J31</f>
        <v>0.21</v>
      </c>
    </row>
    <row r="466" spans="58:105">
      <c r="BF466" s="9">
        <v>465</v>
      </c>
      <c r="BG466" s="9">
        <v>20</v>
      </c>
      <c r="BH466" s="9">
        <v>9</v>
      </c>
      <c r="BI466" s="167">
        <f>'HourGH-APR'!K31</f>
        <v>0.56999999999999995</v>
      </c>
      <c r="BJ466" s="263">
        <v>465</v>
      </c>
      <c r="BK466" s="9">
        <v>20</v>
      </c>
      <c r="BL466" s="9">
        <v>9</v>
      </c>
      <c r="BM466" s="167">
        <f>'HourGH-MAY'!K31</f>
        <v>0.14000000000000001</v>
      </c>
      <c r="BN466" s="9">
        <v>465</v>
      </c>
      <c r="BO466" s="9">
        <v>20</v>
      </c>
      <c r="BP466" s="9">
        <v>9</v>
      </c>
      <c r="BQ466" s="167">
        <f>'HourGH-JUN'!K31</f>
        <v>0.24</v>
      </c>
      <c r="BR466" s="263">
        <v>465</v>
      </c>
      <c r="BS466" s="9">
        <v>20</v>
      </c>
      <c r="BT466" s="9">
        <v>9</v>
      </c>
      <c r="BU466" s="167">
        <f>'HourGH-JUL'!K31</f>
        <v>0.38</v>
      </c>
      <c r="BV466" s="263">
        <v>465</v>
      </c>
      <c r="BW466" s="9">
        <v>20</v>
      </c>
      <c r="BX466" s="9">
        <v>9</v>
      </c>
      <c r="BY466" s="167">
        <f>'HourGH-AUG'!K31</f>
        <v>0.61</v>
      </c>
      <c r="BZ466" s="9">
        <v>465</v>
      </c>
      <c r="CA466" s="9">
        <v>20</v>
      </c>
      <c r="CB466" s="9">
        <v>9</v>
      </c>
      <c r="CC466" s="167">
        <f>'HourGH-SEP'!K31</f>
        <v>1.24</v>
      </c>
      <c r="CD466" s="263">
        <v>465</v>
      </c>
      <c r="CE466" s="9">
        <v>20</v>
      </c>
      <c r="CF466" s="9">
        <v>9</v>
      </c>
      <c r="CG466" s="167">
        <f>'HourGH-OCT'!K31</f>
        <v>2.04</v>
      </c>
      <c r="CH466" s="9">
        <v>465</v>
      </c>
      <c r="CI466" s="9">
        <v>20</v>
      </c>
      <c r="CJ466" s="9">
        <v>9</v>
      </c>
      <c r="CK466" s="167">
        <f>'HourGH-NOV'!K31</f>
        <v>0.88</v>
      </c>
      <c r="CL466" s="263">
        <v>465</v>
      </c>
      <c r="CM466" s="9">
        <v>20</v>
      </c>
      <c r="CN466" s="9">
        <v>9</v>
      </c>
      <c r="CO466" s="167">
        <f>'HourGH-DEC'!K31</f>
        <v>0.54</v>
      </c>
      <c r="CP466" s="263">
        <v>465</v>
      </c>
      <c r="CQ466" s="9">
        <v>20</v>
      </c>
      <c r="CR466" s="9">
        <v>9</v>
      </c>
      <c r="CS466" s="167">
        <f>'HourGH-JAN'!K31</f>
        <v>0.73</v>
      </c>
      <c r="CT466" s="9">
        <v>465</v>
      </c>
      <c r="CU466" s="9">
        <v>20</v>
      </c>
      <c r="CV466" s="9">
        <v>9</v>
      </c>
      <c r="CW466" s="167">
        <f>'HourGH-FEB'!K31</f>
        <v>0.28000000000000003</v>
      </c>
      <c r="CX466" s="263">
        <v>465</v>
      </c>
      <c r="CY466" s="9">
        <v>20</v>
      </c>
      <c r="CZ466" s="9">
        <v>9</v>
      </c>
      <c r="DA466" s="167">
        <f>'HourGH-MAR'!K31</f>
        <v>0.21</v>
      </c>
    </row>
    <row r="467" spans="58:105">
      <c r="BF467" s="9">
        <v>466</v>
      </c>
      <c r="BG467" s="9">
        <v>20</v>
      </c>
      <c r="BH467" s="9">
        <v>10</v>
      </c>
      <c r="BI467" s="167">
        <f>'HourGH-APR'!L31</f>
        <v>0.56999999999999995</v>
      </c>
      <c r="BJ467" s="263">
        <v>466</v>
      </c>
      <c r="BK467" s="9">
        <v>20</v>
      </c>
      <c r="BL467" s="9">
        <v>10</v>
      </c>
      <c r="BM467" s="167">
        <f>'HourGH-MAY'!L31</f>
        <v>0.14000000000000001</v>
      </c>
      <c r="BN467" s="9">
        <v>466</v>
      </c>
      <c r="BO467" s="9">
        <v>20</v>
      </c>
      <c r="BP467" s="9">
        <v>10</v>
      </c>
      <c r="BQ467" s="167">
        <f>'HourGH-JUN'!L31</f>
        <v>0.24</v>
      </c>
      <c r="BR467" s="263">
        <v>466</v>
      </c>
      <c r="BS467" s="9">
        <v>20</v>
      </c>
      <c r="BT467" s="9">
        <v>10</v>
      </c>
      <c r="BU467" s="167">
        <f>'HourGH-JUL'!L31</f>
        <v>0.38</v>
      </c>
      <c r="BV467" s="263">
        <v>466</v>
      </c>
      <c r="BW467" s="9">
        <v>20</v>
      </c>
      <c r="BX467" s="9">
        <v>10</v>
      </c>
      <c r="BY467" s="167">
        <f>'HourGH-AUG'!L31</f>
        <v>0.61</v>
      </c>
      <c r="BZ467" s="9">
        <v>466</v>
      </c>
      <c r="CA467" s="9">
        <v>20</v>
      </c>
      <c r="CB467" s="9">
        <v>10</v>
      </c>
      <c r="CC467" s="167">
        <f>'HourGH-SEP'!L31</f>
        <v>1.24</v>
      </c>
      <c r="CD467" s="263">
        <v>466</v>
      </c>
      <c r="CE467" s="9">
        <v>20</v>
      </c>
      <c r="CF467" s="9">
        <v>10</v>
      </c>
      <c r="CG467" s="167">
        <f>'HourGH-OCT'!L31</f>
        <v>2.0099999999999998</v>
      </c>
      <c r="CH467" s="9">
        <v>466</v>
      </c>
      <c r="CI467" s="9">
        <v>20</v>
      </c>
      <c r="CJ467" s="9">
        <v>10</v>
      </c>
      <c r="CK467" s="167">
        <f>'HourGH-NOV'!L31</f>
        <v>0.89</v>
      </c>
      <c r="CL467" s="263">
        <v>466</v>
      </c>
      <c r="CM467" s="9">
        <v>20</v>
      </c>
      <c r="CN467" s="9">
        <v>10</v>
      </c>
      <c r="CO467" s="167">
        <f>'HourGH-DEC'!L31</f>
        <v>0.54</v>
      </c>
      <c r="CP467" s="263">
        <v>466</v>
      </c>
      <c r="CQ467" s="9">
        <v>20</v>
      </c>
      <c r="CR467" s="9">
        <v>10</v>
      </c>
      <c r="CS467" s="167">
        <f>'HourGH-JAN'!L31</f>
        <v>0.72</v>
      </c>
      <c r="CT467" s="9">
        <v>466</v>
      </c>
      <c r="CU467" s="9">
        <v>20</v>
      </c>
      <c r="CV467" s="9">
        <v>10</v>
      </c>
      <c r="CW467" s="167">
        <f>'HourGH-FEB'!L31</f>
        <v>0.28000000000000003</v>
      </c>
      <c r="CX467" s="263">
        <v>466</v>
      </c>
      <c r="CY467" s="9">
        <v>20</v>
      </c>
      <c r="CZ467" s="9">
        <v>10</v>
      </c>
      <c r="DA467" s="167">
        <f>'HourGH-MAR'!L31</f>
        <v>0.21</v>
      </c>
    </row>
    <row r="468" spans="58:105">
      <c r="BF468" s="9">
        <v>467</v>
      </c>
      <c r="BG468" s="9">
        <v>20</v>
      </c>
      <c r="BH468" s="9">
        <v>11</v>
      </c>
      <c r="BI468" s="167">
        <f>'HourGH-APR'!M31</f>
        <v>0.56999999999999995</v>
      </c>
      <c r="BJ468" s="263">
        <v>467</v>
      </c>
      <c r="BK468" s="9">
        <v>20</v>
      </c>
      <c r="BL468" s="9">
        <v>11</v>
      </c>
      <c r="BM468" s="167">
        <f>'HourGH-MAY'!M31</f>
        <v>0.14000000000000001</v>
      </c>
      <c r="BN468" s="9">
        <v>467</v>
      </c>
      <c r="BO468" s="9">
        <v>20</v>
      </c>
      <c r="BP468" s="9">
        <v>11</v>
      </c>
      <c r="BQ468" s="167">
        <f>'HourGH-JUN'!M31</f>
        <v>0.24</v>
      </c>
      <c r="BR468" s="263">
        <v>467</v>
      </c>
      <c r="BS468" s="9">
        <v>20</v>
      </c>
      <c r="BT468" s="9">
        <v>11</v>
      </c>
      <c r="BU468" s="167">
        <f>'HourGH-JUL'!M31</f>
        <v>0.37</v>
      </c>
      <c r="BV468" s="263">
        <v>467</v>
      </c>
      <c r="BW468" s="9">
        <v>20</v>
      </c>
      <c r="BX468" s="9">
        <v>11</v>
      </c>
      <c r="BY468" s="167">
        <f>'HourGH-AUG'!M31</f>
        <v>0.61</v>
      </c>
      <c r="BZ468" s="9">
        <v>467</v>
      </c>
      <c r="CA468" s="9">
        <v>20</v>
      </c>
      <c r="CB468" s="9">
        <v>11</v>
      </c>
      <c r="CC468" s="167">
        <f>'HourGH-SEP'!M31</f>
        <v>1.23</v>
      </c>
      <c r="CD468" s="263">
        <v>467</v>
      </c>
      <c r="CE468" s="9">
        <v>20</v>
      </c>
      <c r="CF468" s="9">
        <v>11</v>
      </c>
      <c r="CG468" s="167">
        <f>'HourGH-OCT'!M31</f>
        <v>1.99</v>
      </c>
      <c r="CH468" s="9">
        <v>467</v>
      </c>
      <c r="CI468" s="9">
        <v>20</v>
      </c>
      <c r="CJ468" s="9">
        <v>11</v>
      </c>
      <c r="CK468" s="167">
        <f>'HourGH-NOV'!M31</f>
        <v>0.89</v>
      </c>
      <c r="CL468" s="263">
        <v>467</v>
      </c>
      <c r="CM468" s="9">
        <v>20</v>
      </c>
      <c r="CN468" s="9">
        <v>11</v>
      </c>
      <c r="CO468" s="167">
        <f>'HourGH-DEC'!M31</f>
        <v>0.54</v>
      </c>
      <c r="CP468" s="263">
        <v>467</v>
      </c>
      <c r="CQ468" s="9">
        <v>20</v>
      </c>
      <c r="CR468" s="9">
        <v>11</v>
      </c>
      <c r="CS468" s="167">
        <f>'HourGH-JAN'!M31</f>
        <v>0.71</v>
      </c>
      <c r="CT468" s="9">
        <v>467</v>
      </c>
      <c r="CU468" s="9">
        <v>20</v>
      </c>
      <c r="CV468" s="9">
        <v>11</v>
      </c>
      <c r="CW468" s="167">
        <f>'HourGH-FEB'!M31</f>
        <v>0.28000000000000003</v>
      </c>
      <c r="CX468" s="263">
        <v>467</v>
      </c>
      <c r="CY468" s="9">
        <v>20</v>
      </c>
      <c r="CZ468" s="9">
        <v>11</v>
      </c>
      <c r="DA468" s="167">
        <f>'HourGH-MAR'!M31</f>
        <v>0.21</v>
      </c>
    </row>
    <row r="469" spans="58:105">
      <c r="BF469" s="9">
        <v>468</v>
      </c>
      <c r="BG469" s="9">
        <v>20</v>
      </c>
      <c r="BH469" s="9">
        <v>12</v>
      </c>
      <c r="BI469" s="167">
        <f>'HourGH-APR'!N31</f>
        <v>0.56999999999999995</v>
      </c>
      <c r="BJ469" s="263">
        <v>468</v>
      </c>
      <c r="BK469" s="9">
        <v>20</v>
      </c>
      <c r="BL469" s="9">
        <v>12</v>
      </c>
      <c r="BM469" s="167">
        <f>'HourGH-MAY'!N31</f>
        <v>0.13</v>
      </c>
      <c r="BN469" s="9">
        <v>468</v>
      </c>
      <c r="BO469" s="9">
        <v>20</v>
      </c>
      <c r="BP469" s="9">
        <v>12</v>
      </c>
      <c r="BQ469" s="167">
        <f>'HourGH-JUN'!N31</f>
        <v>0.24</v>
      </c>
      <c r="BR469" s="263">
        <v>468</v>
      </c>
      <c r="BS469" s="9">
        <v>20</v>
      </c>
      <c r="BT469" s="9">
        <v>12</v>
      </c>
      <c r="BU469" s="167">
        <f>'HourGH-JUL'!N31</f>
        <v>0.37</v>
      </c>
      <c r="BV469" s="263">
        <v>468</v>
      </c>
      <c r="BW469" s="9">
        <v>20</v>
      </c>
      <c r="BX469" s="9">
        <v>12</v>
      </c>
      <c r="BY469" s="167">
        <f>'HourGH-AUG'!N31</f>
        <v>0.61</v>
      </c>
      <c r="BZ469" s="9">
        <v>468</v>
      </c>
      <c r="CA469" s="9">
        <v>20</v>
      </c>
      <c r="CB469" s="9">
        <v>12</v>
      </c>
      <c r="CC469" s="167">
        <f>'HourGH-SEP'!N31</f>
        <v>1.23</v>
      </c>
      <c r="CD469" s="263">
        <v>468</v>
      </c>
      <c r="CE469" s="9">
        <v>20</v>
      </c>
      <c r="CF469" s="9">
        <v>12</v>
      </c>
      <c r="CG469" s="167">
        <f>'HourGH-OCT'!N31</f>
        <v>1.97</v>
      </c>
      <c r="CH469" s="9">
        <v>468</v>
      </c>
      <c r="CI469" s="9">
        <v>20</v>
      </c>
      <c r="CJ469" s="9">
        <v>12</v>
      </c>
      <c r="CK469" s="167">
        <f>'HourGH-NOV'!N31</f>
        <v>0.89</v>
      </c>
      <c r="CL469" s="263">
        <v>468</v>
      </c>
      <c r="CM469" s="9">
        <v>20</v>
      </c>
      <c r="CN469" s="9">
        <v>12</v>
      </c>
      <c r="CO469" s="167">
        <f>'HourGH-DEC'!N31</f>
        <v>0.54</v>
      </c>
      <c r="CP469" s="263">
        <v>468</v>
      </c>
      <c r="CQ469" s="9">
        <v>20</v>
      </c>
      <c r="CR469" s="9">
        <v>12</v>
      </c>
      <c r="CS469" s="167">
        <f>'HourGH-JAN'!N31</f>
        <v>0.69</v>
      </c>
      <c r="CT469" s="9">
        <v>468</v>
      </c>
      <c r="CU469" s="9">
        <v>20</v>
      </c>
      <c r="CV469" s="9">
        <v>12</v>
      </c>
      <c r="CW469" s="167">
        <f>'HourGH-FEB'!N31</f>
        <v>0.28000000000000003</v>
      </c>
      <c r="CX469" s="263">
        <v>468</v>
      </c>
      <c r="CY469" s="9">
        <v>20</v>
      </c>
      <c r="CZ469" s="9">
        <v>12</v>
      </c>
      <c r="DA469" s="167">
        <f>'HourGH-MAR'!N31</f>
        <v>0.21</v>
      </c>
    </row>
    <row r="470" spans="58:105">
      <c r="BF470" s="9">
        <v>469</v>
      </c>
      <c r="BG470" s="9">
        <v>20</v>
      </c>
      <c r="BH470" s="9">
        <v>13</v>
      </c>
      <c r="BI470" s="167">
        <f>'HourGH-APR'!O31</f>
        <v>0.56999999999999995</v>
      </c>
      <c r="BJ470" s="263">
        <v>469</v>
      </c>
      <c r="BK470" s="9">
        <v>20</v>
      </c>
      <c r="BL470" s="9">
        <v>13</v>
      </c>
      <c r="BM470" s="167">
        <f>'HourGH-MAY'!O31</f>
        <v>0.13</v>
      </c>
      <c r="BN470" s="9">
        <v>469</v>
      </c>
      <c r="BO470" s="9">
        <v>20</v>
      </c>
      <c r="BP470" s="9">
        <v>13</v>
      </c>
      <c r="BQ470" s="167">
        <f>'HourGH-JUN'!O31</f>
        <v>0.25</v>
      </c>
      <c r="BR470" s="263">
        <v>469</v>
      </c>
      <c r="BS470" s="9">
        <v>20</v>
      </c>
      <c r="BT470" s="9">
        <v>13</v>
      </c>
      <c r="BU470" s="167">
        <f>'HourGH-JUL'!O31</f>
        <v>0.37</v>
      </c>
      <c r="BV470" s="263">
        <v>469</v>
      </c>
      <c r="BW470" s="9">
        <v>20</v>
      </c>
      <c r="BX470" s="9">
        <v>13</v>
      </c>
      <c r="BY470" s="167">
        <f>'HourGH-AUG'!O31</f>
        <v>0.61</v>
      </c>
      <c r="BZ470" s="9">
        <v>469</v>
      </c>
      <c r="CA470" s="9">
        <v>20</v>
      </c>
      <c r="CB470" s="9">
        <v>13</v>
      </c>
      <c r="CC470" s="167">
        <f>'HourGH-SEP'!O31</f>
        <v>1.23</v>
      </c>
      <c r="CD470" s="263">
        <v>469</v>
      </c>
      <c r="CE470" s="9">
        <v>20</v>
      </c>
      <c r="CF470" s="9">
        <v>13</v>
      </c>
      <c r="CG470" s="167">
        <f>'HourGH-OCT'!O31</f>
        <v>1.95</v>
      </c>
      <c r="CH470" s="9">
        <v>469</v>
      </c>
      <c r="CI470" s="9">
        <v>20</v>
      </c>
      <c r="CJ470" s="9">
        <v>13</v>
      </c>
      <c r="CK470" s="167">
        <f>'HourGH-NOV'!O31</f>
        <v>0.89</v>
      </c>
      <c r="CL470" s="263">
        <v>469</v>
      </c>
      <c r="CM470" s="9">
        <v>20</v>
      </c>
      <c r="CN470" s="9">
        <v>13</v>
      </c>
      <c r="CO470" s="167">
        <f>'HourGH-DEC'!O31</f>
        <v>0.53</v>
      </c>
      <c r="CP470" s="263">
        <v>469</v>
      </c>
      <c r="CQ470" s="9">
        <v>20</v>
      </c>
      <c r="CR470" s="9">
        <v>13</v>
      </c>
      <c r="CS470" s="167">
        <f>'HourGH-JAN'!O31</f>
        <v>0.67</v>
      </c>
      <c r="CT470" s="9">
        <v>469</v>
      </c>
      <c r="CU470" s="9">
        <v>20</v>
      </c>
      <c r="CV470" s="9">
        <v>13</v>
      </c>
      <c r="CW470" s="167">
        <f>'HourGH-FEB'!O31</f>
        <v>0.27</v>
      </c>
      <c r="CX470" s="263">
        <v>469</v>
      </c>
      <c r="CY470" s="9">
        <v>20</v>
      </c>
      <c r="CZ470" s="9">
        <v>13</v>
      </c>
      <c r="DA470" s="167">
        <f>'HourGH-MAR'!O31</f>
        <v>0.2</v>
      </c>
    </row>
    <row r="471" spans="58:105">
      <c r="BF471" s="9">
        <v>470</v>
      </c>
      <c r="BG471" s="9">
        <v>20</v>
      </c>
      <c r="BH471" s="9">
        <v>14</v>
      </c>
      <c r="BI471" s="167">
        <f>'HourGH-APR'!P31</f>
        <v>0.56999999999999995</v>
      </c>
      <c r="BJ471" s="263">
        <v>470</v>
      </c>
      <c r="BK471" s="9">
        <v>20</v>
      </c>
      <c r="BL471" s="9">
        <v>14</v>
      </c>
      <c r="BM471" s="167">
        <f>'HourGH-MAY'!P31</f>
        <v>0.13</v>
      </c>
      <c r="BN471" s="9">
        <v>470</v>
      </c>
      <c r="BO471" s="9">
        <v>20</v>
      </c>
      <c r="BP471" s="9">
        <v>14</v>
      </c>
      <c r="BQ471" s="167">
        <f>'HourGH-JUN'!P31</f>
        <v>0.25</v>
      </c>
      <c r="BR471" s="263">
        <v>470</v>
      </c>
      <c r="BS471" s="9">
        <v>20</v>
      </c>
      <c r="BT471" s="9">
        <v>14</v>
      </c>
      <c r="BU471" s="167">
        <f>'HourGH-JUL'!P31</f>
        <v>0.36</v>
      </c>
      <c r="BV471" s="263">
        <v>470</v>
      </c>
      <c r="BW471" s="9">
        <v>20</v>
      </c>
      <c r="BX471" s="9">
        <v>14</v>
      </c>
      <c r="BY471" s="167">
        <f>'HourGH-AUG'!P31</f>
        <v>0.61</v>
      </c>
      <c r="BZ471" s="9">
        <v>470</v>
      </c>
      <c r="CA471" s="9">
        <v>20</v>
      </c>
      <c r="CB471" s="9">
        <v>14</v>
      </c>
      <c r="CC471" s="167">
        <f>'HourGH-SEP'!P31</f>
        <v>1.23</v>
      </c>
      <c r="CD471" s="263">
        <v>470</v>
      </c>
      <c r="CE471" s="9">
        <v>20</v>
      </c>
      <c r="CF471" s="9">
        <v>14</v>
      </c>
      <c r="CG471" s="167">
        <f>'HourGH-OCT'!P31</f>
        <v>1.93</v>
      </c>
      <c r="CH471" s="9">
        <v>470</v>
      </c>
      <c r="CI471" s="9">
        <v>20</v>
      </c>
      <c r="CJ471" s="9">
        <v>14</v>
      </c>
      <c r="CK471" s="167">
        <f>'HourGH-NOV'!P31</f>
        <v>0.88</v>
      </c>
      <c r="CL471" s="263">
        <v>470</v>
      </c>
      <c r="CM471" s="9">
        <v>20</v>
      </c>
      <c r="CN471" s="9">
        <v>14</v>
      </c>
      <c r="CO471" s="167">
        <f>'HourGH-DEC'!P31</f>
        <v>0.53</v>
      </c>
      <c r="CP471" s="263">
        <v>470</v>
      </c>
      <c r="CQ471" s="9">
        <v>20</v>
      </c>
      <c r="CR471" s="9">
        <v>14</v>
      </c>
      <c r="CS471" s="167">
        <f>'HourGH-JAN'!P31</f>
        <v>0.66</v>
      </c>
      <c r="CT471" s="9">
        <v>470</v>
      </c>
      <c r="CU471" s="9">
        <v>20</v>
      </c>
      <c r="CV471" s="9">
        <v>14</v>
      </c>
      <c r="CW471" s="167">
        <f>'HourGH-FEB'!P31</f>
        <v>0.27</v>
      </c>
      <c r="CX471" s="263">
        <v>470</v>
      </c>
      <c r="CY471" s="9">
        <v>20</v>
      </c>
      <c r="CZ471" s="9">
        <v>14</v>
      </c>
      <c r="DA471" s="167">
        <f>'HourGH-MAR'!P31</f>
        <v>0.2</v>
      </c>
    </row>
    <row r="472" spans="58:105">
      <c r="BF472" s="9">
        <v>471</v>
      </c>
      <c r="BG472" s="9">
        <v>20</v>
      </c>
      <c r="BH472" s="9">
        <v>15</v>
      </c>
      <c r="BI472" s="167">
        <f>'HourGH-APR'!Q31</f>
        <v>0.56999999999999995</v>
      </c>
      <c r="BJ472" s="263">
        <v>471</v>
      </c>
      <c r="BK472" s="9">
        <v>20</v>
      </c>
      <c r="BL472" s="9">
        <v>15</v>
      </c>
      <c r="BM472" s="167">
        <f>'HourGH-MAY'!Q31</f>
        <v>0.13</v>
      </c>
      <c r="BN472" s="9">
        <v>471</v>
      </c>
      <c r="BO472" s="9">
        <v>20</v>
      </c>
      <c r="BP472" s="9">
        <v>15</v>
      </c>
      <c r="BQ472" s="167">
        <f>'HourGH-JUN'!Q31</f>
        <v>0.25</v>
      </c>
      <c r="BR472" s="263">
        <v>471</v>
      </c>
      <c r="BS472" s="9">
        <v>20</v>
      </c>
      <c r="BT472" s="9">
        <v>15</v>
      </c>
      <c r="BU472" s="167">
        <f>'HourGH-JUL'!Q31</f>
        <v>0.36</v>
      </c>
      <c r="BV472" s="263">
        <v>471</v>
      </c>
      <c r="BW472" s="9">
        <v>20</v>
      </c>
      <c r="BX472" s="9">
        <v>15</v>
      </c>
      <c r="BY472" s="167">
        <f>'HourGH-AUG'!Q31</f>
        <v>0.61</v>
      </c>
      <c r="BZ472" s="9">
        <v>471</v>
      </c>
      <c r="CA472" s="9">
        <v>20</v>
      </c>
      <c r="CB472" s="9">
        <v>15</v>
      </c>
      <c r="CC472" s="167">
        <f>'HourGH-SEP'!Q31</f>
        <v>1.23</v>
      </c>
      <c r="CD472" s="263">
        <v>471</v>
      </c>
      <c r="CE472" s="9">
        <v>20</v>
      </c>
      <c r="CF472" s="9">
        <v>15</v>
      </c>
      <c r="CG472" s="167">
        <f>'HourGH-OCT'!Q31</f>
        <v>1.91</v>
      </c>
      <c r="CH472" s="9">
        <v>471</v>
      </c>
      <c r="CI472" s="9">
        <v>20</v>
      </c>
      <c r="CJ472" s="9">
        <v>15</v>
      </c>
      <c r="CK472" s="167">
        <f>'HourGH-NOV'!Q31</f>
        <v>0.88</v>
      </c>
      <c r="CL472" s="263">
        <v>471</v>
      </c>
      <c r="CM472" s="9">
        <v>20</v>
      </c>
      <c r="CN472" s="9">
        <v>15</v>
      </c>
      <c r="CO472" s="167">
        <f>'HourGH-DEC'!Q31</f>
        <v>0.53</v>
      </c>
      <c r="CP472" s="263">
        <v>471</v>
      </c>
      <c r="CQ472" s="9">
        <v>20</v>
      </c>
      <c r="CR472" s="9">
        <v>15</v>
      </c>
      <c r="CS472" s="167">
        <f>'HourGH-JAN'!Q31</f>
        <v>0.64</v>
      </c>
      <c r="CT472" s="9">
        <v>471</v>
      </c>
      <c r="CU472" s="9">
        <v>20</v>
      </c>
      <c r="CV472" s="9">
        <v>15</v>
      </c>
      <c r="CW472" s="167">
        <f>'HourGH-FEB'!Q31</f>
        <v>0.27</v>
      </c>
      <c r="CX472" s="263">
        <v>471</v>
      </c>
      <c r="CY472" s="9">
        <v>20</v>
      </c>
      <c r="CZ472" s="9">
        <v>15</v>
      </c>
      <c r="DA472" s="167">
        <f>'HourGH-MAR'!Q31</f>
        <v>0.2</v>
      </c>
    </row>
    <row r="473" spans="58:105">
      <c r="BF473" s="9">
        <v>472</v>
      </c>
      <c r="BG473" s="9">
        <v>20</v>
      </c>
      <c r="BH473" s="9">
        <v>16</v>
      </c>
      <c r="BI473" s="167">
        <f>'HourGH-APR'!R31</f>
        <v>0.56999999999999995</v>
      </c>
      <c r="BJ473" s="263">
        <v>472</v>
      </c>
      <c r="BK473" s="9">
        <v>20</v>
      </c>
      <c r="BL473" s="9">
        <v>16</v>
      </c>
      <c r="BM473" s="167">
        <f>'HourGH-MAY'!R31</f>
        <v>0.13</v>
      </c>
      <c r="BN473" s="9">
        <v>472</v>
      </c>
      <c r="BO473" s="9">
        <v>20</v>
      </c>
      <c r="BP473" s="9">
        <v>16</v>
      </c>
      <c r="BQ473" s="167">
        <f>'HourGH-JUN'!R31</f>
        <v>0.25</v>
      </c>
      <c r="BR473" s="263">
        <v>472</v>
      </c>
      <c r="BS473" s="9">
        <v>20</v>
      </c>
      <c r="BT473" s="9">
        <v>16</v>
      </c>
      <c r="BU473" s="167">
        <f>'HourGH-JUL'!R31</f>
        <v>0.36</v>
      </c>
      <c r="BV473" s="263">
        <v>472</v>
      </c>
      <c r="BW473" s="9">
        <v>20</v>
      </c>
      <c r="BX473" s="9">
        <v>16</v>
      </c>
      <c r="BY473" s="167">
        <f>'HourGH-AUG'!R31</f>
        <v>0.61</v>
      </c>
      <c r="BZ473" s="9">
        <v>472</v>
      </c>
      <c r="CA473" s="9">
        <v>20</v>
      </c>
      <c r="CB473" s="9">
        <v>16</v>
      </c>
      <c r="CC473" s="167">
        <f>'HourGH-SEP'!R31</f>
        <v>1.22</v>
      </c>
      <c r="CD473" s="263">
        <v>472</v>
      </c>
      <c r="CE473" s="9">
        <v>20</v>
      </c>
      <c r="CF473" s="9">
        <v>16</v>
      </c>
      <c r="CG473" s="167">
        <f>'HourGH-OCT'!R31</f>
        <v>1.89</v>
      </c>
      <c r="CH473" s="9">
        <v>472</v>
      </c>
      <c r="CI473" s="9">
        <v>20</v>
      </c>
      <c r="CJ473" s="9">
        <v>16</v>
      </c>
      <c r="CK473" s="167">
        <f>'HourGH-NOV'!R31</f>
        <v>0.87</v>
      </c>
      <c r="CL473" s="263">
        <v>472</v>
      </c>
      <c r="CM473" s="9">
        <v>20</v>
      </c>
      <c r="CN473" s="9">
        <v>16</v>
      </c>
      <c r="CO473" s="167">
        <f>'HourGH-DEC'!R31</f>
        <v>0.53</v>
      </c>
      <c r="CP473" s="263">
        <v>472</v>
      </c>
      <c r="CQ473" s="9">
        <v>20</v>
      </c>
      <c r="CR473" s="9">
        <v>16</v>
      </c>
      <c r="CS473" s="167">
        <f>'HourGH-JAN'!R31</f>
        <v>0.62</v>
      </c>
      <c r="CT473" s="9">
        <v>472</v>
      </c>
      <c r="CU473" s="9">
        <v>20</v>
      </c>
      <c r="CV473" s="9">
        <v>16</v>
      </c>
      <c r="CW473" s="167">
        <f>'HourGH-FEB'!R31</f>
        <v>0.27</v>
      </c>
      <c r="CX473" s="263">
        <v>472</v>
      </c>
      <c r="CY473" s="9">
        <v>20</v>
      </c>
      <c r="CZ473" s="9">
        <v>16</v>
      </c>
      <c r="DA473" s="167">
        <f>'HourGH-MAR'!R31</f>
        <v>0.2</v>
      </c>
    </row>
    <row r="474" spans="58:105">
      <c r="BF474" s="9">
        <v>473</v>
      </c>
      <c r="BG474" s="9">
        <v>20</v>
      </c>
      <c r="BH474" s="9">
        <v>17</v>
      </c>
      <c r="BI474" s="167">
        <f>'HourGH-APR'!S31</f>
        <v>0.56999999999999995</v>
      </c>
      <c r="BJ474" s="263">
        <v>473</v>
      </c>
      <c r="BK474" s="9">
        <v>20</v>
      </c>
      <c r="BL474" s="9">
        <v>17</v>
      </c>
      <c r="BM474" s="167">
        <f>'HourGH-MAY'!S31</f>
        <v>0.13</v>
      </c>
      <c r="BN474" s="9">
        <v>473</v>
      </c>
      <c r="BO474" s="9">
        <v>20</v>
      </c>
      <c r="BP474" s="9">
        <v>17</v>
      </c>
      <c r="BQ474" s="167">
        <f>'HourGH-JUN'!S31</f>
        <v>0.25</v>
      </c>
      <c r="BR474" s="263">
        <v>473</v>
      </c>
      <c r="BS474" s="9">
        <v>20</v>
      </c>
      <c r="BT474" s="9">
        <v>17</v>
      </c>
      <c r="BU474" s="167">
        <f>'HourGH-JUL'!S31</f>
        <v>0.36</v>
      </c>
      <c r="BV474" s="263">
        <v>473</v>
      </c>
      <c r="BW474" s="9">
        <v>20</v>
      </c>
      <c r="BX474" s="9">
        <v>17</v>
      </c>
      <c r="BY474" s="167">
        <f>'HourGH-AUG'!S31</f>
        <v>0.61</v>
      </c>
      <c r="BZ474" s="9">
        <v>473</v>
      </c>
      <c r="CA474" s="9">
        <v>20</v>
      </c>
      <c r="CB474" s="9">
        <v>17</v>
      </c>
      <c r="CC474" s="167">
        <f>'HourGH-SEP'!S31</f>
        <v>1.22</v>
      </c>
      <c r="CD474" s="263">
        <v>473</v>
      </c>
      <c r="CE474" s="9">
        <v>20</v>
      </c>
      <c r="CF474" s="9">
        <v>17</v>
      </c>
      <c r="CG474" s="167">
        <f>'HourGH-OCT'!S31</f>
        <v>1.87</v>
      </c>
      <c r="CH474" s="9">
        <v>473</v>
      </c>
      <c r="CI474" s="9">
        <v>20</v>
      </c>
      <c r="CJ474" s="9">
        <v>17</v>
      </c>
      <c r="CK474" s="167">
        <f>'HourGH-NOV'!S31</f>
        <v>0.87</v>
      </c>
      <c r="CL474" s="263">
        <v>473</v>
      </c>
      <c r="CM474" s="9">
        <v>20</v>
      </c>
      <c r="CN474" s="9">
        <v>17</v>
      </c>
      <c r="CO474" s="167">
        <f>'HourGH-DEC'!S31</f>
        <v>0.53</v>
      </c>
      <c r="CP474" s="263">
        <v>473</v>
      </c>
      <c r="CQ474" s="9">
        <v>20</v>
      </c>
      <c r="CR474" s="9">
        <v>17</v>
      </c>
      <c r="CS474" s="167">
        <f>'HourGH-JAN'!S31</f>
        <v>0.59</v>
      </c>
      <c r="CT474" s="9">
        <v>473</v>
      </c>
      <c r="CU474" s="9">
        <v>20</v>
      </c>
      <c r="CV474" s="9">
        <v>17</v>
      </c>
      <c r="CW474" s="167">
        <f>'HourGH-FEB'!S31</f>
        <v>0.27</v>
      </c>
      <c r="CX474" s="263">
        <v>473</v>
      </c>
      <c r="CY474" s="9">
        <v>20</v>
      </c>
      <c r="CZ474" s="9">
        <v>17</v>
      </c>
      <c r="DA474" s="167">
        <f>'HourGH-MAR'!S31</f>
        <v>0.2</v>
      </c>
    </row>
    <row r="475" spans="58:105">
      <c r="BF475" s="9">
        <v>474</v>
      </c>
      <c r="BG475" s="9">
        <v>20</v>
      </c>
      <c r="BH475" s="9">
        <v>18</v>
      </c>
      <c r="BI475" s="167">
        <f>'HourGH-APR'!T31</f>
        <v>0.56999999999999995</v>
      </c>
      <c r="BJ475" s="263">
        <v>474</v>
      </c>
      <c r="BK475" s="9">
        <v>20</v>
      </c>
      <c r="BL475" s="9">
        <v>18</v>
      </c>
      <c r="BM475" s="167">
        <f>'HourGH-MAY'!T31</f>
        <v>0.14000000000000001</v>
      </c>
      <c r="BN475" s="9">
        <v>474</v>
      </c>
      <c r="BO475" s="9">
        <v>20</v>
      </c>
      <c r="BP475" s="9">
        <v>18</v>
      </c>
      <c r="BQ475" s="167">
        <f>'HourGH-JUN'!T31</f>
        <v>0.25</v>
      </c>
      <c r="BR475" s="263">
        <v>474</v>
      </c>
      <c r="BS475" s="9">
        <v>20</v>
      </c>
      <c r="BT475" s="9">
        <v>18</v>
      </c>
      <c r="BU475" s="167">
        <f>'HourGH-JUL'!T31</f>
        <v>0.36</v>
      </c>
      <c r="BV475" s="263">
        <v>474</v>
      </c>
      <c r="BW475" s="9">
        <v>20</v>
      </c>
      <c r="BX475" s="9">
        <v>18</v>
      </c>
      <c r="BY475" s="167">
        <f>'HourGH-AUG'!T31</f>
        <v>0.61</v>
      </c>
      <c r="BZ475" s="9">
        <v>474</v>
      </c>
      <c r="CA475" s="9">
        <v>20</v>
      </c>
      <c r="CB475" s="9">
        <v>18</v>
      </c>
      <c r="CC475" s="167">
        <f>'HourGH-SEP'!T31</f>
        <v>1.22</v>
      </c>
      <c r="CD475" s="263">
        <v>474</v>
      </c>
      <c r="CE475" s="9">
        <v>20</v>
      </c>
      <c r="CF475" s="9">
        <v>18</v>
      </c>
      <c r="CG475" s="167">
        <f>'HourGH-OCT'!T31</f>
        <v>1.85</v>
      </c>
      <c r="CH475" s="9">
        <v>474</v>
      </c>
      <c r="CI475" s="9">
        <v>20</v>
      </c>
      <c r="CJ475" s="9">
        <v>18</v>
      </c>
      <c r="CK475" s="167">
        <f>'HourGH-NOV'!T31</f>
        <v>0.86</v>
      </c>
      <c r="CL475" s="263">
        <v>474</v>
      </c>
      <c r="CM475" s="9">
        <v>20</v>
      </c>
      <c r="CN475" s="9">
        <v>18</v>
      </c>
      <c r="CO475" s="167">
        <f>'HourGH-DEC'!T31</f>
        <v>0.53</v>
      </c>
      <c r="CP475" s="263">
        <v>474</v>
      </c>
      <c r="CQ475" s="9">
        <v>20</v>
      </c>
      <c r="CR475" s="9">
        <v>18</v>
      </c>
      <c r="CS475" s="167">
        <f>'HourGH-JAN'!T31</f>
        <v>0.56999999999999995</v>
      </c>
      <c r="CT475" s="9">
        <v>474</v>
      </c>
      <c r="CU475" s="9">
        <v>20</v>
      </c>
      <c r="CV475" s="9">
        <v>18</v>
      </c>
      <c r="CW475" s="167">
        <f>'HourGH-FEB'!T31</f>
        <v>0.27</v>
      </c>
      <c r="CX475" s="263">
        <v>474</v>
      </c>
      <c r="CY475" s="9">
        <v>20</v>
      </c>
      <c r="CZ475" s="9">
        <v>18</v>
      </c>
      <c r="DA475" s="167">
        <f>'HourGH-MAR'!T31</f>
        <v>0.2</v>
      </c>
    </row>
    <row r="476" spans="58:105">
      <c r="BF476" s="9">
        <v>475</v>
      </c>
      <c r="BG476" s="9">
        <v>20</v>
      </c>
      <c r="BH476" s="9">
        <v>19</v>
      </c>
      <c r="BI476" s="167">
        <f>'HourGH-APR'!U31</f>
        <v>0.56999999999999995</v>
      </c>
      <c r="BJ476" s="263">
        <v>475</v>
      </c>
      <c r="BK476" s="9">
        <v>20</v>
      </c>
      <c r="BL476" s="9">
        <v>19</v>
      </c>
      <c r="BM476" s="167">
        <f>'HourGH-MAY'!U31</f>
        <v>0.14000000000000001</v>
      </c>
      <c r="BN476" s="9">
        <v>475</v>
      </c>
      <c r="BO476" s="9">
        <v>20</v>
      </c>
      <c r="BP476" s="9">
        <v>19</v>
      </c>
      <c r="BQ476" s="167">
        <f>'HourGH-JUN'!U31</f>
        <v>0.26</v>
      </c>
      <c r="BR476" s="263">
        <v>475</v>
      </c>
      <c r="BS476" s="9">
        <v>20</v>
      </c>
      <c r="BT476" s="9">
        <v>19</v>
      </c>
      <c r="BU476" s="167">
        <f>'HourGH-JUL'!U31</f>
        <v>0.35</v>
      </c>
      <c r="BV476" s="263">
        <v>475</v>
      </c>
      <c r="BW476" s="9">
        <v>20</v>
      </c>
      <c r="BX476" s="9">
        <v>19</v>
      </c>
      <c r="BY476" s="167">
        <f>'HourGH-AUG'!U31</f>
        <v>0.61</v>
      </c>
      <c r="BZ476" s="9">
        <v>475</v>
      </c>
      <c r="CA476" s="9">
        <v>20</v>
      </c>
      <c r="CB476" s="9">
        <v>19</v>
      </c>
      <c r="CC476" s="167">
        <f>'HourGH-SEP'!U31</f>
        <v>1.21</v>
      </c>
      <c r="CD476" s="263">
        <v>475</v>
      </c>
      <c r="CE476" s="9">
        <v>20</v>
      </c>
      <c r="CF476" s="9">
        <v>19</v>
      </c>
      <c r="CG476" s="167">
        <f>'HourGH-OCT'!U31</f>
        <v>1.84</v>
      </c>
      <c r="CH476" s="9">
        <v>475</v>
      </c>
      <c r="CI476" s="9">
        <v>20</v>
      </c>
      <c r="CJ476" s="9">
        <v>19</v>
      </c>
      <c r="CK476" s="167">
        <f>'HourGH-NOV'!U31</f>
        <v>0.86</v>
      </c>
      <c r="CL476" s="263">
        <v>475</v>
      </c>
      <c r="CM476" s="9">
        <v>20</v>
      </c>
      <c r="CN476" s="9">
        <v>19</v>
      </c>
      <c r="CO476" s="167">
        <f>'HourGH-DEC'!U31</f>
        <v>0.52</v>
      </c>
      <c r="CP476" s="263">
        <v>475</v>
      </c>
      <c r="CQ476" s="9">
        <v>20</v>
      </c>
      <c r="CR476" s="9">
        <v>19</v>
      </c>
      <c r="CS476" s="167">
        <f>'HourGH-JAN'!U31</f>
        <v>0.54</v>
      </c>
      <c r="CT476" s="9">
        <v>475</v>
      </c>
      <c r="CU476" s="9">
        <v>20</v>
      </c>
      <c r="CV476" s="9">
        <v>19</v>
      </c>
      <c r="CW476" s="167">
        <f>'HourGH-FEB'!U31</f>
        <v>0.27</v>
      </c>
      <c r="CX476" s="263">
        <v>475</v>
      </c>
      <c r="CY476" s="9">
        <v>20</v>
      </c>
      <c r="CZ476" s="9">
        <v>19</v>
      </c>
      <c r="DA476" s="167">
        <f>'HourGH-MAR'!U31</f>
        <v>0.2</v>
      </c>
    </row>
    <row r="477" spans="58:105">
      <c r="BF477" s="9">
        <v>476</v>
      </c>
      <c r="BG477" s="9">
        <v>20</v>
      </c>
      <c r="BH477" s="9">
        <v>20</v>
      </c>
      <c r="BI477" s="167">
        <f>'HourGH-APR'!V31</f>
        <v>0.56999999999999995</v>
      </c>
      <c r="BJ477" s="263">
        <v>476</v>
      </c>
      <c r="BK477" s="9">
        <v>20</v>
      </c>
      <c r="BL477" s="9">
        <v>20</v>
      </c>
      <c r="BM477" s="167">
        <f>'HourGH-MAY'!V31</f>
        <v>0.14000000000000001</v>
      </c>
      <c r="BN477" s="9">
        <v>476</v>
      </c>
      <c r="BO477" s="9">
        <v>20</v>
      </c>
      <c r="BP477" s="9">
        <v>20</v>
      </c>
      <c r="BQ477" s="167">
        <f>'HourGH-JUN'!V31</f>
        <v>0.26</v>
      </c>
      <c r="BR477" s="263">
        <v>476</v>
      </c>
      <c r="BS477" s="9">
        <v>20</v>
      </c>
      <c r="BT477" s="9">
        <v>20</v>
      </c>
      <c r="BU477" s="167">
        <f>'HourGH-JUL'!V31</f>
        <v>0.35</v>
      </c>
      <c r="BV477" s="263">
        <v>476</v>
      </c>
      <c r="BW477" s="9">
        <v>20</v>
      </c>
      <c r="BX477" s="9">
        <v>20</v>
      </c>
      <c r="BY477" s="167">
        <f>'HourGH-AUG'!V31</f>
        <v>0.61</v>
      </c>
      <c r="BZ477" s="9">
        <v>476</v>
      </c>
      <c r="CA477" s="9">
        <v>20</v>
      </c>
      <c r="CB477" s="9">
        <v>20</v>
      </c>
      <c r="CC477" s="167">
        <f>'HourGH-SEP'!V31</f>
        <v>1.21</v>
      </c>
      <c r="CD477" s="263">
        <v>476</v>
      </c>
      <c r="CE477" s="9">
        <v>20</v>
      </c>
      <c r="CF477" s="9">
        <v>20</v>
      </c>
      <c r="CG477" s="167">
        <f>'HourGH-OCT'!V31</f>
        <v>1.83</v>
      </c>
      <c r="CH477" s="9">
        <v>476</v>
      </c>
      <c r="CI477" s="9">
        <v>20</v>
      </c>
      <c r="CJ477" s="9">
        <v>20</v>
      </c>
      <c r="CK477" s="167">
        <f>'HourGH-NOV'!V31</f>
        <v>0.85</v>
      </c>
      <c r="CL477" s="263">
        <v>476</v>
      </c>
      <c r="CM477" s="9">
        <v>20</v>
      </c>
      <c r="CN477" s="9">
        <v>20</v>
      </c>
      <c r="CO477" s="167">
        <f>'HourGH-DEC'!V31</f>
        <v>0.52</v>
      </c>
      <c r="CP477" s="263">
        <v>476</v>
      </c>
      <c r="CQ477" s="9">
        <v>20</v>
      </c>
      <c r="CR477" s="9">
        <v>20</v>
      </c>
      <c r="CS477" s="167">
        <f>'HourGH-JAN'!V31</f>
        <v>0.51</v>
      </c>
      <c r="CT477" s="9">
        <v>476</v>
      </c>
      <c r="CU477" s="9">
        <v>20</v>
      </c>
      <c r="CV477" s="9">
        <v>20</v>
      </c>
      <c r="CW477" s="167">
        <f>'HourGH-FEB'!V31</f>
        <v>0.27</v>
      </c>
      <c r="CX477" s="263">
        <v>476</v>
      </c>
      <c r="CY477" s="9">
        <v>20</v>
      </c>
      <c r="CZ477" s="9">
        <v>20</v>
      </c>
      <c r="DA477" s="167">
        <f>'HourGH-MAR'!V31</f>
        <v>0.2</v>
      </c>
    </row>
    <row r="478" spans="58:105">
      <c r="BF478" s="9">
        <v>477</v>
      </c>
      <c r="BG478" s="9">
        <v>20</v>
      </c>
      <c r="BH478" s="9">
        <v>21</v>
      </c>
      <c r="BI478" s="167">
        <f>'HourGH-APR'!W31</f>
        <v>0.56999999999999995</v>
      </c>
      <c r="BJ478" s="263">
        <v>477</v>
      </c>
      <c r="BK478" s="9">
        <v>20</v>
      </c>
      <c r="BL478" s="9">
        <v>21</v>
      </c>
      <c r="BM478" s="167">
        <f>'HourGH-MAY'!W31</f>
        <v>0.15</v>
      </c>
      <c r="BN478" s="9">
        <v>477</v>
      </c>
      <c r="BO478" s="9">
        <v>20</v>
      </c>
      <c r="BP478" s="9">
        <v>21</v>
      </c>
      <c r="BQ478" s="167">
        <f>'HourGH-JUN'!W31</f>
        <v>0.26</v>
      </c>
      <c r="BR478" s="263">
        <v>477</v>
      </c>
      <c r="BS478" s="9">
        <v>20</v>
      </c>
      <c r="BT478" s="9">
        <v>21</v>
      </c>
      <c r="BU478" s="167">
        <f>'HourGH-JUL'!W31</f>
        <v>0.35</v>
      </c>
      <c r="BV478" s="263">
        <v>477</v>
      </c>
      <c r="BW478" s="9">
        <v>20</v>
      </c>
      <c r="BX478" s="9">
        <v>21</v>
      </c>
      <c r="BY478" s="167">
        <f>'HourGH-AUG'!W31</f>
        <v>0.61</v>
      </c>
      <c r="BZ478" s="9">
        <v>477</v>
      </c>
      <c r="CA478" s="9">
        <v>20</v>
      </c>
      <c r="CB478" s="9">
        <v>21</v>
      </c>
      <c r="CC478" s="167">
        <f>'HourGH-SEP'!W31</f>
        <v>1.21</v>
      </c>
      <c r="CD478" s="263">
        <v>477</v>
      </c>
      <c r="CE478" s="9">
        <v>20</v>
      </c>
      <c r="CF478" s="9">
        <v>21</v>
      </c>
      <c r="CG478" s="167">
        <f>'HourGH-OCT'!W31</f>
        <v>1.81</v>
      </c>
      <c r="CH478" s="9">
        <v>477</v>
      </c>
      <c r="CI478" s="9">
        <v>20</v>
      </c>
      <c r="CJ478" s="9">
        <v>21</v>
      </c>
      <c r="CK478" s="167">
        <f>'HourGH-NOV'!W31</f>
        <v>0.85</v>
      </c>
      <c r="CL478" s="263">
        <v>477</v>
      </c>
      <c r="CM478" s="9">
        <v>20</v>
      </c>
      <c r="CN478" s="9">
        <v>21</v>
      </c>
      <c r="CO478" s="167">
        <f>'HourGH-DEC'!W31</f>
        <v>0.52</v>
      </c>
      <c r="CP478" s="263">
        <v>477</v>
      </c>
      <c r="CQ478" s="9">
        <v>20</v>
      </c>
      <c r="CR478" s="9">
        <v>21</v>
      </c>
      <c r="CS478" s="167">
        <f>'HourGH-JAN'!W31</f>
        <v>0.49</v>
      </c>
      <c r="CT478" s="9">
        <v>477</v>
      </c>
      <c r="CU478" s="9">
        <v>20</v>
      </c>
      <c r="CV478" s="9">
        <v>21</v>
      </c>
      <c r="CW478" s="167">
        <f>'HourGH-FEB'!W31</f>
        <v>0.27</v>
      </c>
      <c r="CX478" s="263">
        <v>477</v>
      </c>
      <c r="CY478" s="9">
        <v>20</v>
      </c>
      <c r="CZ478" s="9">
        <v>21</v>
      </c>
      <c r="DA478" s="167">
        <f>'HourGH-MAR'!W31</f>
        <v>0.2</v>
      </c>
    </row>
    <row r="479" spans="58:105">
      <c r="BF479" s="9">
        <v>478</v>
      </c>
      <c r="BG479" s="9">
        <v>20</v>
      </c>
      <c r="BH479" s="9">
        <v>22</v>
      </c>
      <c r="BI479" s="167">
        <f>'HourGH-APR'!X31</f>
        <v>0.56999999999999995</v>
      </c>
      <c r="BJ479" s="263">
        <v>478</v>
      </c>
      <c r="BK479" s="9">
        <v>20</v>
      </c>
      <c r="BL479" s="9">
        <v>22</v>
      </c>
      <c r="BM479" s="167">
        <f>'HourGH-MAY'!X31</f>
        <v>0.15</v>
      </c>
      <c r="BN479" s="9">
        <v>478</v>
      </c>
      <c r="BO479" s="9">
        <v>20</v>
      </c>
      <c r="BP479" s="9">
        <v>22</v>
      </c>
      <c r="BQ479" s="167">
        <f>'HourGH-JUN'!X31</f>
        <v>0.26</v>
      </c>
      <c r="BR479" s="263">
        <v>478</v>
      </c>
      <c r="BS479" s="9">
        <v>20</v>
      </c>
      <c r="BT479" s="9">
        <v>22</v>
      </c>
      <c r="BU479" s="167">
        <f>'HourGH-JUL'!X31</f>
        <v>0.35</v>
      </c>
      <c r="BV479" s="263">
        <v>478</v>
      </c>
      <c r="BW479" s="9">
        <v>20</v>
      </c>
      <c r="BX479" s="9">
        <v>22</v>
      </c>
      <c r="BY479" s="167">
        <f>'HourGH-AUG'!X31</f>
        <v>0.61</v>
      </c>
      <c r="BZ479" s="9">
        <v>478</v>
      </c>
      <c r="CA479" s="9">
        <v>20</v>
      </c>
      <c r="CB479" s="9">
        <v>22</v>
      </c>
      <c r="CC479" s="167">
        <f>'HourGH-SEP'!X31</f>
        <v>1.2</v>
      </c>
      <c r="CD479" s="263">
        <v>478</v>
      </c>
      <c r="CE479" s="9">
        <v>20</v>
      </c>
      <c r="CF479" s="9">
        <v>22</v>
      </c>
      <c r="CG479" s="167">
        <f>'HourGH-OCT'!X31</f>
        <v>1.8</v>
      </c>
      <c r="CH479" s="9">
        <v>478</v>
      </c>
      <c r="CI479" s="9">
        <v>20</v>
      </c>
      <c r="CJ479" s="9">
        <v>22</v>
      </c>
      <c r="CK479" s="167">
        <f>'HourGH-NOV'!X31</f>
        <v>0.84</v>
      </c>
      <c r="CL479" s="263">
        <v>478</v>
      </c>
      <c r="CM479" s="9">
        <v>20</v>
      </c>
      <c r="CN479" s="9">
        <v>22</v>
      </c>
      <c r="CO479" s="167">
        <f>'HourGH-DEC'!X31</f>
        <v>0.52</v>
      </c>
      <c r="CP479" s="263">
        <v>478</v>
      </c>
      <c r="CQ479" s="9">
        <v>20</v>
      </c>
      <c r="CR479" s="9">
        <v>22</v>
      </c>
      <c r="CS479" s="167">
        <f>'HourGH-JAN'!X31</f>
        <v>0.47</v>
      </c>
      <c r="CT479" s="9">
        <v>478</v>
      </c>
      <c r="CU479" s="9">
        <v>20</v>
      </c>
      <c r="CV479" s="9">
        <v>22</v>
      </c>
      <c r="CW479" s="167">
        <f>'HourGH-FEB'!X31</f>
        <v>0.27</v>
      </c>
      <c r="CX479" s="263">
        <v>478</v>
      </c>
      <c r="CY479" s="9">
        <v>20</v>
      </c>
      <c r="CZ479" s="9">
        <v>22</v>
      </c>
      <c r="DA479" s="167">
        <f>'HourGH-MAR'!X31</f>
        <v>0.2</v>
      </c>
    </row>
    <row r="480" spans="58:105">
      <c r="BF480" s="9">
        <v>479</v>
      </c>
      <c r="BG480" s="9">
        <v>20</v>
      </c>
      <c r="BH480" s="9">
        <v>23</v>
      </c>
      <c r="BI480" s="167">
        <f>'HourGH-APR'!Y31</f>
        <v>0.56999999999999995</v>
      </c>
      <c r="BJ480" s="263">
        <v>479</v>
      </c>
      <c r="BK480" s="9">
        <v>20</v>
      </c>
      <c r="BL480" s="9">
        <v>23</v>
      </c>
      <c r="BM480" s="167">
        <f>'HourGH-MAY'!Y31</f>
        <v>0.16</v>
      </c>
      <c r="BN480" s="9">
        <v>479</v>
      </c>
      <c r="BO480" s="9">
        <v>20</v>
      </c>
      <c r="BP480" s="9">
        <v>23</v>
      </c>
      <c r="BQ480" s="167">
        <f>'HourGH-JUN'!Y31</f>
        <v>0.26</v>
      </c>
      <c r="BR480" s="263">
        <v>479</v>
      </c>
      <c r="BS480" s="9">
        <v>20</v>
      </c>
      <c r="BT480" s="9">
        <v>23</v>
      </c>
      <c r="BU480" s="167">
        <f>'HourGH-JUL'!Y31</f>
        <v>0.35</v>
      </c>
      <c r="BV480" s="263">
        <v>479</v>
      </c>
      <c r="BW480" s="9">
        <v>20</v>
      </c>
      <c r="BX480" s="9">
        <v>23</v>
      </c>
      <c r="BY480" s="167">
        <f>'HourGH-AUG'!Y31</f>
        <v>0.61</v>
      </c>
      <c r="BZ480" s="9">
        <v>479</v>
      </c>
      <c r="CA480" s="9">
        <v>20</v>
      </c>
      <c r="CB480" s="9">
        <v>23</v>
      </c>
      <c r="CC480" s="167">
        <f>'HourGH-SEP'!Y31</f>
        <v>1.2</v>
      </c>
      <c r="CD480" s="263">
        <v>479</v>
      </c>
      <c r="CE480" s="9">
        <v>20</v>
      </c>
      <c r="CF480" s="9">
        <v>23</v>
      </c>
      <c r="CG480" s="167">
        <f>'HourGH-OCT'!Y31</f>
        <v>1.79</v>
      </c>
      <c r="CH480" s="9">
        <v>479</v>
      </c>
      <c r="CI480" s="9">
        <v>20</v>
      </c>
      <c r="CJ480" s="9">
        <v>23</v>
      </c>
      <c r="CK480" s="167">
        <f>'HourGH-NOV'!Y31</f>
        <v>0.83</v>
      </c>
      <c r="CL480" s="263">
        <v>479</v>
      </c>
      <c r="CM480" s="9">
        <v>20</v>
      </c>
      <c r="CN480" s="9">
        <v>23</v>
      </c>
      <c r="CO480" s="167">
        <f>'HourGH-DEC'!Y31</f>
        <v>0.52</v>
      </c>
      <c r="CP480" s="263">
        <v>479</v>
      </c>
      <c r="CQ480" s="9">
        <v>20</v>
      </c>
      <c r="CR480" s="9">
        <v>23</v>
      </c>
      <c r="CS480" s="167">
        <f>'HourGH-JAN'!Y31</f>
        <v>0.45</v>
      </c>
      <c r="CT480" s="9">
        <v>479</v>
      </c>
      <c r="CU480" s="9">
        <v>20</v>
      </c>
      <c r="CV480" s="9">
        <v>23</v>
      </c>
      <c r="CW480" s="167">
        <f>'HourGH-FEB'!Y31</f>
        <v>0.27</v>
      </c>
      <c r="CX480" s="263">
        <v>479</v>
      </c>
      <c r="CY480" s="9">
        <v>20</v>
      </c>
      <c r="CZ480" s="9">
        <v>23</v>
      </c>
      <c r="DA480" s="167">
        <f>'HourGH-MAR'!Y31</f>
        <v>0.2</v>
      </c>
    </row>
    <row r="481" spans="58:105">
      <c r="BF481" s="9">
        <v>480</v>
      </c>
      <c r="BG481" s="9">
        <v>20</v>
      </c>
      <c r="BH481" s="9">
        <v>24</v>
      </c>
      <c r="BI481" s="167">
        <f>'HourGH-APR'!Z31</f>
        <v>0.56999999999999995</v>
      </c>
      <c r="BJ481" s="263">
        <v>480</v>
      </c>
      <c r="BK481" s="9">
        <v>20</v>
      </c>
      <c r="BL481" s="9">
        <v>24</v>
      </c>
      <c r="BM481" s="167">
        <f>'HourGH-MAY'!Z31</f>
        <v>0.16</v>
      </c>
      <c r="BN481" s="9">
        <v>480</v>
      </c>
      <c r="BO481" s="9">
        <v>20</v>
      </c>
      <c r="BP481" s="9">
        <v>24</v>
      </c>
      <c r="BQ481" s="167">
        <f>'HourGH-JUN'!Z31</f>
        <v>0.26</v>
      </c>
      <c r="BR481" s="263">
        <v>480</v>
      </c>
      <c r="BS481" s="9">
        <v>20</v>
      </c>
      <c r="BT481" s="9">
        <v>24</v>
      </c>
      <c r="BU481" s="167">
        <f>'HourGH-JUL'!Z31</f>
        <v>0.35</v>
      </c>
      <c r="BV481" s="263">
        <v>480</v>
      </c>
      <c r="BW481" s="9">
        <v>20</v>
      </c>
      <c r="BX481" s="9">
        <v>24</v>
      </c>
      <c r="BY481" s="167">
        <f>'HourGH-AUG'!Z31</f>
        <v>0.61</v>
      </c>
      <c r="BZ481" s="9">
        <v>480</v>
      </c>
      <c r="CA481" s="9">
        <v>20</v>
      </c>
      <c r="CB481" s="9">
        <v>24</v>
      </c>
      <c r="CC481" s="167">
        <f>'HourGH-SEP'!Z31</f>
        <v>1.19</v>
      </c>
      <c r="CD481" s="263">
        <v>480</v>
      </c>
      <c r="CE481" s="9">
        <v>20</v>
      </c>
      <c r="CF481" s="9">
        <v>24</v>
      </c>
      <c r="CG481" s="167">
        <f>'HourGH-OCT'!Z31</f>
        <v>1.78</v>
      </c>
      <c r="CH481" s="9">
        <v>480</v>
      </c>
      <c r="CI481" s="9">
        <v>20</v>
      </c>
      <c r="CJ481" s="9">
        <v>24</v>
      </c>
      <c r="CK481" s="167">
        <f>'HourGH-NOV'!Z31</f>
        <v>0.82</v>
      </c>
      <c r="CL481" s="263">
        <v>480</v>
      </c>
      <c r="CM481" s="9">
        <v>20</v>
      </c>
      <c r="CN481" s="9">
        <v>24</v>
      </c>
      <c r="CO481" s="167">
        <f>'HourGH-DEC'!Z31</f>
        <v>0.52</v>
      </c>
      <c r="CP481" s="263">
        <v>480</v>
      </c>
      <c r="CQ481" s="9">
        <v>20</v>
      </c>
      <c r="CR481" s="9">
        <v>24</v>
      </c>
      <c r="CS481" s="167">
        <f>'HourGH-JAN'!Z31</f>
        <v>0.44</v>
      </c>
      <c r="CT481" s="9">
        <v>480</v>
      </c>
      <c r="CU481" s="9">
        <v>20</v>
      </c>
      <c r="CV481" s="9">
        <v>24</v>
      </c>
      <c r="CW481" s="167">
        <f>'HourGH-FEB'!Z31</f>
        <v>0.27</v>
      </c>
      <c r="CX481" s="263">
        <v>480</v>
      </c>
      <c r="CY481" s="9">
        <v>20</v>
      </c>
      <c r="CZ481" s="9">
        <v>24</v>
      </c>
      <c r="DA481" s="167">
        <f>'HourGH-MAR'!Z31</f>
        <v>0.2</v>
      </c>
    </row>
    <row r="482" spans="58:105">
      <c r="BF482" s="9">
        <v>481</v>
      </c>
      <c r="BG482" s="9">
        <v>21</v>
      </c>
      <c r="BH482" s="9">
        <v>1</v>
      </c>
      <c r="BI482" s="167">
        <f>'HourGH-APR'!C33</f>
        <v>0.56999999999999995</v>
      </c>
      <c r="BJ482" s="263">
        <v>481</v>
      </c>
      <c r="BK482" s="9">
        <v>21</v>
      </c>
      <c r="BL482" s="9">
        <v>1</v>
      </c>
      <c r="BM482" s="167">
        <f>'HourGH-MAY'!C33</f>
        <v>0.17</v>
      </c>
      <c r="BN482" s="9">
        <v>481</v>
      </c>
      <c r="BO482" s="9">
        <v>21</v>
      </c>
      <c r="BP482" s="9">
        <v>1</v>
      </c>
      <c r="BQ482" s="167">
        <f>'HourGH-JUN'!C33</f>
        <v>0.27</v>
      </c>
      <c r="BR482" s="263">
        <v>481</v>
      </c>
      <c r="BS482" s="9">
        <v>21</v>
      </c>
      <c r="BT482" s="9">
        <v>1</v>
      </c>
      <c r="BU482" s="167">
        <f>'HourGH-JUL'!C33</f>
        <v>0.34</v>
      </c>
      <c r="BV482" s="263">
        <v>481</v>
      </c>
      <c r="BW482" s="9">
        <v>21</v>
      </c>
      <c r="BX482" s="9">
        <v>1</v>
      </c>
      <c r="BY482" s="167">
        <f>'HourGH-AUG'!C33</f>
        <v>0.61</v>
      </c>
      <c r="BZ482" s="9">
        <v>481</v>
      </c>
      <c r="CA482" s="9">
        <v>21</v>
      </c>
      <c r="CB482" s="9">
        <v>1</v>
      </c>
      <c r="CC482" s="167">
        <f>'HourGH-SEP'!C33</f>
        <v>1.19</v>
      </c>
      <c r="CD482" s="263">
        <v>481</v>
      </c>
      <c r="CE482" s="9">
        <v>21</v>
      </c>
      <c r="CF482" s="9">
        <v>1</v>
      </c>
      <c r="CG482" s="167">
        <f>'HourGH-OCT'!C33</f>
        <v>1.77</v>
      </c>
      <c r="CH482" s="9">
        <v>481</v>
      </c>
      <c r="CI482" s="9">
        <v>21</v>
      </c>
      <c r="CJ482" s="9">
        <v>1</v>
      </c>
      <c r="CK482" s="167">
        <f>'HourGH-NOV'!C33</f>
        <v>0.81</v>
      </c>
      <c r="CL482" s="263">
        <v>481</v>
      </c>
      <c r="CM482" s="9">
        <v>21</v>
      </c>
      <c r="CN482" s="9">
        <v>1</v>
      </c>
      <c r="CO482" s="167">
        <f>'HourGH-DEC'!C33</f>
        <v>0.51</v>
      </c>
      <c r="CP482" s="263">
        <v>481</v>
      </c>
      <c r="CQ482" s="9">
        <v>21</v>
      </c>
      <c r="CR482" s="9">
        <v>1</v>
      </c>
      <c r="CS482" s="167">
        <f>'HourGH-JAN'!C33</f>
        <v>0.42</v>
      </c>
      <c r="CT482" s="9">
        <v>481</v>
      </c>
      <c r="CU482" s="9">
        <v>21</v>
      </c>
      <c r="CV482" s="9">
        <v>1</v>
      </c>
      <c r="CW482" s="167">
        <f>'HourGH-FEB'!C33</f>
        <v>0.26</v>
      </c>
      <c r="CX482" s="263">
        <v>481</v>
      </c>
      <c r="CY482" s="9">
        <v>21</v>
      </c>
      <c r="CZ482" s="9">
        <v>1</v>
      </c>
      <c r="DA482" s="167">
        <f>'HourGH-MAR'!C33</f>
        <v>0.19</v>
      </c>
    </row>
    <row r="483" spans="58:105">
      <c r="BF483" s="9">
        <v>482</v>
      </c>
      <c r="BG483" s="9">
        <v>21</v>
      </c>
      <c r="BH483" s="9">
        <v>2</v>
      </c>
      <c r="BI483" s="167">
        <f>'HourGH-APR'!D33</f>
        <v>0.56999999999999995</v>
      </c>
      <c r="BJ483" s="263">
        <v>482</v>
      </c>
      <c r="BK483" s="9">
        <v>21</v>
      </c>
      <c r="BL483" s="9">
        <v>2</v>
      </c>
      <c r="BM483" s="167">
        <f>'HourGH-MAY'!D33</f>
        <v>0.17</v>
      </c>
      <c r="BN483" s="9">
        <v>482</v>
      </c>
      <c r="BO483" s="9">
        <v>21</v>
      </c>
      <c r="BP483" s="9">
        <v>2</v>
      </c>
      <c r="BQ483" s="167">
        <f>'HourGH-JUN'!D33</f>
        <v>0.27</v>
      </c>
      <c r="BR483" s="263">
        <v>482</v>
      </c>
      <c r="BS483" s="9">
        <v>21</v>
      </c>
      <c r="BT483" s="9">
        <v>2</v>
      </c>
      <c r="BU483" s="167">
        <f>'HourGH-JUL'!D33</f>
        <v>0.34</v>
      </c>
      <c r="BV483" s="263">
        <v>482</v>
      </c>
      <c r="BW483" s="9">
        <v>21</v>
      </c>
      <c r="BX483" s="9">
        <v>2</v>
      </c>
      <c r="BY483" s="167">
        <f>'HourGH-AUG'!D33</f>
        <v>0.61</v>
      </c>
      <c r="BZ483" s="9">
        <v>482</v>
      </c>
      <c r="CA483" s="9">
        <v>21</v>
      </c>
      <c r="CB483" s="9">
        <v>2</v>
      </c>
      <c r="CC483" s="167">
        <f>'HourGH-SEP'!D33</f>
        <v>1.19</v>
      </c>
      <c r="CD483" s="263">
        <v>482</v>
      </c>
      <c r="CE483" s="9">
        <v>21</v>
      </c>
      <c r="CF483" s="9">
        <v>2</v>
      </c>
      <c r="CG483" s="167">
        <f>'HourGH-OCT'!D33</f>
        <v>1.76</v>
      </c>
      <c r="CH483" s="9">
        <v>482</v>
      </c>
      <c r="CI483" s="9">
        <v>21</v>
      </c>
      <c r="CJ483" s="9">
        <v>2</v>
      </c>
      <c r="CK483" s="167">
        <f>'HourGH-NOV'!D33</f>
        <v>0.8</v>
      </c>
      <c r="CL483" s="263">
        <v>482</v>
      </c>
      <c r="CM483" s="9">
        <v>21</v>
      </c>
      <c r="CN483" s="9">
        <v>2</v>
      </c>
      <c r="CO483" s="167">
        <f>'HourGH-DEC'!D33</f>
        <v>0.51</v>
      </c>
      <c r="CP483" s="263">
        <v>482</v>
      </c>
      <c r="CQ483" s="9">
        <v>21</v>
      </c>
      <c r="CR483" s="9">
        <v>2</v>
      </c>
      <c r="CS483" s="167">
        <f>'HourGH-JAN'!D33</f>
        <v>0.41</v>
      </c>
      <c r="CT483" s="9">
        <v>482</v>
      </c>
      <c r="CU483" s="9">
        <v>21</v>
      </c>
      <c r="CV483" s="9">
        <v>2</v>
      </c>
      <c r="CW483" s="167">
        <f>'HourGH-FEB'!D33</f>
        <v>0.26</v>
      </c>
      <c r="CX483" s="263">
        <v>482</v>
      </c>
      <c r="CY483" s="9">
        <v>21</v>
      </c>
      <c r="CZ483" s="9">
        <v>2</v>
      </c>
      <c r="DA483" s="167">
        <f>'HourGH-MAR'!D33</f>
        <v>0.19</v>
      </c>
    </row>
    <row r="484" spans="58:105">
      <c r="BF484" s="9">
        <v>483</v>
      </c>
      <c r="BG484" s="9">
        <v>21</v>
      </c>
      <c r="BH484" s="9">
        <v>3</v>
      </c>
      <c r="BI484" s="167">
        <f>'HourGH-APR'!E33</f>
        <v>0.56999999999999995</v>
      </c>
      <c r="BJ484" s="263">
        <v>483</v>
      </c>
      <c r="BK484" s="9">
        <v>21</v>
      </c>
      <c r="BL484" s="9">
        <v>3</v>
      </c>
      <c r="BM484" s="167">
        <f>'HourGH-MAY'!E33</f>
        <v>0.18</v>
      </c>
      <c r="BN484" s="9">
        <v>483</v>
      </c>
      <c r="BO484" s="9">
        <v>21</v>
      </c>
      <c r="BP484" s="9">
        <v>3</v>
      </c>
      <c r="BQ484" s="167">
        <f>'HourGH-JUN'!E33</f>
        <v>0.27</v>
      </c>
      <c r="BR484" s="263">
        <v>483</v>
      </c>
      <c r="BS484" s="9">
        <v>21</v>
      </c>
      <c r="BT484" s="9">
        <v>3</v>
      </c>
      <c r="BU484" s="167">
        <f>'HourGH-JUL'!E33</f>
        <v>0.34</v>
      </c>
      <c r="BV484" s="263">
        <v>483</v>
      </c>
      <c r="BW484" s="9">
        <v>21</v>
      </c>
      <c r="BX484" s="9">
        <v>3</v>
      </c>
      <c r="BY484" s="167">
        <f>'HourGH-AUG'!E33</f>
        <v>0.61</v>
      </c>
      <c r="BZ484" s="9">
        <v>483</v>
      </c>
      <c r="CA484" s="9">
        <v>21</v>
      </c>
      <c r="CB484" s="9">
        <v>3</v>
      </c>
      <c r="CC484" s="167">
        <f>'HourGH-SEP'!E33</f>
        <v>1.18</v>
      </c>
      <c r="CD484" s="263">
        <v>483</v>
      </c>
      <c r="CE484" s="9">
        <v>21</v>
      </c>
      <c r="CF484" s="9">
        <v>3</v>
      </c>
      <c r="CG484" s="167">
        <f>'HourGH-OCT'!E33</f>
        <v>1.75</v>
      </c>
      <c r="CH484" s="9">
        <v>483</v>
      </c>
      <c r="CI484" s="9">
        <v>21</v>
      </c>
      <c r="CJ484" s="9">
        <v>3</v>
      </c>
      <c r="CK484" s="167">
        <f>'HourGH-NOV'!E33</f>
        <v>0.79</v>
      </c>
      <c r="CL484" s="263">
        <v>483</v>
      </c>
      <c r="CM484" s="9">
        <v>21</v>
      </c>
      <c r="CN484" s="9">
        <v>3</v>
      </c>
      <c r="CO484" s="167">
        <f>'HourGH-DEC'!E33</f>
        <v>0.51</v>
      </c>
      <c r="CP484" s="263">
        <v>483</v>
      </c>
      <c r="CQ484" s="9">
        <v>21</v>
      </c>
      <c r="CR484" s="9">
        <v>3</v>
      </c>
      <c r="CS484" s="167">
        <f>'HourGH-JAN'!E33</f>
        <v>0.39</v>
      </c>
      <c r="CT484" s="9">
        <v>483</v>
      </c>
      <c r="CU484" s="9">
        <v>21</v>
      </c>
      <c r="CV484" s="9">
        <v>3</v>
      </c>
      <c r="CW484" s="167">
        <f>'HourGH-FEB'!E33</f>
        <v>0.26</v>
      </c>
      <c r="CX484" s="263">
        <v>483</v>
      </c>
      <c r="CY484" s="9">
        <v>21</v>
      </c>
      <c r="CZ484" s="9">
        <v>3</v>
      </c>
      <c r="DA484" s="167">
        <f>'HourGH-MAR'!E33</f>
        <v>0.19</v>
      </c>
    </row>
    <row r="485" spans="58:105">
      <c r="BF485" s="9">
        <v>484</v>
      </c>
      <c r="BG485" s="9">
        <v>21</v>
      </c>
      <c r="BH485" s="9">
        <v>4</v>
      </c>
      <c r="BI485" s="167">
        <f>'HourGH-APR'!F33</f>
        <v>0.56999999999999995</v>
      </c>
      <c r="BJ485" s="263">
        <v>484</v>
      </c>
      <c r="BK485" s="9">
        <v>21</v>
      </c>
      <c r="BL485" s="9">
        <v>4</v>
      </c>
      <c r="BM485" s="167">
        <f>'HourGH-MAY'!F33</f>
        <v>0.18</v>
      </c>
      <c r="BN485" s="9">
        <v>484</v>
      </c>
      <c r="BO485" s="9">
        <v>21</v>
      </c>
      <c r="BP485" s="9">
        <v>4</v>
      </c>
      <c r="BQ485" s="167">
        <f>'HourGH-JUN'!F33</f>
        <v>0.27</v>
      </c>
      <c r="BR485" s="263">
        <v>484</v>
      </c>
      <c r="BS485" s="9">
        <v>21</v>
      </c>
      <c r="BT485" s="9">
        <v>4</v>
      </c>
      <c r="BU485" s="167">
        <f>'HourGH-JUL'!F33</f>
        <v>0.34</v>
      </c>
      <c r="BV485" s="263">
        <v>484</v>
      </c>
      <c r="BW485" s="9">
        <v>21</v>
      </c>
      <c r="BX485" s="9">
        <v>4</v>
      </c>
      <c r="BY485" s="167">
        <f>'HourGH-AUG'!F33</f>
        <v>0.61</v>
      </c>
      <c r="BZ485" s="9">
        <v>484</v>
      </c>
      <c r="CA485" s="9">
        <v>21</v>
      </c>
      <c r="CB485" s="9">
        <v>4</v>
      </c>
      <c r="CC485" s="167">
        <f>'HourGH-SEP'!F33</f>
        <v>1.18</v>
      </c>
      <c r="CD485" s="263">
        <v>484</v>
      </c>
      <c r="CE485" s="9">
        <v>21</v>
      </c>
      <c r="CF485" s="9">
        <v>4</v>
      </c>
      <c r="CG485" s="167">
        <f>'HourGH-OCT'!F33</f>
        <v>1.74</v>
      </c>
      <c r="CH485" s="9">
        <v>484</v>
      </c>
      <c r="CI485" s="9">
        <v>21</v>
      </c>
      <c r="CJ485" s="9">
        <v>4</v>
      </c>
      <c r="CK485" s="167">
        <f>'HourGH-NOV'!F33</f>
        <v>0.78</v>
      </c>
      <c r="CL485" s="263">
        <v>484</v>
      </c>
      <c r="CM485" s="9">
        <v>21</v>
      </c>
      <c r="CN485" s="9">
        <v>4</v>
      </c>
      <c r="CO485" s="167">
        <f>'HourGH-DEC'!F33</f>
        <v>0.51</v>
      </c>
      <c r="CP485" s="263">
        <v>484</v>
      </c>
      <c r="CQ485" s="9">
        <v>21</v>
      </c>
      <c r="CR485" s="9">
        <v>4</v>
      </c>
      <c r="CS485" s="167">
        <f>'HourGH-JAN'!F33</f>
        <v>0.38</v>
      </c>
      <c r="CT485" s="9">
        <v>484</v>
      </c>
      <c r="CU485" s="9">
        <v>21</v>
      </c>
      <c r="CV485" s="9">
        <v>4</v>
      </c>
      <c r="CW485" s="167">
        <f>'HourGH-FEB'!F33</f>
        <v>0.26</v>
      </c>
      <c r="CX485" s="263">
        <v>484</v>
      </c>
      <c r="CY485" s="9">
        <v>21</v>
      </c>
      <c r="CZ485" s="9">
        <v>4</v>
      </c>
      <c r="DA485" s="167">
        <f>'HourGH-MAR'!F33</f>
        <v>0.19</v>
      </c>
    </row>
    <row r="486" spans="58:105">
      <c r="BF486" s="9">
        <v>485</v>
      </c>
      <c r="BG486" s="9">
        <v>21</v>
      </c>
      <c r="BH486" s="9">
        <v>5</v>
      </c>
      <c r="BI486" s="167">
        <f>'HourGH-APR'!G33</f>
        <v>0.56999999999999995</v>
      </c>
      <c r="BJ486" s="263">
        <v>485</v>
      </c>
      <c r="BK486" s="9">
        <v>21</v>
      </c>
      <c r="BL486" s="9">
        <v>5</v>
      </c>
      <c r="BM486" s="167">
        <f>'HourGH-MAY'!G33</f>
        <v>0.19</v>
      </c>
      <c r="BN486" s="9">
        <v>485</v>
      </c>
      <c r="BO486" s="9">
        <v>21</v>
      </c>
      <c r="BP486" s="9">
        <v>5</v>
      </c>
      <c r="BQ486" s="167">
        <f>'HourGH-JUN'!G33</f>
        <v>0.27</v>
      </c>
      <c r="BR486" s="263">
        <v>485</v>
      </c>
      <c r="BS486" s="9">
        <v>21</v>
      </c>
      <c r="BT486" s="9">
        <v>5</v>
      </c>
      <c r="BU486" s="167">
        <f>'HourGH-JUL'!G33</f>
        <v>0.34</v>
      </c>
      <c r="BV486" s="263">
        <v>485</v>
      </c>
      <c r="BW486" s="9">
        <v>21</v>
      </c>
      <c r="BX486" s="9">
        <v>5</v>
      </c>
      <c r="BY486" s="167">
        <f>'HourGH-AUG'!G33</f>
        <v>0.61</v>
      </c>
      <c r="BZ486" s="9">
        <v>485</v>
      </c>
      <c r="CA486" s="9">
        <v>21</v>
      </c>
      <c r="CB486" s="9">
        <v>5</v>
      </c>
      <c r="CC486" s="167">
        <f>'HourGH-SEP'!G33</f>
        <v>1.18</v>
      </c>
      <c r="CD486" s="263">
        <v>485</v>
      </c>
      <c r="CE486" s="9">
        <v>21</v>
      </c>
      <c r="CF486" s="9">
        <v>5</v>
      </c>
      <c r="CG486" s="167">
        <f>'HourGH-OCT'!G33</f>
        <v>1.73</v>
      </c>
      <c r="CH486" s="9">
        <v>485</v>
      </c>
      <c r="CI486" s="9">
        <v>21</v>
      </c>
      <c r="CJ486" s="9">
        <v>5</v>
      </c>
      <c r="CK486" s="167">
        <f>'HourGH-NOV'!G33</f>
        <v>0.77</v>
      </c>
      <c r="CL486" s="263">
        <v>485</v>
      </c>
      <c r="CM486" s="9">
        <v>21</v>
      </c>
      <c r="CN486" s="9">
        <v>5</v>
      </c>
      <c r="CO486" s="167">
        <f>'HourGH-DEC'!G33</f>
        <v>0.51</v>
      </c>
      <c r="CP486" s="263">
        <v>485</v>
      </c>
      <c r="CQ486" s="9">
        <v>21</v>
      </c>
      <c r="CR486" s="9">
        <v>5</v>
      </c>
      <c r="CS486" s="167">
        <f>'HourGH-JAN'!G33</f>
        <v>0.37</v>
      </c>
      <c r="CT486" s="9">
        <v>485</v>
      </c>
      <c r="CU486" s="9">
        <v>21</v>
      </c>
      <c r="CV486" s="9">
        <v>5</v>
      </c>
      <c r="CW486" s="167">
        <f>'HourGH-FEB'!G33</f>
        <v>0.26</v>
      </c>
      <c r="CX486" s="263">
        <v>485</v>
      </c>
      <c r="CY486" s="9">
        <v>21</v>
      </c>
      <c r="CZ486" s="9">
        <v>5</v>
      </c>
      <c r="DA486" s="167">
        <f>'HourGH-MAR'!G33</f>
        <v>0.19</v>
      </c>
    </row>
    <row r="487" spans="58:105">
      <c r="BF487" s="9">
        <v>486</v>
      </c>
      <c r="BG487" s="9">
        <v>21</v>
      </c>
      <c r="BH487" s="9">
        <v>6</v>
      </c>
      <c r="BI487" s="167">
        <f>'HourGH-APR'!H33</f>
        <v>0.56999999999999995</v>
      </c>
      <c r="BJ487" s="263">
        <v>486</v>
      </c>
      <c r="BK487" s="9">
        <v>21</v>
      </c>
      <c r="BL487" s="9">
        <v>6</v>
      </c>
      <c r="BM487" s="167">
        <f>'HourGH-MAY'!H33</f>
        <v>0.19</v>
      </c>
      <c r="BN487" s="9">
        <v>486</v>
      </c>
      <c r="BO487" s="9">
        <v>21</v>
      </c>
      <c r="BP487" s="9">
        <v>6</v>
      </c>
      <c r="BQ487" s="167">
        <f>'HourGH-JUN'!H33</f>
        <v>0.27</v>
      </c>
      <c r="BR487" s="263">
        <v>486</v>
      </c>
      <c r="BS487" s="9">
        <v>21</v>
      </c>
      <c r="BT487" s="9">
        <v>6</v>
      </c>
      <c r="BU487" s="167">
        <f>'HourGH-JUL'!H33</f>
        <v>0.34</v>
      </c>
      <c r="BV487" s="263">
        <v>486</v>
      </c>
      <c r="BW487" s="9">
        <v>21</v>
      </c>
      <c r="BX487" s="9">
        <v>6</v>
      </c>
      <c r="BY487" s="167">
        <f>'HourGH-AUG'!H33</f>
        <v>0.61</v>
      </c>
      <c r="BZ487" s="9">
        <v>486</v>
      </c>
      <c r="CA487" s="9">
        <v>21</v>
      </c>
      <c r="CB487" s="9">
        <v>6</v>
      </c>
      <c r="CC487" s="167">
        <f>'HourGH-SEP'!H33</f>
        <v>1.17</v>
      </c>
      <c r="CD487" s="263">
        <v>486</v>
      </c>
      <c r="CE487" s="9">
        <v>21</v>
      </c>
      <c r="CF487" s="9">
        <v>6</v>
      </c>
      <c r="CG487" s="167">
        <f>'HourGH-OCT'!H33</f>
        <v>1.72</v>
      </c>
      <c r="CH487" s="9">
        <v>486</v>
      </c>
      <c r="CI487" s="9">
        <v>21</v>
      </c>
      <c r="CJ487" s="9">
        <v>6</v>
      </c>
      <c r="CK487" s="167">
        <f>'HourGH-NOV'!H33</f>
        <v>0.77</v>
      </c>
      <c r="CL487" s="263">
        <v>486</v>
      </c>
      <c r="CM487" s="9">
        <v>21</v>
      </c>
      <c r="CN487" s="9">
        <v>6</v>
      </c>
      <c r="CO487" s="167">
        <f>'HourGH-DEC'!H33</f>
        <v>0.51</v>
      </c>
      <c r="CP487" s="263">
        <v>486</v>
      </c>
      <c r="CQ487" s="9">
        <v>21</v>
      </c>
      <c r="CR487" s="9">
        <v>6</v>
      </c>
      <c r="CS487" s="167">
        <f>'HourGH-JAN'!H33</f>
        <v>0.36</v>
      </c>
      <c r="CT487" s="9">
        <v>486</v>
      </c>
      <c r="CU487" s="9">
        <v>21</v>
      </c>
      <c r="CV487" s="9">
        <v>6</v>
      </c>
      <c r="CW487" s="167">
        <f>'HourGH-FEB'!H33</f>
        <v>0.26</v>
      </c>
      <c r="CX487" s="263">
        <v>486</v>
      </c>
      <c r="CY487" s="9">
        <v>21</v>
      </c>
      <c r="CZ487" s="9">
        <v>6</v>
      </c>
      <c r="DA487" s="167">
        <f>'HourGH-MAR'!H33</f>
        <v>0.19</v>
      </c>
    </row>
    <row r="488" spans="58:105">
      <c r="BF488" s="9">
        <v>487</v>
      </c>
      <c r="BG488" s="9">
        <v>21</v>
      </c>
      <c r="BH488" s="9">
        <v>7</v>
      </c>
      <c r="BI488" s="167">
        <f>'HourGH-APR'!I33</f>
        <v>0.56999999999999995</v>
      </c>
      <c r="BJ488" s="263">
        <v>487</v>
      </c>
      <c r="BK488" s="9">
        <v>21</v>
      </c>
      <c r="BL488" s="9">
        <v>7</v>
      </c>
      <c r="BM488" s="167">
        <f>'HourGH-MAY'!I33</f>
        <v>0.2</v>
      </c>
      <c r="BN488" s="9">
        <v>487</v>
      </c>
      <c r="BO488" s="9">
        <v>21</v>
      </c>
      <c r="BP488" s="9">
        <v>7</v>
      </c>
      <c r="BQ488" s="167">
        <f>'HourGH-JUN'!I33</f>
        <v>0.27</v>
      </c>
      <c r="BR488" s="263">
        <v>487</v>
      </c>
      <c r="BS488" s="9">
        <v>21</v>
      </c>
      <c r="BT488" s="9">
        <v>7</v>
      </c>
      <c r="BU488" s="167">
        <f>'HourGH-JUL'!I33</f>
        <v>0.34</v>
      </c>
      <c r="BV488" s="263">
        <v>487</v>
      </c>
      <c r="BW488" s="9">
        <v>21</v>
      </c>
      <c r="BX488" s="9">
        <v>7</v>
      </c>
      <c r="BY488" s="167">
        <f>'HourGH-AUG'!I33</f>
        <v>0.6</v>
      </c>
      <c r="BZ488" s="9">
        <v>487</v>
      </c>
      <c r="CA488" s="9">
        <v>21</v>
      </c>
      <c r="CB488" s="9">
        <v>7</v>
      </c>
      <c r="CC488" s="167">
        <f>'HourGH-SEP'!I33</f>
        <v>1.17</v>
      </c>
      <c r="CD488" s="263">
        <v>487</v>
      </c>
      <c r="CE488" s="9">
        <v>21</v>
      </c>
      <c r="CF488" s="9">
        <v>7</v>
      </c>
      <c r="CG488" s="167">
        <f>'HourGH-OCT'!I33</f>
        <v>1.71</v>
      </c>
      <c r="CH488" s="9">
        <v>487</v>
      </c>
      <c r="CI488" s="9">
        <v>21</v>
      </c>
      <c r="CJ488" s="9">
        <v>7</v>
      </c>
      <c r="CK488" s="167">
        <f>'HourGH-NOV'!I33</f>
        <v>0.76</v>
      </c>
      <c r="CL488" s="263">
        <v>487</v>
      </c>
      <c r="CM488" s="9">
        <v>21</v>
      </c>
      <c r="CN488" s="9">
        <v>7</v>
      </c>
      <c r="CO488" s="167">
        <f>'HourGH-DEC'!I33</f>
        <v>0.5</v>
      </c>
      <c r="CP488" s="263">
        <v>487</v>
      </c>
      <c r="CQ488" s="9">
        <v>21</v>
      </c>
      <c r="CR488" s="9">
        <v>7</v>
      </c>
      <c r="CS488" s="167">
        <f>'HourGH-JAN'!I33</f>
        <v>0.36</v>
      </c>
      <c r="CT488" s="9">
        <v>487</v>
      </c>
      <c r="CU488" s="9">
        <v>21</v>
      </c>
      <c r="CV488" s="9">
        <v>7</v>
      </c>
      <c r="CW488" s="167">
        <f>'HourGH-FEB'!I33</f>
        <v>0.27</v>
      </c>
      <c r="CX488" s="263">
        <v>487</v>
      </c>
      <c r="CY488" s="9">
        <v>21</v>
      </c>
      <c r="CZ488" s="9">
        <v>7</v>
      </c>
      <c r="DA488" s="167">
        <f>'HourGH-MAR'!I33</f>
        <v>0.19</v>
      </c>
    </row>
    <row r="489" spans="58:105">
      <c r="BF489" s="9">
        <v>488</v>
      </c>
      <c r="BG489" s="9">
        <v>21</v>
      </c>
      <c r="BH489" s="9">
        <v>8</v>
      </c>
      <c r="BI489" s="167">
        <f>'HourGH-APR'!J33</f>
        <v>0.56999999999999995</v>
      </c>
      <c r="BJ489" s="263">
        <v>488</v>
      </c>
      <c r="BK489" s="9">
        <v>21</v>
      </c>
      <c r="BL489" s="9">
        <v>8</v>
      </c>
      <c r="BM489" s="167">
        <f>'HourGH-MAY'!J33</f>
        <v>0.2</v>
      </c>
      <c r="BN489" s="9">
        <v>488</v>
      </c>
      <c r="BO489" s="9">
        <v>21</v>
      </c>
      <c r="BP489" s="9">
        <v>8</v>
      </c>
      <c r="BQ489" s="167">
        <f>'HourGH-JUN'!J33</f>
        <v>0.27</v>
      </c>
      <c r="BR489" s="263">
        <v>488</v>
      </c>
      <c r="BS489" s="9">
        <v>21</v>
      </c>
      <c r="BT489" s="9">
        <v>8</v>
      </c>
      <c r="BU489" s="167">
        <f>'HourGH-JUL'!J33</f>
        <v>0.34</v>
      </c>
      <c r="BV489" s="263">
        <v>488</v>
      </c>
      <c r="BW489" s="9">
        <v>21</v>
      </c>
      <c r="BX489" s="9">
        <v>8</v>
      </c>
      <c r="BY489" s="167">
        <f>'HourGH-AUG'!J33</f>
        <v>0.6</v>
      </c>
      <c r="BZ489" s="9">
        <v>488</v>
      </c>
      <c r="CA489" s="9">
        <v>21</v>
      </c>
      <c r="CB489" s="9">
        <v>8</v>
      </c>
      <c r="CC489" s="167">
        <f>'HourGH-SEP'!J33</f>
        <v>1.1599999999999999</v>
      </c>
      <c r="CD489" s="263">
        <v>488</v>
      </c>
      <c r="CE489" s="9">
        <v>21</v>
      </c>
      <c r="CF489" s="9">
        <v>8</v>
      </c>
      <c r="CG489" s="167">
        <f>'HourGH-OCT'!J33</f>
        <v>1.71</v>
      </c>
      <c r="CH489" s="9">
        <v>488</v>
      </c>
      <c r="CI489" s="9">
        <v>21</v>
      </c>
      <c r="CJ489" s="9">
        <v>8</v>
      </c>
      <c r="CK489" s="167">
        <f>'HourGH-NOV'!J33</f>
        <v>0.76</v>
      </c>
      <c r="CL489" s="263">
        <v>488</v>
      </c>
      <c r="CM489" s="9">
        <v>21</v>
      </c>
      <c r="CN489" s="9">
        <v>8</v>
      </c>
      <c r="CO489" s="167">
        <f>'HourGH-DEC'!J33</f>
        <v>0.5</v>
      </c>
      <c r="CP489" s="263">
        <v>488</v>
      </c>
      <c r="CQ489" s="9">
        <v>21</v>
      </c>
      <c r="CR489" s="9">
        <v>8</v>
      </c>
      <c r="CS489" s="167">
        <f>'HourGH-JAN'!J33</f>
        <v>0.36</v>
      </c>
      <c r="CT489" s="9">
        <v>488</v>
      </c>
      <c r="CU489" s="9">
        <v>21</v>
      </c>
      <c r="CV489" s="9">
        <v>8</v>
      </c>
      <c r="CW489" s="167">
        <f>'HourGH-FEB'!J33</f>
        <v>0.27</v>
      </c>
      <c r="CX489" s="263">
        <v>488</v>
      </c>
      <c r="CY489" s="9">
        <v>21</v>
      </c>
      <c r="CZ489" s="9">
        <v>8</v>
      </c>
      <c r="DA489" s="167">
        <f>'HourGH-MAR'!J33</f>
        <v>0.19</v>
      </c>
    </row>
    <row r="490" spans="58:105">
      <c r="BF490" s="9">
        <v>489</v>
      </c>
      <c r="BG490" s="9">
        <v>21</v>
      </c>
      <c r="BH490" s="9">
        <v>9</v>
      </c>
      <c r="BI490" s="167">
        <f>'HourGH-APR'!K33</f>
        <v>0.56999999999999995</v>
      </c>
      <c r="BJ490" s="263">
        <v>489</v>
      </c>
      <c r="BK490" s="9">
        <v>21</v>
      </c>
      <c r="BL490" s="9">
        <v>9</v>
      </c>
      <c r="BM490" s="167">
        <f>'HourGH-MAY'!K33</f>
        <v>0.21</v>
      </c>
      <c r="BN490" s="9">
        <v>489</v>
      </c>
      <c r="BO490" s="9">
        <v>21</v>
      </c>
      <c r="BP490" s="9">
        <v>9</v>
      </c>
      <c r="BQ490" s="167">
        <f>'HourGH-JUN'!K33</f>
        <v>0.27</v>
      </c>
      <c r="BR490" s="263">
        <v>489</v>
      </c>
      <c r="BS490" s="9">
        <v>21</v>
      </c>
      <c r="BT490" s="9">
        <v>9</v>
      </c>
      <c r="BU490" s="167">
        <f>'HourGH-JUL'!K33</f>
        <v>0.34</v>
      </c>
      <c r="BV490" s="263">
        <v>489</v>
      </c>
      <c r="BW490" s="9">
        <v>21</v>
      </c>
      <c r="BX490" s="9">
        <v>9</v>
      </c>
      <c r="BY490" s="167">
        <f>'HourGH-AUG'!K33</f>
        <v>0.6</v>
      </c>
      <c r="BZ490" s="9">
        <v>489</v>
      </c>
      <c r="CA490" s="9">
        <v>21</v>
      </c>
      <c r="CB490" s="9">
        <v>9</v>
      </c>
      <c r="CC490" s="167">
        <f>'HourGH-SEP'!K33</f>
        <v>1.1599999999999999</v>
      </c>
      <c r="CD490" s="263">
        <v>489</v>
      </c>
      <c r="CE490" s="9">
        <v>21</v>
      </c>
      <c r="CF490" s="9">
        <v>9</v>
      </c>
      <c r="CG490" s="167">
        <f>'HourGH-OCT'!K33</f>
        <v>1.7</v>
      </c>
      <c r="CH490" s="9">
        <v>489</v>
      </c>
      <c r="CI490" s="9">
        <v>21</v>
      </c>
      <c r="CJ490" s="9">
        <v>9</v>
      </c>
      <c r="CK490" s="167">
        <f>'HourGH-NOV'!K33</f>
        <v>0.75</v>
      </c>
      <c r="CL490" s="263">
        <v>489</v>
      </c>
      <c r="CM490" s="9">
        <v>21</v>
      </c>
      <c r="CN490" s="9">
        <v>9</v>
      </c>
      <c r="CO490" s="167">
        <f>'HourGH-DEC'!K33</f>
        <v>0.5</v>
      </c>
      <c r="CP490" s="263">
        <v>489</v>
      </c>
      <c r="CQ490" s="9">
        <v>21</v>
      </c>
      <c r="CR490" s="9">
        <v>9</v>
      </c>
      <c r="CS490" s="167">
        <f>'HourGH-JAN'!K33</f>
        <v>0.36</v>
      </c>
      <c r="CT490" s="9">
        <v>489</v>
      </c>
      <c r="CU490" s="9">
        <v>21</v>
      </c>
      <c r="CV490" s="9">
        <v>9</v>
      </c>
      <c r="CW490" s="167">
        <f>'HourGH-FEB'!K33</f>
        <v>0.28000000000000003</v>
      </c>
      <c r="CX490" s="263">
        <v>489</v>
      </c>
      <c r="CY490" s="9">
        <v>21</v>
      </c>
      <c r="CZ490" s="9">
        <v>9</v>
      </c>
      <c r="DA490" s="167">
        <f>'HourGH-MAR'!K33</f>
        <v>0.2</v>
      </c>
    </row>
    <row r="491" spans="58:105">
      <c r="BF491" s="9">
        <v>490</v>
      </c>
      <c r="BG491" s="9">
        <v>21</v>
      </c>
      <c r="BH491" s="9">
        <v>10</v>
      </c>
      <c r="BI491" s="167">
        <f>'HourGH-APR'!L33</f>
        <v>0.56999999999999995</v>
      </c>
      <c r="BJ491" s="263">
        <v>490</v>
      </c>
      <c r="BK491" s="9">
        <v>21</v>
      </c>
      <c r="BL491" s="9">
        <v>10</v>
      </c>
      <c r="BM491" s="167">
        <f>'HourGH-MAY'!L33</f>
        <v>0.21</v>
      </c>
      <c r="BN491" s="9">
        <v>490</v>
      </c>
      <c r="BO491" s="9">
        <v>21</v>
      </c>
      <c r="BP491" s="9">
        <v>10</v>
      </c>
      <c r="BQ491" s="167">
        <f>'HourGH-JUN'!L33</f>
        <v>0.27</v>
      </c>
      <c r="BR491" s="263">
        <v>490</v>
      </c>
      <c r="BS491" s="9">
        <v>21</v>
      </c>
      <c r="BT491" s="9">
        <v>10</v>
      </c>
      <c r="BU491" s="167">
        <f>'HourGH-JUL'!L33</f>
        <v>0.34</v>
      </c>
      <c r="BV491" s="263">
        <v>490</v>
      </c>
      <c r="BW491" s="9">
        <v>21</v>
      </c>
      <c r="BX491" s="9">
        <v>10</v>
      </c>
      <c r="BY491" s="167">
        <f>'HourGH-AUG'!L33</f>
        <v>0.6</v>
      </c>
      <c r="BZ491" s="9">
        <v>490</v>
      </c>
      <c r="CA491" s="9">
        <v>21</v>
      </c>
      <c r="CB491" s="9">
        <v>10</v>
      </c>
      <c r="CC491" s="167">
        <f>'HourGH-SEP'!L33</f>
        <v>1.1499999999999999</v>
      </c>
      <c r="CD491" s="263">
        <v>490</v>
      </c>
      <c r="CE491" s="9">
        <v>21</v>
      </c>
      <c r="CF491" s="9">
        <v>10</v>
      </c>
      <c r="CG491" s="167">
        <f>'HourGH-OCT'!L33</f>
        <v>1.7</v>
      </c>
      <c r="CH491" s="9">
        <v>490</v>
      </c>
      <c r="CI491" s="9">
        <v>21</v>
      </c>
      <c r="CJ491" s="9">
        <v>10</v>
      </c>
      <c r="CK491" s="167">
        <f>'HourGH-NOV'!L33</f>
        <v>0.75</v>
      </c>
      <c r="CL491" s="263">
        <v>490</v>
      </c>
      <c r="CM491" s="9">
        <v>21</v>
      </c>
      <c r="CN491" s="9">
        <v>10</v>
      </c>
      <c r="CO491" s="167">
        <f>'HourGH-DEC'!L33</f>
        <v>0.5</v>
      </c>
      <c r="CP491" s="263">
        <v>490</v>
      </c>
      <c r="CQ491" s="9">
        <v>21</v>
      </c>
      <c r="CR491" s="9">
        <v>10</v>
      </c>
      <c r="CS491" s="167">
        <f>'HourGH-JAN'!L33</f>
        <v>0.36</v>
      </c>
      <c r="CT491" s="9">
        <v>490</v>
      </c>
      <c r="CU491" s="9">
        <v>21</v>
      </c>
      <c r="CV491" s="9">
        <v>10</v>
      </c>
      <c r="CW491" s="167">
        <f>'HourGH-FEB'!L33</f>
        <v>0.28999999999999998</v>
      </c>
      <c r="CX491" s="263">
        <v>490</v>
      </c>
      <c r="CY491" s="9">
        <v>21</v>
      </c>
      <c r="CZ491" s="9">
        <v>10</v>
      </c>
      <c r="DA491" s="167">
        <f>'HourGH-MAR'!L33</f>
        <v>0.21</v>
      </c>
    </row>
    <row r="492" spans="58:105">
      <c r="BF492" s="9">
        <v>491</v>
      </c>
      <c r="BG492" s="9">
        <v>21</v>
      </c>
      <c r="BH492" s="9">
        <v>11</v>
      </c>
      <c r="BI492" s="167">
        <f>'HourGH-APR'!M33</f>
        <v>0.56999999999999995</v>
      </c>
      <c r="BJ492" s="263">
        <v>491</v>
      </c>
      <c r="BK492" s="9">
        <v>21</v>
      </c>
      <c r="BL492" s="9">
        <v>11</v>
      </c>
      <c r="BM492" s="167">
        <f>'HourGH-MAY'!M33</f>
        <v>0.22</v>
      </c>
      <c r="BN492" s="9">
        <v>491</v>
      </c>
      <c r="BO492" s="9">
        <v>21</v>
      </c>
      <c r="BP492" s="9">
        <v>11</v>
      </c>
      <c r="BQ492" s="167">
        <f>'HourGH-JUN'!M33</f>
        <v>0.27</v>
      </c>
      <c r="BR492" s="263">
        <v>491</v>
      </c>
      <c r="BS492" s="9">
        <v>21</v>
      </c>
      <c r="BT492" s="9">
        <v>11</v>
      </c>
      <c r="BU492" s="167">
        <f>'HourGH-JUL'!M33</f>
        <v>0.34</v>
      </c>
      <c r="BV492" s="263">
        <v>491</v>
      </c>
      <c r="BW492" s="9">
        <v>21</v>
      </c>
      <c r="BX492" s="9">
        <v>11</v>
      </c>
      <c r="BY492" s="167">
        <f>'HourGH-AUG'!M33</f>
        <v>0.6</v>
      </c>
      <c r="BZ492" s="9">
        <v>491</v>
      </c>
      <c r="CA492" s="9">
        <v>21</v>
      </c>
      <c r="CB492" s="9">
        <v>11</v>
      </c>
      <c r="CC492" s="167">
        <f>'HourGH-SEP'!M33</f>
        <v>1.1499999999999999</v>
      </c>
      <c r="CD492" s="263">
        <v>491</v>
      </c>
      <c r="CE492" s="9">
        <v>21</v>
      </c>
      <c r="CF492" s="9">
        <v>11</v>
      </c>
      <c r="CG492" s="167">
        <f>'HourGH-OCT'!M33</f>
        <v>1.7</v>
      </c>
      <c r="CH492" s="9">
        <v>491</v>
      </c>
      <c r="CI492" s="9">
        <v>21</v>
      </c>
      <c r="CJ492" s="9">
        <v>11</v>
      </c>
      <c r="CK492" s="167">
        <f>'HourGH-NOV'!M33</f>
        <v>0.74</v>
      </c>
      <c r="CL492" s="263">
        <v>491</v>
      </c>
      <c r="CM492" s="9">
        <v>21</v>
      </c>
      <c r="CN492" s="9">
        <v>11</v>
      </c>
      <c r="CO492" s="167">
        <f>'HourGH-DEC'!M33</f>
        <v>0.5</v>
      </c>
      <c r="CP492" s="263">
        <v>491</v>
      </c>
      <c r="CQ492" s="9">
        <v>21</v>
      </c>
      <c r="CR492" s="9">
        <v>11</v>
      </c>
      <c r="CS492" s="167">
        <f>'HourGH-JAN'!M33</f>
        <v>0.36</v>
      </c>
      <c r="CT492" s="9">
        <v>491</v>
      </c>
      <c r="CU492" s="9">
        <v>21</v>
      </c>
      <c r="CV492" s="9">
        <v>11</v>
      </c>
      <c r="CW492" s="167">
        <f>'HourGH-FEB'!M33</f>
        <v>0.3</v>
      </c>
      <c r="CX492" s="263">
        <v>491</v>
      </c>
      <c r="CY492" s="9">
        <v>21</v>
      </c>
      <c r="CZ492" s="9">
        <v>11</v>
      </c>
      <c r="DA492" s="167">
        <f>'HourGH-MAR'!M33</f>
        <v>0.22</v>
      </c>
    </row>
    <row r="493" spans="58:105">
      <c r="BF493" s="9">
        <v>492</v>
      </c>
      <c r="BG493" s="9">
        <v>21</v>
      </c>
      <c r="BH493" s="9">
        <v>12</v>
      </c>
      <c r="BI493" s="167">
        <f>'HourGH-APR'!N33</f>
        <v>0.56999999999999995</v>
      </c>
      <c r="BJ493" s="263">
        <v>492</v>
      </c>
      <c r="BK493" s="9">
        <v>21</v>
      </c>
      <c r="BL493" s="9">
        <v>12</v>
      </c>
      <c r="BM493" s="167">
        <f>'HourGH-MAY'!N33</f>
        <v>0.22</v>
      </c>
      <c r="BN493" s="9">
        <v>492</v>
      </c>
      <c r="BO493" s="9">
        <v>21</v>
      </c>
      <c r="BP493" s="9">
        <v>12</v>
      </c>
      <c r="BQ493" s="167">
        <f>'HourGH-JUN'!N33</f>
        <v>0.27</v>
      </c>
      <c r="BR493" s="263">
        <v>492</v>
      </c>
      <c r="BS493" s="9">
        <v>21</v>
      </c>
      <c r="BT493" s="9">
        <v>12</v>
      </c>
      <c r="BU493" s="167">
        <f>'HourGH-JUL'!N33</f>
        <v>0.34</v>
      </c>
      <c r="BV493" s="263">
        <v>492</v>
      </c>
      <c r="BW493" s="9">
        <v>21</v>
      </c>
      <c r="BX493" s="9">
        <v>12</v>
      </c>
      <c r="BY493" s="167">
        <f>'HourGH-AUG'!N33</f>
        <v>0.6</v>
      </c>
      <c r="BZ493" s="9">
        <v>492</v>
      </c>
      <c r="CA493" s="9">
        <v>21</v>
      </c>
      <c r="CB493" s="9">
        <v>12</v>
      </c>
      <c r="CC493" s="167">
        <f>'HourGH-SEP'!N33</f>
        <v>1.1399999999999999</v>
      </c>
      <c r="CD493" s="263">
        <v>492</v>
      </c>
      <c r="CE493" s="9">
        <v>21</v>
      </c>
      <c r="CF493" s="9">
        <v>12</v>
      </c>
      <c r="CG493" s="167">
        <f>'HourGH-OCT'!N33</f>
        <v>1.7</v>
      </c>
      <c r="CH493" s="9">
        <v>492</v>
      </c>
      <c r="CI493" s="9">
        <v>21</v>
      </c>
      <c r="CJ493" s="9">
        <v>12</v>
      </c>
      <c r="CK493" s="167">
        <f>'HourGH-NOV'!N33</f>
        <v>0.74</v>
      </c>
      <c r="CL493" s="263">
        <v>492</v>
      </c>
      <c r="CM493" s="9">
        <v>21</v>
      </c>
      <c r="CN493" s="9">
        <v>12</v>
      </c>
      <c r="CO493" s="167">
        <f>'HourGH-DEC'!N33</f>
        <v>0.5</v>
      </c>
      <c r="CP493" s="263">
        <v>492</v>
      </c>
      <c r="CQ493" s="9">
        <v>21</v>
      </c>
      <c r="CR493" s="9">
        <v>12</v>
      </c>
      <c r="CS493" s="167">
        <f>'HourGH-JAN'!N33</f>
        <v>0.36</v>
      </c>
      <c r="CT493" s="9">
        <v>492</v>
      </c>
      <c r="CU493" s="9">
        <v>21</v>
      </c>
      <c r="CV493" s="9">
        <v>12</v>
      </c>
      <c r="CW493" s="167">
        <f>'HourGH-FEB'!N33</f>
        <v>0.31</v>
      </c>
      <c r="CX493" s="263">
        <v>492</v>
      </c>
      <c r="CY493" s="9">
        <v>21</v>
      </c>
      <c r="CZ493" s="9">
        <v>12</v>
      </c>
      <c r="DA493" s="167">
        <f>'HourGH-MAR'!N33</f>
        <v>0.23</v>
      </c>
    </row>
    <row r="494" spans="58:105">
      <c r="BF494" s="9">
        <v>493</v>
      </c>
      <c r="BG494" s="9">
        <v>21</v>
      </c>
      <c r="BH494" s="9">
        <v>13</v>
      </c>
      <c r="BI494" s="167">
        <f>'HourGH-APR'!O33</f>
        <v>0.56999999999999995</v>
      </c>
      <c r="BJ494" s="263">
        <v>493</v>
      </c>
      <c r="BK494" s="9">
        <v>21</v>
      </c>
      <c r="BL494" s="9">
        <v>13</v>
      </c>
      <c r="BM494" s="167">
        <f>'HourGH-MAY'!O33</f>
        <v>0.23</v>
      </c>
      <c r="BN494" s="9">
        <v>493</v>
      </c>
      <c r="BO494" s="9">
        <v>21</v>
      </c>
      <c r="BP494" s="9">
        <v>13</v>
      </c>
      <c r="BQ494" s="167">
        <f>'HourGH-JUN'!O33</f>
        <v>0.26</v>
      </c>
      <c r="BR494" s="263">
        <v>493</v>
      </c>
      <c r="BS494" s="9">
        <v>21</v>
      </c>
      <c r="BT494" s="9">
        <v>13</v>
      </c>
      <c r="BU494" s="167">
        <f>'HourGH-JUL'!O33</f>
        <v>0.34</v>
      </c>
      <c r="BV494" s="263">
        <v>493</v>
      </c>
      <c r="BW494" s="9">
        <v>21</v>
      </c>
      <c r="BX494" s="9">
        <v>13</v>
      </c>
      <c r="BY494" s="167">
        <f>'HourGH-AUG'!O33</f>
        <v>0.6</v>
      </c>
      <c r="BZ494" s="9">
        <v>493</v>
      </c>
      <c r="CA494" s="9">
        <v>21</v>
      </c>
      <c r="CB494" s="9">
        <v>13</v>
      </c>
      <c r="CC494" s="167">
        <f>'HourGH-SEP'!O33</f>
        <v>1.1399999999999999</v>
      </c>
      <c r="CD494" s="263">
        <v>493</v>
      </c>
      <c r="CE494" s="9">
        <v>21</v>
      </c>
      <c r="CF494" s="9">
        <v>13</v>
      </c>
      <c r="CG494" s="167">
        <f>'HourGH-OCT'!O33</f>
        <v>1.7</v>
      </c>
      <c r="CH494" s="9">
        <v>493</v>
      </c>
      <c r="CI494" s="9">
        <v>21</v>
      </c>
      <c r="CJ494" s="9">
        <v>13</v>
      </c>
      <c r="CK494" s="167">
        <f>'HourGH-NOV'!O33</f>
        <v>0.73</v>
      </c>
      <c r="CL494" s="263">
        <v>493</v>
      </c>
      <c r="CM494" s="9">
        <v>21</v>
      </c>
      <c r="CN494" s="9">
        <v>13</v>
      </c>
      <c r="CO494" s="167">
        <f>'HourGH-DEC'!O33</f>
        <v>0.49</v>
      </c>
      <c r="CP494" s="263">
        <v>493</v>
      </c>
      <c r="CQ494" s="9">
        <v>21</v>
      </c>
      <c r="CR494" s="9">
        <v>13</v>
      </c>
      <c r="CS494" s="167">
        <f>'HourGH-JAN'!O33</f>
        <v>0.36</v>
      </c>
      <c r="CT494" s="9">
        <v>493</v>
      </c>
      <c r="CU494" s="9">
        <v>21</v>
      </c>
      <c r="CV494" s="9">
        <v>13</v>
      </c>
      <c r="CW494" s="167">
        <f>'HourGH-FEB'!O33</f>
        <v>0.33</v>
      </c>
      <c r="CX494" s="263">
        <v>493</v>
      </c>
      <c r="CY494" s="9">
        <v>21</v>
      </c>
      <c r="CZ494" s="9">
        <v>13</v>
      </c>
      <c r="DA494" s="167">
        <f>'HourGH-MAR'!O33</f>
        <v>0.25</v>
      </c>
    </row>
    <row r="495" spans="58:105">
      <c r="BF495" s="9">
        <v>494</v>
      </c>
      <c r="BG495" s="9">
        <v>21</v>
      </c>
      <c r="BH495" s="9">
        <v>14</v>
      </c>
      <c r="BI495" s="167">
        <f>'HourGH-APR'!P33</f>
        <v>0.56999999999999995</v>
      </c>
      <c r="BJ495" s="263">
        <v>494</v>
      </c>
      <c r="BK495" s="9">
        <v>21</v>
      </c>
      <c r="BL495" s="9">
        <v>14</v>
      </c>
      <c r="BM495" s="167">
        <f>'HourGH-MAY'!P33</f>
        <v>0.24</v>
      </c>
      <c r="BN495" s="9">
        <v>494</v>
      </c>
      <c r="BO495" s="9">
        <v>21</v>
      </c>
      <c r="BP495" s="9">
        <v>14</v>
      </c>
      <c r="BQ495" s="167">
        <f>'HourGH-JUN'!P33</f>
        <v>0.26</v>
      </c>
      <c r="BR495" s="263">
        <v>494</v>
      </c>
      <c r="BS495" s="9">
        <v>21</v>
      </c>
      <c r="BT495" s="9">
        <v>14</v>
      </c>
      <c r="BU495" s="167">
        <f>'HourGH-JUL'!P33</f>
        <v>0.34</v>
      </c>
      <c r="BV495" s="263">
        <v>494</v>
      </c>
      <c r="BW495" s="9">
        <v>21</v>
      </c>
      <c r="BX495" s="9">
        <v>14</v>
      </c>
      <c r="BY495" s="167">
        <f>'HourGH-AUG'!P33</f>
        <v>0.6</v>
      </c>
      <c r="BZ495" s="9">
        <v>494</v>
      </c>
      <c r="CA495" s="9">
        <v>21</v>
      </c>
      <c r="CB495" s="9">
        <v>14</v>
      </c>
      <c r="CC495" s="167">
        <f>'HourGH-SEP'!P33</f>
        <v>1.1299999999999999</v>
      </c>
      <c r="CD495" s="263">
        <v>494</v>
      </c>
      <c r="CE495" s="9">
        <v>21</v>
      </c>
      <c r="CF495" s="9">
        <v>14</v>
      </c>
      <c r="CG495" s="167">
        <f>'HourGH-OCT'!P33</f>
        <v>1.7</v>
      </c>
      <c r="CH495" s="9">
        <v>494</v>
      </c>
      <c r="CI495" s="9">
        <v>21</v>
      </c>
      <c r="CJ495" s="9">
        <v>14</v>
      </c>
      <c r="CK495" s="167">
        <f>'HourGH-NOV'!P33</f>
        <v>0.73</v>
      </c>
      <c r="CL495" s="263">
        <v>494</v>
      </c>
      <c r="CM495" s="9">
        <v>21</v>
      </c>
      <c r="CN495" s="9">
        <v>14</v>
      </c>
      <c r="CO495" s="167">
        <f>'HourGH-DEC'!P33</f>
        <v>0.49</v>
      </c>
      <c r="CP495" s="263">
        <v>494</v>
      </c>
      <c r="CQ495" s="9">
        <v>21</v>
      </c>
      <c r="CR495" s="9">
        <v>14</v>
      </c>
      <c r="CS495" s="167">
        <f>'HourGH-JAN'!P33</f>
        <v>0.36</v>
      </c>
      <c r="CT495" s="9">
        <v>494</v>
      </c>
      <c r="CU495" s="9">
        <v>21</v>
      </c>
      <c r="CV495" s="9">
        <v>14</v>
      </c>
      <c r="CW495" s="167">
        <f>'HourGH-FEB'!P33</f>
        <v>0.35</v>
      </c>
      <c r="CX495" s="263">
        <v>494</v>
      </c>
      <c r="CY495" s="9">
        <v>21</v>
      </c>
      <c r="CZ495" s="9">
        <v>14</v>
      </c>
      <c r="DA495" s="167">
        <f>'HourGH-MAR'!P33</f>
        <v>0.28000000000000003</v>
      </c>
    </row>
    <row r="496" spans="58:105">
      <c r="BF496" s="9">
        <v>495</v>
      </c>
      <c r="BG496" s="9">
        <v>21</v>
      </c>
      <c r="BH496" s="9">
        <v>15</v>
      </c>
      <c r="BI496" s="167">
        <f>'HourGH-APR'!Q33</f>
        <v>0.56999999999999995</v>
      </c>
      <c r="BJ496" s="263">
        <v>495</v>
      </c>
      <c r="BK496" s="9">
        <v>21</v>
      </c>
      <c r="BL496" s="9">
        <v>15</v>
      </c>
      <c r="BM496" s="167">
        <f>'HourGH-MAY'!Q33</f>
        <v>0.25</v>
      </c>
      <c r="BN496" s="9">
        <v>495</v>
      </c>
      <c r="BO496" s="9">
        <v>21</v>
      </c>
      <c r="BP496" s="9">
        <v>15</v>
      </c>
      <c r="BQ496" s="167">
        <f>'HourGH-JUN'!Q33</f>
        <v>0.26</v>
      </c>
      <c r="BR496" s="263">
        <v>495</v>
      </c>
      <c r="BS496" s="9">
        <v>21</v>
      </c>
      <c r="BT496" s="9">
        <v>15</v>
      </c>
      <c r="BU496" s="167">
        <f>'HourGH-JUL'!Q33</f>
        <v>0.34</v>
      </c>
      <c r="BV496" s="263">
        <v>495</v>
      </c>
      <c r="BW496" s="9">
        <v>21</v>
      </c>
      <c r="BX496" s="9">
        <v>15</v>
      </c>
      <c r="BY496" s="167">
        <f>'HourGH-AUG'!Q33</f>
        <v>0.6</v>
      </c>
      <c r="BZ496" s="9">
        <v>495</v>
      </c>
      <c r="CA496" s="9">
        <v>21</v>
      </c>
      <c r="CB496" s="9">
        <v>15</v>
      </c>
      <c r="CC496" s="167">
        <f>'HourGH-SEP'!Q33</f>
        <v>1.1200000000000001</v>
      </c>
      <c r="CD496" s="263">
        <v>495</v>
      </c>
      <c r="CE496" s="9">
        <v>21</v>
      </c>
      <c r="CF496" s="9">
        <v>15</v>
      </c>
      <c r="CG496" s="167">
        <f>'HourGH-OCT'!Q33</f>
        <v>1.7</v>
      </c>
      <c r="CH496" s="9">
        <v>495</v>
      </c>
      <c r="CI496" s="9">
        <v>21</v>
      </c>
      <c r="CJ496" s="9">
        <v>15</v>
      </c>
      <c r="CK496" s="167">
        <f>'HourGH-NOV'!Q33</f>
        <v>0.73</v>
      </c>
      <c r="CL496" s="263">
        <v>495</v>
      </c>
      <c r="CM496" s="9">
        <v>21</v>
      </c>
      <c r="CN496" s="9">
        <v>15</v>
      </c>
      <c r="CO496" s="167">
        <f>'HourGH-DEC'!Q33</f>
        <v>0.49</v>
      </c>
      <c r="CP496" s="263">
        <v>495</v>
      </c>
      <c r="CQ496" s="9">
        <v>21</v>
      </c>
      <c r="CR496" s="9">
        <v>15</v>
      </c>
      <c r="CS496" s="167">
        <f>'HourGH-JAN'!Q33</f>
        <v>0.36</v>
      </c>
      <c r="CT496" s="9">
        <v>495</v>
      </c>
      <c r="CU496" s="9">
        <v>21</v>
      </c>
      <c r="CV496" s="9">
        <v>15</v>
      </c>
      <c r="CW496" s="167">
        <f>'HourGH-FEB'!Q33</f>
        <v>0.37</v>
      </c>
      <c r="CX496" s="263">
        <v>495</v>
      </c>
      <c r="CY496" s="9">
        <v>21</v>
      </c>
      <c r="CZ496" s="9">
        <v>15</v>
      </c>
      <c r="DA496" s="167">
        <f>'HourGH-MAR'!Q33</f>
        <v>0.32</v>
      </c>
    </row>
    <row r="497" spans="58:105">
      <c r="BF497" s="9">
        <v>496</v>
      </c>
      <c r="BG497" s="9">
        <v>21</v>
      </c>
      <c r="BH497" s="9">
        <v>16</v>
      </c>
      <c r="BI497" s="167">
        <f>'HourGH-APR'!R33</f>
        <v>0.56999999999999995</v>
      </c>
      <c r="BJ497" s="263">
        <v>496</v>
      </c>
      <c r="BK497" s="9">
        <v>21</v>
      </c>
      <c r="BL497" s="9">
        <v>16</v>
      </c>
      <c r="BM497" s="167">
        <f>'HourGH-MAY'!R33</f>
        <v>0.25</v>
      </c>
      <c r="BN497" s="9">
        <v>496</v>
      </c>
      <c r="BO497" s="9">
        <v>21</v>
      </c>
      <c r="BP497" s="9">
        <v>16</v>
      </c>
      <c r="BQ497" s="167">
        <f>'HourGH-JUN'!R33</f>
        <v>0.26</v>
      </c>
      <c r="BR497" s="263">
        <v>496</v>
      </c>
      <c r="BS497" s="9">
        <v>21</v>
      </c>
      <c r="BT497" s="9">
        <v>16</v>
      </c>
      <c r="BU497" s="167">
        <f>'HourGH-JUL'!R33</f>
        <v>0.34</v>
      </c>
      <c r="BV497" s="263">
        <v>496</v>
      </c>
      <c r="BW497" s="9">
        <v>21</v>
      </c>
      <c r="BX497" s="9">
        <v>16</v>
      </c>
      <c r="BY497" s="167">
        <f>'HourGH-AUG'!R33</f>
        <v>0.6</v>
      </c>
      <c r="BZ497" s="9">
        <v>496</v>
      </c>
      <c r="CA497" s="9">
        <v>21</v>
      </c>
      <c r="CB497" s="9">
        <v>16</v>
      </c>
      <c r="CC497" s="167">
        <f>'HourGH-SEP'!R33</f>
        <v>1.1100000000000001</v>
      </c>
      <c r="CD497" s="263">
        <v>496</v>
      </c>
      <c r="CE497" s="9">
        <v>21</v>
      </c>
      <c r="CF497" s="9">
        <v>16</v>
      </c>
      <c r="CG497" s="167">
        <f>'HourGH-OCT'!R33</f>
        <v>1.7</v>
      </c>
      <c r="CH497" s="9">
        <v>496</v>
      </c>
      <c r="CI497" s="9">
        <v>21</v>
      </c>
      <c r="CJ497" s="9">
        <v>16</v>
      </c>
      <c r="CK497" s="167">
        <f>'HourGH-NOV'!R33</f>
        <v>0.73</v>
      </c>
      <c r="CL497" s="263">
        <v>496</v>
      </c>
      <c r="CM497" s="9">
        <v>21</v>
      </c>
      <c r="CN497" s="9">
        <v>16</v>
      </c>
      <c r="CO497" s="167">
        <f>'HourGH-DEC'!R33</f>
        <v>0.49</v>
      </c>
      <c r="CP497" s="263">
        <v>496</v>
      </c>
      <c r="CQ497" s="9">
        <v>21</v>
      </c>
      <c r="CR497" s="9">
        <v>16</v>
      </c>
      <c r="CS497" s="167">
        <f>'HourGH-JAN'!R33</f>
        <v>0.36</v>
      </c>
      <c r="CT497" s="9">
        <v>496</v>
      </c>
      <c r="CU497" s="9">
        <v>21</v>
      </c>
      <c r="CV497" s="9">
        <v>16</v>
      </c>
      <c r="CW497" s="167">
        <f>'HourGH-FEB'!R33</f>
        <v>0.39</v>
      </c>
      <c r="CX497" s="263">
        <v>496</v>
      </c>
      <c r="CY497" s="9">
        <v>21</v>
      </c>
      <c r="CZ497" s="9">
        <v>16</v>
      </c>
      <c r="DA497" s="167">
        <f>'HourGH-MAR'!R33</f>
        <v>0.36</v>
      </c>
    </row>
    <row r="498" spans="58:105">
      <c r="BF498" s="9">
        <v>497</v>
      </c>
      <c r="BG498" s="9">
        <v>21</v>
      </c>
      <c r="BH498" s="9">
        <v>17</v>
      </c>
      <c r="BI498" s="167">
        <f>'HourGH-APR'!S33</f>
        <v>0.56999999999999995</v>
      </c>
      <c r="BJ498" s="263">
        <v>497</v>
      </c>
      <c r="BK498" s="9">
        <v>21</v>
      </c>
      <c r="BL498" s="9">
        <v>17</v>
      </c>
      <c r="BM498" s="167">
        <f>'HourGH-MAY'!S33</f>
        <v>0.25</v>
      </c>
      <c r="BN498" s="9">
        <v>497</v>
      </c>
      <c r="BO498" s="9">
        <v>21</v>
      </c>
      <c r="BP498" s="9">
        <v>17</v>
      </c>
      <c r="BQ498" s="167">
        <f>'HourGH-JUN'!S33</f>
        <v>0.26</v>
      </c>
      <c r="BR498" s="263">
        <v>497</v>
      </c>
      <c r="BS498" s="9">
        <v>21</v>
      </c>
      <c r="BT498" s="9">
        <v>17</v>
      </c>
      <c r="BU498" s="167">
        <f>'HourGH-JUL'!S33</f>
        <v>0.34</v>
      </c>
      <c r="BV498" s="263">
        <v>497</v>
      </c>
      <c r="BW498" s="9">
        <v>21</v>
      </c>
      <c r="BX498" s="9">
        <v>17</v>
      </c>
      <c r="BY498" s="167">
        <f>'HourGH-AUG'!S33</f>
        <v>0.6</v>
      </c>
      <c r="BZ498" s="9">
        <v>497</v>
      </c>
      <c r="CA498" s="9">
        <v>21</v>
      </c>
      <c r="CB498" s="9">
        <v>17</v>
      </c>
      <c r="CC498" s="167">
        <f>'HourGH-SEP'!S33</f>
        <v>1.1000000000000001</v>
      </c>
      <c r="CD498" s="263">
        <v>497</v>
      </c>
      <c r="CE498" s="9">
        <v>21</v>
      </c>
      <c r="CF498" s="9">
        <v>17</v>
      </c>
      <c r="CG498" s="167">
        <f>'HourGH-OCT'!S33</f>
        <v>1.7</v>
      </c>
      <c r="CH498" s="9">
        <v>497</v>
      </c>
      <c r="CI498" s="9">
        <v>21</v>
      </c>
      <c r="CJ498" s="9">
        <v>17</v>
      </c>
      <c r="CK498" s="167">
        <f>'HourGH-NOV'!S33</f>
        <v>0.73</v>
      </c>
      <c r="CL498" s="263">
        <v>497</v>
      </c>
      <c r="CM498" s="9">
        <v>21</v>
      </c>
      <c r="CN498" s="9">
        <v>17</v>
      </c>
      <c r="CO498" s="167">
        <f>'HourGH-DEC'!S33</f>
        <v>0.49</v>
      </c>
      <c r="CP498" s="263">
        <v>497</v>
      </c>
      <c r="CQ498" s="9">
        <v>21</v>
      </c>
      <c r="CR498" s="9">
        <v>17</v>
      </c>
      <c r="CS498" s="167">
        <f>'HourGH-JAN'!S33</f>
        <v>0.36</v>
      </c>
      <c r="CT498" s="9">
        <v>497</v>
      </c>
      <c r="CU498" s="9">
        <v>21</v>
      </c>
      <c r="CV498" s="9">
        <v>17</v>
      </c>
      <c r="CW498" s="167">
        <f>'HourGH-FEB'!S33</f>
        <v>0.41</v>
      </c>
      <c r="CX498" s="263">
        <v>497</v>
      </c>
      <c r="CY498" s="9">
        <v>21</v>
      </c>
      <c r="CZ498" s="9">
        <v>17</v>
      </c>
      <c r="DA498" s="167">
        <f>'HourGH-MAR'!S33</f>
        <v>0.4</v>
      </c>
    </row>
    <row r="499" spans="58:105">
      <c r="BF499" s="9">
        <v>498</v>
      </c>
      <c r="BG499" s="9">
        <v>21</v>
      </c>
      <c r="BH499" s="9">
        <v>18</v>
      </c>
      <c r="BI499" s="167">
        <f>'HourGH-APR'!T33</f>
        <v>0.56999999999999995</v>
      </c>
      <c r="BJ499" s="263">
        <v>498</v>
      </c>
      <c r="BK499" s="9">
        <v>21</v>
      </c>
      <c r="BL499" s="9">
        <v>18</v>
      </c>
      <c r="BM499" s="167">
        <f>'HourGH-MAY'!T33</f>
        <v>0.25</v>
      </c>
      <c r="BN499" s="9">
        <v>498</v>
      </c>
      <c r="BO499" s="9">
        <v>21</v>
      </c>
      <c r="BP499" s="9">
        <v>18</v>
      </c>
      <c r="BQ499" s="167">
        <f>'HourGH-JUN'!T33</f>
        <v>0.26</v>
      </c>
      <c r="BR499" s="263">
        <v>498</v>
      </c>
      <c r="BS499" s="9">
        <v>21</v>
      </c>
      <c r="BT499" s="9">
        <v>18</v>
      </c>
      <c r="BU499" s="167">
        <f>'HourGH-JUL'!T33</f>
        <v>0.34</v>
      </c>
      <c r="BV499" s="263">
        <v>498</v>
      </c>
      <c r="BW499" s="9">
        <v>21</v>
      </c>
      <c r="BX499" s="9">
        <v>18</v>
      </c>
      <c r="BY499" s="167">
        <f>'HourGH-AUG'!T33</f>
        <v>0.6</v>
      </c>
      <c r="BZ499" s="9">
        <v>498</v>
      </c>
      <c r="CA499" s="9">
        <v>21</v>
      </c>
      <c r="CB499" s="9">
        <v>18</v>
      </c>
      <c r="CC499" s="167">
        <f>'HourGH-SEP'!T33</f>
        <v>1.0900000000000001</v>
      </c>
      <c r="CD499" s="263">
        <v>498</v>
      </c>
      <c r="CE499" s="9">
        <v>21</v>
      </c>
      <c r="CF499" s="9">
        <v>18</v>
      </c>
      <c r="CG499" s="167">
        <f>'HourGH-OCT'!T33</f>
        <v>1.71</v>
      </c>
      <c r="CH499" s="9">
        <v>498</v>
      </c>
      <c r="CI499" s="9">
        <v>21</v>
      </c>
      <c r="CJ499" s="9">
        <v>18</v>
      </c>
      <c r="CK499" s="167">
        <f>'HourGH-NOV'!T33</f>
        <v>0.73</v>
      </c>
      <c r="CL499" s="263">
        <v>498</v>
      </c>
      <c r="CM499" s="9">
        <v>21</v>
      </c>
      <c r="CN499" s="9">
        <v>18</v>
      </c>
      <c r="CO499" s="167">
        <f>'HourGH-DEC'!T33</f>
        <v>0.49</v>
      </c>
      <c r="CP499" s="263">
        <v>498</v>
      </c>
      <c r="CQ499" s="9">
        <v>21</v>
      </c>
      <c r="CR499" s="9">
        <v>18</v>
      </c>
      <c r="CS499" s="167">
        <f>'HourGH-JAN'!T33</f>
        <v>0.36</v>
      </c>
      <c r="CT499" s="9">
        <v>498</v>
      </c>
      <c r="CU499" s="9">
        <v>21</v>
      </c>
      <c r="CV499" s="9">
        <v>18</v>
      </c>
      <c r="CW499" s="167">
        <f>'HourGH-FEB'!T33</f>
        <v>0.43</v>
      </c>
      <c r="CX499" s="263">
        <v>498</v>
      </c>
      <c r="CY499" s="9">
        <v>21</v>
      </c>
      <c r="CZ499" s="9">
        <v>18</v>
      </c>
      <c r="DA499" s="167">
        <f>'HourGH-MAR'!T33</f>
        <v>0.44</v>
      </c>
    </row>
    <row r="500" spans="58:105">
      <c r="BF500" s="9">
        <v>499</v>
      </c>
      <c r="BG500" s="9">
        <v>21</v>
      </c>
      <c r="BH500" s="9">
        <v>19</v>
      </c>
      <c r="BI500" s="167">
        <f>'HourGH-APR'!U33</f>
        <v>0.56999999999999995</v>
      </c>
      <c r="BJ500" s="263">
        <v>499</v>
      </c>
      <c r="BK500" s="9">
        <v>21</v>
      </c>
      <c r="BL500" s="9">
        <v>19</v>
      </c>
      <c r="BM500" s="167">
        <f>'HourGH-MAY'!U33</f>
        <v>0.25</v>
      </c>
      <c r="BN500" s="9">
        <v>499</v>
      </c>
      <c r="BO500" s="9">
        <v>21</v>
      </c>
      <c r="BP500" s="9">
        <v>19</v>
      </c>
      <c r="BQ500" s="167">
        <f>'HourGH-JUN'!U33</f>
        <v>0.25</v>
      </c>
      <c r="BR500" s="263">
        <v>499</v>
      </c>
      <c r="BS500" s="9">
        <v>21</v>
      </c>
      <c r="BT500" s="9">
        <v>19</v>
      </c>
      <c r="BU500" s="167">
        <f>'HourGH-JUL'!U33</f>
        <v>0.34</v>
      </c>
      <c r="BV500" s="263">
        <v>499</v>
      </c>
      <c r="BW500" s="9">
        <v>21</v>
      </c>
      <c r="BX500" s="9">
        <v>19</v>
      </c>
      <c r="BY500" s="167">
        <f>'HourGH-AUG'!U33</f>
        <v>0.61</v>
      </c>
      <c r="BZ500" s="9">
        <v>499</v>
      </c>
      <c r="CA500" s="9">
        <v>21</v>
      </c>
      <c r="CB500" s="9">
        <v>19</v>
      </c>
      <c r="CC500" s="167">
        <f>'HourGH-SEP'!U33</f>
        <v>1.08</v>
      </c>
      <c r="CD500" s="263">
        <v>499</v>
      </c>
      <c r="CE500" s="9">
        <v>21</v>
      </c>
      <c r="CF500" s="9">
        <v>19</v>
      </c>
      <c r="CG500" s="167">
        <f>'HourGH-OCT'!U33</f>
        <v>1.71</v>
      </c>
      <c r="CH500" s="9">
        <v>499</v>
      </c>
      <c r="CI500" s="9">
        <v>21</v>
      </c>
      <c r="CJ500" s="9">
        <v>19</v>
      </c>
      <c r="CK500" s="167">
        <f>'HourGH-NOV'!U33</f>
        <v>0.72</v>
      </c>
      <c r="CL500" s="263">
        <v>499</v>
      </c>
      <c r="CM500" s="9">
        <v>21</v>
      </c>
      <c r="CN500" s="9">
        <v>19</v>
      </c>
      <c r="CO500" s="167">
        <f>'HourGH-DEC'!U33</f>
        <v>0.49</v>
      </c>
      <c r="CP500" s="263">
        <v>499</v>
      </c>
      <c r="CQ500" s="9">
        <v>21</v>
      </c>
      <c r="CR500" s="9">
        <v>19</v>
      </c>
      <c r="CS500" s="167">
        <f>'HourGH-JAN'!U33</f>
        <v>0.36</v>
      </c>
      <c r="CT500" s="9">
        <v>499</v>
      </c>
      <c r="CU500" s="9">
        <v>21</v>
      </c>
      <c r="CV500" s="9">
        <v>19</v>
      </c>
      <c r="CW500" s="167">
        <f>'HourGH-FEB'!U33</f>
        <v>0.46</v>
      </c>
      <c r="CX500" s="263">
        <v>499</v>
      </c>
      <c r="CY500" s="9">
        <v>21</v>
      </c>
      <c r="CZ500" s="9">
        <v>19</v>
      </c>
      <c r="DA500" s="167">
        <f>'HourGH-MAR'!U33</f>
        <v>0.48</v>
      </c>
    </row>
    <row r="501" spans="58:105">
      <c r="BF501" s="9">
        <v>500</v>
      </c>
      <c r="BG501" s="9">
        <v>21</v>
      </c>
      <c r="BH501" s="9">
        <v>20</v>
      </c>
      <c r="BI501" s="167">
        <f>'HourGH-APR'!V33</f>
        <v>0.56999999999999995</v>
      </c>
      <c r="BJ501" s="263">
        <v>500</v>
      </c>
      <c r="BK501" s="9">
        <v>21</v>
      </c>
      <c r="BL501" s="9">
        <v>20</v>
      </c>
      <c r="BM501" s="167">
        <f>'HourGH-MAY'!V33</f>
        <v>0.25</v>
      </c>
      <c r="BN501" s="9">
        <v>500</v>
      </c>
      <c r="BO501" s="9">
        <v>21</v>
      </c>
      <c r="BP501" s="9">
        <v>20</v>
      </c>
      <c r="BQ501" s="167">
        <f>'HourGH-JUN'!V33</f>
        <v>0.25</v>
      </c>
      <c r="BR501" s="263">
        <v>500</v>
      </c>
      <c r="BS501" s="9">
        <v>21</v>
      </c>
      <c r="BT501" s="9">
        <v>20</v>
      </c>
      <c r="BU501" s="167">
        <f>'HourGH-JUL'!V33</f>
        <v>0.34</v>
      </c>
      <c r="BV501" s="263">
        <v>500</v>
      </c>
      <c r="BW501" s="9">
        <v>21</v>
      </c>
      <c r="BX501" s="9">
        <v>20</v>
      </c>
      <c r="BY501" s="167">
        <f>'HourGH-AUG'!V33</f>
        <v>0.61</v>
      </c>
      <c r="BZ501" s="9">
        <v>500</v>
      </c>
      <c r="CA501" s="9">
        <v>21</v>
      </c>
      <c r="CB501" s="9">
        <v>20</v>
      </c>
      <c r="CC501" s="167">
        <f>'HourGH-SEP'!V33</f>
        <v>1.07</v>
      </c>
      <c r="CD501" s="263">
        <v>500</v>
      </c>
      <c r="CE501" s="9">
        <v>21</v>
      </c>
      <c r="CF501" s="9">
        <v>20</v>
      </c>
      <c r="CG501" s="167">
        <f>'HourGH-OCT'!V33</f>
        <v>1.72</v>
      </c>
      <c r="CH501" s="9">
        <v>500</v>
      </c>
      <c r="CI501" s="9">
        <v>21</v>
      </c>
      <c r="CJ501" s="9">
        <v>20</v>
      </c>
      <c r="CK501" s="167">
        <f>'HourGH-NOV'!V33</f>
        <v>0.72</v>
      </c>
      <c r="CL501" s="263">
        <v>500</v>
      </c>
      <c r="CM501" s="9">
        <v>21</v>
      </c>
      <c r="CN501" s="9">
        <v>20</v>
      </c>
      <c r="CO501" s="167">
        <f>'HourGH-DEC'!V33</f>
        <v>0.49</v>
      </c>
      <c r="CP501" s="263">
        <v>500</v>
      </c>
      <c r="CQ501" s="9">
        <v>21</v>
      </c>
      <c r="CR501" s="9">
        <v>20</v>
      </c>
      <c r="CS501" s="167">
        <f>'HourGH-JAN'!V33</f>
        <v>0.36</v>
      </c>
      <c r="CT501" s="9">
        <v>500</v>
      </c>
      <c r="CU501" s="9">
        <v>21</v>
      </c>
      <c r="CV501" s="9">
        <v>20</v>
      </c>
      <c r="CW501" s="167">
        <f>'HourGH-FEB'!V33</f>
        <v>0.49</v>
      </c>
      <c r="CX501" s="263">
        <v>500</v>
      </c>
      <c r="CY501" s="9">
        <v>21</v>
      </c>
      <c r="CZ501" s="9">
        <v>20</v>
      </c>
      <c r="DA501" s="167">
        <f>'HourGH-MAR'!V33</f>
        <v>0.53</v>
      </c>
    </row>
    <row r="502" spans="58:105">
      <c r="BF502" s="9">
        <v>501</v>
      </c>
      <c r="BG502" s="9">
        <v>21</v>
      </c>
      <c r="BH502" s="9">
        <v>21</v>
      </c>
      <c r="BI502" s="167">
        <f>'HourGH-APR'!W33</f>
        <v>0.56999999999999995</v>
      </c>
      <c r="BJ502" s="263">
        <v>501</v>
      </c>
      <c r="BK502" s="9">
        <v>21</v>
      </c>
      <c r="BL502" s="9">
        <v>21</v>
      </c>
      <c r="BM502" s="167">
        <f>'HourGH-MAY'!W33</f>
        <v>0.25</v>
      </c>
      <c r="BN502" s="9">
        <v>501</v>
      </c>
      <c r="BO502" s="9">
        <v>21</v>
      </c>
      <c r="BP502" s="9">
        <v>21</v>
      </c>
      <c r="BQ502" s="167">
        <f>'HourGH-JUN'!W33</f>
        <v>0.25</v>
      </c>
      <c r="BR502" s="263">
        <v>501</v>
      </c>
      <c r="BS502" s="9">
        <v>21</v>
      </c>
      <c r="BT502" s="9">
        <v>21</v>
      </c>
      <c r="BU502" s="167">
        <f>'HourGH-JUL'!W33</f>
        <v>0.34</v>
      </c>
      <c r="BV502" s="263">
        <v>501</v>
      </c>
      <c r="BW502" s="9">
        <v>21</v>
      </c>
      <c r="BX502" s="9">
        <v>21</v>
      </c>
      <c r="BY502" s="167">
        <f>'HourGH-AUG'!W33</f>
        <v>0.62</v>
      </c>
      <c r="BZ502" s="9">
        <v>501</v>
      </c>
      <c r="CA502" s="9">
        <v>21</v>
      </c>
      <c r="CB502" s="9">
        <v>21</v>
      </c>
      <c r="CC502" s="167">
        <f>'HourGH-SEP'!W33</f>
        <v>1.06</v>
      </c>
      <c r="CD502" s="263">
        <v>501</v>
      </c>
      <c r="CE502" s="9">
        <v>21</v>
      </c>
      <c r="CF502" s="9">
        <v>21</v>
      </c>
      <c r="CG502" s="167">
        <f>'HourGH-OCT'!W33</f>
        <v>1.73</v>
      </c>
      <c r="CH502" s="9">
        <v>501</v>
      </c>
      <c r="CI502" s="9">
        <v>21</v>
      </c>
      <c r="CJ502" s="9">
        <v>21</v>
      </c>
      <c r="CK502" s="167">
        <f>'HourGH-NOV'!W33</f>
        <v>0.72</v>
      </c>
      <c r="CL502" s="263">
        <v>501</v>
      </c>
      <c r="CM502" s="9">
        <v>21</v>
      </c>
      <c r="CN502" s="9">
        <v>21</v>
      </c>
      <c r="CO502" s="167">
        <f>'HourGH-DEC'!W33</f>
        <v>0.49</v>
      </c>
      <c r="CP502" s="263">
        <v>501</v>
      </c>
      <c r="CQ502" s="9">
        <v>21</v>
      </c>
      <c r="CR502" s="9">
        <v>21</v>
      </c>
      <c r="CS502" s="167">
        <f>'HourGH-JAN'!W33</f>
        <v>0.36</v>
      </c>
      <c r="CT502" s="9">
        <v>501</v>
      </c>
      <c r="CU502" s="9">
        <v>21</v>
      </c>
      <c r="CV502" s="9">
        <v>21</v>
      </c>
      <c r="CW502" s="167">
        <f>'HourGH-FEB'!W33</f>
        <v>0.51</v>
      </c>
      <c r="CX502" s="263">
        <v>501</v>
      </c>
      <c r="CY502" s="9">
        <v>21</v>
      </c>
      <c r="CZ502" s="9">
        <v>21</v>
      </c>
      <c r="DA502" s="167">
        <f>'HourGH-MAR'!W33</f>
        <v>0.56000000000000005</v>
      </c>
    </row>
    <row r="503" spans="58:105">
      <c r="BF503" s="9">
        <v>502</v>
      </c>
      <c r="BG503" s="9">
        <v>21</v>
      </c>
      <c r="BH503" s="9">
        <v>22</v>
      </c>
      <c r="BI503" s="167">
        <f>'HourGH-APR'!X33</f>
        <v>0.56999999999999995</v>
      </c>
      <c r="BJ503" s="263">
        <v>502</v>
      </c>
      <c r="BK503" s="9">
        <v>21</v>
      </c>
      <c r="BL503" s="9">
        <v>22</v>
      </c>
      <c r="BM503" s="167">
        <f>'HourGH-MAY'!X33</f>
        <v>0.25</v>
      </c>
      <c r="BN503" s="9">
        <v>502</v>
      </c>
      <c r="BO503" s="9">
        <v>21</v>
      </c>
      <c r="BP503" s="9">
        <v>22</v>
      </c>
      <c r="BQ503" s="167">
        <f>'HourGH-JUN'!X33</f>
        <v>0.25</v>
      </c>
      <c r="BR503" s="263">
        <v>502</v>
      </c>
      <c r="BS503" s="9">
        <v>21</v>
      </c>
      <c r="BT503" s="9">
        <v>22</v>
      </c>
      <c r="BU503" s="167">
        <f>'HourGH-JUL'!X33</f>
        <v>0.34</v>
      </c>
      <c r="BV503" s="263">
        <v>502</v>
      </c>
      <c r="BW503" s="9">
        <v>21</v>
      </c>
      <c r="BX503" s="9">
        <v>22</v>
      </c>
      <c r="BY503" s="167">
        <f>'HourGH-AUG'!X33</f>
        <v>0.62</v>
      </c>
      <c r="BZ503" s="9">
        <v>502</v>
      </c>
      <c r="CA503" s="9">
        <v>21</v>
      </c>
      <c r="CB503" s="9">
        <v>22</v>
      </c>
      <c r="CC503" s="167">
        <f>'HourGH-SEP'!X33</f>
        <v>1.05</v>
      </c>
      <c r="CD503" s="263">
        <v>502</v>
      </c>
      <c r="CE503" s="9">
        <v>21</v>
      </c>
      <c r="CF503" s="9">
        <v>22</v>
      </c>
      <c r="CG503" s="167">
        <f>'HourGH-OCT'!X33</f>
        <v>1.75</v>
      </c>
      <c r="CH503" s="9">
        <v>502</v>
      </c>
      <c r="CI503" s="9">
        <v>21</v>
      </c>
      <c r="CJ503" s="9">
        <v>22</v>
      </c>
      <c r="CK503" s="167">
        <f>'HourGH-NOV'!X33</f>
        <v>0.72</v>
      </c>
      <c r="CL503" s="263">
        <v>502</v>
      </c>
      <c r="CM503" s="9">
        <v>21</v>
      </c>
      <c r="CN503" s="9">
        <v>22</v>
      </c>
      <c r="CO503" s="167">
        <f>'HourGH-DEC'!X33</f>
        <v>0.49</v>
      </c>
      <c r="CP503" s="263">
        <v>502</v>
      </c>
      <c r="CQ503" s="9">
        <v>21</v>
      </c>
      <c r="CR503" s="9">
        <v>22</v>
      </c>
      <c r="CS503" s="167">
        <f>'HourGH-JAN'!X33</f>
        <v>0.36</v>
      </c>
      <c r="CT503" s="9">
        <v>502</v>
      </c>
      <c r="CU503" s="9">
        <v>21</v>
      </c>
      <c r="CV503" s="9">
        <v>22</v>
      </c>
      <c r="CW503" s="167">
        <f>'HourGH-FEB'!X33</f>
        <v>0.53</v>
      </c>
      <c r="CX503" s="263">
        <v>502</v>
      </c>
      <c r="CY503" s="9">
        <v>21</v>
      </c>
      <c r="CZ503" s="9">
        <v>22</v>
      </c>
      <c r="DA503" s="167">
        <f>'HourGH-MAR'!X33</f>
        <v>0.59</v>
      </c>
    </row>
    <row r="504" spans="58:105">
      <c r="BF504" s="9">
        <v>503</v>
      </c>
      <c r="BG504" s="9">
        <v>21</v>
      </c>
      <c r="BH504" s="9">
        <v>23</v>
      </c>
      <c r="BI504" s="167">
        <f>'HourGH-APR'!Y33</f>
        <v>0.56999999999999995</v>
      </c>
      <c r="BJ504" s="263">
        <v>503</v>
      </c>
      <c r="BK504" s="9">
        <v>21</v>
      </c>
      <c r="BL504" s="9">
        <v>23</v>
      </c>
      <c r="BM504" s="167">
        <f>'HourGH-MAY'!Y33</f>
        <v>0.24</v>
      </c>
      <c r="BN504" s="9">
        <v>503</v>
      </c>
      <c r="BO504" s="9">
        <v>21</v>
      </c>
      <c r="BP504" s="9">
        <v>23</v>
      </c>
      <c r="BQ504" s="167">
        <f>'HourGH-JUN'!Y33</f>
        <v>0.25</v>
      </c>
      <c r="BR504" s="263">
        <v>503</v>
      </c>
      <c r="BS504" s="9">
        <v>21</v>
      </c>
      <c r="BT504" s="9">
        <v>23</v>
      </c>
      <c r="BU504" s="167">
        <f>'HourGH-JUL'!Y33</f>
        <v>0.34</v>
      </c>
      <c r="BV504" s="263">
        <v>503</v>
      </c>
      <c r="BW504" s="9">
        <v>21</v>
      </c>
      <c r="BX504" s="9">
        <v>23</v>
      </c>
      <c r="BY504" s="167">
        <f>'HourGH-AUG'!Y33</f>
        <v>0.63</v>
      </c>
      <c r="BZ504" s="9">
        <v>503</v>
      </c>
      <c r="CA504" s="9">
        <v>21</v>
      </c>
      <c r="CB504" s="9">
        <v>23</v>
      </c>
      <c r="CC504" s="167">
        <f>'HourGH-SEP'!Y33</f>
        <v>1.04</v>
      </c>
      <c r="CD504" s="263">
        <v>503</v>
      </c>
      <c r="CE504" s="9">
        <v>21</v>
      </c>
      <c r="CF504" s="9">
        <v>23</v>
      </c>
      <c r="CG504" s="167">
        <f>'HourGH-OCT'!Y33</f>
        <v>1.77</v>
      </c>
      <c r="CH504" s="9">
        <v>503</v>
      </c>
      <c r="CI504" s="9">
        <v>21</v>
      </c>
      <c r="CJ504" s="9">
        <v>23</v>
      </c>
      <c r="CK504" s="167">
        <f>'HourGH-NOV'!Y33</f>
        <v>0.72</v>
      </c>
      <c r="CL504" s="263">
        <v>503</v>
      </c>
      <c r="CM504" s="9">
        <v>21</v>
      </c>
      <c r="CN504" s="9">
        <v>23</v>
      </c>
      <c r="CO504" s="167">
        <f>'HourGH-DEC'!Y33</f>
        <v>0.49</v>
      </c>
      <c r="CP504" s="263">
        <v>503</v>
      </c>
      <c r="CQ504" s="9">
        <v>21</v>
      </c>
      <c r="CR504" s="9">
        <v>23</v>
      </c>
      <c r="CS504" s="167">
        <f>'HourGH-JAN'!Y33</f>
        <v>0.36</v>
      </c>
      <c r="CT504" s="9">
        <v>503</v>
      </c>
      <c r="CU504" s="9">
        <v>21</v>
      </c>
      <c r="CV504" s="9">
        <v>23</v>
      </c>
      <c r="CW504" s="167">
        <f>'HourGH-FEB'!Y33</f>
        <v>0.56000000000000005</v>
      </c>
      <c r="CX504" s="263">
        <v>503</v>
      </c>
      <c r="CY504" s="9">
        <v>21</v>
      </c>
      <c r="CZ504" s="9">
        <v>23</v>
      </c>
      <c r="DA504" s="167">
        <f>'HourGH-MAR'!Y33</f>
        <v>0.61</v>
      </c>
    </row>
    <row r="505" spans="58:105">
      <c r="BF505" s="9">
        <v>504</v>
      </c>
      <c r="BG505" s="9">
        <v>21</v>
      </c>
      <c r="BH505" s="9">
        <v>24</v>
      </c>
      <c r="BI505" s="167">
        <f>'HourGH-APR'!Z33</f>
        <v>0.56999999999999995</v>
      </c>
      <c r="BJ505" s="263">
        <v>504</v>
      </c>
      <c r="BK505" s="9">
        <v>21</v>
      </c>
      <c r="BL505" s="9">
        <v>24</v>
      </c>
      <c r="BM505" s="167">
        <f>'HourGH-MAY'!Z33</f>
        <v>0.24</v>
      </c>
      <c r="BN505" s="9">
        <v>504</v>
      </c>
      <c r="BO505" s="9">
        <v>21</v>
      </c>
      <c r="BP505" s="9">
        <v>24</v>
      </c>
      <c r="BQ505" s="167">
        <f>'HourGH-JUN'!Z33</f>
        <v>0.25</v>
      </c>
      <c r="BR505" s="263">
        <v>504</v>
      </c>
      <c r="BS505" s="9">
        <v>21</v>
      </c>
      <c r="BT505" s="9">
        <v>24</v>
      </c>
      <c r="BU505" s="167">
        <f>'HourGH-JUL'!Z33</f>
        <v>0.34</v>
      </c>
      <c r="BV505" s="263">
        <v>504</v>
      </c>
      <c r="BW505" s="9">
        <v>21</v>
      </c>
      <c r="BX505" s="9">
        <v>24</v>
      </c>
      <c r="BY505" s="167">
        <f>'HourGH-AUG'!Z33</f>
        <v>0.63</v>
      </c>
      <c r="BZ505" s="9">
        <v>504</v>
      </c>
      <c r="CA505" s="9">
        <v>21</v>
      </c>
      <c r="CB505" s="9">
        <v>24</v>
      </c>
      <c r="CC505" s="167">
        <f>'HourGH-SEP'!Z33</f>
        <v>1.03</v>
      </c>
      <c r="CD505" s="263">
        <v>504</v>
      </c>
      <c r="CE505" s="9">
        <v>21</v>
      </c>
      <c r="CF505" s="9">
        <v>24</v>
      </c>
      <c r="CG505" s="167">
        <f>'HourGH-OCT'!Z33</f>
        <v>1.78</v>
      </c>
      <c r="CH505" s="9">
        <v>504</v>
      </c>
      <c r="CI505" s="9">
        <v>21</v>
      </c>
      <c r="CJ505" s="9">
        <v>24</v>
      </c>
      <c r="CK505" s="167">
        <f>'HourGH-NOV'!Z33</f>
        <v>0.72</v>
      </c>
      <c r="CL505" s="263">
        <v>504</v>
      </c>
      <c r="CM505" s="9">
        <v>21</v>
      </c>
      <c r="CN505" s="9">
        <v>24</v>
      </c>
      <c r="CO505" s="167">
        <f>'HourGH-DEC'!Z33</f>
        <v>0.49</v>
      </c>
      <c r="CP505" s="263">
        <v>504</v>
      </c>
      <c r="CQ505" s="9">
        <v>21</v>
      </c>
      <c r="CR505" s="9">
        <v>24</v>
      </c>
      <c r="CS505" s="167">
        <f>'HourGH-JAN'!Z33</f>
        <v>0.36</v>
      </c>
      <c r="CT505" s="9">
        <v>504</v>
      </c>
      <c r="CU505" s="9">
        <v>21</v>
      </c>
      <c r="CV505" s="9">
        <v>24</v>
      </c>
      <c r="CW505" s="167">
        <f>'HourGH-FEB'!Z33</f>
        <v>0.59</v>
      </c>
      <c r="CX505" s="263">
        <v>504</v>
      </c>
      <c r="CY505" s="9">
        <v>21</v>
      </c>
      <c r="CZ505" s="9">
        <v>24</v>
      </c>
      <c r="DA505" s="167">
        <f>'HourGH-MAR'!Z33</f>
        <v>0.63</v>
      </c>
    </row>
    <row r="506" spans="58:105">
      <c r="BF506" s="9">
        <v>505</v>
      </c>
      <c r="BG506" s="9">
        <v>22</v>
      </c>
      <c r="BH506" s="9">
        <v>1</v>
      </c>
      <c r="BI506" s="167">
        <f>'HourGH-APR'!C34</f>
        <v>0.56999999999999995</v>
      </c>
      <c r="BJ506" s="263">
        <v>505</v>
      </c>
      <c r="BK506" s="9">
        <v>22</v>
      </c>
      <c r="BL506" s="9">
        <v>1</v>
      </c>
      <c r="BM506" s="167">
        <f>'HourGH-MAY'!C34</f>
        <v>0.23</v>
      </c>
      <c r="BN506" s="9">
        <v>505</v>
      </c>
      <c r="BO506" s="9">
        <v>22</v>
      </c>
      <c r="BP506" s="9">
        <v>1</v>
      </c>
      <c r="BQ506" s="167">
        <f>'HourGH-JUN'!C34</f>
        <v>0.24</v>
      </c>
      <c r="BR506" s="263">
        <v>505</v>
      </c>
      <c r="BS506" s="9">
        <v>22</v>
      </c>
      <c r="BT506" s="9">
        <v>1</v>
      </c>
      <c r="BU506" s="167">
        <f>'HourGH-JUL'!C34</f>
        <v>0.34</v>
      </c>
      <c r="BV506" s="263">
        <v>505</v>
      </c>
      <c r="BW506" s="9">
        <v>22</v>
      </c>
      <c r="BX506" s="9">
        <v>1</v>
      </c>
      <c r="BY506" s="167">
        <f>'HourGH-AUG'!C34</f>
        <v>0.64</v>
      </c>
      <c r="BZ506" s="9">
        <v>505</v>
      </c>
      <c r="CA506" s="9">
        <v>22</v>
      </c>
      <c r="CB506" s="9">
        <v>1</v>
      </c>
      <c r="CC506" s="167">
        <f>'HourGH-SEP'!C34</f>
        <v>1.01</v>
      </c>
      <c r="CD506" s="263">
        <v>505</v>
      </c>
      <c r="CE506" s="9">
        <v>22</v>
      </c>
      <c r="CF506" s="9">
        <v>1</v>
      </c>
      <c r="CG506" s="167">
        <f>'HourGH-OCT'!C34</f>
        <v>1.8</v>
      </c>
      <c r="CH506" s="9">
        <v>505</v>
      </c>
      <c r="CI506" s="9">
        <v>22</v>
      </c>
      <c r="CJ506" s="9">
        <v>1</v>
      </c>
      <c r="CK506" s="167">
        <f>'HourGH-NOV'!C34</f>
        <v>0.71</v>
      </c>
      <c r="CL506" s="263">
        <v>505</v>
      </c>
      <c r="CM506" s="9">
        <v>22</v>
      </c>
      <c r="CN506" s="9">
        <v>1</v>
      </c>
      <c r="CO506" s="167">
        <f>'HourGH-DEC'!C34</f>
        <v>0.48</v>
      </c>
      <c r="CP506" s="263">
        <v>505</v>
      </c>
      <c r="CQ506" s="9">
        <v>22</v>
      </c>
      <c r="CR506" s="9">
        <v>1</v>
      </c>
      <c r="CS506" s="167">
        <f>'HourGH-JAN'!C34</f>
        <v>0.36</v>
      </c>
      <c r="CT506" s="9">
        <v>505</v>
      </c>
      <c r="CU506" s="9">
        <v>22</v>
      </c>
      <c r="CV506" s="9">
        <v>1</v>
      </c>
      <c r="CW506" s="167">
        <f>'HourGH-FEB'!C34</f>
        <v>0.61</v>
      </c>
      <c r="CX506" s="263">
        <v>505</v>
      </c>
      <c r="CY506" s="9">
        <v>22</v>
      </c>
      <c r="CZ506" s="9">
        <v>1</v>
      </c>
      <c r="DA506" s="167">
        <f>'HourGH-MAR'!C34</f>
        <v>0.64</v>
      </c>
    </row>
    <row r="507" spans="58:105">
      <c r="BF507" s="9">
        <v>506</v>
      </c>
      <c r="BG507" s="9">
        <v>22</v>
      </c>
      <c r="BH507" s="9">
        <v>2</v>
      </c>
      <c r="BI507" s="167">
        <f>'HourGH-APR'!D34</f>
        <v>0.56999999999999995</v>
      </c>
      <c r="BJ507" s="263">
        <v>506</v>
      </c>
      <c r="BK507" s="9">
        <v>22</v>
      </c>
      <c r="BL507" s="9">
        <v>2</v>
      </c>
      <c r="BM507" s="167">
        <f>'HourGH-MAY'!D34</f>
        <v>0.23</v>
      </c>
      <c r="BN507" s="9">
        <v>506</v>
      </c>
      <c r="BO507" s="9">
        <v>22</v>
      </c>
      <c r="BP507" s="9">
        <v>2</v>
      </c>
      <c r="BQ507" s="167">
        <f>'HourGH-JUN'!D34</f>
        <v>0.24</v>
      </c>
      <c r="BR507" s="263">
        <v>506</v>
      </c>
      <c r="BS507" s="9">
        <v>22</v>
      </c>
      <c r="BT507" s="9">
        <v>2</v>
      </c>
      <c r="BU507" s="167">
        <f>'HourGH-JUL'!D34</f>
        <v>0.34</v>
      </c>
      <c r="BV507" s="263">
        <v>506</v>
      </c>
      <c r="BW507" s="9">
        <v>22</v>
      </c>
      <c r="BX507" s="9">
        <v>2</v>
      </c>
      <c r="BY507" s="167">
        <f>'HourGH-AUG'!D34</f>
        <v>0.64</v>
      </c>
      <c r="BZ507" s="9">
        <v>506</v>
      </c>
      <c r="CA507" s="9">
        <v>22</v>
      </c>
      <c r="CB507" s="9">
        <v>2</v>
      </c>
      <c r="CC507" s="167">
        <f>'HourGH-SEP'!D34</f>
        <v>1</v>
      </c>
      <c r="CD507" s="263">
        <v>506</v>
      </c>
      <c r="CE507" s="9">
        <v>22</v>
      </c>
      <c r="CF507" s="9">
        <v>2</v>
      </c>
      <c r="CG507" s="167">
        <f>'HourGH-OCT'!D34</f>
        <v>1.82</v>
      </c>
      <c r="CH507" s="9">
        <v>506</v>
      </c>
      <c r="CI507" s="9">
        <v>22</v>
      </c>
      <c r="CJ507" s="9">
        <v>2</v>
      </c>
      <c r="CK507" s="167">
        <f>'HourGH-NOV'!D34</f>
        <v>0.71</v>
      </c>
      <c r="CL507" s="263">
        <v>506</v>
      </c>
      <c r="CM507" s="9">
        <v>22</v>
      </c>
      <c r="CN507" s="9">
        <v>2</v>
      </c>
      <c r="CO507" s="167">
        <f>'HourGH-DEC'!D34</f>
        <v>0.48</v>
      </c>
      <c r="CP507" s="263">
        <v>506</v>
      </c>
      <c r="CQ507" s="9">
        <v>22</v>
      </c>
      <c r="CR507" s="9">
        <v>2</v>
      </c>
      <c r="CS507" s="167">
        <f>'HourGH-JAN'!D34</f>
        <v>0.36</v>
      </c>
      <c r="CT507" s="9">
        <v>506</v>
      </c>
      <c r="CU507" s="9">
        <v>22</v>
      </c>
      <c r="CV507" s="9">
        <v>2</v>
      </c>
      <c r="CW507" s="167">
        <f>'HourGH-FEB'!D34</f>
        <v>0.63</v>
      </c>
      <c r="CX507" s="263">
        <v>506</v>
      </c>
      <c r="CY507" s="9">
        <v>22</v>
      </c>
      <c r="CZ507" s="9">
        <v>2</v>
      </c>
      <c r="DA507" s="167">
        <f>'HourGH-MAR'!D34</f>
        <v>0.65</v>
      </c>
    </row>
    <row r="508" spans="58:105">
      <c r="BF508" s="9">
        <v>507</v>
      </c>
      <c r="BG508" s="9">
        <v>22</v>
      </c>
      <c r="BH508" s="9">
        <v>3</v>
      </c>
      <c r="BI508" s="167">
        <f>'HourGH-APR'!E34</f>
        <v>0.56999999999999995</v>
      </c>
      <c r="BJ508" s="263">
        <v>507</v>
      </c>
      <c r="BK508" s="9">
        <v>22</v>
      </c>
      <c r="BL508" s="9">
        <v>3</v>
      </c>
      <c r="BM508" s="167">
        <f>'HourGH-MAY'!E34</f>
        <v>0.22</v>
      </c>
      <c r="BN508" s="9">
        <v>507</v>
      </c>
      <c r="BO508" s="9">
        <v>22</v>
      </c>
      <c r="BP508" s="9">
        <v>3</v>
      </c>
      <c r="BQ508" s="167">
        <f>'HourGH-JUN'!E34</f>
        <v>0.24</v>
      </c>
      <c r="BR508" s="263">
        <v>507</v>
      </c>
      <c r="BS508" s="9">
        <v>22</v>
      </c>
      <c r="BT508" s="9">
        <v>3</v>
      </c>
      <c r="BU508" s="167">
        <f>'HourGH-JUL'!E34</f>
        <v>0.34</v>
      </c>
      <c r="BV508" s="263">
        <v>507</v>
      </c>
      <c r="BW508" s="9">
        <v>22</v>
      </c>
      <c r="BX508" s="9">
        <v>3</v>
      </c>
      <c r="BY508" s="167">
        <f>'HourGH-AUG'!E34</f>
        <v>0.65</v>
      </c>
      <c r="BZ508" s="9">
        <v>507</v>
      </c>
      <c r="CA508" s="9">
        <v>22</v>
      </c>
      <c r="CB508" s="9">
        <v>3</v>
      </c>
      <c r="CC508" s="167">
        <f>'HourGH-SEP'!E34</f>
        <v>1</v>
      </c>
      <c r="CD508" s="263">
        <v>507</v>
      </c>
      <c r="CE508" s="9">
        <v>22</v>
      </c>
      <c r="CF508" s="9">
        <v>3</v>
      </c>
      <c r="CG508" s="167">
        <f>'HourGH-OCT'!E34</f>
        <v>1.85</v>
      </c>
      <c r="CH508" s="9">
        <v>507</v>
      </c>
      <c r="CI508" s="9">
        <v>22</v>
      </c>
      <c r="CJ508" s="9">
        <v>3</v>
      </c>
      <c r="CK508" s="167">
        <f>'HourGH-NOV'!E34</f>
        <v>0.71</v>
      </c>
      <c r="CL508" s="263">
        <v>507</v>
      </c>
      <c r="CM508" s="9">
        <v>22</v>
      </c>
      <c r="CN508" s="9">
        <v>3</v>
      </c>
      <c r="CO508" s="167">
        <f>'HourGH-DEC'!E34</f>
        <v>0.48</v>
      </c>
      <c r="CP508" s="263">
        <v>507</v>
      </c>
      <c r="CQ508" s="9">
        <v>22</v>
      </c>
      <c r="CR508" s="9">
        <v>3</v>
      </c>
      <c r="CS508" s="167">
        <f>'HourGH-JAN'!E34</f>
        <v>0.36</v>
      </c>
      <c r="CT508" s="9">
        <v>507</v>
      </c>
      <c r="CU508" s="9">
        <v>22</v>
      </c>
      <c r="CV508" s="9">
        <v>3</v>
      </c>
      <c r="CW508" s="167">
        <f>'HourGH-FEB'!E34</f>
        <v>0.65</v>
      </c>
      <c r="CX508" s="263">
        <v>507</v>
      </c>
      <c r="CY508" s="9">
        <v>22</v>
      </c>
      <c r="CZ508" s="9">
        <v>3</v>
      </c>
      <c r="DA508" s="167">
        <f>'HourGH-MAR'!E34</f>
        <v>0.66</v>
      </c>
    </row>
    <row r="509" spans="58:105">
      <c r="BF509" s="9">
        <v>508</v>
      </c>
      <c r="BG509" s="9">
        <v>22</v>
      </c>
      <c r="BH509" s="9">
        <v>4</v>
      </c>
      <c r="BI509" s="167">
        <f>'HourGH-APR'!F34</f>
        <v>0.56999999999999995</v>
      </c>
      <c r="BJ509" s="263">
        <v>508</v>
      </c>
      <c r="BK509" s="9">
        <v>22</v>
      </c>
      <c r="BL509" s="9">
        <v>4</v>
      </c>
      <c r="BM509" s="167">
        <f>'HourGH-MAY'!F34</f>
        <v>0.22</v>
      </c>
      <c r="BN509" s="9">
        <v>508</v>
      </c>
      <c r="BO509" s="9">
        <v>22</v>
      </c>
      <c r="BP509" s="9">
        <v>4</v>
      </c>
      <c r="BQ509" s="167">
        <f>'HourGH-JUN'!F34</f>
        <v>0.24</v>
      </c>
      <c r="BR509" s="263">
        <v>508</v>
      </c>
      <c r="BS509" s="9">
        <v>22</v>
      </c>
      <c r="BT509" s="9">
        <v>4</v>
      </c>
      <c r="BU509" s="167">
        <f>'HourGH-JUL'!F34</f>
        <v>0.34</v>
      </c>
      <c r="BV509" s="263">
        <v>508</v>
      </c>
      <c r="BW509" s="9">
        <v>22</v>
      </c>
      <c r="BX509" s="9">
        <v>4</v>
      </c>
      <c r="BY509" s="167">
        <f>'HourGH-AUG'!F34</f>
        <v>0.65</v>
      </c>
      <c r="BZ509" s="9">
        <v>508</v>
      </c>
      <c r="CA509" s="9">
        <v>22</v>
      </c>
      <c r="CB509" s="9">
        <v>4</v>
      </c>
      <c r="CC509" s="167">
        <f>'HourGH-SEP'!F34</f>
        <v>0.99</v>
      </c>
      <c r="CD509" s="263">
        <v>508</v>
      </c>
      <c r="CE509" s="9">
        <v>22</v>
      </c>
      <c r="CF509" s="9">
        <v>4</v>
      </c>
      <c r="CG509" s="167">
        <f>'HourGH-OCT'!F34</f>
        <v>1.88</v>
      </c>
      <c r="CH509" s="9">
        <v>508</v>
      </c>
      <c r="CI509" s="9">
        <v>22</v>
      </c>
      <c r="CJ509" s="9">
        <v>4</v>
      </c>
      <c r="CK509" s="167">
        <f>'HourGH-NOV'!F34</f>
        <v>0.71</v>
      </c>
      <c r="CL509" s="263">
        <v>508</v>
      </c>
      <c r="CM509" s="9">
        <v>22</v>
      </c>
      <c r="CN509" s="9">
        <v>4</v>
      </c>
      <c r="CO509" s="167">
        <f>'HourGH-DEC'!F34</f>
        <v>0.48</v>
      </c>
      <c r="CP509" s="263">
        <v>508</v>
      </c>
      <c r="CQ509" s="9">
        <v>22</v>
      </c>
      <c r="CR509" s="9">
        <v>4</v>
      </c>
      <c r="CS509" s="167">
        <f>'HourGH-JAN'!F34</f>
        <v>0.36</v>
      </c>
      <c r="CT509" s="9">
        <v>508</v>
      </c>
      <c r="CU509" s="9">
        <v>22</v>
      </c>
      <c r="CV509" s="9">
        <v>4</v>
      </c>
      <c r="CW509" s="167">
        <f>'HourGH-FEB'!F34</f>
        <v>0.67</v>
      </c>
      <c r="CX509" s="263">
        <v>508</v>
      </c>
      <c r="CY509" s="9">
        <v>22</v>
      </c>
      <c r="CZ509" s="9">
        <v>4</v>
      </c>
      <c r="DA509" s="167">
        <f>'HourGH-MAR'!F34</f>
        <v>0.67</v>
      </c>
    </row>
    <row r="510" spans="58:105">
      <c r="BF510" s="9">
        <v>509</v>
      </c>
      <c r="BG510" s="9">
        <v>22</v>
      </c>
      <c r="BH510" s="9">
        <v>5</v>
      </c>
      <c r="BI510" s="167">
        <f>'HourGH-APR'!G34</f>
        <v>0.56999999999999995</v>
      </c>
      <c r="BJ510" s="263">
        <v>509</v>
      </c>
      <c r="BK510" s="9">
        <v>22</v>
      </c>
      <c r="BL510" s="9">
        <v>5</v>
      </c>
      <c r="BM510" s="167">
        <f>'HourGH-MAY'!G34</f>
        <v>0.21</v>
      </c>
      <c r="BN510" s="9">
        <v>509</v>
      </c>
      <c r="BO510" s="9">
        <v>22</v>
      </c>
      <c r="BP510" s="9">
        <v>5</v>
      </c>
      <c r="BQ510" s="167">
        <f>'HourGH-JUN'!G34</f>
        <v>0.24</v>
      </c>
      <c r="BR510" s="263">
        <v>509</v>
      </c>
      <c r="BS510" s="9">
        <v>22</v>
      </c>
      <c r="BT510" s="9">
        <v>5</v>
      </c>
      <c r="BU510" s="167">
        <f>'HourGH-JUL'!G34</f>
        <v>0.34</v>
      </c>
      <c r="BV510" s="263">
        <v>509</v>
      </c>
      <c r="BW510" s="9">
        <v>22</v>
      </c>
      <c r="BX510" s="9">
        <v>5</v>
      </c>
      <c r="BY510" s="167">
        <f>'HourGH-AUG'!G34</f>
        <v>0.66</v>
      </c>
      <c r="BZ510" s="9">
        <v>509</v>
      </c>
      <c r="CA510" s="9">
        <v>22</v>
      </c>
      <c r="CB510" s="9">
        <v>5</v>
      </c>
      <c r="CC510" s="167">
        <f>'HourGH-SEP'!G34</f>
        <v>0.99</v>
      </c>
      <c r="CD510" s="263">
        <v>509</v>
      </c>
      <c r="CE510" s="9">
        <v>22</v>
      </c>
      <c r="CF510" s="9">
        <v>5</v>
      </c>
      <c r="CG510" s="167">
        <f>'HourGH-OCT'!G34</f>
        <v>1.9</v>
      </c>
      <c r="CH510" s="9">
        <v>509</v>
      </c>
      <c r="CI510" s="9">
        <v>22</v>
      </c>
      <c r="CJ510" s="9">
        <v>5</v>
      </c>
      <c r="CK510" s="167">
        <f>'HourGH-NOV'!G34</f>
        <v>0.71</v>
      </c>
      <c r="CL510" s="263">
        <v>509</v>
      </c>
      <c r="CM510" s="9">
        <v>22</v>
      </c>
      <c r="CN510" s="9">
        <v>5</v>
      </c>
      <c r="CO510" s="167">
        <f>'HourGH-DEC'!G34</f>
        <v>0.48</v>
      </c>
      <c r="CP510" s="263">
        <v>509</v>
      </c>
      <c r="CQ510" s="9">
        <v>22</v>
      </c>
      <c r="CR510" s="9">
        <v>5</v>
      </c>
      <c r="CS510" s="167">
        <f>'HourGH-JAN'!G34</f>
        <v>0.36</v>
      </c>
      <c r="CT510" s="9">
        <v>509</v>
      </c>
      <c r="CU510" s="9">
        <v>22</v>
      </c>
      <c r="CV510" s="9">
        <v>5</v>
      </c>
      <c r="CW510" s="167">
        <f>'HourGH-FEB'!G34</f>
        <v>0.68</v>
      </c>
      <c r="CX510" s="263">
        <v>509</v>
      </c>
      <c r="CY510" s="9">
        <v>22</v>
      </c>
      <c r="CZ510" s="9">
        <v>5</v>
      </c>
      <c r="DA510" s="167">
        <f>'HourGH-MAR'!G34</f>
        <v>0.67</v>
      </c>
    </row>
    <row r="511" spans="58:105">
      <c r="BF511" s="9">
        <v>510</v>
      </c>
      <c r="BG511" s="9">
        <v>22</v>
      </c>
      <c r="BH511" s="9">
        <v>6</v>
      </c>
      <c r="BI511" s="167">
        <f>'HourGH-APR'!H34</f>
        <v>0.56999999999999995</v>
      </c>
      <c r="BJ511" s="263">
        <v>510</v>
      </c>
      <c r="BK511" s="9">
        <v>22</v>
      </c>
      <c r="BL511" s="9">
        <v>6</v>
      </c>
      <c r="BM511" s="167">
        <f>'HourGH-MAY'!H34</f>
        <v>0.2</v>
      </c>
      <c r="BN511" s="9">
        <v>510</v>
      </c>
      <c r="BO511" s="9">
        <v>22</v>
      </c>
      <c r="BP511" s="9">
        <v>6</v>
      </c>
      <c r="BQ511" s="167">
        <f>'HourGH-JUN'!H34</f>
        <v>0.24</v>
      </c>
      <c r="BR511" s="263">
        <v>510</v>
      </c>
      <c r="BS511" s="9">
        <v>22</v>
      </c>
      <c r="BT511" s="9">
        <v>6</v>
      </c>
      <c r="BU511" s="167">
        <f>'HourGH-JUL'!H34</f>
        <v>0.34</v>
      </c>
      <c r="BV511" s="263">
        <v>510</v>
      </c>
      <c r="BW511" s="9">
        <v>22</v>
      </c>
      <c r="BX511" s="9">
        <v>6</v>
      </c>
      <c r="BY511" s="167">
        <f>'HourGH-AUG'!H34</f>
        <v>0.67</v>
      </c>
      <c r="BZ511" s="9">
        <v>510</v>
      </c>
      <c r="CA511" s="9">
        <v>22</v>
      </c>
      <c r="CB511" s="9">
        <v>6</v>
      </c>
      <c r="CC511" s="167">
        <f>'HourGH-SEP'!H34</f>
        <v>0.98</v>
      </c>
      <c r="CD511" s="263">
        <v>510</v>
      </c>
      <c r="CE511" s="9">
        <v>22</v>
      </c>
      <c r="CF511" s="9">
        <v>6</v>
      </c>
      <c r="CG511" s="167">
        <f>'HourGH-OCT'!H34</f>
        <v>1.92</v>
      </c>
      <c r="CH511" s="9">
        <v>510</v>
      </c>
      <c r="CI511" s="9">
        <v>22</v>
      </c>
      <c r="CJ511" s="9">
        <v>6</v>
      </c>
      <c r="CK511" s="167">
        <f>'HourGH-NOV'!H34</f>
        <v>0.7</v>
      </c>
      <c r="CL511" s="263">
        <v>510</v>
      </c>
      <c r="CM511" s="9">
        <v>22</v>
      </c>
      <c r="CN511" s="9">
        <v>6</v>
      </c>
      <c r="CO511" s="167">
        <f>'HourGH-DEC'!H34</f>
        <v>0.48</v>
      </c>
      <c r="CP511" s="263">
        <v>510</v>
      </c>
      <c r="CQ511" s="9">
        <v>22</v>
      </c>
      <c r="CR511" s="9">
        <v>6</v>
      </c>
      <c r="CS511" s="167">
        <f>'HourGH-JAN'!H34</f>
        <v>0.36</v>
      </c>
      <c r="CT511" s="9">
        <v>510</v>
      </c>
      <c r="CU511" s="9">
        <v>22</v>
      </c>
      <c r="CV511" s="9">
        <v>6</v>
      </c>
      <c r="CW511" s="167">
        <f>'HourGH-FEB'!H34</f>
        <v>0.69</v>
      </c>
      <c r="CX511" s="263">
        <v>510</v>
      </c>
      <c r="CY511" s="9">
        <v>22</v>
      </c>
      <c r="CZ511" s="9">
        <v>6</v>
      </c>
      <c r="DA511" s="167">
        <f>'HourGH-MAR'!H34</f>
        <v>0.68</v>
      </c>
    </row>
    <row r="512" spans="58:105">
      <c r="BF512" s="9">
        <v>511</v>
      </c>
      <c r="BG512" s="9">
        <v>22</v>
      </c>
      <c r="BH512" s="9">
        <v>7</v>
      </c>
      <c r="BI512" s="167">
        <f>'HourGH-APR'!I34</f>
        <v>0.57999999999999996</v>
      </c>
      <c r="BJ512" s="263">
        <v>511</v>
      </c>
      <c r="BK512" s="9">
        <v>22</v>
      </c>
      <c r="BL512" s="9">
        <v>7</v>
      </c>
      <c r="BM512" s="167">
        <f>'HourGH-MAY'!I34</f>
        <v>0.2</v>
      </c>
      <c r="BN512" s="9">
        <v>511</v>
      </c>
      <c r="BO512" s="9">
        <v>22</v>
      </c>
      <c r="BP512" s="9">
        <v>7</v>
      </c>
      <c r="BQ512" s="167">
        <f>'HourGH-JUN'!I34</f>
        <v>0.24</v>
      </c>
      <c r="BR512" s="263">
        <v>511</v>
      </c>
      <c r="BS512" s="9">
        <v>22</v>
      </c>
      <c r="BT512" s="9">
        <v>7</v>
      </c>
      <c r="BU512" s="167">
        <f>'HourGH-JUL'!I34</f>
        <v>0.34</v>
      </c>
      <c r="BV512" s="263">
        <v>511</v>
      </c>
      <c r="BW512" s="9">
        <v>22</v>
      </c>
      <c r="BX512" s="9">
        <v>7</v>
      </c>
      <c r="BY512" s="167">
        <f>'HourGH-AUG'!I34</f>
        <v>0.67</v>
      </c>
      <c r="BZ512" s="9">
        <v>511</v>
      </c>
      <c r="CA512" s="9">
        <v>22</v>
      </c>
      <c r="CB512" s="9">
        <v>7</v>
      </c>
      <c r="CC512" s="167">
        <f>'HourGH-SEP'!I34</f>
        <v>0.98</v>
      </c>
      <c r="CD512" s="263">
        <v>511</v>
      </c>
      <c r="CE512" s="9">
        <v>22</v>
      </c>
      <c r="CF512" s="9">
        <v>7</v>
      </c>
      <c r="CG512" s="167">
        <f>'HourGH-OCT'!I34</f>
        <v>1.93</v>
      </c>
      <c r="CH512" s="9">
        <v>511</v>
      </c>
      <c r="CI512" s="9">
        <v>22</v>
      </c>
      <c r="CJ512" s="9">
        <v>7</v>
      </c>
      <c r="CK512" s="167">
        <f>'HourGH-NOV'!I34</f>
        <v>0.7</v>
      </c>
      <c r="CL512" s="263">
        <v>511</v>
      </c>
      <c r="CM512" s="9">
        <v>22</v>
      </c>
      <c r="CN512" s="9">
        <v>7</v>
      </c>
      <c r="CO512" s="167">
        <f>'HourGH-DEC'!I34</f>
        <v>0.48</v>
      </c>
      <c r="CP512" s="263">
        <v>511</v>
      </c>
      <c r="CQ512" s="9">
        <v>22</v>
      </c>
      <c r="CR512" s="9">
        <v>7</v>
      </c>
      <c r="CS512" s="167">
        <f>'HourGH-JAN'!I34</f>
        <v>0.36</v>
      </c>
      <c r="CT512" s="9">
        <v>511</v>
      </c>
      <c r="CU512" s="9">
        <v>22</v>
      </c>
      <c r="CV512" s="9">
        <v>7</v>
      </c>
      <c r="CW512" s="167">
        <f>'HourGH-FEB'!I34</f>
        <v>0.7</v>
      </c>
      <c r="CX512" s="263">
        <v>511</v>
      </c>
      <c r="CY512" s="9">
        <v>22</v>
      </c>
      <c r="CZ512" s="9">
        <v>7</v>
      </c>
      <c r="DA512" s="167">
        <f>'HourGH-MAR'!I34</f>
        <v>0.68</v>
      </c>
    </row>
    <row r="513" spans="58:105">
      <c r="BF513" s="9">
        <v>512</v>
      </c>
      <c r="BG513" s="9">
        <v>22</v>
      </c>
      <c r="BH513" s="9">
        <v>8</v>
      </c>
      <c r="BI513" s="167">
        <f>'HourGH-APR'!J34</f>
        <v>0.57999999999999996</v>
      </c>
      <c r="BJ513" s="263">
        <v>512</v>
      </c>
      <c r="BK513" s="9">
        <v>22</v>
      </c>
      <c r="BL513" s="9">
        <v>8</v>
      </c>
      <c r="BM513" s="167">
        <f>'HourGH-MAY'!J34</f>
        <v>0.2</v>
      </c>
      <c r="BN513" s="9">
        <v>512</v>
      </c>
      <c r="BO513" s="9">
        <v>22</v>
      </c>
      <c r="BP513" s="9">
        <v>8</v>
      </c>
      <c r="BQ513" s="167">
        <f>'HourGH-JUN'!J34</f>
        <v>0.24</v>
      </c>
      <c r="BR513" s="263">
        <v>512</v>
      </c>
      <c r="BS513" s="9">
        <v>22</v>
      </c>
      <c r="BT513" s="9">
        <v>8</v>
      </c>
      <c r="BU513" s="167">
        <f>'HourGH-JUL'!J34</f>
        <v>0.34</v>
      </c>
      <c r="BV513" s="263">
        <v>512</v>
      </c>
      <c r="BW513" s="9">
        <v>22</v>
      </c>
      <c r="BX513" s="9">
        <v>8</v>
      </c>
      <c r="BY513" s="167">
        <f>'HourGH-AUG'!J34</f>
        <v>0.68</v>
      </c>
      <c r="BZ513" s="9">
        <v>512</v>
      </c>
      <c r="CA513" s="9">
        <v>22</v>
      </c>
      <c r="CB513" s="9">
        <v>8</v>
      </c>
      <c r="CC513" s="167">
        <f>'HourGH-SEP'!J34</f>
        <v>0.97</v>
      </c>
      <c r="CD513" s="263">
        <v>512</v>
      </c>
      <c r="CE513" s="9">
        <v>22</v>
      </c>
      <c r="CF513" s="9">
        <v>8</v>
      </c>
      <c r="CG513" s="167">
        <f>'HourGH-OCT'!J34</f>
        <v>1.97</v>
      </c>
      <c r="CH513" s="9">
        <v>512</v>
      </c>
      <c r="CI513" s="9">
        <v>22</v>
      </c>
      <c r="CJ513" s="9">
        <v>8</v>
      </c>
      <c r="CK513" s="167">
        <f>'HourGH-NOV'!J34</f>
        <v>0.7</v>
      </c>
      <c r="CL513" s="263">
        <v>512</v>
      </c>
      <c r="CM513" s="9">
        <v>22</v>
      </c>
      <c r="CN513" s="9">
        <v>8</v>
      </c>
      <c r="CO513" s="167">
        <f>'HourGH-DEC'!J34</f>
        <v>0.48</v>
      </c>
      <c r="CP513" s="263">
        <v>512</v>
      </c>
      <c r="CQ513" s="9">
        <v>22</v>
      </c>
      <c r="CR513" s="9">
        <v>8</v>
      </c>
      <c r="CS513" s="167">
        <f>'HourGH-JAN'!J34</f>
        <v>0.36</v>
      </c>
      <c r="CT513" s="9">
        <v>512</v>
      </c>
      <c r="CU513" s="9">
        <v>22</v>
      </c>
      <c r="CV513" s="9">
        <v>8</v>
      </c>
      <c r="CW513" s="167">
        <f>'HourGH-FEB'!J34</f>
        <v>0.71</v>
      </c>
      <c r="CX513" s="263">
        <v>512</v>
      </c>
      <c r="CY513" s="9">
        <v>22</v>
      </c>
      <c r="CZ513" s="9">
        <v>8</v>
      </c>
      <c r="DA513" s="167">
        <f>'HourGH-MAR'!J34</f>
        <v>0.69</v>
      </c>
    </row>
    <row r="514" spans="58:105">
      <c r="BF514" s="9">
        <v>513</v>
      </c>
      <c r="BG514" s="9">
        <v>22</v>
      </c>
      <c r="BH514" s="9">
        <v>9</v>
      </c>
      <c r="BI514" s="167">
        <f>'HourGH-APR'!K34</f>
        <v>0.57999999999999996</v>
      </c>
      <c r="BJ514" s="263">
        <v>513</v>
      </c>
      <c r="BK514" s="9">
        <v>22</v>
      </c>
      <c r="BL514" s="9">
        <v>9</v>
      </c>
      <c r="BM514" s="167">
        <f>'HourGH-MAY'!K34</f>
        <v>0.2</v>
      </c>
      <c r="BN514" s="9">
        <v>513</v>
      </c>
      <c r="BO514" s="9">
        <v>22</v>
      </c>
      <c r="BP514" s="9">
        <v>9</v>
      </c>
      <c r="BQ514" s="167">
        <f>'HourGH-JUN'!K34</f>
        <v>0.24</v>
      </c>
      <c r="BR514" s="263">
        <v>513</v>
      </c>
      <c r="BS514" s="9">
        <v>22</v>
      </c>
      <c r="BT514" s="9">
        <v>9</v>
      </c>
      <c r="BU514" s="167">
        <f>'HourGH-JUL'!K34</f>
        <v>0.34</v>
      </c>
      <c r="BV514" s="263">
        <v>513</v>
      </c>
      <c r="BW514" s="9">
        <v>22</v>
      </c>
      <c r="BX514" s="9">
        <v>9</v>
      </c>
      <c r="BY514" s="167">
        <f>'HourGH-AUG'!K34</f>
        <v>0.68</v>
      </c>
      <c r="BZ514" s="9">
        <v>513</v>
      </c>
      <c r="CA514" s="9">
        <v>22</v>
      </c>
      <c r="CB514" s="9">
        <v>9</v>
      </c>
      <c r="CC514" s="167">
        <f>'HourGH-SEP'!K34</f>
        <v>0.97</v>
      </c>
      <c r="CD514" s="263">
        <v>513</v>
      </c>
      <c r="CE514" s="9">
        <v>22</v>
      </c>
      <c r="CF514" s="9">
        <v>9</v>
      </c>
      <c r="CG514" s="167">
        <f>'HourGH-OCT'!K34</f>
        <v>2</v>
      </c>
      <c r="CH514" s="9">
        <v>513</v>
      </c>
      <c r="CI514" s="9">
        <v>22</v>
      </c>
      <c r="CJ514" s="9">
        <v>9</v>
      </c>
      <c r="CK514" s="167">
        <f>'HourGH-NOV'!K34</f>
        <v>0.7</v>
      </c>
      <c r="CL514" s="263">
        <v>513</v>
      </c>
      <c r="CM514" s="9">
        <v>22</v>
      </c>
      <c r="CN514" s="9">
        <v>9</v>
      </c>
      <c r="CO514" s="167">
        <f>'HourGH-DEC'!K34</f>
        <v>0.48</v>
      </c>
      <c r="CP514" s="263">
        <v>513</v>
      </c>
      <c r="CQ514" s="9">
        <v>22</v>
      </c>
      <c r="CR514" s="9">
        <v>9</v>
      </c>
      <c r="CS514" s="167">
        <f>'HourGH-JAN'!K34</f>
        <v>0.36</v>
      </c>
      <c r="CT514" s="9">
        <v>513</v>
      </c>
      <c r="CU514" s="9">
        <v>22</v>
      </c>
      <c r="CV514" s="9">
        <v>9</v>
      </c>
      <c r="CW514" s="167">
        <f>'HourGH-FEB'!K34</f>
        <v>0.71</v>
      </c>
      <c r="CX514" s="263">
        <v>513</v>
      </c>
      <c r="CY514" s="9">
        <v>22</v>
      </c>
      <c r="CZ514" s="9">
        <v>9</v>
      </c>
      <c r="DA514" s="167">
        <f>'HourGH-MAR'!K34</f>
        <v>0.69</v>
      </c>
    </row>
    <row r="515" spans="58:105">
      <c r="BF515" s="9">
        <v>514</v>
      </c>
      <c r="BG515" s="9">
        <v>22</v>
      </c>
      <c r="BH515" s="9">
        <v>10</v>
      </c>
      <c r="BI515" s="167">
        <f>'HourGH-APR'!L34</f>
        <v>0.57999999999999996</v>
      </c>
      <c r="BJ515" s="263">
        <v>514</v>
      </c>
      <c r="BK515" s="9">
        <v>22</v>
      </c>
      <c r="BL515" s="9">
        <v>10</v>
      </c>
      <c r="BM515" s="167">
        <f>'HourGH-MAY'!L34</f>
        <v>0.2</v>
      </c>
      <c r="BN515" s="9">
        <v>514</v>
      </c>
      <c r="BO515" s="9">
        <v>22</v>
      </c>
      <c r="BP515" s="9">
        <v>10</v>
      </c>
      <c r="BQ515" s="167">
        <f>'HourGH-JUN'!L34</f>
        <v>0.24</v>
      </c>
      <c r="BR515" s="263">
        <v>514</v>
      </c>
      <c r="BS515" s="9">
        <v>22</v>
      </c>
      <c r="BT515" s="9">
        <v>10</v>
      </c>
      <c r="BU515" s="167">
        <f>'HourGH-JUL'!L34</f>
        <v>0.34</v>
      </c>
      <c r="BV515" s="263">
        <v>514</v>
      </c>
      <c r="BW515" s="9">
        <v>22</v>
      </c>
      <c r="BX515" s="9">
        <v>10</v>
      </c>
      <c r="BY515" s="167">
        <f>'HourGH-AUG'!L34</f>
        <v>0.69</v>
      </c>
      <c r="BZ515" s="9">
        <v>514</v>
      </c>
      <c r="CA515" s="9">
        <v>22</v>
      </c>
      <c r="CB515" s="9">
        <v>10</v>
      </c>
      <c r="CC515" s="167">
        <f>'HourGH-SEP'!L34</f>
        <v>0.96</v>
      </c>
      <c r="CD515" s="263">
        <v>514</v>
      </c>
      <c r="CE515" s="9">
        <v>22</v>
      </c>
      <c r="CF515" s="9">
        <v>10</v>
      </c>
      <c r="CG515" s="167">
        <f>'HourGH-OCT'!L34</f>
        <v>2.0299999999999998</v>
      </c>
      <c r="CH515" s="9">
        <v>514</v>
      </c>
      <c r="CI515" s="9">
        <v>22</v>
      </c>
      <c r="CJ515" s="9">
        <v>10</v>
      </c>
      <c r="CK515" s="167">
        <f>'HourGH-NOV'!L34</f>
        <v>0.69</v>
      </c>
      <c r="CL515" s="263">
        <v>514</v>
      </c>
      <c r="CM515" s="9">
        <v>22</v>
      </c>
      <c r="CN515" s="9">
        <v>10</v>
      </c>
      <c r="CO515" s="167">
        <f>'HourGH-DEC'!L34</f>
        <v>0.48</v>
      </c>
      <c r="CP515" s="263">
        <v>514</v>
      </c>
      <c r="CQ515" s="9">
        <v>22</v>
      </c>
      <c r="CR515" s="9">
        <v>10</v>
      </c>
      <c r="CS515" s="167">
        <f>'HourGH-JAN'!L34</f>
        <v>0.36</v>
      </c>
      <c r="CT515" s="9">
        <v>514</v>
      </c>
      <c r="CU515" s="9">
        <v>22</v>
      </c>
      <c r="CV515" s="9">
        <v>10</v>
      </c>
      <c r="CW515" s="167">
        <f>'HourGH-FEB'!L34</f>
        <v>0.71</v>
      </c>
      <c r="CX515" s="263">
        <v>514</v>
      </c>
      <c r="CY515" s="9">
        <v>22</v>
      </c>
      <c r="CZ515" s="9">
        <v>10</v>
      </c>
      <c r="DA515" s="167">
        <f>'HourGH-MAR'!L34</f>
        <v>0.7</v>
      </c>
    </row>
    <row r="516" spans="58:105">
      <c r="BF516" s="9">
        <v>515</v>
      </c>
      <c r="BG516" s="9">
        <v>22</v>
      </c>
      <c r="BH516" s="9">
        <v>11</v>
      </c>
      <c r="BI516" s="167">
        <f>'HourGH-APR'!M34</f>
        <v>0.57999999999999996</v>
      </c>
      <c r="BJ516" s="263">
        <v>515</v>
      </c>
      <c r="BK516" s="9">
        <v>22</v>
      </c>
      <c r="BL516" s="9">
        <v>11</v>
      </c>
      <c r="BM516" s="167">
        <f>'HourGH-MAY'!M34</f>
        <v>0.2</v>
      </c>
      <c r="BN516" s="9">
        <v>515</v>
      </c>
      <c r="BO516" s="9">
        <v>22</v>
      </c>
      <c r="BP516" s="9">
        <v>11</v>
      </c>
      <c r="BQ516" s="167">
        <f>'HourGH-JUN'!M34</f>
        <v>0.24</v>
      </c>
      <c r="BR516" s="263">
        <v>515</v>
      </c>
      <c r="BS516" s="9">
        <v>22</v>
      </c>
      <c r="BT516" s="9">
        <v>11</v>
      </c>
      <c r="BU516" s="167">
        <f>'HourGH-JUL'!M34</f>
        <v>0.34</v>
      </c>
      <c r="BV516" s="263">
        <v>515</v>
      </c>
      <c r="BW516" s="9">
        <v>22</v>
      </c>
      <c r="BX516" s="9">
        <v>11</v>
      </c>
      <c r="BY516" s="167">
        <f>'HourGH-AUG'!M34</f>
        <v>0.69</v>
      </c>
      <c r="BZ516" s="9">
        <v>515</v>
      </c>
      <c r="CA516" s="9">
        <v>22</v>
      </c>
      <c r="CB516" s="9">
        <v>11</v>
      </c>
      <c r="CC516" s="167">
        <f>'HourGH-SEP'!M34</f>
        <v>0.96</v>
      </c>
      <c r="CD516" s="263">
        <v>515</v>
      </c>
      <c r="CE516" s="9">
        <v>22</v>
      </c>
      <c r="CF516" s="9">
        <v>11</v>
      </c>
      <c r="CG516" s="167">
        <f>'HourGH-OCT'!M34</f>
        <v>2.04</v>
      </c>
      <c r="CH516" s="9">
        <v>515</v>
      </c>
      <c r="CI516" s="9">
        <v>22</v>
      </c>
      <c r="CJ516" s="9">
        <v>11</v>
      </c>
      <c r="CK516" s="167">
        <f>'HourGH-NOV'!M34</f>
        <v>0.69</v>
      </c>
      <c r="CL516" s="263">
        <v>515</v>
      </c>
      <c r="CM516" s="9">
        <v>22</v>
      </c>
      <c r="CN516" s="9">
        <v>11</v>
      </c>
      <c r="CO516" s="167">
        <f>'HourGH-DEC'!M34</f>
        <v>0.48</v>
      </c>
      <c r="CP516" s="263">
        <v>515</v>
      </c>
      <c r="CQ516" s="9">
        <v>22</v>
      </c>
      <c r="CR516" s="9">
        <v>11</v>
      </c>
      <c r="CS516" s="167">
        <f>'HourGH-JAN'!M34</f>
        <v>0.36</v>
      </c>
      <c r="CT516" s="9">
        <v>515</v>
      </c>
      <c r="CU516" s="9">
        <v>22</v>
      </c>
      <c r="CV516" s="9">
        <v>11</v>
      </c>
      <c r="CW516" s="167">
        <f>'HourGH-FEB'!M34</f>
        <v>0.71</v>
      </c>
      <c r="CX516" s="263">
        <v>515</v>
      </c>
      <c r="CY516" s="9">
        <v>22</v>
      </c>
      <c r="CZ516" s="9">
        <v>11</v>
      </c>
      <c r="DA516" s="167">
        <f>'HourGH-MAR'!M34</f>
        <v>0.7</v>
      </c>
    </row>
    <row r="517" spans="58:105">
      <c r="BF517" s="9">
        <v>516</v>
      </c>
      <c r="BG517" s="9">
        <v>22</v>
      </c>
      <c r="BH517" s="9">
        <v>12</v>
      </c>
      <c r="BI517" s="167">
        <f>'HourGH-APR'!N34</f>
        <v>0.57999999999999996</v>
      </c>
      <c r="BJ517" s="263">
        <v>516</v>
      </c>
      <c r="BK517" s="9">
        <v>22</v>
      </c>
      <c r="BL517" s="9">
        <v>12</v>
      </c>
      <c r="BM517" s="167">
        <f>'HourGH-MAY'!N34</f>
        <v>0.19</v>
      </c>
      <c r="BN517" s="9">
        <v>516</v>
      </c>
      <c r="BO517" s="9">
        <v>22</v>
      </c>
      <c r="BP517" s="9">
        <v>12</v>
      </c>
      <c r="BQ517" s="167">
        <f>'HourGH-JUN'!N34</f>
        <v>0.24</v>
      </c>
      <c r="BR517" s="263">
        <v>516</v>
      </c>
      <c r="BS517" s="9">
        <v>22</v>
      </c>
      <c r="BT517" s="9">
        <v>12</v>
      </c>
      <c r="BU517" s="167">
        <f>'HourGH-JUL'!N34</f>
        <v>0.34</v>
      </c>
      <c r="BV517" s="263">
        <v>516</v>
      </c>
      <c r="BW517" s="9">
        <v>22</v>
      </c>
      <c r="BX517" s="9">
        <v>12</v>
      </c>
      <c r="BY517" s="167">
        <f>'HourGH-AUG'!N34</f>
        <v>0.7</v>
      </c>
      <c r="BZ517" s="9">
        <v>516</v>
      </c>
      <c r="CA517" s="9">
        <v>22</v>
      </c>
      <c r="CB517" s="9">
        <v>12</v>
      </c>
      <c r="CC517" s="167">
        <f>'HourGH-SEP'!N34</f>
        <v>0.95</v>
      </c>
      <c r="CD517" s="263">
        <v>516</v>
      </c>
      <c r="CE517" s="9">
        <v>22</v>
      </c>
      <c r="CF517" s="9">
        <v>12</v>
      </c>
      <c r="CG517" s="167">
        <f>'HourGH-OCT'!N34</f>
        <v>2.06</v>
      </c>
      <c r="CH517" s="9">
        <v>516</v>
      </c>
      <c r="CI517" s="9">
        <v>22</v>
      </c>
      <c r="CJ517" s="9">
        <v>12</v>
      </c>
      <c r="CK517" s="167">
        <f>'HourGH-NOV'!N34</f>
        <v>0.69</v>
      </c>
      <c r="CL517" s="263">
        <v>516</v>
      </c>
      <c r="CM517" s="9">
        <v>22</v>
      </c>
      <c r="CN517" s="9">
        <v>12</v>
      </c>
      <c r="CO517" s="167">
        <f>'HourGH-DEC'!N34</f>
        <v>0.48</v>
      </c>
      <c r="CP517" s="263">
        <v>516</v>
      </c>
      <c r="CQ517" s="9">
        <v>22</v>
      </c>
      <c r="CR517" s="9">
        <v>12</v>
      </c>
      <c r="CS517" s="167">
        <f>'HourGH-JAN'!N34</f>
        <v>0.36</v>
      </c>
      <c r="CT517" s="9">
        <v>516</v>
      </c>
      <c r="CU517" s="9">
        <v>22</v>
      </c>
      <c r="CV517" s="9">
        <v>12</v>
      </c>
      <c r="CW517" s="167">
        <f>'HourGH-FEB'!N34</f>
        <v>0.7</v>
      </c>
      <c r="CX517" s="263">
        <v>516</v>
      </c>
      <c r="CY517" s="9">
        <v>22</v>
      </c>
      <c r="CZ517" s="9">
        <v>12</v>
      </c>
      <c r="DA517" s="167">
        <f>'HourGH-MAR'!N34</f>
        <v>0.7</v>
      </c>
    </row>
    <row r="518" spans="58:105">
      <c r="BF518" s="9">
        <v>517</v>
      </c>
      <c r="BG518" s="9">
        <v>22</v>
      </c>
      <c r="BH518" s="9">
        <v>13</v>
      </c>
      <c r="BI518" s="167">
        <f>'HourGH-APR'!O34</f>
        <v>0.59</v>
      </c>
      <c r="BJ518" s="263">
        <v>517</v>
      </c>
      <c r="BK518" s="9">
        <v>22</v>
      </c>
      <c r="BL518" s="9">
        <v>13</v>
      </c>
      <c r="BM518" s="167">
        <f>'HourGH-MAY'!O34</f>
        <v>0.19</v>
      </c>
      <c r="BN518" s="9">
        <v>517</v>
      </c>
      <c r="BO518" s="9">
        <v>22</v>
      </c>
      <c r="BP518" s="9">
        <v>13</v>
      </c>
      <c r="BQ518" s="167">
        <f>'HourGH-JUN'!O34</f>
        <v>0.24</v>
      </c>
      <c r="BR518" s="263">
        <v>517</v>
      </c>
      <c r="BS518" s="9">
        <v>22</v>
      </c>
      <c r="BT518" s="9">
        <v>13</v>
      </c>
      <c r="BU518" s="167">
        <f>'HourGH-JUL'!O34</f>
        <v>0.33</v>
      </c>
      <c r="BV518" s="263">
        <v>517</v>
      </c>
      <c r="BW518" s="9">
        <v>22</v>
      </c>
      <c r="BX518" s="9">
        <v>13</v>
      </c>
      <c r="BY518" s="167">
        <f>'HourGH-AUG'!O34</f>
        <v>0.71</v>
      </c>
      <c r="BZ518" s="9">
        <v>517</v>
      </c>
      <c r="CA518" s="9">
        <v>22</v>
      </c>
      <c r="CB518" s="9">
        <v>13</v>
      </c>
      <c r="CC518" s="167">
        <f>'HourGH-SEP'!O34</f>
        <v>0.95</v>
      </c>
      <c r="CD518" s="263">
        <v>517</v>
      </c>
      <c r="CE518" s="9">
        <v>22</v>
      </c>
      <c r="CF518" s="9">
        <v>13</v>
      </c>
      <c r="CG518" s="167">
        <f>'HourGH-OCT'!O34</f>
        <v>2.08</v>
      </c>
      <c r="CH518" s="9">
        <v>517</v>
      </c>
      <c r="CI518" s="9">
        <v>22</v>
      </c>
      <c r="CJ518" s="9">
        <v>13</v>
      </c>
      <c r="CK518" s="167">
        <f>'HourGH-NOV'!O34</f>
        <v>0.68</v>
      </c>
      <c r="CL518" s="263">
        <v>517</v>
      </c>
      <c r="CM518" s="9">
        <v>22</v>
      </c>
      <c r="CN518" s="9">
        <v>13</v>
      </c>
      <c r="CO518" s="167">
        <f>'HourGH-DEC'!O34</f>
        <v>0.48</v>
      </c>
      <c r="CP518" s="263">
        <v>517</v>
      </c>
      <c r="CQ518" s="9">
        <v>22</v>
      </c>
      <c r="CR518" s="9">
        <v>13</v>
      </c>
      <c r="CS518" s="167">
        <f>'HourGH-JAN'!O34</f>
        <v>0.36</v>
      </c>
      <c r="CT518" s="9">
        <v>517</v>
      </c>
      <c r="CU518" s="9">
        <v>22</v>
      </c>
      <c r="CV518" s="9">
        <v>13</v>
      </c>
      <c r="CW518" s="167">
        <f>'HourGH-FEB'!O34</f>
        <v>0.7</v>
      </c>
      <c r="CX518" s="263">
        <v>517</v>
      </c>
      <c r="CY518" s="9">
        <v>22</v>
      </c>
      <c r="CZ518" s="9">
        <v>13</v>
      </c>
      <c r="DA518" s="167">
        <f>'HourGH-MAR'!O34</f>
        <v>0.7</v>
      </c>
    </row>
    <row r="519" spans="58:105">
      <c r="BF519" s="9">
        <v>518</v>
      </c>
      <c r="BG519" s="9">
        <v>22</v>
      </c>
      <c r="BH519" s="9">
        <v>14</v>
      </c>
      <c r="BI519" s="167">
        <f>'HourGH-APR'!P34</f>
        <v>0.59</v>
      </c>
      <c r="BJ519" s="263">
        <v>518</v>
      </c>
      <c r="BK519" s="9">
        <v>22</v>
      </c>
      <c r="BL519" s="9">
        <v>14</v>
      </c>
      <c r="BM519" s="167">
        <f>'HourGH-MAY'!P34</f>
        <v>0.19</v>
      </c>
      <c r="BN519" s="9">
        <v>518</v>
      </c>
      <c r="BO519" s="9">
        <v>22</v>
      </c>
      <c r="BP519" s="9">
        <v>14</v>
      </c>
      <c r="BQ519" s="167">
        <f>'HourGH-JUN'!P34</f>
        <v>0.24</v>
      </c>
      <c r="BR519" s="263">
        <v>518</v>
      </c>
      <c r="BS519" s="9">
        <v>22</v>
      </c>
      <c r="BT519" s="9">
        <v>14</v>
      </c>
      <c r="BU519" s="167">
        <f>'HourGH-JUL'!P34</f>
        <v>0.33</v>
      </c>
      <c r="BV519" s="263">
        <v>518</v>
      </c>
      <c r="BW519" s="9">
        <v>22</v>
      </c>
      <c r="BX519" s="9">
        <v>14</v>
      </c>
      <c r="BY519" s="167">
        <f>'HourGH-AUG'!P34</f>
        <v>0.72</v>
      </c>
      <c r="BZ519" s="9">
        <v>518</v>
      </c>
      <c r="CA519" s="9">
        <v>22</v>
      </c>
      <c r="CB519" s="9">
        <v>14</v>
      </c>
      <c r="CC519" s="167">
        <f>'HourGH-SEP'!P34</f>
        <v>0.94</v>
      </c>
      <c r="CD519" s="263">
        <v>518</v>
      </c>
      <c r="CE519" s="9">
        <v>22</v>
      </c>
      <c r="CF519" s="9">
        <v>14</v>
      </c>
      <c r="CG519" s="167">
        <f>'HourGH-OCT'!P34</f>
        <v>2.1</v>
      </c>
      <c r="CH519" s="9">
        <v>518</v>
      </c>
      <c r="CI519" s="9">
        <v>22</v>
      </c>
      <c r="CJ519" s="9">
        <v>14</v>
      </c>
      <c r="CK519" s="167">
        <f>'HourGH-NOV'!P34</f>
        <v>0.68</v>
      </c>
      <c r="CL519" s="263">
        <v>518</v>
      </c>
      <c r="CM519" s="9">
        <v>22</v>
      </c>
      <c r="CN519" s="9">
        <v>14</v>
      </c>
      <c r="CO519" s="167">
        <f>'HourGH-DEC'!P34</f>
        <v>0.48</v>
      </c>
      <c r="CP519" s="263">
        <v>518</v>
      </c>
      <c r="CQ519" s="9">
        <v>22</v>
      </c>
      <c r="CR519" s="9">
        <v>14</v>
      </c>
      <c r="CS519" s="167">
        <f>'HourGH-JAN'!P34</f>
        <v>0.36</v>
      </c>
      <c r="CT519" s="9">
        <v>518</v>
      </c>
      <c r="CU519" s="9">
        <v>22</v>
      </c>
      <c r="CV519" s="9">
        <v>14</v>
      </c>
      <c r="CW519" s="167">
        <f>'HourGH-FEB'!P34</f>
        <v>0.69</v>
      </c>
      <c r="CX519" s="263">
        <v>518</v>
      </c>
      <c r="CY519" s="9">
        <v>22</v>
      </c>
      <c r="CZ519" s="9">
        <v>14</v>
      </c>
      <c r="DA519" s="167">
        <f>'HourGH-MAR'!P34</f>
        <v>0.7</v>
      </c>
    </row>
    <row r="520" spans="58:105">
      <c r="BF520" s="9">
        <v>519</v>
      </c>
      <c r="BG520" s="9">
        <v>22</v>
      </c>
      <c r="BH520" s="9">
        <v>15</v>
      </c>
      <c r="BI520" s="167">
        <f>'HourGH-APR'!Q34</f>
        <v>0.59</v>
      </c>
      <c r="BJ520" s="263">
        <v>519</v>
      </c>
      <c r="BK520" s="9">
        <v>22</v>
      </c>
      <c r="BL520" s="9">
        <v>15</v>
      </c>
      <c r="BM520" s="167">
        <f>'HourGH-MAY'!Q34</f>
        <v>0.19</v>
      </c>
      <c r="BN520" s="9">
        <v>519</v>
      </c>
      <c r="BO520" s="9">
        <v>22</v>
      </c>
      <c r="BP520" s="9">
        <v>15</v>
      </c>
      <c r="BQ520" s="167">
        <f>'HourGH-JUN'!Q34</f>
        <v>0.24</v>
      </c>
      <c r="BR520" s="263">
        <v>519</v>
      </c>
      <c r="BS520" s="9">
        <v>22</v>
      </c>
      <c r="BT520" s="9">
        <v>15</v>
      </c>
      <c r="BU520" s="167">
        <f>'HourGH-JUL'!Q34</f>
        <v>0.33</v>
      </c>
      <c r="BV520" s="263">
        <v>519</v>
      </c>
      <c r="BW520" s="9">
        <v>22</v>
      </c>
      <c r="BX520" s="9">
        <v>15</v>
      </c>
      <c r="BY520" s="167">
        <f>'HourGH-AUG'!Q34</f>
        <v>0.73</v>
      </c>
      <c r="BZ520" s="9">
        <v>519</v>
      </c>
      <c r="CA520" s="9">
        <v>22</v>
      </c>
      <c r="CB520" s="9">
        <v>15</v>
      </c>
      <c r="CC520" s="167">
        <f>'HourGH-SEP'!Q34</f>
        <v>0.94</v>
      </c>
      <c r="CD520" s="263">
        <v>519</v>
      </c>
      <c r="CE520" s="9">
        <v>22</v>
      </c>
      <c r="CF520" s="9">
        <v>15</v>
      </c>
      <c r="CG520" s="167">
        <f>'HourGH-OCT'!Q34</f>
        <v>2.11</v>
      </c>
      <c r="CH520" s="9">
        <v>519</v>
      </c>
      <c r="CI520" s="9">
        <v>22</v>
      </c>
      <c r="CJ520" s="9">
        <v>15</v>
      </c>
      <c r="CK520" s="167">
        <f>'HourGH-NOV'!Q34</f>
        <v>0.68</v>
      </c>
      <c r="CL520" s="263">
        <v>519</v>
      </c>
      <c r="CM520" s="9">
        <v>22</v>
      </c>
      <c r="CN520" s="9">
        <v>15</v>
      </c>
      <c r="CO520" s="167">
        <f>'HourGH-DEC'!Q34</f>
        <v>0.48</v>
      </c>
      <c r="CP520" s="263">
        <v>519</v>
      </c>
      <c r="CQ520" s="9">
        <v>22</v>
      </c>
      <c r="CR520" s="9">
        <v>15</v>
      </c>
      <c r="CS520" s="167">
        <f>'HourGH-JAN'!Q34</f>
        <v>0.36</v>
      </c>
      <c r="CT520" s="9">
        <v>519</v>
      </c>
      <c r="CU520" s="9">
        <v>22</v>
      </c>
      <c r="CV520" s="9">
        <v>15</v>
      </c>
      <c r="CW520" s="167">
        <f>'HourGH-FEB'!Q34</f>
        <v>0.68</v>
      </c>
      <c r="CX520" s="263">
        <v>519</v>
      </c>
      <c r="CY520" s="9">
        <v>22</v>
      </c>
      <c r="CZ520" s="9">
        <v>15</v>
      </c>
      <c r="DA520" s="167">
        <f>'HourGH-MAR'!Q34</f>
        <v>0.7</v>
      </c>
    </row>
    <row r="521" spans="58:105">
      <c r="BF521" s="9">
        <v>520</v>
      </c>
      <c r="BG521" s="9">
        <v>22</v>
      </c>
      <c r="BH521" s="9">
        <v>16</v>
      </c>
      <c r="BI521" s="167">
        <f>'HourGH-APR'!R34</f>
        <v>0.59</v>
      </c>
      <c r="BJ521" s="263">
        <v>520</v>
      </c>
      <c r="BK521" s="9">
        <v>22</v>
      </c>
      <c r="BL521" s="9">
        <v>16</v>
      </c>
      <c r="BM521" s="167">
        <f>'HourGH-MAY'!R34</f>
        <v>0.19</v>
      </c>
      <c r="BN521" s="9">
        <v>520</v>
      </c>
      <c r="BO521" s="9">
        <v>22</v>
      </c>
      <c r="BP521" s="9">
        <v>16</v>
      </c>
      <c r="BQ521" s="167">
        <f>'HourGH-JUN'!R34</f>
        <v>0.24</v>
      </c>
      <c r="BR521" s="263">
        <v>520</v>
      </c>
      <c r="BS521" s="9">
        <v>22</v>
      </c>
      <c r="BT521" s="9">
        <v>16</v>
      </c>
      <c r="BU521" s="167">
        <f>'HourGH-JUL'!R34</f>
        <v>0.33</v>
      </c>
      <c r="BV521" s="263">
        <v>520</v>
      </c>
      <c r="BW521" s="9">
        <v>22</v>
      </c>
      <c r="BX521" s="9">
        <v>16</v>
      </c>
      <c r="BY521" s="167">
        <f>'HourGH-AUG'!R34</f>
        <v>0.73</v>
      </c>
      <c r="BZ521" s="9">
        <v>520</v>
      </c>
      <c r="CA521" s="9">
        <v>22</v>
      </c>
      <c r="CB521" s="9">
        <v>16</v>
      </c>
      <c r="CC521" s="167">
        <f>'HourGH-SEP'!R34</f>
        <v>0.93</v>
      </c>
      <c r="CD521" s="263">
        <v>520</v>
      </c>
      <c r="CE521" s="9">
        <v>22</v>
      </c>
      <c r="CF521" s="9">
        <v>16</v>
      </c>
      <c r="CG521" s="167">
        <f>'HourGH-OCT'!R34</f>
        <v>2.12</v>
      </c>
      <c r="CH521" s="9">
        <v>520</v>
      </c>
      <c r="CI521" s="9">
        <v>22</v>
      </c>
      <c r="CJ521" s="9">
        <v>16</v>
      </c>
      <c r="CK521" s="167">
        <f>'HourGH-NOV'!R34</f>
        <v>0.67</v>
      </c>
      <c r="CL521" s="263">
        <v>520</v>
      </c>
      <c r="CM521" s="9">
        <v>22</v>
      </c>
      <c r="CN521" s="9">
        <v>16</v>
      </c>
      <c r="CO521" s="167">
        <f>'HourGH-DEC'!R34</f>
        <v>0.48</v>
      </c>
      <c r="CP521" s="263">
        <v>520</v>
      </c>
      <c r="CQ521" s="9">
        <v>22</v>
      </c>
      <c r="CR521" s="9">
        <v>16</v>
      </c>
      <c r="CS521" s="167">
        <f>'HourGH-JAN'!R34</f>
        <v>0.36</v>
      </c>
      <c r="CT521" s="9">
        <v>520</v>
      </c>
      <c r="CU521" s="9">
        <v>22</v>
      </c>
      <c r="CV521" s="9">
        <v>16</v>
      </c>
      <c r="CW521" s="167">
        <f>'HourGH-FEB'!R34</f>
        <v>0.67</v>
      </c>
      <c r="CX521" s="263">
        <v>520</v>
      </c>
      <c r="CY521" s="9">
        <v>22</v>
      </c>
      <c r="CZ521" s="9">
        <v>16</v>
      </c>
      <c r="DA521" s="167">
        <f>'HourGH-MAR'!R34</f>
        <v>0.7</v>
      </c>
    </row>
    <row r="522" spans="58:105">
      <c r="BF522" s="9">
        <v>521</v>
      </c>
      <c r="BG522" s="9">
        <v>22</v>
      </c>
      <c r="BH522" s="9">
        <v>17</v>
      </c>
      <c r="BI522" s="167">
        <f>'HourGH-APR'!S34</f>
        <v>0.59</v>
      </c>
      <c r="BJ522" s="263">
        <v>521</v>
      </c>
      <c r="BK522" s="9">
        <v>22</v>
      </c>
      <c r="BL522" s="9">
        <v>17</v>
      </c>
      <c r="BM522" s="167">
        <f>'HourGH-MAY'!S34</f>
        <v>0.19</v>
      </c>
      <c r="BN522" s="9">
        <v>521</v>
      </c>
      <c r="BO522" s="9">
        <v>22</v>
      </c>
      <c r="BP522" s="9">
        <v>17</v>
      </c>
      <c r="BQ522" s="167">
        <f>'HourGH-JUN'!S34</f>
        <v>0.24</v>
      </c>
      <c r="BR522" s="263">
        <v>521</v>
      </c>
      <c r="BS522" s="9">
        <v>22</v>
      </c>
      <c r="BT522" s="9">
        <v>17</v>
      </c>
      <c r="BU522" s="167">
        <f>'HourGH-JUL'!S34</f>
        <v>0.33</v>
      </c>
      <c r="BV522" s="263">
        <v>521</v>
      </c>
      <c r="BW522" s="9">
        <v>22</v>
      </c>
      <c r="BX522" s="9">
        <v>17</v>
      </c>
      <c r="BY522" s="167">
        <f>'HourGH-AUG'!S34</f>
        <v>0.74</v>
      </c>
      <c r="BZ522" s="9">
        <v>521</v>
      </c>
      <c r="CA522" s="9">
        <v>22</v>
      </c>
      <c r="CB522" s="9">
        <v>17</v>
      </c>
      <c r="CC522" s="167">
        <f>'HourGH-SEP'!S34</f>
        <v>0.93</v>
      </c>
      <c r="CD522" s="263">
        <v>521</v>
      </c>
      <c r="CE522" s="9">
        <v>22</v>
      </c>
      <c r="CF522" s="9">
        <v>17</v>
      </c>
      <c r="CG522" s="167">
        <f>'HourGH-OCT'!S34</f>
        <v>2.13</v>
      </c>
      <c r="CH522" s="9">
        <v>521</v>
      </c>
      <c r="CI522" s="9">
        <v>22</v>
      </c>
      <c r="CJ522" s="9">
        <v>17</v>
      </c>
      <c r="CK522" s="167">
        <f>'HourGH-NOV'!S34</f>
        <v>0.67</v>
      </c>
      <c r="CL522" s="263">
        <v>521</v>
      </c>
      <c r="CM522" s="9">
        <v>22</v>
      </c>
      <c r="CN522" s="9">
        <v>17</v>
      </c>
      <c r="CO522" s="167">
        <f>'HourGH-DEC'!S34</f>
        <v>0.48</v>
      </c>
      <c r="CP522" s="263">
        <v>521</v>
      </c>
      <c r="CQ522" s="9">
        <v>22</v>
      </c>
      <c r="CR522" s="9">
        <v>17</v>
      </c>
      <c r="CS522" s="167">
        <f>'HourGH-JAN'!S34</f>
        <v>0.36</v>
      </c>
      <c r="CT522" s="9">
        <v>521</v>
      </c>
      <c r="CU522" s="9">
        <v>22</v>
      </c>
      <c r="CV522" s="9">
        <v>17</v>
      </c>
      <c r="CW522" s="167">
        <f>'HourGH-FEB'!S34</f>
        <v>0.66</v>
      </c>
      <c r="CX522" s="263">
        <v>521</v>
      </c>
      <c r="CY522" s="9">
        <v>22</v>
      </c>
      <c r="CZ522" s="9">
        <v>17</v>
      </c>
      <c r="DA522" s="167">
        <f>'HourGH-MAR'!S34</f>
        <v>0.7</v>
      </c>
    </row>
    <row r="523" spans="58:105">
      <c r="BF523" s="9">
        <v>522</v>
      </c>
      <c r="BG523" s="9">
        <v>22</v>
      </c>
      <c r="BH523" s="9">
        <v>18</v>
      </c>
      <c r="BI523" s="167">
        <f>'HourGH-APR'!T34</f>
        <v>0.59</v>
      </c>
      <c r="BJ523" s="263">
        <v>522</v>
      </c>
      <c r="BK523" s="9">
        <v>22</v>
      </c>
      <c r="BL523" s="9">
        <v>18</v>
      </c>
      <c r="BM523" s="167">
        <f>'HourGH-MAY'!T34</f>
        <v>0.19</v>
      </c>
      <c r="BN523" s="9">
        <v>522</v>
      </c>
      <c r="BO523" s="9">
        <v>22</v>
      </c>
      <c r="BP523" s="9">
        <v>18</v>
      </c>
      <c r="BQ523" s="167">
        <f>'HourGH-JUN'!T34</f>
        <v>0.24</v>
      </c>
      <c r="BR523" s="263">
        <v>522</v>
      </c>
      <c r="BS523" s="9">
        <v>22</v>
      </c>
      <c r="BT523" s="9">
        <v>18</v>
      </c>
      <c r="BU523" s="167">
        <f>'HourGH-JUL'!T34</f>
        <v>0.33</v>
      </c>
      <c r="BV523" s="263">
        <v>522</v>
      </c>
      <c r="BW523" s="9">
        <v>22</v>
      </c>
      <c r="BX523" s="9">
        <v>18</v>
      </c>
      <c r="BY523" s="167">
        <f>'HourGH-AUG'!T34</f>
        <v>0.75</v>
      </c>
      <c r="BZ523" s="9">
        <v>522</v>
      </c>
      <c r="CA523" s="9">
        <v>22</v>
      </c>
      <c r="CB523" s="9">
        <v>18</v>
      </c>
      <c r="CC523" s="167">
        <f>'HourGH-SEP'!T34</f>
        <v>0.92</v>
      </c>
      <c r="CD523" s="263">
        <v>522</v>
      </c>
      <c r="CE523" s="9">
        <v>22</v>
      </c>
      <c r="CF523" s="9">
        <v>18</v>
      </c>
      <c r="CG523" s="167">
        <f>'HourGH-OCT'!T34</f>
        <v>2.13</v>
      </c>
      <c r="CH523" s="9">
        <v>522</v>
      </c>
      <c r="CI523" s="9">
        <v>22</v>
      </c>
      <c r="CJ523" s="9">
        <v>18</v>
      </c>
      <c r="CK523" s="167">
        <f>'HourGH-NOV'!T34</f>
        <v>0.67</v>
      </c>
      <c r="CL523" s="263">
        <v>522</v>
      </c>
      <c r="CM523" s="9">
        <v>22</v>
      </c>
      <c r="CN523" s="9">
        <v>18</v>
      </c>
      <c r="CO523" s="167">
        <f>'HourGH-DEC'!T34</f>
        <v>0.48</v>
      </c>
      <c r="CP523" s="263">
        <v>522</v>
      </c>
      <c r="CQ523" s="9">
        <v>22</v>
      </c>
      <c r="CR523" s="9">
        <v>18</v>
      </c>
      <c r="CS523" s="167">
        <f>'HourGH-JAN'!T34</f>
        <v>0.36</v>
      </c>
      <c r="CT523" s="9">
        <v>522</v>
      </c>
      <c r="CU523" s="9">
        <v>22</v>
      </c>
      <c r="CV523" s="9">
        <v>18</v>
      </c>
      <c r="CW523" s="167">
        <f>'HourGH-FEB'!T34</f>
        <v>0.65</v>
      </c>
      <c r="CX523" s="263">
        <v>522</v>
      </c>
      <c r="CY523" s="9">
        <v>22</v>
      </c>
      <c r="CZ523" s="9">
        <v>18</v>
      </c>
      <c r="DA523" s="167">
        <f>'HourGH-MAR'!T34</f>
        <v>0.69</v>
      </c>
    </row>
    <row r="524" spans="58:105">
      <c r="BF524" s="9">
        <v>523</v>
      </c>
      <c r="BG524" s="9">
        <v>22</v>
      </c>
      <c r="BH524" s="9">
        <v>19</v>
      </c>
      <c r="BI524" s="167">
        <f>'HourGH-APR'!U34</f>
        <v>0.59</v>
      </c>
      <c r="BJ524" s="263">
        <v>523</v>
      </c>
      <c r="BK524" s="9">
        <v>22</v>
      </c>
      <c r="BL524" s="9">
        <v>19</v>
      </c>
      <c r="BM524" s="167">
        <f>'HourGH-MAY'!U34</f>
        <v>0.18</v>
      </c>
      <c r="BN524" s="9">
        <v>523</v>
      </c>
      <c r="BO524" s="9">
        <v>22</v>
      </c>
      <c r="BP524" s="9">
        <v>19</v>
      </c>
      <c r="BQ524" s="167">
        <f>'HourGH-JUN'!U34</f>
        <v>0.24</v>
      </c>
      <c r="BR524" s="263">
        <v>523</v>
      </c>
      <c r="BS524" s="9">
        <v>22</v>
      </c>
      <c r="BT524" s="9">
        <v>19</v>
      </c>
      <c r="BU524" s="167">
        <f>'HourGH-JUL'!U34</f>
        <v>0.33</v>
      </c>
      <c r="BV524" s="263">
        <v>523</v>
      </c>
      <c r="BW524" s="9">
        <v>22</v>
      </c>
      <c r="BX524" s="9">
        <v>19</v>
      </c>
      <c r="BY524" s="167">
        <f>'HourGH-AUG'!U34</f>
        <v>0.76</v>
      </c>
      <c r="BZ524" s="9">
        <v>523</v>
      </c>
      <c r="CA524" s="9">
        <v>22</v>
      </c>
      <c r="CB524" s="9">
        <v>19</v>
      </c>
      <c r="CC524" s="167">
        <f>'HourGH-SEP'!U34</f>
        <v>0.92</v>
      </c>
      <c r="CD524" s="263">
        <v>523</v>
      </c>
      <c r="CE524" s="9">
        <v>22</v>
      </c>
      <c r="CF524" s="9">
        <v>19</v>
      </c>
      <c r="CG524" s="167">
        <f>'HourGH-OCT'!U34</f>
        <v>2.13</v>
      </c>
      <c r="CH524" s="9">
        <v>523</v>
      </c>
      <c r="CI524" s="9">
        <v>22</v>
      </c>
      <c r="CJ524" s="9">
        <v>19</v>
      </c>
      <c r="CK524" s="167">
        <f>'HourGH-NOV'!U34</f>
        <v>0.66</v>
      </c>
      <c r="CL524" s="263">
        <v>523</v>
      </c>
      <c r="CM524" s="9">
        <v>22</v>
      </c>
      <c r="CN524" s="9">
        <v>19</v>
      </c>
      <c r="CO524" s="167">
        <f>'HourGH-DEC'!U34</f>
        <v>0.48</v>
      </c>
      <c r="CP524" s="263">
        <v>523</v>
      </c>
      <c r="CQ524" s="9">
        <v>22</v>
      </c>
      <c r="CR524" s="9">
        <v>19</v>
      </c>
      <c r="CS524" s="167">
        <f>'HourGH-JAN'!U34</f>
        <v>0.36</v>
      </c>
      <c r="CT524" s="9">
        <v>523</v>
      </c>
      <c r="CU524" s="9">
        <v>22</v>
      </c>
      <c r="CV524" s="9">
        <v>19</v>
      </c>
      <c r="CW524" s="167">
        <f>'HourGH-FEB'!U34</f>
        <v>0.63</v>
      </c>
      <c r="CX524" s="263">
        <v>523</v>
      </c>
      <c r="CY524" s="9">
        <v>22</v>
      </c>
      <c r="CZ524" s="9">
        <v>19</v>
      </c>
      <c r="DA524" s="167">
        <f>'HourGH-MAR'!U34</f>
        <v>0.69</v>
      </c>
    </row>
    <row r="525" spans="58:105">
      <c r="BF525" s="9">
        <v>524</v>
      </c>
      <c r="BG525" s="9">
        <v>22</v>
      </c>
      <c r="BH525" s="9">
        <v>20</v>
      </c>
      <c r="BI525" s="167">
        <f>'HourGH-APR'!V34</f>
        <v>0.59</v>
      </c>
      <c r="BJ525" s="263">
        <v>524</v>
      </c>
      <c r="BK525" s="9">
        <v>22</v>
      </c>
      <c r="BL525" s="9">
        <v>20</v>
      </c>
      <c r="BM525" s="167">
        <f>'HourGH-MAY'!V34</f>
        <v>0.18</v>
      </c>
      <c r="BN525" s="9">
        <v>524</v>
      </c>
      <c r="BO525" s="9">
        <v>22</v>
      </c>
      <c r="BP525" s="9">
        <v>20</v>
      </c>
      <c r="BQ525" s="167">
        <f>'HourGH-JUN'!V34</f>
        <v>0.24</v>
      </c>
      <c r="BR525" s="263">
        <v>524</v>
      </c>
      <c r="BS525" s="9">
        <v>22</v>
      </c>
      <c r="BT525" s="9">
        <v>20</v>
      </c>
      <c r="BU525" s="167">
        <f>'HourGH-JUL'!V34</f>
        <v>0.33</v>
      </c>
      <c r="BV525" s="263">
        <v>524</v>
      </c>
      <c r="BW525" s="9">
        <v>22</v>
      </c>
      <c r="BX525" s="9">
        <v>20</v>
      </c>
      <c r="BY525" s="167">
        <f>'HourGH-AUG'!V34</f>
        <v>0.77</v>
      </c>
      <c r="BZ525" s="9">
        <v>524</v>
      </c>
      <c r="CA525" s="9">
        <v>22</v>
      </c>
      <c r="CB525" s="9">
        <v>20</v>
      </c>
      <c r="CC525" s="167">
        <f>'HourGH-SEP'!V34</f>
        <v>0.91</v>
      </c>
      <c r="CD525" s="263">
        <v>524</v>
      </c>
      <c r="CE525" s="9">
        <v>22</v>
      </c>
      <c r="CF525" s="9">
        <v>20</v>
      </c>
      <c r="CG525" s="167">
        <f>'HourGH-OCT'!V34</f>
        <v>2.13</v>
      </c>
      <c r="CH525" s="9">
        <v>524</v>
      </c>
      <c r="CI525" s="9">
        <v>22</v>
      </c>
      <c r="CJ525" s="9">
        <v>20</v>
      </c>
      <c r="CK525" s="167">
        <f>'HourGH-NOV'!V34</f>
        <v>0.66</v>
      </c>
      <c r="CL525" s="263">
        <v>524</v>
      </c>
      <c r="CM525" s="9">
        <v>22</v>
      </c>
      <c r="CN525" s="9">
        <v>20</v>
      </c>
      <c r="CO525" s="167">
        <f>'HourGH-DEC'!V34</f>
        <v>0.48</v>
      </c>
      <c r="CP525" s="263">
        <v>524</v>
      </c>
      <c r="CQ525" s="9">
        <v>22</v>
      </c>
      <c r="CR525" s="9">
        <v>20</v>
      </c>
      <c r="CS525" s="167">
        <f>'HourGH-JAN'!V34</f>
        <v>0.36</v>
      </c>
      <c r="CT525" s="9">
        <v>524</v>
      </c>
      <c r="CU525" s="9">
        <v>22</v>
      </c>
      <c r="CV525" s="9">
        <v>20</v>
      </c>
      <c r="CW525" s="167">
        <f>'HourGH-FEB'!V34</f>
        <v>0.61</v>
      </c>
      <c r="CX525" s="263">
        <v>524</v>
      </c>
      <c r="CY525" s="9">
        <v>22</v>
      </c>
      <c r="CZ525" s="9">
        <v>20</v>
      </c>
      <c r="DA525" s="167">
        <f>'HourGH-MAR'!V34</f>
        <v>0.69</v>
      </c>
    </row>
    <row r="526" spans="58:105">
      <c r="BF526" s="9">
        <v>525</v>
      </c>
      <c r="BG526" s="9">
        <v>22</v>
      </c>
      <c r="BH526" s="9">
        <v>21</v>
      </c>
      <c r="BI526" s="167">
        <f>'HourGH-APR'!W34</f>
        <v>0.59</v>
      </c>
      <c r="BJ526" s="263">
        <v>525</v>
      </c>
      <c r="BK526" s="9">
        <v>22</v>
      </c>
      <c r="BL526" s="9">
        <v>21</v>
      </c>
      <c r="BM526" s="167">
        <f>'HourGH-MAY'!W34</f>
        <v>0.18</v>
      </c>
      <c r="BN526" s="9">
        <v>525</v>
      </c>
      <c r="BO526" s="9">
        <v>22</v>
      </c>
      <c r="BP526" s="9">
        <v>21</v>
      </c>
      <c r="BQ526" s="167">
        <f>'HourGH-JUN'!W34</f>
        <v>0.24</v>
      </c>
      <c r="BR526" s="263">
        <v>525</v>
      </c>
      <c r="BS526" s="9">
        <v>22</v>
      </c>
      <c r="BT526" s="9">
        <v>21</v>
      </c>
      <c r="BU526" s="167">
        <f>'HourGH-JUL'!W34</f>
        <v>0.33</v>
      </c>
      <c r="BV526" s="263">
        <v>525</v>
      </c>
      <c r="BW526" s="9">
        <v>22</v>
      </c>
      <c r="BX526" s="9">
        <v>21</v>
      </c>
      <c r="BY526" s="167">
        <f>'HourGH-AUG'!W34</f>
        <v>0.78</v>
      </c>
      <c r="BZ526" s="9">
        <v>525</v>
      </c>
      <c r="CA526" s="9">
        <v>22</v>
      </c>
      <c r="CB526" s="9">
        <v>21</v>
      </c>
      <c r="CC526" s="167">
        <f>'HourGH-SEP'!W34</f>
        <v>0.91</v>
      </c>
      <c r="CD526" s="263">
        <v>525</v>
      </c>
      <c r="CE526" s="9">
        <v>22</v>
      </c>
      <c r="CF526" s="9">
        <v>21</v>
      </c>
      <c r="CG526" s="167">
        <f>'HourGH-OCT'!W34</f>
        <v>2.13</v>
      </c>
      <c r="CH526" s="9">
        <v>525</v>
      </c>
      <c r="CI526" s="9">
        <v>22</v>
      </c>
      <c r="CJ526" s="9">
        <v>21</v>
      </c>
      <c r="CK526" s="167">
        <f>'HourGH-NOV'!W34</f>
        <v>0.66</v>
      </c>
      <c r="CL526" s="263">
        <v>525</v>
      </c>
      <c r="CM526" s="9">
        <v>22</v>
      </c>
      <c r="CN526" s="9">
        <v>21</v>
      </c>
      <c r="CO526" s="167">
        <f>'HourGH-DEC'!W34</f>
        <v>0.48</v>
      </c>
      <c r="CP526" s="263">
        <v>525</v>
      </c>
      <c r="CQ526" s="9">
        <v>22</v>
      </c>
      <c r="CR526" s="9">
        <v>21</v>
      </c>
      <c r="CS526" s="167">
        <f>'HourGH-JAN'!W34</f>
        <v>0.36</v>
      </c>
      <c r="CT526" s="9">
        <v>525</v>
      </c>
      <c r="CU526" s="9">
        <v>22</v>
      </c>
      <c r="CV526" s="9">
        <v>21</v>
      </c>
      <c r="CW526" s="167">
        <f>'HourGH-FEB'!W34</f>
        <v>0.59</v>
      </c>
      <c r="CX526" s="263">
        <v>525</v>
      </c>
      <c r="CY526" s="9">
        <v>22</v>
      </c>
      <c r="CZ526" s="9">
        <v>21</v>
      </c>
      <c r="DA526" s="167">
        <f>'HourGH-MAR'!W34</f>
        <v>0.68</v>
      </c>
    </row>
    <row r="527" spans="58:105">
      <c r="BF527" s="9">
        <v>526</v>
      </c>
      <c r="BG527" s="9">
        <v>22</v>
      </c>
      <c r="BH527" s="9">
        <v>22</v>
      </c>
      <c r="BI527" s="167">
        <f>'HourGH-APR'!X34</f>
        <v>0.59</v>
      </c>
      <c r="BJ527" s="263">
        <v>526</v>
      </c>
      <c r="BK527" s="9">
        <v>22</v>
      </c>
      <c r="BL527" s="9">
        <v>22</v>
      </c>
      <c r="BM527" s="167">
        <f>'HourGH-MAY'!X34</f>
        <v>0.18</v>
      </c>
      <c r="BN527" s="9">
        <v>526</v>
      </c>
      <c r="BO527" s="9">
        <v>22</v>
      </c>
      <c r="BP527" s="9">
        <v>22</v>
      </c>
      <c r="BQ527" s="167">
        <f>'HourGH-JUN'!X34</f>
        <v>0.24</v>
      </c>
      <c r="BR527" s="263">
        <v>526</v>
      </c>
      <c r="BS527" s="9">
        <v>22</v>
      </c>
      <c r="BT527" s="9">
        <v>22</v>
      </c>
      <c r="BU527" s="167">
        <f>'HourGH-JUL'!X34</f>
        <v>0.33</v>
      </c>
      <c r="BV527" s="263">
        <v>526</v>
      </c>
      <c r="BW527" s="9">
        <v>22</v>
      </c>
      <c r="BX527" s="9">
        <v>22</v>
      </c>
      <c r="BY527" s="167">
        <f>'HourGH-AUG'!X34</f>
        <v>0.8</v>
      </c>
      <c r="BZ527" s="9">
        <v>526</v>
      </c>
      <c r="CA527" s="9">
        <v>22</v>
      </c>
      <c r="CB527" s="9">
        <v>22</v>
      </c>
      <c r="CC527" s="167">
        <f>'HourGH-SEP'!X34</f>
        <v>0.9</v>
      </c>
      <c r="CD527" s="263">
        <v>526</v>
      </c>
      <c r="CE527" s="9">
        <v>22</v>
      </c>
      <c r="CF527" s="9">
        <v>22</v>
      </c>
      <c r="CG527" s="167">
        <f>'HourGH-OCT'!X34</f>
        <v>2.13</v>
      </c>
      <c r="CH527" s="9">
        <v>526</v>
      </c>
      <c r="CI527" s="9">
        <v>22</v>
      </c>
      <c r="CJ527" s="9">
        <v>22</v>
      </c>
      <c r="CK527" s="167">
        <f>'HourGH-NOV'!X34</f>
        <v>0.65</v>
      </c>
      <c r="CL527" s="263">
        <v>526</v>
      </c>
      <c r="CM527" s="9">
        <v>22</v>
      </c>
      <c r="CN527" s="9">
        <v>22</v>
      </c>
      <c r="CO527" s="167">
        <f>'HourGH-DEC'!X34</f>
        <v>0.48</v>
      </c>
      <c r="CP527" s="263">
        <v>526</v>
      </c>
      <c r="CQ527" s="9">
        <v>22</v>
      </c>
      <c r="CR527" s="9">
        <v>22</v>
      </c>
      <c r="CS527" s="167">
        <f>'HourGH-JAN'!X34</f>
        <v>0.36</v>
      </c>
      <c r="CT527" s="9">
        <v>526</v>
      </c>
      <c r="CU527" s="9">
        <v>22</v>
      </c>
      <c r="CV527" s="9">
        <v>22</v>
      </c>
      <c r="CW527" s="167">
        <f>'HourGH-FEB'!X34</f>
        <v>0.57999999999999996</v>
      </c>
      <c r="CX527" s="263">
        <v>526</v>
      </c>
      <c r="CY527" s="9">
        <v>22</v>
      </c>
      <c r="CZ527" s="9">
        <v>22</v>
      </c>
      <c r="DA527" s="167">
        <f>'HourGH-MAR'!X34</f>
        <v>0.68</v>
      </c>
    </row>
    <row r="528" spans="58:105">
      <c r="BF528" s="9">
        <v>527</v>
      </c>
      <c r="BG528" s="9">
        <v>22</v>
      </c>
      <c r="BH528" s="9">
        <v>23</v>
      </c>
      <c r="BI528" s="167">
        <f>'HourGH-APR'!Y34</f>
        <v>0.59</v>
      </c>
      <c r="BJ528" s="263">
        <v>527</v>
      </c>
      <c r="BK528" s="9">
        <v>22</v>
      </c>
      <c r="BL528" s="9">
        <v>23</v>
      </c>
      <c r="BM528" s="167">
        <f>'HourGH-MAY'!Y34</f>
        <v>0.18</v>
      </c>
      <c r="BN528" s="9">
        <v>527</v>
      </c>
      <c r="BO528" s="9">
        <v>22</v>
      </c>
      <c r="BP528" s="9">
        <v>23</v>
      </c>
      <c r="BQ528" s="167">
        <f>'HourGH-JUN'!Y34</f>
        <v>0.24</v>
      </c>
      <c r="BR528" s="263">
        <v>527</v>
      </c>
      <c r="BS528" s="9">
        <v>22</v>
      </c>
      <c r="BT528" s="9">
        <v>23</v>
      </c>
      <c r="BU528" s="167">
        <f>'HourGH-JUL'!Y34</f>
        <v>0.33</v>
      </c>
      <c r="BV528" s="263">
        <v>527</v>
      </c>
      <c r="BW528" s="9">
        <v>22</v>
      </c>
      <c r="BX528" s="9">
        <v>23</v>
      </c>
      <c r="BY528" s="167">
        <f>'HourGH-AUG'!Y34</f>
        <v>0.81</v>
      </c>
      <c r="BZ528" s="9">
        <v>527</v>
      </c>
      <c r="CA528" s="9">
        <v>22</v>
      </c>
      <c r="CB528" s="9">
        <v>23</v>
      </c>
      <c r="CC528" s="167">
        <f>'HourGH-SEP'!Y34</f>
        <v>0.9</v>
      </c>
      <c r="CD528" s="263">
        <v>527</v>
      </c>
      <c r="CE528" s="9">
        <v>22</v>
      </c>
      <c r="CF528" s="9">
        <v>23</v>
      </c>
      <c r="CG528" s="167">
        <f>'HourGH-OCT'!Y34</f>
        <v>2.12</v>
      </c>
      <c r="CH528" s="9">
        <v>527</v>
      </c>
      <c r="CI528" s="9">
        <v>22</v>
      </c>
      <c r="CJ528" s="9">
        <v>23</v>
      </c>
      <c r="CK528" s="167">
        <f>'HourGH-NOV'!Y34</f>
        <v>0.65</v>
      </c>
      <c r="CL528" s="263">
        <v>527</v>
      </c>
      <c r="CM528" s="9">
        <v>22</v>
      </c>
      <c r="CN528" s="9">
        <v>23</v>
      </c>
      <c r="CO528" s="167">
        <f>'HourGH-DEC'!Y34</f>
        <v>0.48</v>
      </c>
      <c r="CP528" s="263">
        <v>527</v>
      </c>
      <c r="CQ528" s="9">
        <v>22</v>
      </c>
      <c r="CR528" s="9">
        <v>23</v>
      </c>
      <c r="CS528" s="167">
        <f>'HourGH-JAN'!Y34</f>
        <v>0.36</v>
      </c>
      <c r="CT528" s="9">
        <v>527</v>
      </c>
      <c r="CU528" s="9">
        <v>22</v>
      </c>
      <c r="CV528" s="9">
        <v>23</v>
      </c>
      <c r="CW528" s="167">
        <f>'HourGH-FEB'!Y34</f>
        <v>0.56000000000000005</v>
      </c>
      <c r="CX528" s="263">
        <v>527</v>
      </c>
      <c r="CY528" s="9">
        <v>22</v>
      </c>
      <c r="CZ528" s="9">
        <v>23</v>
      </c>
      <c r="DA528" s="167">
        <f>'HourGH-MAR'!Y34</f>
        <v>0.67</v>
      </c>
    </row>
    <row r="529" spans="58:105">
      <c r="BF529" s="9">
        <v>528</v>
      </c>
      <c r="BG529" s="9">
        <v>22</v>
      </c>
      <c r="BH529" s="9">
        <v>24</v>
      </c>
      <c r="BI529" s="167">
        <f>'HourGH-APR'!Z34</f>
        <v>0.59</v>
      </c>
      <c r="BJ529" s="263">
        <v>528</v>
      </c>
      <c r="BK529" s="9">
        <v>22</v>
      </c>
      <c r="BL529" s="9">
        <v>24</v>
      </c>
      <c r="BM529" s="167">
        <f>'HourGH-MAY'!Z34</f>
        <v>0.18</v>
      </c>
      <c r="BN529" s="9">
        <v>528</v>
      </c>
      <c r="BO529" s="9">
        <v>22</v>
      </c>
      <c r="BP529" s="9">
        <v>24</v>
      </c>
      <c r="BQ529" s="167">
        <f>'HourGH-JUN'!Z34</f>
        <v>0.24</v>
      </c>
      <c r="BR529" s="263">
        <v>528</v>
      </c>
      <c r="BS529" s="9">
        <v>22</v>
      </c>
      <c r="BT529" s="9">
        <v>24</v>
      </c>
      <c r="BU529" s="167">
        <f>'HourGH-JUL'!Z34</f>
        <v>0.33</v>
      </c>
      <c r="BV529" s="263">
        <v>528</v>
      </c>
      <c r="BW529" s="9">
        <v>22</v>
      </c>
      <c r="BX529" s="9">
        <v>24</v>
      </c>
      <c r="BY529" s="167">
        <f>'HourGH-AUG'!Z34</f>
        <v>0.82</v>
      </c>
      <c r="BZ529" s="9">
        <v>528</v>
      </c>
      <c r="CA529" s="9">
        <v>22</v>
      </c>
      <c r="CB529" s="9">
        <v>24</v>
      </c>
      <c r="CC529" s="167">
        <f>'HourGH-SEP'!Z34</f>
        <v>0.89</v>
      </c>
      <c r="CD529" s="263">
        <v>528</v>
      </c>
      <c r="CE529" s="9">
        <v>22</v>
      </c>
      <c r="CF529" s="9">
        <v>24</v>
      </c>
      <c r="CG529" s="167">
        <f>'HourGH-OCT'!Z34</f>
        <v>2.11</v>
      </c>
      <c r="CH529" s="9">
        <v>528</v>
      </c>
      <c r="CI529" s="9">
        <v>22</v>
      </c>
      <c r="CJ529" s="9">
        <v>24</v>
      </c>
      <c r="CK529" s="167">
        <f>'HourGH-NOV'!Z34</f>
        <v>0.65</v>
      </c>
      <c r="CL529" s="263">
        <v>528</v>
      </c>
      <c r="CM529" s="9">
        <v>22</v>
      </c>
      <c r="CN529" s="9">
        <v>24</v>
      </c>
      <c r="CO529" s="167">
        <f>'HourGH-DEC'!Z34</f>
        <v>0.48</v>
      </c>
      <c r="CP529" s="263">
        <v>528</v>
      </c>
      <c r="CQ529" s="9">
        <v>22</v>
      </c>
      <c r="CR529" s="9">
        <v>24</v>
      </c>
      <c r="CS529" s="167">
        <f>'HourGH-JAN'!Z34</f>
        <v>0.36</v>
      </c>
      <c r="CT529" s="9">
        <v>528</v>
      </c>
      <c r="CU529" s="9">
        <v>22</v>
      </c>
      <c r="CV529" s="9">
        <v>24</v>
      </c>
      <c r="CW529" s="167">
        <f>'HourGH-FEB'!Z34</f>
        <v>0.54</v>
      </c>
      <c r="CX529" s="263">
        <v>528</v>
      </c>
      <c r="CY529" s="9">
        <v>22</v>
      </c>
      <c r="CZ529" s="9">
        <v>24</v>
      </c>
      <c r="DA529" s="167">
        <f>'HourGH-MAR'!Z34</f>
        <v>0.67</v>
      </c>
    </row>
    <row r="530" spans="58:105">
      <c r="BF530" s="9">
        <v>529</v>
      </c>
      <c r="BG530" s="9">
        <v>23</v>
      </c>
      <c r="BH530" s="9">
        <v>1</v>
      </c>
      <c r="BI530" s="167">
        <f>'HourGH-APR'!C35</f>
        <v>0.57999999999999996</v>
      </c>
      <c r="BJ530" s="263">
        <v>529</v>
      </c>
      <c r="BK530" s="9">
        <v>23</v>
      </c>
      <c r="BL530" s="9">
        <v>1</v>
      </c>
      <c r="BM530" s="167">
        <f>'HourGH-MAY'!C35</f>
        <v>0.19</v>
      </c>
      <c r="BN530" s="9">
        <v>529</v>
      </c>
      <c r="BO530" s="9">
        <v>23</v>
      </c>
      <c r="BP530" s="9">
        <v>1</v>
      </c>
      <c r="BQ530" s="167">
        <f>'HourGH-JUN'!C35</f>
        <v>0.23</v>
      </c>
      <c r="BR530" s="263">
        <v>529</v>
      </c>
      <c r="BS530" s="9">
        <v>23</v>
      </c>
      <c r="BT530" s="9">
        <v>1</v>
      </c>
      <c r="BU530" s="167">
        <f>'HourGH-JUL'!C35</f>
        <v>0.32</v>
      </c>
      <c r="BV530" s="263">
        <v>529</v>
      </c>
      <c r="BW530" s="9">
        <v>23</v>
      </c>
      <c r="BX530" s="9">
        <v>1</v>
      </c>
      <c r="BY530" s="167">
        <f>'HourGH-AUG'!C35</f>
        <v>0.83</v>
      </c>
      <c r="BZ530" s="9">
        <v>529</v>
      </c>
      <c r="CA530" s="9">
        <v>23</v>
      </c>
      <c r="CB530" s="9">
        <v>1</v>
      </c>
      <c r="CC530" s="167">
        <f>'HourGH-SEP'!C35</f>
        <v>0.89</v>
      </c>
      <c r="CD530" s="263">
        <v>529</v>
      </c>
      <c r="CE530" s="9">
        <v>23</v>
      </c>
      <c r="CF530" s="9">
        <v>1</v>
      </c>
      <c r="CG530" s="167">
        <f>'HourGH-OCT'!C35</f>
        <v>2.09</v>
      </c>
      <c r="CH530" s="9">
        <v>529</v>
      </c>
      <c r="CI530" s="9">
        <v>23</v>
      </c>
      <c r="CJ530" s="9">
        <v>1</v>
      </c>
      <c r="CK530" s="167">
        <f>'HourGH-NOV'!C35</f>
        <v>0.64</v>
      </c>
      <c r="CL530" s="263">
        <v>529</v>
      </c>
      <c r="CM530" s="9">
        <v>23</v>
      </c>
      <c r="CN530" s="9">
        <v>1</v>
      </c>
      <c r="CO530" s="167">
        <f>'HourGH-DEC'!C35</f>
        <v>0.47</v>
      </c>
      <c r="CP530" s="263">
        <v>529</v>
      </c>
      <c r="CQ530" s="9">
        <v>23</v>
      </c>
      <c r="CR530" s="9">
        <v>1</v>
      </c>
      <c r="CS530" s="167">
        <f>'HourGH-JAN'!C35</f>
        <v>0.36</v>
      </c>
      <c r="CT530" s="9">
        <v>529</v>
      </c>
      <c r="CU530" s="9">
        <v>23</v>
      </c>
      <c r="CV530" s="9">
        <v>1</v>
      </c>
      <c r="CW530" s="167">
        <f>'HourGH-FEB'!C35</f>
        <v>0.53</v>
      </c>
      <c r="CX530" s="263">
        <v>529</v>
      </c>
      <c r="CY530" s="9">
        <v>23</v>
      </c>
      <c r="CZ530" s="9">
        <v>1</v>
      </c>
      <c r="DA530" s="167">
        <f>'HourGH-MAR'!C35</f>
        <v>0.66</v>
      </c>
    </row>
    <row r="531" spans="58:105">
      <c r="BF531" s="9">
        <v>530</v>
      </c>
      <c r="BG531" s="9">
        <v>23</v>
      </c>
      <c r="BH531" s="9">
        <v>2</v>
      </c>
      <c r="BI531" s="167">
        <f>'HourGH-APR'!D35</f>
        <v>0.57999999999999996</v>
      </c>
      <c r="BJ531" s="263">
        <v>530</v>
      </c>
      <c r="BK531" s="9">
        <v>23</v>
      </c>
      <c r="BL531" s="9">
        <v>2</v>
      </c>
      <c r="BM531" s="167">
        <f>'HourGH-MAY'!D35</f>
        <v>0.19</v>
      </c>
      <c r="BN531" s="9">
        <v>530</v>
      </c>
      <c r="BO531" s="9">
        <v>23</v>
      </c>
      <c r="BP531" s="9">
        <v>2</v>
      </c>
      <c r="BQ531" s="167">
        <f>'HourGH-JUN'!D35</f>
        <v>0.23</v>
      </c>
      <c r="BR531" s="263">
        <v>530</v>
      </c>
      <c r="BS531" s="9">
        <v>23</v>
      </c>
      <c r="BT531" s="9">
        <v>2</v>
      </c>
      <c r="BU531" s="167">
        <f>'HourGH-JUL'!D35</f>
        <v>0.32</v>
      </c>
      <c r="BV531" s="263">
        <v>530</v>
      </c>
      <c r="BW531" s="9">
        <v>23</v>
      </c>
      <c r="BX531" s="9">
        <v>2</v>
      </c>
      <c r="BY531" s="167">
        <f>'HourGH-AUG'!D35</f>
        <v>0.84</v>
      </c>
      <c r="BZ531" s="9">
        <v>530</v>
      </c>
      <c r="CA531" s="9">
        <v>23</v>
      </c>
      <c r="CB531" s="9">
        <v>2</v>
      </c>
      <c r="CC531" s="167">
        <f>'HourGH-SEP'!D35</f>
        <v>0.88</v>
      </c>
      <c r="CD531" s="263">
        <v>530</v>
      </c>
      <c r="CE531" s="9">
        <v>23</v>
      </c>
      <c r="CF531" s="9">
        <v>2</v>
      </c>
      <c r="CG531" s="167">
        <f>'HourGH-OCT'!D35</f>
        <v>2.0699999999999998</v>
      </c>
      <c r="CH531" s="9">
        <v>530</v>
      </c>
      <c r="CI531" s="9">
        <v>23</v>
      </c>
      <c r="CJ531" s="9">
        <v>2</v>
      </c>
      <c r="CK531" s="167">
        <f>'HourGH-NOV'!D35</f>
        <v>0.64</v>
      </c>
      <c r="CL531" s="263">
        <v>530</v>
      </c>
      <c r="CM531" s="9">
        <v>23</v>
      </c>
      <c r="CN531" s="9">
        <v>2</v>
      </c>
      <c r="CO531" s="167">
        <f>'HourGH-DEC'!D35</f>
        <v>0.47</v>
      </c>
      <c r="CP531" s="263">
        <v>530</v>
      </c>
      <c r="CQ531" s="9">
        <v>23</v>
      </c>
      <c r="CR531" s="9">
        <v>2</v>
      </c>
      <c r="CS531" s="167">
        <f>'HourGH-JAN'!D35</f>
        <v>0.36</v>
      </c>
      <c r="CT531" s="9">
        <v>530</v>
      </c>
      <c r="CU531" s="9">
        <v>23</v>
      </c>
      <c r="CV531" s="9">
        <v>2</v>
      </c>
      <c r="CW531" s="167">
        <f>'HourGH-FEB'!D35</f>
        <v>0.52</v>
      </c>
      <c r="CX531" s="263">
        <v>530</v>
      </c>
      <c r="CY531" s="9">
        <v>23</v>
      </c>
      <c r="CZ531" s="9">
        <v>2</v>
      </c>
      <c r="DA531" s="167">
        <f>'HourGH-MAR'!D35</f>
        <v>0.66</v>
      </c>
    </row>
    <row r="532" spans="58:105">
      <c r="BF532" s="9">
        <v>531</v>
      </c>
      <c r="BG532" s="9">
        <v>23</v>
      </c>
      <c r="BH532" s="9">
        <v>3</v>
      </c>
      <c r="BI532" s="167">
        <f>'HourGH-APR'!E35</f>
        <v>0.57999999999999996</v>
      </c>
      <c r="BJ532" s="263">
        <v>531</v>
      </c>
      <c r="BK532" s="9">
        <v>23</v>
      </c>
      <c r="BL532" s="9">
        <v>3</v>
      </c>
      <c r="BM532" s="167">
        <f>'HourGH-MAY'!E35</f>
        <v>0.19</v>
      </c>
      <c r="BN532" s="9">
        <v>531</v>
      </c>
      <c r="BO532" s="9">
        <v>23</v>
      </c>
      <c r="BP532" s="9">
        <v>3</v>
      </c>
      <c r="BQ532" s="167">
        <f>'HourGH-JUN'!E35</f>
        <v>0.23</v>
      </c>
      <c r="BR532" s="263">
        <v>531</v>
      </c>
      <c r="BS532" s="9">
        <v>23</v>
      </c>
      <c r="BT532" s="9">
        <v>3</v>
      </c>
      <c r="BU532" s="167">
        <f>'HourGH-JUL'!E35</f>
        <v>0.32</v>
      </c>
      <c r="BV532" s="263">
        <v>531</v>
      </c>
      <c r="BW532" s="9">
        <v>23</v>
      </c>
      <c r="BX532" s="9">
        <v>3</v>
      </c>
      <c r="BY532" s="167">
        <f>'HourGH-AUG'!E35</f>
        <v>0.85</v>
      </c>
      <c r="BZ532" s="9">
        <v>531</v>
      </c>
      <c r="CA532" s="9">
        <v>23</v>
      </c>
      <c r="CB532" s="9">
        <v>3</v>
      </c>
      <c r="CC532" s="167">
        <f>'HourGH-SEP'!E35</f>
        <v>0.88</v>
      </c>
      <c r="CD532" s="263">
        <v>531</v>
      </c>
      <c r="CE532" s="9">
        <v>23</v>
      </c>
      <c r="CF532" s="9">
        <v>3</v>
      </c>
      <c r="CG532" s="167">
        <f>'HourGH-OCT'!E35</f>
        <v>2.0499999999999998</v>
      </c>
      <c r="CH532" s="9">
        <v>531</v>
      </c>
      <c r="CI532" s="9">
        <v>23</v>
      </c>
      <c r="CJ532" s="9">
        <v>3</v>
      </c>
      <c r="CK532" s="167">
        <f>'HourGH-NOV'!E35</f>
        <v>0.64</v>
      </c>
      <c r="CL532" s="263">
        <v>531</v>
      </c>
      <c r="CM532" s="9">
        <v>23</v>
      </c>
      <c r="CN532" s="9">
        <v>3</v>
      </c>
      <c r="CO532" s="167">
        <f>'HourGH-DEC'!E35</f>
        <v>0.47</v>
      </c>
      <c r="CP532" s="263">
        <v>531</v>
      </c>
      <c r="CQ532" s="9">
        <v>23</v>
      </c>
      <c r="CR532" s="9">
        <v>3</v>
      </c>
      <c r="CS532" s="167">
        <f>'HourGH-JAN'!E35</f>
        <v>0.36</v>
      </c>
      <c r="CT532" s="9">
        <v>531</v>
      </c>
      <c r="CU532" s="9">
        <v>23</v>
      </c>
      <c r="CV532" s="9">
        <v>3</v>
      </c>
      <c r="CW532" s="167">
        <f>'HourGH-FEB'!E35</f>
        <v>0.51</v>
      </c>
      <c r="CX532" s="263">
        <v>531</v>
      </c>
      <c r="CY532" s="9">
        <v>23</v>
      </c>
      <c r="CZ532" s="9">
        <v>3</v>
      </c>
      <c r="DA532" s="167">
        <f>'HourGH-MAR'!E35</f>
        <v>0.65</v>
      </c>
    </row>
    <row r="533" spans="58:105">
      <c r="BF533" s="9">
        <v>532</v>
      </c>
      <c r="BG533" s="9">
        <v>23</v>
      </c>
      <c r="BH533" s="9">
        <v>4</v>
      </c>
      <c r="BI533" s="167">
        <f>'HourGH-APR'!F35</f>
        <v>0.57999999999999996</v>
      </c>
      <c r="BJ533" s="263">
        <v>532</v>
      </c>
      <c r="BK533" s="9">
        <v>23</v>
      </c>
      <c r="BL533" s="9">
        <v>4</v>
      </c>
      <c r="BM533" s="167">
        <f>'HourGH-MAY'!F35</f>
        <v>0.19</v>
      </c>
      <c r="BN533" s="9">
        <v>532</v>
      </c>
      <c r="BO533" s="9">
        <v>23</v>
      </c>
      <c r="BP533" s="9">
        <v>4</v>
      </c>
      <c r="BQ533" s="167">
        <f>'HourGH-JUN'!F35</f>
        <v>0.23</v>
      </c>
      <c r="BR533" s="263">
        <v>532</v>
      </c>
      <c r="BS533" s="9">
        <v>23</v>
      </c>
      <c r="BT533" s="9">
        <v>4</v>
      </c>
      <c r="BU533" s="167">
        <f>'HourGH-JUL'!F35</f>
        <v>0.32</v>
      </c>
      <c r="BV533" s="263">
        <v>532</v>
      </c>
      <c r="BW533" s="9">
        <v>23</v>
      </c>
      <c r="BX533" s="9">
        <v>4</v>
      </c>
      <c r="BY533" s="167">
        <f>'HourGH-AUG'!F35</f>
        <v>0.86</v>
      </c>
      <c r="BZ533" s="9">
        <v>532</v>
      </c>
      <c r="CA533" s="9">
        <v>23</v>
      </c>
      <c r="CB533" s="9">
        <v>4</v>
      </c>
      <c r="CC533" s="167">
        <f>'HourGH-SEP'!F35</f>
        <v>0.88</v>
      </c>
      <c r="CD533" s="263">
        <v>532</v>
      </c>
      <c r="CE533" s="9">
        <v>23</v>
      </c>
      <c r="CF533" s="9">
        <v>4</v>
      </c>
      <c r="CG533" s="167">
        <f>'HourGH-OCT'!F35</f>
        <v>2.0299999999999998</v>
      </c>
      <c r="CH533" s="9">
        <v>532</v>
      </c>
      <c r="CI533" s="9">
        <v>23</v>
      </c>
      <c r="CJ533" s="9">
        <v>4</v>
      </c>
      <c r="CK533" s="167">
        <f>'HourGH-NOV'!F35</f>
        <v>0.64</v>
      </c>
      <c r="CL533" s="263">
        <v>532</v>
      </c>
      <c r="CM533" s="9">
        <v>23</v>
      </c>
      <c r="CN533" s="9">
        <v>4</v>
      </c>
      <c r="CO533" s="167">
        <f>'HourGH-DEC'!F35</f>
        <v>0.47</v>
      </c>
      <c r="CP533" s="263">
        <v>532</v>
      </c>
      <c r="CQ533" s="9">
        <v>23</v>
      </c>
      <c r="CR533" s="9">
        <v>4</v>
      </c>
      <c r="CS533" s="167">
        <f>'HourGH-JAN'!F35</f>
        <v>0.36</v>
      </c>
      <c r="CT533" s="9">
        <v>532</v>
      </c>
      <c r="CU533" s="9">
        <v>23</v>
      </c>
      <c r="CV533" s="9">
        <v>4</v>
      </c>
      <c r="CW533" s="167">
        <f>'HourGH-FEB'!F35</f>
        <v>0.5</v>
      </c>
      <c r="CX533" s="263">
        <v>532</v>
      </c>
      <c r="CY533" s="9">
        <v>23</v>
      </c>
      <c r="CZ533" s="9">
        <v>4</v>
      </c>
      <c r="DA533" s="167">
        <f>'HourGH-MAR'!F35</f>
        <v>0.65</v>
      </c>
    </row>
    <row r="534" spans="58:105">
      <c r="BF534" s="9">
        <v>533</v>
      </c>
      <c r="BG534" s="9">
        <v>23</v>
      </c>
      <c r="BH534" s="9">
        <v>5</v>
      </c>
      <c r="BI534" s="167">
        <f>'HourGH-APR'!G35</f>
        <v>0.57999999999999996</v>
      </c>
      <c r="BJ534" s="263">
        <v>533</v>
      </c>
      <c r="BK534" s="9">
        <v>23</v>
      </c>
      <c r="BL534" s="9">
        <v>5</v>
      </c>
      <c r="BM534" s="167">
        <f>'HourGH-MAY'!G35</f>
        <v>0.2</v>
      </c>
      <c r="BN534" s="9">
        <v>533</v>
      </c>
      <c r="BO534" s="9">
        <v>23</v>
      </c>
      <c r="BP534" s="9">
        <v>5</v>
      </c>
      <c r="BQ534" s="167">
        <f>'HourGH-JUN'!G35</f>
        <v>0.23</v>
      </c>
      <c r="BR534" s="263">
        <v>533</v>
      </c>
      <c r="BS534" s="9">
        <v>23</v>
      </c>
      <c r="BT534" s="9">
        <v>5</v>
      </c>
      <c r="BU534" s="167">
        <f>'HourGH-JUL'!G35</f>
        <v>0.32</v>
      </c>
      <c r="BV534" s="263">
        <v>533</v>
      </c>
      <c r="BW534" s="9">
        <v>23</v>
      </c>
      <c r="BX534" s="9">
        <v>5</v>
      </c>
      <c r="BY534" s="167">
        <f>'HourGH-AUG'!G35</f>
        <v>0.87</v>
      </c>
      <c r="BZ534" s="9">
        <v>533</v>
      </c>
      <c r="CA534" s="9">
        <v>23</v>
      </c>
      <c r="CB534" s="9">
        <v>5</v>
      </c>
      <c r="CC534" s="167">
        <f>'HourGH-SEP'!G35</f>
        <v>0.88</v>
      </c>
      <c r="CD534" s="263">
        <v>533</v>
      </c>
      <c r="CE534" s="9">
        <v>23</v>
      </c>
      <c r="CF534" s="9">
        <v>5</v>
      </c>
      <c r="CG534" s="167">
        <f>'HourGH-OCT'!G35</f>
        <v>2</v>
      </c>
      <c r="CH534" s="9">
        <v>533</v>
      </c>
      <c r="CI534" s="9">
        <v>23</v>
      </c>
      <c r="CJ534" s="9">
        <v>5</v>
      </c>
      <c r="CK534" s="167">
        <f>'HourGH-NOV'!G35</f>
        <v>0.64</v>
      </c>
      <c r="CL534" s="263">
        <v>533</v>
      </c>
      <c r="CM534" s="9">
        <v>23</v>
      </c>
      <c r="CN534" s="9">
        <v>5</v>
      </c>
      <c r="CO534" s="167">
        <f>'HourGH-DEC'!G35</f>
        <v>0.47</v>
      </c>
      <c r="CP534" s="263">
        <v>533</v>
      </c>
      <c r="CQ534" s="9">
        <v>23</v>
      </c>
      <c r="CR534" s="9">
        <v>5</v>
      </c>
      <c r="CS534" s="167">
        <f>'HourGH-JAN'!G35</f>
        <v>0.36</v>
      </c>
      <c r="CT534" s="9">
        <v>533</v>
      </c>
      <c r="CU534" s="9">
        <v>23</v>
      </c>
      <c r="CV534" s="9">
        <v>5</v>
      </c>
      <c r="CW534" s="167">
        <f>'HourGH-FEB'!G35</f>
        <v>0.49</v>
      </c>
      <c r="CX534" s="263">
        <v>533</v>
      </c>
      <c r="CY534" s="9">
        <v>23</v>
      </c>
      <c r="CZ534" s="9">
        <v>5</v>
      </c>
      <c r="DA534" s="167">
        <f>'HourGH-MAR'!G35</f>
        <v>0.64</v>
      </c>
    </row>
    <row r="535" spans="58:105">
      <c r="BF535" s="9">
        <v>534</v>
      </c>
      <c r="BG535" s="9">
        <v>23</v>
      </c>
      <c r="BH535" s="9">
        <v>6</v>
      </c>
      <c r="BI535" s="167">
        <f>'HourGH-APR'!H35</f>
        <v>0.56999999999999995</v>
      </c>
      <c r="BJ535" s="263">
        <v>534</v>
      </c>
      <c r="BK535" s="9">
        <v>23</v>
      </c>
      <c r="BL535" s="9">
        <v>6</v>
      </c>
      <c r="BM535" s="167">
        <f>'HourGH-MAY'!H35</f>
        <v>0.2</v>
      </c>
      <c r="BN535" s="9">
        <v>534</v>
      </c>
      <c r="BO535" s="9">
        <v>23</v>
      </c>
      <c r="BP535" s="9">
        <v>6</v>
      </c>
      <c r="BQ535" s="167">
        <f>'HourGH-JUN'!H35</f>
        <v>0.23</v>
      </c>
      <c r="BR535" s="263">
        <v>534</v>
      </c>
      <c r="BS535" s="9">
        <v>23</v>
      </c>
      <c r="BT535" s="9">
        <v>6</v>
      </c>
      <c r="BU535" s="167">
        <f>'HourGH-JUL'!H35</f>
        <v>0.32</v>
      </c>
      <c r="BV535" s="263">
        <v>534</v>
      </c>
      <c r="BW535" s="9">
        <v>23</v>
      </c>
      <c r="BX535" s="9">
        <v>6</v>
      </c>
      <c r="BY535" s="167">
        <f>'HourGH-AUG'!H35</f>
        <v>0.89</v>
      </c>
      <c r="BZ535" s="9">
        <v>534</v>
      </c>
      <c r="CA535" s="9">
        <v>23</v>
      </c>
      <c r="CB535" s="9">
        <v>6</v>
      </c>
      <c r="CC535" s="167">
        <f>'HourGH-SEP'!H35</f>
        <v>0.88</v>
      </c>
      <c r="CD535" s="263">
        <v>534</v>
      </c>
      <c r="CE535" s="9">
        <v>23</v>
      </c>
      <c r="CF535" s="9">
        <v>6</v>
      </c>
      <c r="CG535" s="167">
        <f>'HourGH-OCT'!H35</f>
        <v>1.97</v>
      </c>
      <c r="CH535" s="9">
        <v>534</v>
      </c>
      <c r="CI535" s="9">
        <v>23</v>
      </c>
      <c r="CJ535" s="9">
        <v>6</v>
      </c>
      <c r="CK535" s="167">
        <f>'HourGH-NOV'!H35</f>
        <v>0.63</v>
      </c>
      <c r="CL535" s="263">
        <v>534</v>
      </c>
      <c r="CM535" s="9">
        <v>23</v>
      </c>
      <c r="CN535" s="9">
        <v>6</v>
      </c>
      <c r="CO535" s="167">
        <f>'HourGH-DEC'!H35</f>
        <v>0.47</v>
      </c>
      <c r="CP535" s="263">
        <v>534</v>
      </c>
      <c r="CQ535" s="9">
        <v>23</v>
      </c>
      <c r="CR535" s="9">
        <v>6</v>
      </c>
      <c r="CS535" s="167">
        <f>'HourGH-JAN'!H35</f>
        <v>0.36</v>
      </c>
      <c r="CT535" s="9">
        <v>534</v>
      </c>
      <c r="CU535" s="9">
        <v>23</v>
      </c>
      <c r="CV535" s="9">
        <v>6</v>
      </c>
      <c r="CW535" s="167">
        <f>'HourGH-FEB'!H35</f>
        <v>0.48</v>
      </c>
      <c r="CX535" s="263">
        <v>534</v>
      </c>
      <c r="CY535" s="9">
        <v>23</v>
      </c>
      <c r="CZ535" s="9">
        <v>6</v>
      </c>
      <c r="DA535" s="167">
        <f>'HourGH-MAR'!H35</f>
        <v>0.64</v>
      </c>
    </row>
    <row r="536" spans="58:105">
      <c r="BF536" s="9">
        <v>535</v>
      </c>
      <c r="BG536" s="9">
        <v>23</v>
      </c>
      <c r="BH536" s="9">
        <v>7</v>
      </c>
      <c r="BI536" s="167">
        <f>'HourGH-APR'!I35</f>
        <v>0.56999999999999995</v>
      </c>
      <c r="BJ536" s="263">
        <v>535</v>
      </c>
      <c r="BK536" s="9">
        <v>23</v>
      </c>
      <c r="BL536" s="9">
        <v>7</v>
      </c>
      <c r="BM536" s="167">
        <f>'HourGH-MAY'!I35</f>
        <v>0.2</v>
      </c>
      <c r="BN536" s="9">
        <v>535</v>
      </c>
      <c r="BO536" s="9">
        <v>23</v>
      </c>
      <c r="BP536" s="9">
        <v>7</v>
      </c>
      <c r="BQ536" s="167">
        <f>'HourGH-JUN'!I35</f>
        <v>0.23</v>
      </c>
      <c r="BR536" s="263">
        <v>535</v>
      </c>
      <c r="BS536" s="9">
        <v>23</v>
      </c>
      <c r="BT536" s="9">
        <v>7</v>
      </c>
      <c r="BU536" s="167">
        <f>'HourGH-JUL'!I35</f>
        <v>0.32</v>
      </c>
      <c r="BV536" s="263">
        <v>535</v>
      </c>
      <c r="BW536" s="9">
        <v>23</v>
      </c>
      <c r="BX536" s="9">
        <v>7</v>
      </c>
      <c r="BY536" s="167">
        <f>'HourGH-AUG'!I35</f>
        <v>0.9</v>
      </c>
      <c r="BZ536" s="9">
        <v>535</v>
      </c>
      <c r="CA536" s="9">
        <v>23</v>
      </c>
      <c r="CB536" s="9">
        <v>7</v>
      </c>
      <c r="CC536" s="167">
        <f>'HourGH-SEP'!I35</f>
        <v>0.87</v>
      </c>
      <c r="CD536" s="263">
        <v>535</v>
      </c>
      <c r="CE536" s="9">
        <v>23</v>
      </c>
      <c r="CF536" s="9">
        <v>7</v>
      </c>
      <c r="CG536" s="167">
        <f>'HourGH-OCT'!I35</f>
        <v>1.94</v>
      </c>
      <c r="CH536" s="9">
        <v>535</v>
      </c>
      <c r="CI536" s="9">
        <v>23</v>
      </c>
      <c r="CJ536" s="9">
        <v>7</v>
      </c>
      <c r="CK536" s="167">
        <f>'HourGH-NOV'!I35</f>
        <v>0.63</v>
      </c>
      <c r="CL536" s="263">
        <v>535</v>
      </c>
      <c r="CM536" s="9">
        <v>23</v>
      </c>
      <c r="CN536" s="9">
        <v>7</v>
      </c>
      <c r="CO536" s="167">
        <f>'HourGH-DEC'!I35</f>
        <v>0.47</v>
      </c>
      <c r="CP536" s="263">
        <v>535</v>
      </c>
      <c r="CQ536" s="9">
        <v>23</v>
      </c>
      <c r="CR536" s="9">
        <v>7</v>
      </c>
      <c r="CS536" s="167">
        <f>'HourGH-JAN'!I35</f>
        <v>0.36</v>
      </c>
      <c r="CT536" s="9">
        <v>535</v>
      </c>
      <c r="CU536" s="9">
        <v>23</v>
      </c>
      <c r="CV536" s="9">
        <v>7</v>
      </c>
      <c r="CW536" s="167">
        <f>'HourGH-FEB'!I35</f>
        <v>0.47</v>
      </c>
      <c r="CX536" s="263">
        <v>535</v>
      </c>
      <c r="CY536" s="9">
        <v>23</v>
      </c>
      <c r="CZ536" s="9">
        <v>7</v>
      </c>
      <c r="DA536" s="167">
        <f>'HourGH-MAR'!I35</f>
        <v>0.64</v>
      </c>
    </row>
    <row r="537" spans="58:105">
      <c r="BF537" s="9">
        <v>536</v>
      </c>
      <c r="BG537" s="9">
        <v>23</v>
      </c>
      <c r="BH537" s="9">
        <v>8</v>
      </c>
      <c r="BI537" s="167">
        <f>'HourGH-APR'!J35</f>
        <v>0.56999999999999995</v>
      </c>
      <c r="BJ537" s="263">
        <v>536</v>
      </c>
      <c r="BK537" s="9">
        <v>23</v>
      </c>
      <c r="BL537" s="9">
        <v>8</v>
      </c>
      <c r="BM537" s="167">
        <f>'HourGH-MAY'!J35</f>
        <v>0.2</v>
      </c>
      <c r="BN537" s="9">
        <v>536</v>
      </c>
      <c r="BO537" s="9">
        <v>23</v>
      </c>
      <c r="BP537" s="9">
        <v>8</v>
      </c>
      <c r="BQ537" s="167">
        <f>'HourGH-JUN'!J35</f>
        <v>0.23</v>
      </c>
      <c r="BR537" s="263">
        <v>536</v>
      </c>
      <c r="BS537" s="9">
        <v>23</v>
      </c>
      <c r="BT537" s="9">
        <v>8</v>
      </c>
      <c r="BU537" s="167">
        <f>'HourGH-JUL'!J35</f>
        <v>0.32</v>
      </c>
      <c r="BV537" s="263">
        <v>536</v>
      </c>
      <c r="BW537" s="9">
        <v>23</v>
      </c>
      <c r="BX537" s="9">
        <v>8</v>
      </c>
      <c r="BY537" s="167">
        <f>'HourGH-AUG'!J35</f>
        <v>0.92</v>
      </c>
      <c r="BZ537" s="9">
        <v>536</v>
      </c>
      <c r="CA537" s="9">
        <v>23</v>
      </c>
      <c r="CB537" s="9">
        <v>8</v>
      </c>
      <c r="CC537" s="167">
        <f>'HourGH-SEP'!J35</f>
        <v>0.87</v>
      </c>
      <c r="CD537" s="263">
        <v>536</v>
      </c>
      <c r="CE537" s="9">
        <v>23</v>
      </c>
      <c r="CF537" s="9">
        <v>8</v>
      </c>
      <c r="CG537" s="167">
        <f>'HourGH-OCT'!J35</f>
        <v>1.91</v>
      </c>
      <c r="CH537" s="9">
        <v>536</v>
      </c>
      <c r="CI537" s="9">
        <v>23</v>
      </c>
      <c r="CJ537" s="9">
        <v>8</v>
      </c>
      <c r="CK537" s="167">
        <f>'HourGH-NOV'!J35</f>
        <v>0.63</v>
      </c>
      <c r="CL537" s="263">
        <v>536</v>
      </c>
      <c r="CM537" s="9">
        <v>23</v>
      </c>
      <c r="CN537" s="9">
        <v>8</v>
      </c>
      <c r="CO537" s="167">
        <f>'HourGH-DEC'!J35</f>
        <v>0.47</v>
      </c>
      <c r="CP537" s="263">
        <v>536</v>
      </c>
      <c r="CQ537" s="9">
        <v>23</v>
      </c>
      <c r="CR537" s="9">
        <v>8</v>
      </c>
      <c r="CS537" s="167">
        <f>'HourGH-JAN'!J35</f>
        <v>0.36</v>
      </c>
      <c r="CT537" s="9">
        <v>536</v>
      </c>
      <c r="CU537" s="9">
        <v>23</v>
      </c>
      <c r="CV537" s="9">
        <v>8</v>
      </c>
      <c r="CW537" s="167">
        <f>'HourGH-FEB'!J35</f>
        <v>0.46</v>
      </c>
      <c r="CX537" s="263">
        <v>536</v>
      </c>
      <c r="CY537" s="9">
        <v>23</v>
      </c>
      <c r="CZ537" s="9">
        <v>8</v>
      </c>
      <c r="DA537" s="167">
        <f>'HourGH-MAR'!J35</f>
        <v>0.64</v>
      </c>
    </row>
    <row r="538" spans="58:105">
      <c r="BF538" s="9">
        <v>537</v>
      </c>
      <c r="BG538" s="9">
        <v>23</v>
      </c>
      <c r="BH538" s="9">
        <v>9</v>
      </c>
      <c r="BI538" s="167">
        <f>'HourGH-APR'!K35</f>
        <v>0.56999999999999995</v>
      </c>
      <c r="BJ538" s="263">
        <v>537</v>
      </c>
      <c r="BK538" s="9">
        <v>23</v>
      </c>
      <c r="BL538" s="9">
        <v>9</v>
      </c>
      <c r="BM538" s="167">
        <f>'HourGH-MAY'!K35</f>
        <v>0.2</v>
      </c>
      <c r="BN538" s="9">
        <v>537</v>
      </c>
      <c r="BO538" s="9">
        <v>23</v>
      </c>
      <c r="BP538" s="9">
        <v>9</v>
      </c>
      <c r="BQ538" s="167">
        <f>'HourGH-JUN'!K35</f>
        <v>0.24</v>
      </c>
      <c r="BR538" s="263">
        <v>537</v>
      </c>
      <c r="BS538" s="9">
        <v>23</v>
      </c>
      <c r="BT538" s="9">
        <v>9</v>
      </c>
      <c r="BU538" s="167">
        <f>'HourGH-JUL'!K35</f>
        <v>0.33</v>
      </c>
      <c r="BV538" s="263">
        <v>537</v>
      </c>
      <c r="BW538" s="9">
        <v>23</v>
      </c>
      <c r="BX538" s="9">
        <v>9</v>
      </c>
      <c r="BY538" s="167">
        <f>'HourGH-AUG'!K35</f>
        <v>0.93</v>
      </c>
      <c r="BZ538" s="9">
        <v>537</v>
      </c>
      <c r="CA538" s="9">
        <v>23</v>
      </c>
      <c r="CB538" s="9">
        <v>9</v>
      </c>
      <c r="CC538" s="167">
        <f>'HourGH-SEP'!K35</f>
        <v>0.87</v>
      </c>
      <c r="CD538" s="263">
        <v>537</v>
      </c>
      <c r="CE538" s="9">
        <v>23</v>
      </c>
      <c r="CF538" s="9">
        <v>9</v>
      </c>
      <c r="CG538" s="167">
        <f>'HourGH-OCT'!K35</f>
        <v>1.88</v>
      </c>
      <c r="CH538" s="9">
        <v>537</v>
      </c>
      <c r="CI538" s="9">
        <v>23</v>
      </c>
      <c r="CJ538" s="9">
        <v>9</v>
      </c>
      <c r="CK538" s="167">
        <f>'HourGH-NOV'!K35</f>
        <v>0.63</v>
      </c>
      <c r="CL538" s="263">
        <v>537</v>
      </c>
      <c r="CM538" s="9">
        <v>23</v>
      </c>
      <c r="CN538" s="9">
        <v>9</v>
      </c>
      <c r="CO538" s="167">
        <f>'HourGH-DEC'!K35</f>
        <v>0.47</v>
      </c>
      <c r="CP538" s="263">
        <v>537</v>
      </c>
      <c r="CQ538" s="9">
        <v>23</v>
      </c>
      <c r="CR538" s="9">
        <v>9</v>
      </c>
      <c r="CS538" s="167">
        <f>'HourGH-JAN'!K35</f>
        <v>0.36</v>
      </c>
      <c r="CT538" s="9">
        <v>537</v>
      </c>
      <c r="CU538" s="9">
        <v>23</v>
      </c>
      <c r="CV538" s="9">
        <v>9</v>
      </c>
      <c r="CW538" s="167">
        <f>'HourGH-FEB'!K35</f>
        <v>0.45</v>
      </c>
      <c r="CX538" s="263">
        <v>537</v>
      </c>
      <c r="CY538" s="9">
        <v>23</v>
      </c>
      <c r="CZ538" s="9">
        <v>9</v>
      </c>
      <c r="DA538" s="167">
        <f>'HourGH-MAR'!K35</f>
        <v>0.64</v>
      </c>
    </row>
    <row r="539" spans="58:105">
      <c r="BF539" s="9">
        <v>538</v>
      </c>
      <c r="BG539" s="9">
        <v>23</v>
      </c>
      <c r="BH539" s="9">
        <v>10</v>
      </c>
      <c r="BI539" s="167">
        <f>'HourGH-APR'!L35</f>
        <v>0.56999999999999995</v>
      </c>
      <c r="BJ539" s="263">
        <v>538</v>
      </c>
      <c r="BK539" s="9">
        <v>23</v>
      </c>
      <c r="BL539" s="9">
        <v>10</v>
      </c>
      <c r="BM539" s="167">
        <f>'HourGH-MAY'!L35</f>
        <v>0.19</v>
      </c>
      <c r="BN539" s="9">
        <v>538</v>
      </c>
      <c r="BO539" s="9">
        <v>23</v>
      </c>
      <c r="BP539" s="9">
        <v>10</v>
      </c>
      <c r="BQ539" s="167">
        <f>'HourGH-JUN'!L35</f>
        <v>0.25</v>
      </c>
      <c r="BR539" s="263">
        <v>538</v>
      </c>
      <c r="BS539" s="9">
        <v>23</v>
      </c>
      <c r="BT539" s="9">
        <v>10</v>
      </c>
      <c r="BU539" s="167">
        <f>'HourGH-JUL'!L35</f>
        <v>0.33</v>
      </c>
      <c r="BV539" s="263">
        <v>538</v>
      </c>
      <c r="BW539" s="9">
        <v>23</v>
      </c>
      <c r="BX539" s="9">
        <v>10</v>
      </c>
      <c r="BY539" s="167">
        <f>'HourGH-AUG'!L35</f>
        <v>0.95</v>
      </c>
      <c r="BZ539" s="9">
        <v>538</v>
      </c>
      <c r="CA539" s="9">
        <v>23</v>
      </c>
      <c r="CB539" s="9">
        <v>10</v>
      </c>
      <c r="CC539" s="167">
        <f>'HourGH-SEP'!L35</f>
        <v>0.86</v>
      </c>
      <c r="CD539" s="263">
        <v>538</v>
      </c>
      <c r="CE539" s="9">
        <v>23</v>
      </c>
      <c r="CF539" s="9">
        <v>10</v>
      </c>
      <c r="CG539" s="167">
        <f>'HourGH-OCT'!L35</f>
        <v>1.85</v>
      </c>
      <c r="CH539" s="9">
        <v>538</v>
      </c>
      <c r="CI539" s="9">
        <v>23</v>
      </c>
      <c r="CJ539" s="9">
        <v>10</v>
      </c>
      <c r="CK539" s="167">
        <f>'HourGH-NOV'!L35</f>
        <v>0.63</v>
      </c>
      <c r="CL539" s="263">
        <v>538</v>
      </c>
      <c r="CM539" s="9">
        <v>23</v>
      </c>
      <c r="CN539" s="9">
        <v>10</v>
      </c>
      <c r="CO539" s="167">
        <f>'HourGH-DEC'!L35</f>
        <v>0.47</v>
      </c>
      <c r="CP539" s="263">
        <v>538</v>
      </c>
      <c r="CQ539" s="9">
        <v>23</v>
      </c>
      <c r="CR539" s="9">
        <v>10</v>
      </c>
      <c r="CS539" s="167">
        <f>'HourGH-JAN'!L35</f>
        <v>0.36</v>
      </c>
      <c r="CT539" s="9">
        <v>538</v>
      </c>
      <c r="CU539" s="9">
        <v>23</v>
      </c>
      <c r="CV539" s="9">
        <v>10</v>
      </c>
      <c r="CW539" s="167">
        <f>'HourGH-FEB'!L35</f>
        <v>0.44</v>
      </c>
      <c r="CX539" s="263">
        <v>538</v>
      </c>
      <c r="CY539" s="9">
        <v>23</v>
      </c>
      <c r="CZ539" s="9">
        <v>10</v>
      </c>
      <c r="DA539" s="167">
        <f>'HourGH-MAR'!L35</f>
        <v>0.64</v>
      </c>
    </row>
    <row r="540" spans="58:105">
      <c r="BF540" s="9">
        <v>539</v>
      </c>
      <c r="BG540" s="9">
        <v>23</v>
      </c>
      <c r="BH540" s="9">
        <v>11</v>
      </c>
      <c r="BI540" s="167">
        <f>'HourGH-APR'!M35</f>
        <v>0.56999999999999995</v>
      </c>
      <c r="BJ540" s="263">
        <v>539</v>
      </c>
      <c r="BK540" s="9">
        <v>23</v>
      </c>
      <c r="BL540" s="9">
        <v>11</v>
      </c>
      <c r="BM540" s="167">
        <f>'HourGH-MAY'!M35</f>
        <v>0.19</v>
      </c>
      <c r="BN540" s="9">
        <v>539</v>
      </c>
      <c r="BO540" s="9">
        <v>23</v>
      </c>
      <c r="BP540" s="9">
        <v>11</v>
      </c>
      <c r="BQ540" s="167">
        <f>'HourGH-JUN'!M35</f>
        <v>0.26</v>
      </c>
      <c r="BR540" s="263">
        <v>539</v>
      </c>
      <c r="BS540" s="9">
        <v>23</v>
      </c>
      <c r="BT540" s="9">
        <v>11</v>
      </c>
      <c r="BU540" s="167">
        <f>'HourGH-JUL'!M35</f>
        <v>0.33</v>
      </c>
      <c r="BV540" s="263">
        <v>539</v>
      </c>
      <c r="BW540" s="9">
        <v>23</v>
      </c>
      <c r="BX540" s="9">
        <v>11</v>
      </c>
      <c r="BY540" s="167">
        <f>'HourGH-AUG'!M35</f>
        <v>0.96</v>
      </c>
      <c r="BZ540" s="9">
        <v>539</v>
      </c>
      <c r="CA540" s="9">
        <v>23</v>
      </c>
      <c r="CB540" s="9">
        <v>11</v>
      </c>
      <c r="CC540" s="167">
        <f>'HourGH-SEP'!M35</f>
        <v>0.86</v>
      </c>
      <c r="CD540" s="263">
        <v>539</v>
      </c>
      <c r="CE540" s="9">
        <v>23</v>
      </c>
      <c r="CF540" s="9">
        <v>11</v>
      </c>
      <c r="CG540" s="167">
        <f>'HourGH-OCT'!M35</f>
        <v>1.81</v>
      </c>
      <c r="CH540" s="9">
        <v>539</v>
      </c>
      <c r="CI540" s="9">
        <v>23</v>
      </c>
      <c r="CJ540" s="9">
        <v>11</v>
      </c>
      <c r="CK540" s="167">
        <f>'HourGH-NOV'!M35</f>
        <v>0.63</v>
      </c>
      <c r="CL540" s="263">
        <v>539</v>
      </c>
      <c r="CM540" s="9">
        <v>23</v>
      </c>
      <c r="CN540" s="9">
        <v>11</v>
      </c>
      <c r="CO540" s="167">
        <f>'HourGH-DEC'!M35</f>
        <v>0.47</v>
      </c>
      <c r="CP540" s="263">
        <v>539</v>
      </c>
      <c r="CQ540" s="9">
        <v>23</v>
      </c>
      <c r="CR540" s="9">
        <v>11</v>
      </c>
      <c r="CS540" s="167">
        <f>'HourGH-JAN'!M35</f>
        <v>0.36</v>
      </c>
      <c r="CT540" s="9">
        <v>539</v>
      </c>
      <c r="CU540" s="9">
        <v>23</v>
      </c>
      <c r="CV540" s="9">
        <v>11</v>
      </c>
      <c r="CW540" s="167">
        <f>'HourGH-FEB'!M35</f>
        <v>0.43</v>
      </c>
      <c r="CX540" s="263">
        <v>539</v>
      </c>
      <c r="CY540" s="9">
        <v>23</v>
      </c>
      <c r="CZ540" s="9">
        <v>11</v>
      </c>
      <c r="DA540" s="167">
        <f>'HourGH-MAR'!M35</f>
        <v>0.64</v>
      </c>
    </row>
    <row r="541" spans="58:105">
      <c r="BF541" s="9">
        <v>540</v>
      </c>
      <c r="BG541" s="9">
        <v>23</v>
      </c>
      <c r="BH541" s="9">
        <v>12</v>
      </c>
      <c r="BI541" s="167">
        <f>'HourGH-APR'!N35</f>
        <v>0.56999999999999995</v>
      </c>
      <c r="BJ541" s="263">
        <v>540</v>
      </c>
      <c r="BK541" s="9">
        <v>23</v>
      </c>
      <c r="BL541" s="9">
        <v>12</v>
      </c>
      <c r="BM541" s="167">
        <f>'HourGH-MAY'!N35</f>
        <v>0.18</v>
      </c>
      <c r="BN541" s="9">
        <v>540</v>
      </c>
      <c r="BO541" s="9">
        <v>23</v>
      </c>
      <c r="BP541" s="9">
        <v>12</v>
      </c>
      <c r="BQ541" s="167">
        <f>'HourGH-JUN'!N35</f>
        <v>0.28000000000000003</v>
      </c>
      <c r="BR541" s="263">
        <v>540</v>
      </c>
      <c r="BS541" s="9">
        <v>23</v>
      </c>
      <c r="BT541" s="9">
        <v>12</v>
      </c>
      <c r="BU541" s="167">
        <f>'HourGH-JUL'!N35</f>
        <v>0.33</v>
      </c>
      <c r="BV541" s="263">
        <v>540</v>
      </c>
      <c r="BW541" s="9">
        <v>23</v>
      </c>
      <c r="BX541" s="9">
        <v>12</v>
      </c>
      <c r="BY541" s="167">
        <f>'HourGH-AUG'!N35</f>
        <v>0.97</v>
      </c>
      <c r="BZ541" s="9">
        <v>540</v>
      </c>
      <c r="CA541" s="9">
        <v>23</v>
      </c>
      <c r="CB541" s="9">
        <v>12</v>
      </c>
      <c r="CC541" s="167">
        <f>'HourGH-SEP'!N35</f>
        <v>0.86</v>
      </c>
      <c r="CD541" s="263">
        <v>540</v>
      </c>
      <c r="CE541" s="9">
        <v>23</v>
      </c>
      <c r="CF541" s="9">
        <v>12</v>
      </c>
      <c r="CG541" s="167">
        <f>'HourGH-OCT'!N35</f>
        <v>1.77</v>
      </c>
      <c r="CH541" s="9">
        <v>540</v>
      </c>
      <c r="CI541" s="9">
        <v>23</v>
      </c>
      <c r="CJ541" s="9">
        <v>12</v>
      </c>
      <c r="CK541" s="167">
        <f>'HourGH-NOV'!N35</f>
        <v>0.63</v>
      </c>
      <c r="CL541" s="263">
        <v>540</v>
      </c>
      <c r="CM541" s="9">
        <v>23</v>
      </c>
      <c r="CN541" s="9">
        <v>12</v>
      </c>
      <c r="CO541" s="167">
        <f>'HourGH-DEC'!N35</f>
        <v>0.47</v>
      </c>
      <c r="CP541" s="263">
        <v>540</v>
      </c>
      <c r="CQ541" s="9">
        <v>23</v>
      </c>
      <c r="CR541" s="9">
        <v>12</v>
      </c>
      <c r="CS541" s="167">
        <f>'HourGH-JAN'!N35</f>
        <v>0.36</v>
      </c>
      <c r="CT541" s="9">
        <v>540</v>
      </c>
      <c r="CU541" s="9">
        <v>23</v>
      </c>
      <c r="CV541" s="9">
        <v>12</v>
      </c>
      <c r="CW541" s="167">
        <f>'HourGH-FEB'!N35</f>
        <v>0.43</v>
      </c>
      <c r="CX541" s="263">
        <v>540</v>
      </c>
      <c r="CY541" s="9">
        <v>23</v>
      </c>
      <c r="CZ541" s="9">
        <v>12</v>
      </c>
      <c r="DA541" s="167">
        <f>'HourGH-MAR'!N35</f>
        <v>0.64</v>
      </c>
    </row>
    <row r="542" spans="58:105">
      <c r="BF542" s="9">
        <v>541</v>
      </c>
      <c r="BG542" s="9">
        <v>23</v>
      </c>
      <c r="BH542" s="9">
        <v>13</v>
      </c>
      <c r="BI542" s="167">
        <f>'HourGH-APR'!O35</f>
        <v>0.56999999999999995</v>
      </c>
      <c r="BJ542" s="263">
        <v>541</v>
      </c>
      <c r="BK542" s="9">
        <v>23</v>
      </c>
      <c r="BL542" s="9">
        <v>13</v>
      </c>
      <c r="BM542" s="167">
        <f>'HourGH-MAY'!O35</f>
        <v>0.18</v>
      </c>
      <c r="BN542" s="9">
        <v>541</v>
      </c>
      <c r="BO542" s="9">
        <v>23</v>
      </c>
      <c r="BP542" s="9">
        <v>13</v>
      </c>
      <c r="BQ542" s="167">
        <f>'HourGH-JUN'!O35</f>
        <v>0.3</v>
      </c>
      <c r="BR542" s="263">
        <v>541</v>
      </c>
      <c r="BS542" s="9">
        <v>23</v>
      </c>
      <c r="BT542" s="9">
        <v>13</v>
      </c>
      <c r="BU542" s="167">
        <f>'HourGH-JUL'!O35</f>
        <v>0.34</v>
      </c>
      <c r="BV542" s="263">
        <v>541</v>
      </c>
      <c r="BW542" s="9">
        <v>23</v>
      </c>
      <c r="BX542" s="9">
        <v>13</v>
      </c>
      <c r="BY542" s="167">
        <f>'HourGH-AUG'!O35</f>
        <v>0.99</v>
      </c>
      <c r="BZ542" s="9">
        <v>541</v>
      </c>
      <c r="CA542" s="9">
        <v>23</v>
      </c>
      <c r="CB542" s="9">
        <v>13</v>
      </c>
      <c r="CC542" s="167">
        <f>'HourGH-SEP'!O35</f>
        <v>0.85</v>
      </c>
      <c r="CD542" s="263">
        <v>541</v>
      </c>
      <c r="CE542" s="9">
        <v>23</v>
      </c>
      <c r="CF542" s="9">
        <v>13</v>
      </c>
      <c r="CG542" s="167">
        <f>'HourGH-OCT'!O35</f>
        <v>1.73</v>
      </c>
      <c r="CH542" s="9">
        <v>541</v>
      </c>
      <c r="CI542" s="9">
        <v>23</v>
      </c>
      <c r="CJ542" s="9">
        <v>13</v>
      </c>
      <c r="CK542" s="167">
        <f>'HourGH-NOV'!O35</f>
        <v>0.63</v>
      </c>
      <c r="CL542" s="263">
        <v>541</v>
      </c>
      <c r="CM542" s="9">
        <v>23</v>
      </c>
      <c r="CN542" s="9">
        <v>13</v>
      </c>
      <c r="CO542" s="167">
        <f>'HourGH-DEC'!O35</f>
        <v>0.46</v>
      </c>
      <c r="CP542" s="263">
        <v>541</v>
      </c>
      <c r="CQ542" s="9">
        <v>23</v>
      </c>
      <c r="CR542" s="9">
        <v>13</v>
      </c>
      <c r="CS542" s="167">
        <f>'HourGH-JAN'!O35</f>
        <v>0.36</v>
      </c>
      <c r="CT542" s="9">
        <v>541</v>
      </c>
      <c r="CU542" s="9">
        <v>23</v>
      </c>
      <c r="CV542" s="9">
        <v>13</v>
      </c>
      <c r="CW542" s="167">
        <f>'HourGH-FEB'!O35</f>
        <v>0.43</v>
      </c>
      <c r="CX542" s="263">
        <v>541</v>
      </c>
      <c r="CY542" s="9">
        <v>23</v>
      </c>
      <c r="CZ542" s="9">
        <v>13</v>
      </c>
      <c r="DA542" s="167">
        <f>'HourGH-MAR'!O35</f>
        <v>0.64</v>
      </c>
    </row>
    <row r="543" spans="58:105">
      <c r="BF543" s="9">
        <v>542</v>
      </c>
      <c r="BG543" s="9">
        <v>23</v>
      </c>
      <c r="BH543" s="9">
        <v>14</v>
      </c>
      <c r="BI543" s="167">
        <f>'HourGH-APR'!P35</f>
        <v>0.56999999999999995</v>
      </c>
      <c r="BJ543" s="263">
        <v>542</v>
      </c>
      <c r="BK543" s="9">
        <v>23</v>
      </c>
      <c r="BL543" s="9">
        <v>14</v>
      </c>
      <c r="BM543" s="167">
        <f>'HourGH-MAY'!P35</f>
        <v>0.18</v>
      </c>
      <c r="BN543" s="9">
        <v>542</v>
      </c>
      <c r="BO543" s="9">
        <v>23</v>
      </c>
      <c r="BP543" s="9">
        <v>14</v>
      </c>
      <c r="BQ543" s="167">
        <f>'HourGH-JUN'!P35</f>
        <v>0.32</v>
      </c>
      <c r="BR543" s="263">
        <v>542</v>
      </c>
      <c r="BS543" s="9">
        <v>23</v>
      </c>
      <c r="BT543" s="9">
        <v>14</v>
      </c>
      <c r="BU543" s="167">
        <f>'HourGH-JUL'!P35</f>
        <v>0.34</v>
      </c>
      <c r="BV543" s="263">
        <v>542</v>
      </c>
      <c r="BW543" s="9">
        <v>23</v>
      </c>
      <c r="BX543" s="9">
        <v>14</v>
      </c>
      <c r="BY543" s="167">
        <f>'HourGH-AUG'!P35</f>
        <v>1.01</v>
      </c>
      <c r="BZ543" s="9">
        <v>542</v>
      </c>
      <c r="CA543" s="9">
        <v>23</v>
      </c>
      <c r="CB543" s="9">
        <v>14</v>
      </c>
      <c r="CC543" s="167">
        <f>'HourGH-SEP'!P35</f>
        <v>0.85</v>
      </c>
      <c r="CD543" s="263">
        <v>542</v>
      </c>
      <c r="CE543" s="9">
        <v>23</v>
      </c>
      <c r="CF543" s="9">
        <v>14</v>
      </c>
      <c r="CG543" s="167">
        <f>'HourGH-OCT'!P35</f>
        <v>1.69</v>
      </c>
      <c r="CH543" s="9">
        <v>542</v>
      </c>
      <c r="CI543" s="9">
        <v>23</v>
      </c>
      <c r="CJ543" s="9">
        <v>14</v>
      </c>
      <c r="CK543" s="167">
        <f>'HourGH-NOV'!P35</f>
        <v>0.63</v>
      </c>
      <c r="CL543" s="263">
        <v>542</v>
      </c>
      <c r="CM543" s="9">
        <v>23</v>
      </c>
      <c r="CN543" s="9">
        <v>14</v>
      </c>
      <c r="CO543" s="167">
        <f>'HourGH-DEC'!P35</f>
        <v>0.46</v>
      </c>
      <c r="CP543" s="263">
        <v>542</v>
      </c>
      <c r="CQ543" s="9">
        <v>23</v>
      </c>
      <c r="CR543" s="9">
        <v>14</v>
      </c>
      <c r="CS543" s="167">
        <f>'HourGH-JAN'!P35</f>
        <v>0.36</v>
      </c>
      <c r="CT543" s="9">
        <v>542</v>
      </c>
      <c r="CU543" s="9">
        <v>23</v>
      </c>
      <c r="CV543" s="9">
        <v>14</v>
      </c>
      <c r="CW543" s="167">
        <f>'HourGH-FEB'!P35</f>
        <v>0.44</v>
      </c>
      <c r="CX543" s="263">
        <v>542</v>
      </c>
      <c r="CY543" s="9">
        <v>23</v>
      </c>
      <c r="CZ543" s="9">
        <v>14</v>
      </c>
      <c r="DA543" s="167">
        <f>'HourGH-MAR'!P35</f>
        <v>0.64</v>
      </c>
    </row>
    <row r="544" spans="58:105">
      <c r="BF544" s="9">
        <v>543</v>
      </c>
      <c r="BG544" s="9">
        <v>23</v>
      </c>
      <c r="BH544" s="9">
        <v>15</v>
      </c>
      <c r="BI544" s="167">
        <f>'HourGH-APR'!Q35</f>
        <v>0.56999999999999995</v>
      </c>
      <c r="BJ544" s="263">
        <v>543</v>
      </c>
      <c r="BK544" s="9">
        <v>23</v>
      </c>
      <c r="BL544" s="9">
        <v>15</v>
      </c>
      <c r="BM544" s="167">
        <f>'HourGH-MAY'!Q35</f>
        <v>0.18</v>
      </c>
      <c r="BN544" s="9">
        <v>543</v>
      </c>
      <c r="BO544" s="9">
        <v>23</v>
      </c>
      <c r="BP544" s="9">
        <v>15</v>
      </c>
      <c r="BQ544" s="167">
        <f>'HourGH-JUN'!Q35</f>
        <v>0.35</v>
      </c>
      <c r="BR544" s="263">
        <v>543</v>
      </c>
      <c r="BS544" s="9">
        <v>23</v>
      </c>
      <c r="BT544" s="9">
        <v>15</v>
      </c>
      <c r="BU544" s="167">
        <f>'HourGH-JUL'!Q35</f>
        <v>0.35</v>
      </c>
      <c r="BV544" s="263">
        <v>543</v>
      </c>
      <c r="BW544" s="9">
        <v>23</v>
      </c>
      <c r="BX544" s="9">
        <v>15</v>
      </c>
      <c r="BY544" s="167">
        <f>'HourGH-AUG'!Q35</f>
        <v>1.02</v>
      </c>
      <c r="BZ544" s="9">
        <v>543</v>
      </c>
      <c r="CA544" s="9">
        <v>23</v>
      </c>
      <c r="CB544" s="9">
        <v>15</v>
      </c>
      <c r="CC544" s="167">
        <f>'HourGH-SEP'!Q35</f>
        <v>0.85</v>
      </c>
      <c r="CD544" s="263">
        <v>543</v>
      </c>
      <c r="CE544" s="9">
        <v>23</v>
      </c>
      <c r="CF544" s="9">
        <v>15</v>
      </c>
      <c r="CG544" s="167">
        <f>'HourGH-OCT'!Q35</f>
        <v>1.65</v>
      </c>
      <c r="CH544" s="9">
        <v>543</v>
      </c>
      <c r="CI544" s="9">
        <v>23</v>
      </c>
      <c r="CJ544" s="9">
        <v>15</v>
      </c>
      <c r="CK544" s="167">
        <f>'HourGH-NOV'!Q35</f>
        <v>0.63</v>
      </c>
      <c r="CL544" s="263">
        <v>543</v>
      </c>
      <c r="CM544" s="9">
        <v>23</v>
      </c>
      <c r="CN544" s="9">
        <v>15</v>
      </c>
      <c r="CO544" s="167">
        <f>'HourGH-DEC'!Q35</f>
        <v>0.46</v>
      </c>
      <c r="CP544" s="263">
        <v>543</v>
      </c>
      <c r="CQ544" s="9">
        <v>23</v>
      </c>
      <c r="CR544" s="9">
        <v>15</v>
      </c>
      <c r="CS544" s="167">
        <f>'HourGH-JAN'!Q35</f>
        <v>0.36</v>
      </c>
      <c r="CT544" s="9">
        <v>543</v>
      </c>
      <c r="CU544" s="9">
        <v>23</v>
      </c>
      <c r="CV544" s="9">
        <v>15</v>
      </c>
      <c r="CW544" s="167">
        <f>'HourGH-FEB'!Q35</f>
        <v>0.45</v>
      </c>
      <c r="CX544" s="263">
        <v>543</v>
      </c>
      <c r="CY544" s="9">
        <v>23</v>
      </c>
      <c r="CZ544" s="9">
        <v>15</v>
      </c>
      <c r="DA544" s="167">
        <f>'HourGH-MAR'!Q35</f>
        <v>0.64</v>
      </c>
    </row>
    <row r="545" spans="58:105">
      <c r="BF545" s="9">
        <v>544</v>
      </c>
      <c r="BG545" s="9">
        <v>23</v>
      </c>
      <c r="BH545" s="9">
        <v>16</v>
      </c>
      <c r="BI545" s="167">
        <f>'HourGH-APR'!R35</f>
        <v>0.56999999999999995</v>
      </c>
      <c r="BJ545" s="263">
        <v>544</v>
      </c>
      <c r="BK545" s="9">
        <v>23</v>
      </c>
      <c r="BL545" s="9">
        <v>16</v>
      </c>
      <c r="BM545" s="167">
        <f>'HourGH-MAY'!R35</f>
        <v>0.18</v>
      </c>
      <c r="BN545" s="9">
        <v>544</v>
      </c>
      <c r="BO545" s="9">
        <v>23</v>
      </c>
      <c r="BP545" s="9">
        <v>16</v>
      </c>
      <c r="BQ545" s="167">
        <f>'HourGH-JUN'!R35</f>
        <v>0.38</v>
      </c>
      <c r="BR545" s="263">
        <v>544</v>
      </c>
      <c r="BS545" s="9">
        <v>23</v>
      </c>
      <c r="BT545" s="9">
        <v>16</v>
      </c>
      <c r="BU545" s="167">
        <f>'HourGH-JUL'!R35</f>
        <v>0.36</v>
      </c>
      <c r="BV545" s="263">
        <v>544</v>
      </c>
      <c r="BW545" s="9">
        <v>23</v>
      </c>
      <c r="BX545" s="9">
        <v>16</v>
      </c>
      <c r="BY545" s="167">
        <f>'HourGH-AUG'!R35</f>
        <v>1.03</v>
      </c>
      <c r="BZ545" s="9">
        <v>544</v>
      </c>
      <c r="CA545" s="9">
        <v>23</v>
      </c>
      <c r="CB545" s="9">
        <v>16</v>
      </c>
      <c r="CC545" s="167">
        <f>'HourGH-SEP'!R35</f>
        <v>0.85</v>
      </c>
      <c r="CD545" s="263">
        <v>544</v>
      </c>
      <c r="CE545" s="9">
        <v>23</v>
      </c>
      <c r="CF545" s="9">
        <v>16</v>
      </c>
      <c r="CG545" s="167">
        <f>'HourGH-OCT'!R35</f>
        <v>1.62</v>
      </c>
      <c r="CH545" s="9">
        <v>544</v>
      </c>
      <c r="CI545" s="9">
        <v>23</v>
      </c>
      <c r="CJ545" s="9">
        <v>16</v>
      </c>
      <c r="CK545" s="167">
        <f>'HourGH-NOV'!R35</f>
        <v>0.63</v>
      </c>
      <c r="CL545" s="263">
        <v>544</v>
      </c>
      <c r="CM545" s="9">
        <v>23</v>
      </c>
      <c r="CN545" s="9">
        <v>16</v>
      </c>
      <c r="CO545" s="167">
        <f>'HourGH-DEC'!R35</f>
        <v>0.46</v>
      </c>
      <c r="CP545" s="263">
        <v>544</v>
      </c>
      <c r="CQ545" s="9">
        <v>23</v>
      </c>
      <c r="CR545" s="9">
        <v>16</v>
      </c>
      <c r="CS545" s="167">
        <f>'HourGH-JAN'!R35</f>
        <v>0.36</v>
      </c>
      <c r="CT545" s="9">
        <v>544</v>
      </c>
      <c r="CU545" s="9">
        <v>23</v>
      </c>
      <c r="CV545" s="9">
        <v>16</v>
      </c>
      <c r="CW545" s="167">
        <f>'HourGH-FEB'!R35</f>
        <v>0.46</v>
      </c>
      <c r="CX545" s="263">
        <v>544</v>
      </c>
      <c r="CY545" s="9">
        <v>23</v>
      </c>
      <c r="CZ545" s="9">
        <v>16</v>
      </c>
      <c r="DA545" s="167">
        <f>'HourGH-MAR'!R35</f>
        <v>0.64</v>
      </c>
    </row>
    <row r="546" spans="58:105">
      <c r="BF546" s="9">
        <v>545</v>
      </c>
      <c r="BG546" s="9">
        <v>23</v>
      </c>
      <c r="BH546" s="9">
        <v>17</v>
      </c>
      <c r="BI546" s="167">
        <f>'HourGH-APR'!S35</f>
        <v>0.56999999999999995</v>
      </c>
      <c r="BJ546" s="263">
        <v>545</v>
      </c>
      <c r="BK546" s="9">
        <v>23</v>
      </c>
      <c r="BL546" s="9">
        <v>17</v>
      </c>
      <c r="BM546" s="167">
        <f>'HourGH-MAY'!S35</f>
        <v>0.18</v>
      </c>
      <c r="BN546" s="9">
        <v>545</v>
      </c>
      <c r="BO546" s="9">
        <v>23</v>
      </c>
      <c r="BP546" s="9">
        <v>17</v>
      </c>
      <c r="BQ546" s="167">
        <f>'HourGH-JUN'!S35</f>
        <v>0.42</v>
      </c>
      <c r="BR546" s="263">
        <v>545</v>
      </c>
      <c r="BS546" s="9">
        <v>23</v>
      </c>
      <c r="BT546" s="9">
        <v>17</v>
      </c>
      <c r="BU546" s="167">
        <f>'HourGH-JUL'!S35</f>
        <v>0.37</v>
      </c>
      <c r="BV546" s="263">
        <v>545</v>
      </c>
      <c r="BW546" s="9">
        <v>23</v>
      </c>
      <c r="BX546" s="9">
        <v>17</v>
      </c>
      <c r="BY546" s="167">
        <f>'HourGH-AUG'!S35</f>
        <v>1.04</v>
      </c>
      <c r="BZ546" s="9">
        <v>545</v>
      </c>
      <c r="CA546" s="9">
        <v>23</v>
      </c>
      <c r="CB546" s="9">
        <v>17</v>
      </c>
      <c r="CC546" s="167">
        <f>'HourGH-SEP'!S35</f>
        <v>0.85</v>
      </c>
      <c r="CD546" s="263">
        <v>545</v>
      </c>
      <c r="CE546" s="9">
        <v>23</v>
      </c>
      <c r="CF546" s="9">
        <v>17</v>
      </c>
      <c r="CG546" s="167">
        <f>'HourGH-OCT'!S35</f>
        <v>1.59</v>
      </c>
      <c r="CH546" s="9">
        <v>545</v>
      </c>
      <c r="CI546" s="9">
        <v>23</v>
      </c>
      <c r="CJ546" s="9">
        <v>17</v>
      </c>
      <c r="CK546" s="167">
        <f>'HourGH-NOV'!S35</f>
        <v>0.63</v>
      </c>
      <c r="CL546" s="263">
        <v>545</v>
      </c>
      <c r="CM546" s="9">
        <v>23</v>
      </c>
      <c r="CN546" s="9">
        <v>17</v>
      </c>
      <c r="CO546" s="167">
        <f>'HourGH-DEC'!S35</f>
        <v>0.46</v>
      </c>
      <c r="CP546" s="263">
        <v>545</v>
      </c>
      <c r="CQ546" s="9">
        <v>23</v>
      </c>
      <c r="CR546" s="9">
        <v>17</v>
      </c>
      <c r="CS546" s="167">
        <f>'HourGH-JAN'!S35</f>
        <v>0.36</v>
      </c>
      <c r="CT546" s="9">
        <v>545</v>
      </c>
      <c r="CU546" s="9">
        <v>23</v>
      </c>
      <c r="CV546" s="9">
        <v>17</v>
      </c>
      <c r="CW546" s="167">
        <f>'HourGH-FEB'!S35</f>
        <v>0.47</v>
      </c>
      <c r="CX546" s="263">
        <v>545</v>
      </c>
      <c r="CY546" s="9">
        <v>23</v>
      </c>
      <c r="CZ546" s="9">
        <v>17</v>
      </c>
      <c r="DA546" s="167">
        <f>'HourGH-MAR'!S35</f>
        <v>0.64</v>
      </c>
    </row>
    <row r="547" spans="58:105">
      <c r="BF547" s="9">
        <v>546</v>
      </c>
      <c r="BG547" s="9">
        <v>23</v>
      </c>
      <c r="BH547" s="9">
        <v>18</v>
      </c>
      <c r="BI547" s="167">
        <f>'HourGH-APR'!T35</f>
        <v>0.56999999999999995</v>
      </c>
      <c r="BJ547" s="263">
        <v>546</v>
      </c>
      <c r="BK547" s="9">
        <v>23</v>
      </c>
      <c r="BL547" s="9">
        <v>18</v>
      </c>
      <c r="BM547" s="167">
        <f>'HourGH-MAY'!T35</f>
        <v>0.18</v>
      </c>
      <c r="BN547" s="9">
        <v>546</v>
      </c>
      <c r="BO547" s="9">
        <v>23</v>
      </c>
      <c r="BP547" s="9">
        <v>18</v>
      </c>
      <c r="BQ547" s="167">
        <f>'HourGH-JUN'!T35</f>
        <v>0.46</v>
      </c>
      <c r="BR547" s="263">
        <v>546</v>
      </c>
      <c r="BS547" s="9">
        <v>23</v>
      </c>
      <c r="BT547" s="9">
        <v>18</v>
      </c>
      <c r="BU547" s="167">
        <f>'HourGH-JUL'!T35</f>
        <v>0.38</v>
      </c>
      <c r="BV547" s="263">
        <v>546</v>
      </c>
      <c r="BW547" s="9">
        <v>23</v>
      </c>
      <c r="BX547" s="9">
        <v>18</v>
      </c>
      <c r="BY547" s="167">
        <f>'HourGH-AUG'!T35</f>
        <v>1.05</v>
      </c>
      <c r="BZ547" s="9">
        <v>546</v>
      </c>
      <c r="CA547" s="9">
        <v>23</v>
      </c>
      <c r="CB547" s="9">
        <v>18</v>
      </c>
      <c r="CC547" s="167">
        <f>'HourGH-SEP'!T35</f>
        <v>0.85</v>
      </c>
      <c r="CD547" s="263">
        <v>546</v>
      </c>
      <c r="CE547" s="9">
        <v>23</v>
      </c>
      <c r="CF547" s="9">
        <v>18</v>
      </c>
      <c r="CG547" s="167">
        <f>'HourGH-OCT'!T35</f>
        <v>1.57</v>
      </c>
      <c r="CH547" s="9">
        <v>546</v>
      </c>
      <c r="CI547" s="9">
        <v>23</v>
      </c>
      <c r="CJ547" s="9">
        <v>18</v>
      </c>
      <c r="CK547" s="167">
        <f>'HourGH-NOV'!T35</f>
        <v>0.63</v>
      </c>
      <c r="CL547" s="263">
        <v>546</v>
      </c>
      <c r="CM547" s="9">
        <v>23</v>
      </c>
      <c r="CN547" s="9">
        <v>18</v>
      </c>
      <c r="CO547" s="167">
        <f>'HourGH-DEC'!T35</f>
        <v>0.46</v>
      </c>
      <c r="CP547" s="263">
        <v>546</v>
      </c>
      <c r="CQ547" s="9">
        <v>23</v>
      </c>
      <c r="CR547" s="9">
        <v>18</v>
      </c>
      <c r="CS547" s="167">
        <f>'HourGH-JAN'!T35</f>
        <v>0.36</v>
      </c>
      <c r="CT547" s="9">
        <v>546</v>
      </c>
      <c r="CU547" s="9">
        <v>23</v>
      </c>
      <c r="CV547" s="9">
        <v>18</v>
      </c>
      <c r="CW547" s="167">
        <f>'HourGH-FEB'!T35</f>
        <v>0.49</v>
      </c>
      <c r="CX547" s="263">
        <v>546</v>
      </c>
      <c r="CY547" s="9">
        <v>23</v>
      </c>
      <c r="CZ547" s="9">
        <v>18</v>
      </c>
      <c r="DA547" s="167">
        <f>'HourGH-MAR'!T35</f>
        <v>0.64</v>
      </c>
    </row>
    <row r="548" spans="58:105">
      <c r="BF548" s="9">
        <v>547</v>
      </c>
      <c r="BG548" s="9">
        <v>23</v>
      </c>
      <c r="BH548" s="9">
        <v>19</v>
      </c>
      <c r="BI548" s="167">
        <f>'HourGH-APR'!U35</f>
        <v>0.56999999999999995</v>
      </c>
      <c r="BJ548" s="263">
        <v>547</v>
      </c>
      <c r="BK548" s="9">
        <v>23</v>
      </c>
      <c r="BL548" s="9">
        <v>19</v>
      </c>
      <c r="BM548" s="167">
        <f>'HourGH-MAY'!U35</f>
        <v>0.19</v>
      </c>
      <c r="BN548" s="9">
        <v>547</v>
      </c>
      <c r="BO548" s="9">
        <v>23</v>
      </c>
      <c r="BP548" s="9">
        <v>19</v>
      </c>
      <c r="BQ548" s="167">
        <f>'HourGH-JUN'!U35</f>
        <v>0.5</v>
      </c>
      <c r="BR548" s="263">
        <v>547</v>
      </c>
      <c r="BS548" s="9">
        <v>23</v>
      </c>
      <c r="BT548" s="9">
        <v>19</v>
      </c>
      <c r="BU548" s="167">
        <f>'HourGH-JUL'!U35</f>
        <v>0.39</v>
      </c>
      <c r="BV548" s="263">
        <v>547</v>
      </c>
      <c r="BW548" s="9">
        <v>23</v>
      </c>
      <c r="BX548" s="9">
        <v>19</v>
      </c>
      <c r="BY548" s="167">
        <f>'HourGH-AUG'!U35</f>
        <v>1.06</v>
      </c>
      <c r="BZ548" s="9">
        <v>547</v>
      </c>
      <c r="CA548" s="9">
        <v>23</v>
      </c>
      <c r="CB548" s="9">
        <v>19</v>
      </c>
      <c r="CC548" s="167">
        <f>'HourGH-SEP'!U35</f>
        <v>0.84</v>
      </c>
      <c r="CD548" s="263">
        <v>547</v>
      </c>
      <c r="CE548" s="9">
        <v>23</v>
      </c>
      <c r="CF548" s="9">
        <v>19</v>
      </c>
      <c r="CG548" s="167">
        <f>'HourGH-OCT'!U35</f>
        <v>1.55</v>
      </c>
      <c r="CH548" s="9">
        <v>547</v>
      </c>
      <c r="CI548" s="9">
        <v>23</v>
      </c>
      <c r="CJ548" s="9">
        <v>19</v>
      </c>
      <c r="CK548" s="167">
        <f>'HourGH-NOV'!U35</f>
        <v>0.63</v>
      </c>
      <c r="CL548" s="263">
        <v>547</v>
      </c>
      <c r="CM548" s="9">
        <v>23</v>
      </c>
      <c r="CN548" s="9">
        <v>19</v>
      </c>
      <c r="CO548" s="167">
        <f>'HourGH-DEC'!U35</f>
        <v>0.46</v>
      </c>
      <c r="CP548" s="263">
        <v>547</v>
      </c>
      <c r="CQ548" s="9">
        <v>23</v>
      </c>
      <c r="CR548" s="9">
        <v>19</v>
      </c>
      <c r="CS548" s="167">
        <f>'HourGH-JAN'!U35</f>
        <v>0.36</v>
      </c>
      <c r="CT548" s="9">
        <v>547</v>
      </c>
      <c r="CU548" s="9">
        <v>23</v>
      </c>
      <c r="CV548" s="9">
        <v>19</v>
      </c>
      <c r="CW548" s="167">
        <f>'HourGH-FEB'!U35</f>
        <v>0.52</v>
      </c>
      <c r="CX548" s="263">
        <v>547</v>
      </c>
      <c r="CY548" s="9">
        <v>23</v>
      </c>
      <c r="CZ548" s="9">
        <v>19</v>
      </c>
      <c r="DA548" s="167">
        <f>'HourGH-MAR'!U35</f>
        <v>0.64</v>
      </c>
    </row>
    <row r="549" spans="58:105">
      <c r="BF549" s="9">
        <v>548</v>
      </c>
      <c r="BG549" s="9">
        <v>23</v>
      </c>
      <c r="BH549" s="9">
        <v>20</v>
      </c>
      <c r="BI549" s="167">
        <f>'HourGH-APR'!V35</f>
        <v>0.56999999999999995</v>
      </c>
      <c r="BJ549" s="263">
        <v>548</v>
      </c>
      <c r="BK549" s="9">
        <v>23</v>
      </c>
      <c r="BL549" s="9">
        <v>20</v>
      </c>
      <c r="BM549" s="167">
        <f>'HourGH-MAY'!V35</f>
        <v>0.19</v>
      </c>
      <c r="BN549" s="9">
        <v>548</v>
      </c>
      <c r="BO549" s="9">
        <v>23</v>
      </c>
      <c r="BP549" s="9">
        <v>20</v>
      </c>
      <c r="BQ549" s="167">
        <f>'HourGH-JUN'!V35</f>
        <v>0.55000000000000004</v>
      </c>
      <c r="BR549" s="263">
        <v>548</v>
      </c>
      <c r="BS549" s="9">
        <v>23</v>
      </c>
      <c r="BT549" s="9">
        <v>20</v>
      </c>
      <c r="BU549" s="167">
        <f>'HourGH-JUL'!V35</f>
        <v>0.4</v>
      </c>
      <c r="BV549" s="263">
        <v>548</v>
      </c>
      <c r="BW549" s="9">
        <v>23</v>
      </c>
      <c r="BX549" s="9">
        <v>20</v>
      </c>
      <c r="BY549" s="167">
        <f>'HourGH-AUG'!V35</f>
        <v>1.07</v>
      </c>
      <c r="BZ549" s="9">
        <v>548</v>
      </c>
      <c r="CA549" s="9">
        <v>23</v>
      </c>
      <c r="CB549" s="9">
        <v>20</v>
      </c>
      <c r="CC549" s="167">
        <f>'HourGH-SEP'!V35</f>
        <v>0.84</v>
      </c>
      <c r="CD549" s="263">
        <v>548</v>
      </c>
      <c r="CE549" s="9">
        <v>23</v>
      </c>
      <c r="CF549" s="9">
        <v>20</v>
      </c>
      <c r="CG549" s="167">
        <f>'HourGH-OCT'!V35</f>
        <v>1.53</v>
      </c>
      <c r="CH549" s="9">
        <v>548</v>
      </c>
      <c r="CI549" s="9">
        <v>23</v>
      </c>
      <c r="CJ549" s="9">
        <v>20</v>
      </c>
      <c r="CK549" s="167">
        <f>'HourGH-NOV'!V35</f>
        <v>0.63</v>
      </c>
      <c r="CL549" s="263">
        <v>548</v>
      </c>
      <c r="CM549" s="9">
        <v>23</v>
      </c>
      <c r="CN549" s="9">
        <v>20</v>
      </c>
      <c r="CO549" s="167">
        <f>'HourGH-DEC'!V35</f>
        <v>0.46</v>
      </c>
      <c r="CP549" s="263">
        <v>548</v>
      </c>
      <c r="CQ549" s="9">
        <v>23</v>
      </c>
      <c r="CR549" s="9">
        <v>20</v>
      </c>
      <c r="CS549" s="167">
        <f>'HourGH-JAN'!V35</f>
        <v>0.36</v>
      </c>
      <c r="CT549" s="9">
        <v>548</v>
      </c>
      <c r="CU549" s="9">
        <v>23</v>
      </c>
      <c r="CV549" s="9">
        <v>20</v>
      </c>
      <c r="CW549" s="167">
        <f>'HourGH-FEB'!V35</f>
        <v>0.54</v>
      </c>
      <c r="CX549" s="263">
        <v>548</v>
      </c>
      <c r="CY549" s="9">
        <v>23</v>
      </c>
      <c r="CZ549" s="9">
        <v>20</v>
      </c>
      <c r="DA549" s="167">
        <f>'HourGH-MAR'!V35</f>
        <v>0.64</v>
      </c>
    </row>
    <row r="550" spans="58:105">
      <c r="BF550" s="9">
        <v>549</v>
      </c>
      <c r="BG550" s="9">
        <v>23</v>
      </c>
      <c r="BH550" s="9">
        <v>21</v>
      </c>
      <c r="BI550" s="167">
        <f>'HourGH-APR'!W35</f>
        <v>0.56999999999999995</v>
      </c>
      <c r="BJ550" s="263">
        <v>549</v>
      </c>
      <c r="BK550" s="9">
        <v>23</v>
      </c>
      <c r="BL550" s="9">
        <v>21</v>
      </c>
      <c r="BM550" s="167">
        <f>'HourGH-MAY'!W35</f>
        <v>0.19</v>
      </c>
      <c r="BN550" s="9">
        <v>549</v>
      </c>
      <c r="BO550" s="9">
        <v>23</v>
      </c>
      <c r="BP550" s="9">
        <v>21</v>
      </c>
      <c r="BQ550" s="167">
        <f>'HourGH-JUN'!W35</f>
        <v>0.59</v>
      </c>
      <c r="BR550" s="263">
        <v>549</v>
      </c>
      <c r="BS550" s="9">
        <v>23</v>
      </c>
      <c r="BT550" s="9">
        <v>21</v>
      </c>
      <c r="BU550" s="167">
        <f>'HourGH-JUL'!W35</f>
        <v>0.41</v>
      </c>
      <c r="BV550" s="263">
        <v>549</v>
      </c>
      <c r="BW550" s="9">
        <v>23</v>
      </c>
      <c r="BX550" s="9">
        <v>21</v>
      </c>
      <c r="BY550" s="167">
        <f>'HourGH-AUG'!W35</f>
        <v>1.08</v>
      </c>
      <c r="BZ550" s="9">
        <v>549</v>
      </c>
      <c r="CA550" s="9">
        <v>23</v>
      </c>
      <c r="CB550" s="9">
        <v>21</v>
      </c>
      <c r="CC550" s="167">
        <f>'HourGH-SEP'!W35</f>
        <v>0.84</v>
      </c>
      <c r="CD550" s="263">
        <v>549</v>
      </c>
      <c r="CE550" s="9">
        <v>23</v>
      </c>
      <c r="CF550" s="9">
        <v>21</v>
      </c>
      <c r="CG550" s="167">
        <f>'HourGH-OCT'!W35</f>
        <v>1.52</v>
      </c>
      <c r="CH550" s="9">
        <v>549</v>
      </c>
      <c r="CI550" s="9">
        <v>23</v>
      </c>
      <c r="CJ550" s="9">
        <v>21</v>
      </c>
      <c r="CK550" s="167">
        <f>'HourGH-NOV'!W35</f>
        <v>0.63</v>
      </c>
      <c r="CL550" s="263">
        <v>549</v>
      </c>
      <c r="CM550" s="9">
        <v>23</v>
      </c>
      <c r="CN550" s="9">
        <v>21</v>
      </c>
      <c r="CO550" s="167">
        <f>'HourGH-DEC'!W35</f>
        <v>0.46</v>
      </c>
      <c r="CP550" s="263">
        <v>549</v>
      </c>
      <c r="CQ550" s="9">
        <v>23</v>
      </c>
      <c r="CR550" s="9">
        <v>21</v>
      </c>
      <c r="CS550" s="167">
        <f>'HourGH-JAN'!W35</f>
        <v>0.36</v>
      </c>
      <c r="CT550" s="9">
        <v>549</v>
      </c>
      <c r="CU550" s="9">
        <v>23</v>
      </c>
      <c r="CV550" s="9">
        <v>21</v>
      </c>
      <c r="CW550" s="167">
        <f>'HourGH-FEB'!W35</f>
        <v>0.56000000000000005</v>
      </c>
      <c r="CX550" s="263">
        <v>549</v>
      </c>
      <c r="CY550" s="9">
        <v>23</v>
      </c>
      <c r="CZ550" s="9">
        <v>21</v>
      </c>
      <c r="DA550" s="167">
        <f>'HourGH-MAR'!W35</f>
        <v>0.64</v>
      </c>
    </row>
    <row r="551" spans="58:105">
      <c r="BF551" s="9">
        <v>550</v>
      </c>
      <c r="BG551" s="9">
        <v>23</v>
      </c>
      <c r="BH551" s="9">
        <v>22</v>
      </c>
      <c r="BI551" s="167">
        <f>'HourGH-APR'!X35</f>
        <v>0.56999999999999995</v>
      </c>
      <c r="BJ551" s="263">
        <v>550</v>
      </c>
      <c r="BK551" s="9">
        <v>23</v>
      </c>
      <c r="BL551" s="9">
        <v>22</v>
      </c>
      <c r="BM551" s="167">
        <f>'HourGH-MAY'!X35</f>
        <v>0.19</v>
      </c>
      <c r="BN551" s="9">
        <v>550</v>
      </c>
      <c r="BO551" s="9">
        <v>23</v>
      </c>
      <c r="BP551" s="9">
        <v>22</v>
      </c>
      <c r="BQ551" s="167">
        <f>'HourGH-JUN'!X35</f>
        <v>0.62</v>
      </c>
      <c r="BR551" s="263">
        <v>550</v>
      </c>
      <c r="BS551" s="9">
        <v>23</v>
      </c>
      <c r="BT551" s="9">
        <v>22</v>
      </c>
      <c r="BU551" s="167">
        <f>'HourGH-JUL'!X35</f>
        <v>0.43</v>
      </c>
      <c r="BV551" s="263">
        <v>550</v>
      </c>
      <c r="BW551" s="9">
        <v>23</v>
      </c>
      <c r="BX551" s="9">
        <v>22</v>
      </c>
      <c r="BY551" s="167">
        <f>'HourGH-AUG'!X35</f>
        <v>1.0900000000000001</v>
      </c>
      <c r="BZ551" s="9">
        <v>550</v>
      </c>
      <c r="CA551" s="9">
        <v>23</v>
      </c>
      <c r="CB551" s="9">
        <v>22</v>
      </c>
      <c r="CC551" s="167">
        <f>'HourGH-SEP'!X35</f>
        <v>0.84</v>
      </c>
      <c r="CD551" s="263">
        <v>550</v>
      </c>
      <c r="CE551" s="9">
        <v>23</v>
      </c>
      <c r="CF551" s="9">
        <v>22</v>
      </c>
      <c r="CG551" s="167">
        <f>'HourGH-OCT'!X35</f>
        <v>1.51</v>
      </c>
      <c r="CH551" s="9">
        <v>550</v>
      </c>
      <c r="CI551" s="9">
        <v>23</v>
      </c>
      <c r="CJ551" s="9">
        <v>22</v>
      </c>
      <c r="CK551" s="167">
        <f>'HourGH-NOV'!X35</f>
        <v>0.63</v>
      </c>
      <c r="CL551" s="263">
        <v>550</v>
      </c>
      <c r="CM551" s="9">
        <v>23</v>
      </c>
      <c r="CN551" s="9">
        <v>22</v>
      </c>
      <c r="CO551" s="167">
        <f>'HourGH-DEC'!X35</f>
        <v>0.46</v>
      </c>
      <c r="CP551" s="263">
        <v>550</v>
      </c>
      <c r="CQ551" s="9">
        <v>23</v>
      </c>
      <c r="CR551" s="9">
        <v>22</v>
      </c>
      <c r="CS551" s="167">
        <f>'HourGH-JAN'!X35</f>
        <v>0.36</v>
      </c>
      <c r="CT551" s="9">
        <v>550</v>
      </c>
      <c r="CU551" s="9">
        <v>23</v>
      </c>
      <c r="CV551" s="9">
        <v>22</v>
      </c>
      <c r="CW551" s="167">
        <f>'HourGH-FEB'!X35</f>
        <v>0.59</v>
      </c>
      <c r="CX551" s="263">
        <v>550</v>
      </c>
      <c r="CY551" s="9">
        <v>23</v>
      </c>
      <c r="CZ551" s="9">
        <v>22</v>
      </c>
      <c r="DA551" s="167">
        <f>'HourGH-MAR'!X35</f>
        <v>0.64</v>
      </c>
    </row>
    <row r="552" spans="58:105">
      <c r="BF552" s="9">
        <v>551</v>
      </c>
      <c r="BG552" s="9">
        <v>23</v>
      </c>
      <c r="BH552" s="9">
        <v>23</v>
      </c>
      <c r="BI552" s="167">
        <f>'HourGH-APR'!Y35</f>
        <v>0.56999999999999995</v>
      </c>
      <c r="BJ552" s="263">
        <v>551</v>
      </c>
      <c r="BK552" s="9">
        <v>23</v>
      </c>
      <c r="BL552" s="9">
        <v>23</v>
      </c>
      <c r="BM552" s="167">
        <f>'HourGH-MAY'!Y35</f>
        <v>0.2</v>
      </c>
      <c r="BN552" s="9">
        <v>551</v>
      </c>
      <c r="BO552" s="9">
        <v>23</v>
      </c>
      <c r="BP552" s="9">
        <v>23</v>
      </c>
      <c r="BQ552" s="167">
        <f>'HourGH-JUN'!Y35</f>
        <v>0.65</v>
      </c>
      <c r="BR552" s="263">
        <v>551</v>
      </c>
      <c r="BS552" s="9">
        <v>23</v>
      </c>
      <c r="BT552" s="9">
        <v>23</v>
      </c>
      <c r="BU552" s="167">
        <f>'HourGH-JUL'!Y35</f>
        <v>0.46</v>
      </c>
      <c r="BV552" s="263">
        <v>551</v>
      </c>
      <c r="BW552" s="9">
        <v>23</v>
      </c>
      <c r="BX552" s="9">
        <v>23</v>
      </c>
      <c r="BY552" s="167">
        <f>'HourGH-AUG'!Y35</f>
        <v>1.1000000000000001</v>
      </c>
      <c r="BZ552" s="9">
        <v>551</v>
      </c>
      <c r="CA552" s="9">
        <v>23</v>
      </c>
      <c r="CB552" s="9">
        <v>23</v>
      </c>
      <c r="CC552" s="167">
        <f>'HourGH-SEP'!Y35</f>
        <v>0.84</v>
      </c>
      <c r="CD552" s="263">
        <v>551</v>
      </c>
      <c r="CE552" s="9">
        <v>23</v>
      </c>
      <c r="CF552" s="9">
        <v>23</v>
      </c>
      <c r="CG552" s="167">
        <f>'HourGH-OCT'!Y35</f>
        <v>1.5</v>
      </c>
      <c r="CH552" s="9">
        <v>551</v>
      </c>
      <c r="CI552" s="9">
        <v>23</v>
      </c>
      <c r="CJ552" s="9">
        <v>23</v>
      </c>
      <c r="CK552" s="167">
        <f>'HourGH-NOV'!Y35</f>
        <v>0.63</v>
      </c>
      <c r="CL552" s="263">
        <v>551</v>
      </c>
      <c r="CM552" s="9">
        <v>23</v>
      </c>
      <c r="CN552" s="9">
        <v>23</v>
      </c>
      <c r="CO552" s="167">
        <f>'HourGH-DEC'!Y35</f>
        <v>0.46</v>
      </c>
      <c r="CP552" s="263">
        <v>551</v>
      </c>
      <c r="CQ552" s="9">
        <v>23</v>
      </c>
      <c r="CR552" s="9">
        <v>23</v>
      </c>
      <c r="CS552" s="167">
        <f>'HourGH-JAN'!Y35</f>
        <v>0.36</v>
      </c>
      <c r="CT552" s="9">
        <v>551</v>
      </c>
      <c r="CU552" s="9">
        <v>23</v>
      </c>
      <c r="CV552" s="9">
        <v>23</v>
      </c>
      <c r="CW552" s="167">
        <f>'HourGH-FEB'!Y35</f>
        <v>0.61</v>
      </c>
      <c r="CX552" s="263">
        <v>551</v>
      </c>
      <c r="CY552" s="9">
        <v>23</v>
      </c>
      <c r="CZ552" s="9">
        <v>23</v>
      </c>
      <c r="DA552" s="167">
        <f>'HourGH-MAR'!Y35</f>
        <v>0.64</v>
      </c>
    </row>
    <row r="553" spans="58:105">
      <c r="BF553" s="9">
        <v>552</v>
      </c>
      <c r="BG553" s="9">
        <v>23</v>
      </c>
      <c r="BH553" s="9">
        <v>24</v>
      </c>
      <c r="BI553" s="167">
        <f>'HourGH-APR'!Z35</f>
        <v>0.56999999999999995</v>
      </c>
      <c r="BJ553" s="263">
        <v>552</v>
      </c>
      <c r="BK553" s="9">
        <v>23</v>
      </c>
      <c r="BL553" s="9">
        <v>24</v>
      </c>
      <c r="BM553" s="167">
        <f>'HourGH-MAY'!Z35</f>
        <v>0.2</v>
      </c>
      <c r="BN553" s="9">
        <v>552</v>
      </c>
      <c r="BO553" s="9">
        <v>23</v>
      </c>
      <c r="BP553" s="9">
        <v>24</v>
      </c>
      <c r="BQ553" s="167">
        <f>'HourGH-JUN'!Z35</f>
        <v>0.68</v>
      </c>
      <c r="BR553" s="263">
        <v>552</v>
      </c>
      <c r="BS553" s="9">
        <v>23</v>
      </c>
      <c r="BT553" s="9">
        <v>24</v>
      </c>
      <c r="BU553" s="167">
        <f>'HourGH-JUL'!Z35</f>
        <v>0.49</v>
      </c>
      <c r="BV553" s="263">
        <v>552</v>
      </c>
      <c r="BW553" s="9">
        <v>23</v>
      </c>
      <c r="BX553" s="9">
        <v>24</v>
      </c>
      <c r="BY553" s="167">
        <f>'HourGH-AUG'!Z35</f>
        <v>1.1000000000000001</v>
      </c>
      <c r="BZ553" s="9">
        <v>552</v>
      </c>
      <c r="CA553" s="9">
        <v>23</v>
      </c>
      <c r="CB553" s="9">
        <v>24</v>
      </c>
      <c r="CC553" s="167">
        <f>'HourGH-SEP'!Z35</f>
        <v>0.84</v>
      </c>
      <c r="CD553" s="263">
        <v>552</v>
      </c>
      <c r="CE553" s="9">
        <v>23</v>
      </c>
      <c r="CF553" s="9">
        <v>24</v>
      </c>
      <c r="CG553" s="167">
        <f>'HourGH-OCT'!Z35</f>
        <v>1.5</v>
      </c>
      <c r="CH553" s="9">
        <v>552</v>
      </c>
      <c r="CI553" s="9">
        <v>23</v>
      </c>
      <c r="CJ553" s="9">
        <v>24</v>
      </c>
      <c r="CK553" s="167">
        <f>'HourGH-NOV'!Z35</f>
        <v>0.63</v>
      </c>
      <c r="CL553" s="263">
        <v>552</v>
      </c>
      <c r="CM553" s="9">
        <v>23</v>
      </c>
      <c r="CN553" s="9">
        <v>24</v>
      </c>
      <c r="CO553" s="167">
        <f>'HourGH-DEC'!Z35</f>
        <v>0.46</v>
      </c>
      <c r="CP553" s="263">
        <v>552</v>
      </c>
      <c r="CQ553" s="9">
        <v>23</v>
      </c>
      <c r="CR553" s="9">
        <v>24</v>
      </c>
      <c r="CS553" s="167">
        <f>'HourGH-JAN'!Z35</f>
        <v>0.36</v>
      </c>
      <c r="CT553" s="9">
        <v>552</v>
      </c>
      <c r="CU553" s="9">
        <v>23</v>
      </c>
      <c r="CV553" s="9">
        <v>24</v>
      </c>
      <c r="CW553" s="167">
        <f>'HourGH-FEB'!Z35</f>
        <v>0.63</v>
      </c>
      <c r="CX553" s="263">
        <v>552</v>
      </c>
      <c r="CY553" s="9">
        <v>23</v>
      </c>
      <c r="CZ553" s="9">
        <v>24</v>
      </c>
      <c r="DA553" s="167">
        <f>'HourGH-MAR'!Z35</f>
        <v>0.64</v>
      </c>
    </row>
    <row r="554" spans="58:105">
      <c r="BF554" s="9">
        <v>553</v>
      </c>
      <c r="BG554" s="9">
        <v>24</v>
      </c>
      <c r="BH554" s="9">
        <v>1</v>
      </c>
      <c r="BI554" s="167">
        <f>'HourGH-APR'!C36</f>
        <v>0.56999999999999995</v>
      </c>
      <c r="BJ554" s="263">
        <v>553</v>
      </c>
      <c r="BK554" s="9">
        <v>24</v>
      </c>
      <c r="BL554" s="9">
        <v>1</v>
      </c>
      <c r="BM554" s="167">
        <f>'HourGH-MAY'!C36</f>
        <v>0.2</v>
      </c>
      <c r="BN554" s="9">
        <v>553</v>
      </c>
      <c r="BO554" s="9">
        <v>24</v>
      </c>
      <c r="BP554" s="9">
        <v>1</v>
      </c>
      <c r="BQ554" s="167">
        <f>'HourGH-JUN'!C36</f>
        <v>0.7</v>
      </c>
      <c r="BR554" s="263">
        <v>553</v>
      </c>
      <c r="BS554" s="9">
        <v>24</v>
      </c>
      <c r="BT554" s="9">
        <v>1</v>
      </c>
      <c r="BU554" s="167">
        <f>'HourGH-JUL'!C36</f>
        <v>0.5</v>
      </c>
      <c r="BV554" s="263">
        <v>553</v>
      </c>
      <c r="BW554" s="9">
        <v>24</v>
      </c>
      <c r="BX554" s="9">
        <v>1</v>
      </c>
      <c r="BY554" s="167">
        <f>'HourGH-AUG'!C36</f>
        <v>1.1000000000000001</v>
      </c>
      <c r="BZ554" s="9">
        <v>553</v>
      </c>
      <c r="CA554" s="9">
        <v>24</v>
      </c>
      <c r="CB554" s="9">
        <v>1</v>
      </c>
      <c r="CC554" s="167">
        <f>'HourGH-SEP'!C36</f>
        <v>0.83</v>
      </c>
      <c r="CD554" s="263">
        <v>553</v>
      </c>
      <c r="CE554" s="9">
        <v>24</v>
      </c>
      <c r="CF554" s="9">
        <v>1</v>
      </c>
      <c r="CG554" s="167">
        <f>'HourGH-OCT'!C36</f>
        <v>1.5</v>
      </c>
      <c r="CH554" s="9">
        <v>553</v>
      </c>
      <c r="CI554" s="9">
        <v>24</v>
      </c>
      <c r="CJ554" s="9">
        <v>1</v>
      </c>
      <c r="CK554" s="167">
        <f>'HourGH-NOV'!C36</f>
        <v>0.62</v>
      </c>
      <c r="CL554" s="263">
        <v>553</v>
      </c>
      <c r="CM554" s="9">
        <v>24</v>
      </c>
      <c r="CN554" s="9">
        <v>1</v>
      </c>
      <c r="CO554" s="167">
        <f>'HourGH-DEC'!C36</f>
        <v>0.45</v>
      </c>
      <c r="CP554" s="263">
        <v>553</v>
      </c>
      <c r="CQ554" s="9">
        <v>24</v>
      </c>
      <c r="CR554" s="9">
        <v>1</v>
      </c>
      <c r="CS554" s="167">
        <f>'HourGH-JAN'!C36</f>
        <v>0.36</v>
      </c>
      <c r="CT554" s="9">
        <v>553</v>
      </c>
      <c r="CU554" s="9">
        <v>24</v>
      </c>
      <c r="CV554" s="9">
        <v>1</v>
      </c>
      <c r="CW554" s="167">
        <f>'HourGH-FEB'!C36</f>
        <v>0.64</v>
      </c>
      <c r="CX554" s="263">
        <v>553</v>
      </c>
      <c r="CY554" s="9">
        <v>24</v>
      </c>
      <c r="CZ554" s="9">
        <v>1</v>
      </c>
      <c r="DA554" s="167">
        <f>'HourGH-MAR'!C36</f>
        <v>0.63</v>
      </c>
    </row>
    <row r="555" spans="58:105">
      <c r="BF555" s="9">
        <v>554</v>
      </c>
      <c r="BG555" s="9">
        <v>24</v>
      </c>
      <c r="BH555" s="9">
        <v>2</v>
      </c>
      <c r="BI555" s="167">
        <f>'HourGH-APR'!D36</f>
        <v>0.56999999999999995</v>
      </c>
      <c r="BJ555" s="263">
        <v>554</v>
      </c>
      <c r="BK555" s="9">
        <v>24</v>
      </c>
      <c r="BL555" s="9">
        <v>2</v>
      </c>
      <c r="BM555" s="167">
        <f>'HourGH-MAY'!D36</f>
        <v>0.21</v>
      </c>
      <c r="BN555" s="9">
        <v>554</v>
      </c>
      <c r="BO555" s="9">
        <v>24</v>
      </c>
      <c r="BP555" s="9">
        <v>2</v>
      </c>
      <c r="BQ555" s="167">
        <f>'HourGH-JUN'!D36</f>
        <v>0.71</v>
      </c>
      <c r="BR555" s="263">
        <v>554</v>
      </c>
      <c r="BS555" s="9">
        <v>24</v>
      </c>
      <c r="BT555" s="9">
        <v>2</v>
      </c>
      <c r="BU555" s="167">
        <f>'HourGH-JUL'!D36</f>
        <v>0.51</v>
      </c>
      <c r="BV555" s="263">
        <v>554</v>
      </c>
      <c r="BW555" s="9">
        <v>24</v>
      </c>
      <c r="BX555" s="9">
        <v>2</v>
      </c>
      <c r="BY555" s="167">
        <f>'HourGH-AUG'!D36</f>
        <v>1.0900000000000001</v>
      </c>
      <c r="BZ555" s="9">
        <v>554</v>
      </c>
      <c r="CA555" s="9">
        <v>24</v>
      </c>
      <c r="CB555" s="9">
        <v>2</v>
      </c>
      <c r="CC555" s="167">
        <f>'HourGH-SEP'!D36</f>
        <v>0.83</v>
      </c>
      <c r="CD555" s="263">
        <v>554</v>
      </c>
      <c r="CE555" s="9">
        <v>24</v>
      </c>
      <c r="CF555" s="9">
        <v>2</v>
      </c>
      <c r="CG555" s="167">
        <f>'HourGH-OCT'!D36</f>
        <v>1.5</v>
      </c>
      <c r="CH555" s="9">
        <v>554</v>
      </c>
      <c r="CI555" s="9">
        <v>24</v>
      </c>
      <c r="CJ555" s="9">
        <v>2</v>
      </c>
      <c r="CK555" s="167">
        <f>'HourGH-NOV'!D36</f>
        <v>0.62</v>
      </c>
      <c r="CL555" s="263">
        <v>554</v>
      </c>
      <c r="CM555" s="9">
        <v>24</v>
      </c>
      <c r="CN555" s="9">
        <v>2</v>
      </c>
      <c r="CO555" s="167">
        <f>'HourGH-DEC'!D36</f>
        <v>0.45</v>
      </c>
      <c r="CP555" s="263">
        <v>554</v>
      </c>
      <c r="CQ555" s="9">
        <v>24</v>
      </c>
      <c r="CR555" s="9">
        <v>2</v>
      </c>
      <c r="CS555" s="167">
        <f>'HourGH-JAN'!D36</f>
        <v>0.36</v>
      </c>
      <c r="CT555" s="9">
        <v>554</v>
      </c>
      <c r="CU555" s="9">
        <v>24</v>
      </c>
      <c r="CV555" s="9">
        <v>2</v>
      </c>
      <c r="CW555" s="167">
        <f>'HourGH-FEB'!D36</f>
        <v>0.65</v>
      </c>
      <c r="CX555" s="263">
        <v>554</v>
      </c>
      <c r="CY555" s="9">
        <v>24</v>
      </c>
      <c r="CZ555" s="9">
        <v>2</v>
      </c>
      <c r="DA555" s="167">
        <f>'HourGH-MAR'!D36</f>
        <v>0.63</v>
      </c>
    </row>
    <row r="556" spans="58:105">
      <c r="BF556" s="9">
        <v>555</v>
      </c>
      <c r="BG556" s="9">
        <v>24</v>
      </c>
      <c r="BH556" s="9">
        <v>3</v>
      </c>
      <c r="BI556" s="167">
        <f>'HourGH-APR'!E36</f>
        <v>0.56999999999999995</v>
      </c>
      <c r="BJ556" s="263">
        <v>555</v>
      </c>
      <c r="BK556" s="9">
        <v>24</v>
      </c>
      <c r="BL556" s="9">
        <v>3</v>
      </c>
      <c r="BM556" s="167">
        <f>'HourGH-MAY'!E36</f>
        <v>0.21</v>
      </c>
      <c r="BN556" s="9">
        <v>555</v>
      </c>
      <c r="BO556" s="9">
        <v>24</v>
      </c>
      <c r="BP556" s="9">
        <v>3</v>
      </c>
      <c r="BQ556" s="167">
        <f>'HourGH-JUN'!E36</f>
        <v>0.72</v>
      </c>
      <c r="BR556" s="263">
        <v>555</v>
      </c>
      <c r="BS556" s="9">
        <v>24</v>
      </c>
      <c r="BT556" s="9">
        <v>3</v>
      </c>
      <c r="BU556" s="167">
        <f>'HourGH-JUL'!E36</f>
        <v>0.53</v>
      </c>
      <c r="BV556" s="263">
        <v>555</v>
      </c>
      <c r="BW556" s="9">
        <v>24</v>
      </c>
      <c r="BX556" s="9">
        <v>3</v>
      </c>
      <c r="BY556" s="167">
        <f>'HourGH-AUG'!E36</f>
        <v>1.08</v>
      </c>
      <c r="BZ556" s="9">
        <v>555</v>
      </c>
      <c r="CA556" s="9">
        <v>24</v>
      </c>
      <c r="CB556" s="9">
        <v>3</v>
      </c>
      <c r="CC556" s="167">
        <f>'HourGH-SEP'!E36</f>
        <v>0.83</v>
      </c>
      <c r="CD556" s="263">
        <v>555</v>
      </c>
      <c r="CE556" s="9">
        <v>24</v>
      </c>
      <c r="CF556" s="9">
        <v>3</v>
      </c>
      <c r="CG556" s="167">
        <f>'HourGH-OCT'!E36</f>
        <v>1.51</v>
      </c>
      <c r="CH556" s="9">
        <v>555</v>
      </c>
      <c r="CI556" s="9">
        <v>24</v>
      </c>
      <c r="CJ556" s="9">
        <v>3</v>
      </c>
      <c r="CK556" s="167">
        <f>'HourGH-NOV'!E36</f>
        <v>0.62</v>
      </c>
      <c r="CL556" s="263">
        <v>555</v>
      </c>
      <c r="CM556" s="9">
        <v>24</v>
      </c>
      <c r="CN556" s="9">
        <v>3</v>
      </c>
      <c r="CO556" s="167">
        <f>'HourGH-DEC'!E36</f>
        <v>0.45</v>
      </c>
      <c r="CP556" s="263">
        <v>555</v>
      </c>
      <c r="CQ556" s="9">
        <v>24</v>
      </c>
      <c r="CR556" s="9">
        <v>3</v>
      </c>
      <c r="CS556" s="167">
        <f>'HourGH-JAN'!E36</f>
        <v>0.36</v>
      </c>
      <c r="CT556" s="9">
        <v>555</v>
      </c>
      <c r="CU556" s="9">
        <v>24</v>
      </c>
      <c r="CV556" s="9">
        <v>3</v>
      </c>
      <c r="CW556" s="167">
        <f>'HourGH-FEB'!E36</f>
        <v>0.66</v>
      </c>
      <c r="CX556" s="263">
        <v>555</v>
      </c>
      <c r="CY556" s="9">
        <v>24</v>
      </c>
      <c r="CZ556" s="9">
        <v>3</v>
      </c>
      <c r="DA556" s="167">
        <f>'HourGH-MAR'!E36</f>
        <v>0.63</v>
      </c>
    </row>
    <row r="557" spans="58:105">
      <c r="BF557" s="9">
        <v>556</v>
      </c>
      <c r="BG557" s="9">
        <v>24</v>
      </c>
      <c r="BH557" s="9">
        <v>4</v>
      </c>
      <c r="BI557" s="167">
        <f>'HourGH-APR'!F36</f>
        <v>0.56999999999999995</v>
      </c>
      <c r="BJ557" s="263">
        <v>556</v>
      </c>
      <c r="BK557" s="9">
        <v>24</v>
      </c>
      <c r="BL557" s="9">
        <v>4</v>
      </c>
      <c r="BM557" s="167">
        <f>'HourGH-MAY'!F36</f>
        <v>0.21</v>
      </c>
      <c r="BN557" s="9">
        <v>556</v>
      </c>
      <c r="BO557" s="9">
        <v>24</v>
      </c>
      <c r="BP557" s="9">
        <v>4</v>
      </c>
      <c r="BQ557" s="167">
        <f>'HourGH-JUN'!F36</f>
        <v>0.72</v>
      </c>
      <c r="BR557" s="263">
        <v>556</v>
      </c>
      <c r="BS557" s="9">
        <v>24</v>
      </c>
      <c r="BT557" s="9">
        <v>4</v>
      </c>
      <c r="BU557" s="167">
        <f>'HourGH-JUL'!F36</f>
        <v>0.55000000000000004</v>
      </c>
      <c r="BV557" s="263">
        <v>556</v>
      </c>
      <c r="BW557" s="9">
        <v>24</v>
      </c>
      <c r="BX557" s="9">
        <v>4</v>
      </c>
      <c r="BY557" s="167">
        <f>'HourGH-AUG'!F36</f>
        <v>1.07</v>
      </c>
      <c r="BZ557" s="9">
        <v>556</v>
      </c>
      <c r="CA557" s="9">
        <v>24</v>
      </c>
      <c r="CB557" s="9">
        <v>4</v>
      </c>
      <c r="CC557" s="167">
        <f>'HourGH-SEP'!F36</f>
        <v>0.83</v>
      </c>
      <c r="CD557" s="263">
        <v>556</v>
      </c>
      <c r="CE557" s="9">
        <v>24</v>
      </c>
      <c r="CF557" s="9">
        <v>4</v>
      </c>
      <c r="CG557" s="167">
        <f>'HourGH-OCT'!F36</f>
        <v>1.52</v>
      </c>
      <c r="CH557" s="9">
        <v>556</v>
      </c>
      <c r="CI557" s="9">
        <v>24</v>
      </c>
      <c r="CJ557" s="9">
        <v>4</v>
      </c>
      <c r="CK557" s="167">
        <f>'HourGH-NOV'!F36</f>
        <v>0.62</v>
      </c>
      <c r="CL557" s="263">
        <v>556</v>
      </c>
      <c r="CM557" s="9">
        <v>24</v>
      </c>
      <c r="CN557" s="9">
        <v>4</v>
      </c>
      <c r="CO557" s="167">
        <f>'HourGH-DEC'!F36</f>
        <v>0.45</v>
      </c>
      <c r="CP557" s="263">
        <v>556</v>
      </c>
      <c r="CQ557" s="9">
        <v>24</v>
      </c>
      <c r="CR557" s="9">
        <v>4</v>
      </c>
      <c r="CS557" s="167">
        <f>'HourGH-JAN'!F36</f>
        <v>0.36</v>
      </c>
      <c r="CT557" s="9">
        <v>556</v>
      </c>
      <c r="CU557" s="9">
        <v>24</v>
      </c>
      <c r="CV557" s="9">
        <v>4</v>
      </c>
      <c r="CW557" s="167">
        <f>'HourGH-FEB'!F36</f>
        <v>0.67</v>
      </c>
      <c r="CX557" s="263">
        <v>556</v>
      </c>
      <c r="CY557" s="9">
        <v>24</v>
      </c>
      <c r="CZ557" s="9">
        <v>4</v>
      </c>
      <c r="DA557" s="167">
        <f>'HourGH-MAR'!F36</f>
        <v>0.63</v>
      </c>
    </row>
    <row r="558" spans="58:105">
      <c r="BF558" s="9">
        <v>557</v>
      </c>
      <c r="BG558" s="9">
        <v>24</v>
      </c>
      <c r="BH558" s="9">
        <v>5</v>
      </c>
      <c r="BI558" s="167">
        <f>'HourGH-APR'!G36</f>
        <v>0.56999999999999995</v>
      </c>
      <c r="BJ558" s="263">
        <v>557</v>
      </c>
      <c r="BK558" s="9">
        <v>24</v>
      </c>
      <c r="BL558" s="9">
        <v>5</v>
      </c>
      <c r="BM558" s="167">
        <f>'HourGH-MAY'!G36</f>
        <v>0.21</v>
      </c>
      <c r="BN558" s="9">
        <v>557</v>
      </c>
      <c r="BO558" s="9">
        <v>24</v>
      </c>
      <c r="BP558" s="9">
        <v>5</v>
      </c>
      <c r="BQ558" s="167">
        <f>'HourGH-JUN'!G36</f>
        <v>0.72</v>
      </c>
      <c r="BR558" s="263">
        <v>557</v>
      </c>
      <c r="BS558" s="9">
        <v>24</v>
      </c>
      <c r="BT558" s="9">
        <v>5</v>
      </c>
      <c r="BU558" s="167">
        <f>'HourGH-JUL'!G36</f>
        <v>0.56999999999999995</v>
      </c>
      <c r="BV558" s="263">
        <v>557</v>
      </c>
      <c r="BW558" s="9">
        <v>24</v>
      </c>
      <c r="BX558" s="9">
        <v>5</v>
      </c>
      <c r="BY558" s="167">
        <f>'HourGH-AUG'!G36</f>
        <v>1.05</v>
      </c>
      <c r="BZ558" s="9">
        <v>557</v>
      </c>
      <c r="CA558" s="9">
        <v>24</v>
      </c>
      <c r="CB558" s="9">
        <v>5</v>
      </c>
      <c r="CC558" s="167">
        <f>'HourGH-SEP'!G36</f>
        <v>0.83</v>
      </c>
      <c r="CD558" s="263">
        <v>557</v>
      </c>
      <c r="CE558" s="9">
        <v>24</v>
      </c>
      <c r="CF558" s="9">
        <v>5</v>
      </c>
      <c r="CG558" s="167">
        <f>'HourGH-OCT'!G36</f>
        <v>1.53</v>
      </c>
      <c r="CH558" s="9">
        <v>557</v>
      </c>
      <c r="CI558" s="9">
        <v>24</v>
      </c>
      <c r="CJ558" s="9">
        <v>5</v>
      </c>
      <c r="CK558" s="167">
        <f>'HourGH-NOV'!G36</f>
        <v>0.62</v>
      </c>
      <c r="CL558" s="263">
        <v>557</v>
      </c>
      <c r="CM558" s="9">
        <v>24</v>
      </c>
      <c r="CN558" s="9">
        <v>5</v>
      </c>
      <c r="CO558" s="167">
        <f>'HourGH-DEC'!G36</f>
        <v>0.45</v>
      </c>
      <c r="CP558" s="263">
        <v>557</v>
      </c>
      <c r="CQ558" s="9">
        <v>24</v>
      </c>
      <c r="CR558" s="9">
        <v>5</v>
      </c>
      <c r="CS558" s="167">
        <f>'HourGH-JAN'!G36</f>
        <v>0.36</v>
      </c>
      <c r="CT558" s="9">
        <v>557</v>
      </c>
      <c r="CU558" s="9">
        <v>24</v>
      </c>
      <c r="CV558" s="9">
        <v>5</v>
      </c>
      <c r="CW558" s="167">
        <f>'HourGH-FEB'!G36</f>
        <v>0.67</v>
      </c>
      <c r="CX558" s="263">
        <v>557</v>
      </c>
      <c r="CY558" s="9">
        <v>24</v>
      </c>
      <c r="CZ558" s="9">
        <v>5</v>
      </c>
      <c r="DA558" s="167">
        <f>'HourGH-MAR'!G36</f>
        <v>0.63</v>
      </c>
    </row>
    <row r="559" spans="58:105">
      <c r="BF559" s="9">
        <v>558</v>
      </c>
      <c r="BG559" s="9">
        <v>24</v>
      </c>
      <c r="BH559" s="9">
        <v>6</v>
      </c>
      <c r="BI559" s="167">
        <f>'HourGH-APR'!H36</f>
        <v>0.56999999999999995</v>
      </c>
      <c r="BJ559" s="263">
        <v>558</v>
      </c>
      <c r="BK559" s="9">
        <v>24</v>
      </c>
      <c r="BL559" s="9">
        <v>6</v>
      </c>
      <c r="BM559" s="167">
        <f>'HourGH-MAY'!H36</f>
        <v>0.22</v>
      </c>
      <c r="BN559" s="9">
        <v>558</v>
      </c>
      <c r="BO559" s="9">
        <v>24</v>
      </c>
      <c r="BP559" s="9">
        <v>6</v>
      </c>
      <c r="BQ559" s="167">
        <f>'HourGH-JUN'!H36</f>
        <v>0.72</v>
      </c>
      <c r="BR559" s="263">
        <v>558</v>
      </c>
      <c r="BS559" s="9">
        <v>24</v>
      </c>
      <c r="BT559" s="9">
        <v>6</v>
      </c>
      <c r="BU559" s="167">
        <f>'HourGH-JUL'!H36</f>
        <v>0.57999999999999996</v>
      </c>
      <c r="BV559" s="263">
        <v>558</v>
      </c>
      <c r="BW559" s="9">
        <v>24</v>
      </c>
      <c r="BX559" s="9">
        <v>6</v>
      </c>
      <c r="BY559" s="167">
        <f>'HourGH-AUG'!H36</f>
        <v>1.04</v>
      </c>
      <c r="BZ559" s="9">
        <v>558</v>
      </c>
      <c r="CA559" s="9">
        <v>24</v>
      </c>
      <c r="CB559" s="9">
        <v>6</v>
      </c>
      <c r="CC559" s="167">
        <f>'HourGH-SEP'!H36</f>
        <v>0.82</v>
      </c>
      <c r="CD559" s="263">
        <v>558</v>
      </c>
      <c r="CE559" s="9">
        <v>24</v>
      </c>
      <c r="CF559" s="9">
        <v>6</v>
      </c>
      <c r="CG559" s="167">
        <f>'HourGH-OCT'!H36</f>
        <v>1.54</v>
      </c>
      <c r="CH559" s="9">
        <v>558</v>
      </c>
      <c r="CI559" s="9">
        <v>24</v>
      </c>
      <c r="CJ559" s="9">
        <v>6</v>
      </c>
      <c r="CK559" s="167">
        <f>'HourGH-NOV'!H36</f>
        <v>0.62</v>
      </c>
      <c r="CL559" s="263">
        <v>558</v>
      </c>
      <c r="CM559" s="9">
        <v>24</v>
      </c>
      <c r="CN559" s="9">
        <v>6</v>
      </c>
      <c r="CO559" s="167">
        <f>'HourGH-DEC'!H36</f>
        <v>0.45</v>
      </c>
      <c r="CP559" s="263">
        <v>558</v>
      </c>
      <c r="CQ559" s="9">
        <v>24</v>
      </c>
      <c r="CR559" s="9">
        <v>6</v>
      </c>
      <c r="CS559" s="167">
        <f>'HourGH-JAN'!H36</f>
        <v>0.36</v>
      </c>
      <c r="CT559" s="9">
        <v>558</v>
      </c>
      <c r="CU559" s="9">
        <v>24</v>
      </c>
      <c r="CV559" s="9">
        <v>6</v>
      </c>
      <c r="CW559" s="167">
        <f>'HourGH-FEB'!H36</f>
        <v>0.68</v>
      </c>
      <c r="CX559" s="263">
        <v>558</v>
      </c>
      <c r="CY559" s="9">
        <v>24</v>
      </c>
      <c r="CZ559" s="9">
        <v>6</v>
      </c>
      <c r="DA559" s="167">
        <f>'HourGH-MAR'!H36</f>
        <v>0.63</v>
      </c>
    </row>
    <row r="560" spans="58:105">
      <c r="BF560" s="9">
        <v>559</v>
      </c>
      <c r="BG560" s="9">
        <v>24</v>
      </c>
      <c r="BH560" s="9">
        <v>7</v>
      </c>
      <c r="BI560" s="167">
        <f>'HourGH-APR'!I36</f>
        <v>0.56999999999999995</v>
      </c>
      <c r="BJ560" s="263">
        <v>559</v>
      </c>
      <c r="BK560" s="9">
        <v>24</v>
      </c>
      <c r="BL560" s="9">
        <v>7</v>
      </c>
      <c r="BM560" s="167">
        <f>'HourGH-MAY'!I36</f>
        <v>0.22</v>
      </c>
      <c r="BN560" s="9">
        <v>559</v>
      </c>
      <c r="BO560" s="9">
        <v>24</v>
      </c>
      <c r="BP560" s="9">
        <v>7</v>
      </c>
      <c r="BQ560" s="167">
        <f>'HourGH-JUN'!I36</f>
        <v>0.71</v>
      </c>
      <c r="BR560" s="263">
        <v>559</v>
      </c>
      <c r="BS560" s="9">
        <v>24</v>
      </c>
      <c r="BT560" s="9">
        <v>7</v>
      </c>
      <c r="BU560" s="167">
        <f>'HourGH-JUL'!I36</f>
        <v>0.6</v>
      </c>
      <c r="BV560" s="263">
        <v>559</v>
      </c>
      <c r="BW560" s="9">
        <v>24</v>
      </c>
      <c r="BX560" s="9">
        <v>7</v>
      </c>
      <c r="BY560" s="167">
        <f>'HourGH-AUG'!I36</f>
        <v>1.03</v>
      </c>
      <c r="BZ560" s="9">
        <v>559</v>
      </c>
      <c r="CA560" s="9">
        <v>24</v>
      </c>
      <c r="CB560" s="9">
        <v>7</v>
      </c>
      <c r="CC560" s="167">
        <f>'HourGH-SEP'!I36</f>
        <v>0.82</v>
      </c>
      <c r="CD560" s="263">
        <v>559</v>
      </c>
      <c r="CE560" s="9">
        <v>24</v>
      </c>
      <c r="CF560" s="9">
        <v>7</v>
      </c>
      <c r="CG560" s="167">
        <f>'HourGH-OCT'!I36</f>
        <v>1.56</v>
      </c>
      <c r="CH560" s="9">
        <v>559</v>
      </c>
      <c r="CI560" s="9">
        <v>24</v>
      </c>
      <c r="CJ560" s="9">
        <v>7</v>
      </c>
      <c r="CK560" s="167">
        <f>'HourGH-NOV'!I36</f>
        <v>0.62</v>
      </c>
      <c r="CL560" s="263">
        <v>559</v>
      </c>
      <c r="CM560" s="9">
        <v>24</v>
      </c>
      <c r="CN560" s="9">
        <v>7</v>
      </c>
      <c r="CO560" s="167">
        <f>'HourGH-DEC'!I36</f>
        <v>0.45</v>
      </c>
      <c r="CP560" s="263">
        <v>559</v>
      </c>
      <c r="CQ560" s="9">
        <v>24</v>
      </c>
      <c r="CR560" s="9">
        <v>7</v>
      </c>
      <c r="CS560" s="167">
        <f>'HourGH-JAN'!I36</f>
        <v>0.36</v>
      </c>
      <c r="CT560" s="9">
        <v>559</v>
      </c>
      <c r="CU560" s="9">
        <v>24</v>
      </c>
      <c r="CV560" s="9">
        <v>7</v>
      </c>
      <c r="CW560" s="167">
        <f>'HourGH-FEB'!I36</f>
        <v>0.68</v>
      </c>
      <c r="CX560" s="263">
        <v>559</v>
      </c>
      <c r="CY560" s="9">
        <v>24</v>
      </c>
      <c r="CZ560" s="9">
        <v>7</v>
      </c>
      <c r="DA560" s="167">
        <f>'HourGH-MAR'!I36</f>
        <v>0.61</v>
      </c>
    </row>
    <row r="561" spans="58:105">
      <c r="BF561" s="9">
        <v>560</v>
      </c>
      <c r="BG561" s="9">
        <v>24</v>
      </c>
      <c r="BH561" s="9">
        <v>8</v>
      </c>
      <c r="BI561" s="167">
        <f>'HourGH-APR'!J36</f>
        <v>0.56999999999999995</v>
      </c>
      <c r="BJ561" s="263">
        <v>560</v>
      </c>
      <c r="BK561" s="9">
        <v>24</v>
      </c>
      <c r="BL561" s="9">
        <v>8</v>
      </c>
      <c r="BM561" s="167">
        <f>'HourGH-MAY'!J36</f>
        <v>0.22</v>
      </c>
      <c r="BN561" s="9">
        <v>560</v>
      </c>
      <c r="BO561" s="9">
        <v>24</v>
      </c>
      <c r="BP561" s="9">
        <v>8</v>
      </c>
      <c r="BQ561" s="167">
        <f>'HourGH-JUN'!J36</f>
        <v>0.7</v>
      </c>
      <c r="BR561" s="263">
        <v>560</v>
      </c>
      <c r="BS561" s="9">
        <v>24</v>
      </c>
      <c r="BT561" s="9">
        <v>8</v>
      </c>
      <c r="BU561" s="167">
        <f>'HourGH-JUL'!J36</f>
        <v>0.61</v>
      </c>
      <c r="BV561" s="263">
        <v>560</v>
      </c>
      <c r="BW561" s="9">
        <v>24</v>
      </c>
      <c r="BX561" s="9">
        <v>8</v>
      </c>
      <c r="BY561" s="167">
        <f>'HourGH-AUG'!J36</f>
        <v>1.01</v>
      </c>
      <c r="BZ561" s="9">
        <v>560</v>
      </c>
      <c r="CA561" s="9">
        <v>24</v>
      </c>
      <c r="CB561" s="9">
        <v>8</v>
      </c>
      <c r="CC561" s="167">
        <f>'HourGH-SEP'!J36</f>
        <v>0.82</v>
      </c>
      <c r="CD561" s="263">
        <v>560</v>
      </c>
      <c r="CE561" s="9">
        <v>24</v>
      </c>
      <c r="CF561" s="9">
        <v>8</v>
      </c>
      <c r="CG561" s="167">
        <f>'HourGH-OCT'!J36</f>
        <v>1.58</v>
      </c>
      <c r="CH561" s="9">
        <v>560</v>
      </c>
      <c r="CI561" s="9">
        <v>24</v>
      </c>
      <c r="CJ561" s="9">
        <v>8</v>
      </c>
      <c r="CK561" s="167">
        <f>'HourGH-NOV'!J36</f>
        <v>0.62</v>
      </c>
      <c r="CL561" s="263">
        <v>560</v>
      </c>
      <c r="CM561" s="9">
        <v>24</v>
      </c>
      <c r="CN561" s="9">
        <v>8</v>
      </c>
      <c r="CO561" s="167">
        <f>'HourGH-DEC'!J36</f>
        <v>0.45</v>
      </c>
      <c r="CP561" s="263">
        <v>560</v>
      </c>
      <c r="CQ561" s="9">
        <v>24</v>
      </c>
      <c r="CR561" s="9">
        <v>8</v>
      </c>
      <c r="CS561" s="167">
        <f>'HourGH-JAN'!J36</f>
        <v>0.37</v>
      </c>
      <c r="CT561" s="9">
        <v>560</v>
      </c>
      <c r="CU561" s="9">
        <v>24</v>
      </c>
      <c r="CV561" s="9">
        <v>8</v>
      </c>
      <c r="CW561" s="167">
        <f>'HourGH-FEB'!J36</f>
        <v>0.68</v>
      </c>
      <c r="CX561" s="263">
        <v>560</v>
      </c>
      <c r="CY561" s="9">
        <v>24</v>
      </c>
      <c r="CZ561" s="9">
        <v>8</v>
      </c>
      <c r="DA561" s="167">
        <f>'HourGH-MAR'!J36</f>
        <v>0.59</v>
      </c>
    </row>
    <row r="562" spans="58:105">
      <c r="BF562" s="9">
        <v>561</v>
      </c>
      <c r="BG562" s="9">
        <v>24</v>
      </c>
      <c r="BH562" s="9">
        <v>9</v>
      </c>
      <c r="BI562" s="167">
        <f>'HourGH-APR'!K36</f>
        <v>0.56999999999999995</v>
      </c>
      <c r="BJ562" s="263">
        <v>561</v>
      </c>
      <c r="BK562" s="9">
        <v>24</v>
      </c>
      <c r="BL562" s="9">
        <v>9</v>
      </c>
      <c r="BM562" s="167">
        <f>'HourGH-MAY'!K36</f>
        <v>0.22</v>
      </c>
      <c r="BN562" s="9">
        <v>561</v>
      </c>
      <c r="BO562" s="9">
        <v>24</v>
      </c>
      <c r="BP562" s="9">
        <v>9</v>
      </c>
      <c r="BQ562" s="167">
        <f>'HourGH-JUN'!K36</f>
        <v>0.69</v>
      </c>
      <c r="BR562" s="263">
        <v>561</v>
      </c>
      <c r="BS562" s="9">
        <v>24</v>
      </c>
      <c r="BT562" s="9">
        <v>9</v>
      </c>
      <c r="BU562" s="167">
        <f>'HourGH-JUL'!K36</f>
        <v>0.62</v>
      </c>
      <c r="BV562" s="263">
        <v>561</v>
      </c>
      <c r="BW562" s="9">
        <v>24</v>
      </c>
      <c r="BX562" s="9">
        <v>9</v>
      </c>
      <c r="BY562" s="167">
        <f>'HourGH-AUG'!K36</f>
        <v>0.99</v>
      </c>
      <c r="BZ562" s="9">
        <v>561</v>
      </c>
      <c r="CA562" s="9">
        <v>24</v>
      </c>
      <c r="CB562" s="9">
        <v>9</v>
      </c>
      <c r="CC562" s="167">
        <f>'HourGH-SEP'!K36</f>
        <v>0.82</v>
      </c>
      <c r="CD562" s="263">
        <v>561</v>
      </c>
      <c r="CE562" s="9">
        <v>24</v>
      </c>
      <c r="CF562" s="9">
        <v>9</v>
      </c>
      <c r="CG562" s="167">
        <f>'HourGH-OCT'!K36</f>
        <v>1.59</v>
      </c>
      <c r="CH562" s="9">
        <v>561</v>
      </c>
      <c r="CI562" s="9">
        <v>24</v>
      </c>
      <c r="CJ562" s="9">
        <v>9</v>
      </c>
      <c r="CK562" s="167">
        <f>'HourGH-NOV'!K36</f>
        <v>0.62</v>
      </c>
      <c r="CL562" s="263">
        <v>561</v>
      </c>
      <c r="CM562" s="9">
        <v>24</v>
      </c>
      <c r="CN562" s="9">
        <v>9</v>
      </c>
      <c r="CO562" s="167">
        <f>'HourGH-DEC'!K36</f>
        <v>0.45</v>
      </c>
      <c r="CP562" s="263">
        <v>561</v>
      </c>
      <c r="CQ562" s="9">
        <v>24</v>
      </c>
      <c r="CR562" s="9">
        <v>9</v>
      </c>
      <c r="CS562" s="167">
        <f>'HourGH-JAN'!K36</f>
        <v>0.37</v>
      </c>
      <c r="CT562" s="9">
        <v>561</v>
      </c>
      <c r="CU562" s="9">
        <v>24</v>
      </c>
      <c r="CV562" s="9">
        <v>9</v>
      </c>
      <c r="CW562" s="167">
        <f>'HourGH-FEB'!K36</f>
        <v>0.67</v>
      </c>
      <c r="CX562" s="263">
        <v>561</v>
      </c>
      <c r="CY562" s="9">
        <v>24</v>
      </c>
      <c r="CZ562" s="9">
        <v>9</v>
      </c>
      <c r="DA562" s="167">
        <f>'HourGH-MAR'!K36</f>
        <v>0.57999999999999996</v>
      </c>
    </row>
    <row r="563" spans="58:105">
      <c r="BF563" s="9">
        <v>562</v>
      </c>
      <c r="BG563" s="9">
        <v>24</v>
      </c>
      <c r="BH563" s="9">
        <v>10</v>
      </c>
      <c r="BI563" s="167">
        <f>'HourGH-APR'!L36</f>
        <v>0.56999999999999995</v>
      </c>
      <c r="BJ563" s="263">
        <v>562</v>
      </c>
      <c r="BK563" s="9">
        <v>24</v>
      </c>
      <c r="BL563" s="9">
        <v>10</v>
      </c>
      <c r="BM563" s="167">
        <f>'HourGH-MAY'!L36</f>
        <v>0.22</v>
      </c>
      <c r="BN563" s="9">
        <v>562</v>
      </c>
      <c r="BO563" s="9">
        <v>24</v>
      </c>
      <c r="BP563" s="9">
        <v>10</v>
      </c>
      <c r="BQ563" s="167">
        <f>'HourGH-JUN'!L36</f>
        <v>0.68</v>
      </c>
      <c r="BR563" s="263">
        <v>562</v>
      </c>
      <c r="BS563" s="9">
        <v>24</v>
      </c>
      <c r="BT563" s="9">
        <v>10</v>
      </c>
      <c r="BU563" s="167">
        <f>'HourGH-JUL'!L36</f>
        <v>0.63</v>
      </c>
      <c r="BV563" s="263">
        <v>562</v>
      </c>
      <c r="BW563" s="9">
        <v>24</v>
      </c>
      <c r="BX563" s="9">
        <v>10</v>
      </c>
      <c r="BY563" s="167">
        <f>'HourGH-AUG'!L36</f>
        <v>0.98</v>
      </c>
      <c r="BZ563" s="9">
        <v>562</v>
      </c>
      <c r="CA563" s="9">
        <v>24</v>
      </c>
      <c r="CB563" s="9">
        <v>10</v>
      </c>
      <c r="CC563" s="167">
        <f>'HourGH-SEP'!L36</f>
        <v>0.82</v>
      </c>
      <c r="CD563" s="263">
        <v>562</v>
      </c>
      <c r="CE563" s="9">
        <v>24</v>
      </c>
      <c r="CF563" s="9">
        <v>10</v>
      </c>
      <c r="CG563" s="167">
        <f>'HourGH-OCT'!L36</f>
        <v>1.6</v>
      </c>
      <c r="CH563" s="9">
        <v>562</v>
      </c>
      <c r="CI563" s="9">
        <v>24</v>
      </c>
      <c r="CJ563" s="9">
        <v>10</v>
      </c>
      <c r="CK563" s="167">
        <f>'HourGH-NOV'!L36</f>
        <v>0.62</v>
      </c>
      <c r="CL563" s="263">
        <v>562</v>
      </c>
      <c r="CM563" s="9">
        <v>24</v>
      </c>
      <c r="CN563" s="9">
        <v>10</v>
      </c>
      <c r="CO563" s="167">
        <f>'HourGH-DEC'!L36</f>
        <v>0.45</v>
      </c>
      <c r="CP563" s="263">
        <v>562</v>
      </c>
      <c r="CQ563" s="9">
        <v>24</v>
      </c>
      <c r="CR563" s="9">
        <v>10</v>
      </c>
      <c r="CS563" s="167">
        <f>'HourGH-JAN'!L36</f>
        <v>0.37</v>
      </c>
      <c r="CT563" s="9">
        <v>562</v>
      </c>
      <c r="CU563" s="9">
        <v>24</v>
      </c>
      <c r="CV563" s="9">
        <v>10</v>
      </c>
      <c r="CW563" s="167">
        <f>'HourGH-FEB'!L36</f>
        <v>0.65</v>
      </c>
      <c r="CX563" s="263">
        <v>562</v>
      </c>
      <c r="CY563" s="9">
        <v>24</v>
      </c>
      <c r="CZ563" s="9">
        <v>10</v>
      </c>
      <c r="DA563" s="167">
        <f>'HourGH-MAR'!L36</f>
        <v>0.56999999999999995</v>
      </c>
    </row>
    <row r="564" spans="58:105">
      <c r="BF564" s="9">
        <v>563</v>
      </c>
      <c r="BG564" s="9">
        <v>24</v>
      </c>
      <c r="BH564" s="9">
        <v>11</v>
      </c>
      <c r="BI564" s="167">
        <f>'HourGH-APR'!M36</f>
        <v>0.56999999999999995</v>
      </c>
      <c r="BJ564" s="263">
        <v>563</v>
      </c>
      <c r="BK564" s="9">
        <v>24</v>
      </c>
      <c r="BL564" s="9">
        <v>11</v>
      </c>
      <c r="BM564" s="167">
        <f>'HourGH-MAY'!M36</f>
        <v>0.22</v>
      </c>
      <c r="BN564" s="9">
        <v>563</v>
      </c>
      <c r="BO564" s="9">
        <v>24</v>
      </c>
      <c r="BP564" s="9">
        <v>11</v>
      </c>
      <c r="BQ564" s="167">
        <f>'HourGH-JUN'!M36</f>
        <v>0.66</v>
      </c>
      <c r="BR564" s="263">
        <v>563</v>
      </c>
      <c r="BS564" s="9">
        <v>24</v>
      </c>
      <c r="BT564" s="9">
        <v>11</v>
      </c>
      <c r="BU564" s="167">
        <f>'HourGH-JUL'!M36</f>
        <v>0.64</v>
      </c>
      <c r="BV564" s="263">
        <v>563</v>
      </c>
      <c r="BW564" s="9">
        <v>24</v>
      </c>
      <c r="BX564" s="9">
        <v>11</v>
      </c>
      <c r="BY564" s="167">
        <f>'HourGH-AUG'!M36</f>
        <v>0.97</v>
      </c>
      <c r="BZ564" s="9">
        <v>563</v>
      </c>
      <c r="CA564" s="9">
        <v>24</v>
      </c>
      <c r="CB564" s="9">
        <v>11</v>
      </c>
      <c r="CC564" s="167">
        <f>'HourGH-SEP'!M36</f>
        <v>0.82</v>
      </c>
      <c r="CD564" s="263">
        <v>563</v>
      </c>
      <c r="CE564" s="9">
        <v>24</v>
      </c>
      <c r="CF564" s="9">
        <v>11</v>
      </c>
      <c r="CG564" s="167">
        <f>'HourGH-OCT'!M36</f>
        <v>1.61</v>
      </c>
      <c r="CH564" s="9">
        <v>563</v>
      </c>
      <c r="CI564" s="9">
        <v>24</v>
      </c>
      <c r="CJ564" s="9">
        <v>11</v>
      </c>
      <c r="CK564" s="167">
        <f>'HourGH-NOV'!M36</f>
        <v>0.62</v>
      </c>
      <c r="CL564" s="263">
        <v>563</v>
      </c>
      <c r="CM564" s="9">
        <v>24</v>
      </c>
      <c r="CN564" s="9">
        <v>11</v>
      </c>
      <c r="CO564" s="167">
        <f>'HourGH-DEC'!M36</f>
        <v>0.45</v>
      </c>
      <c r="CP564" s="263">
        <v>563</v>
      </c>
      <c r="CQ564" s="9">
        <v>24</v>
      </c>
      <c r="CR564" s="9">
        <v>11</v>
      </c>
      <c r="CS564" s="167">
        <f>'HourGH-JAN'!M36</f>
        <v>0.37</v>
      </c>
      <c r="CT564" s="9">
        <v>563</v>
      </c>
      <c r="CU564" s="9">
        <v>24</v>
      </c>
      <c r="CV564" s="9">
        <v>11</v>
      </c>
      <c r="CW564" s="167">
        <f>'HourGH-FEB'!M36</f>
        <v>0.63</v>
      </c>
      <c r="CX564" s="263">
        <v>563</v>
      </c>
      <c r="CY564" s="9">
        <v>24</v>
      </c>
      <c r="CZ564" s="9">
        <v>11</v>
      </c>
      <c r="DA564" s="167">
        <f>'HourGH-MAR'!M36</f>
        <v>0.56000000000000005</v>
      </c>
    </row>
    <row r="565" spans="58:105">
      <c r="BF565" s="9">
        <v>564</v>
      </c>
      <c r="BG565" s="9">
        <v>24</v>
      </c>
      <c r="BH565" s="9">
        <v>12</v>
      </c>
      <c r="BI565" s="167">
        <f>'HourGH-APR'!N36</f>
        <v>0.56999999999999995</v>
      </c>
      <c r="BJ565" s="263">
        <v>564</v>
      </c>
      <c r="BK565" s="9">
        <v>24</v>
      </c>
      <c r="BL565" s="9">
        <v>12</v>
      </c>
      <c r="BM565" s="167">
        <f>'HourGH-MAY'!N36</f>
        <v>0.22</v>
      </c>
      <c r="BN565" s="9">
        <v>564</v>
      </c>
      <c r="BO565" s="9">
        <v>24</v>
      </c>
      <c r="BP565" s="9">
        <v>12</v>
      </c>
      <c r="BQ565" s="167">
        <f>'HourGH-JUN'!N36</f>
        <v>0.64</v>
      </c>
      <c r="BR565" s="263">
        <v>564</v>
      </c>
      <c r="BS565" s="9">
        <v>24</v>
      </c>
      <c r="BT565" s="9">
        <v>12</v>
      </c>
      <c r="BU565" s="167">
        <f>'HourGH-JUL'!N36</f>
        <v>0.64</v>
      </c>
      <c r="BV565" s="263">
        <v>564</v>
      </c>
      <c r="BW565" s="9">
        <v>24</v>
      </c>
      <c r="BX565" s="9">
        <v>12</v>
      </c>
      <c r="BY565" s="167">
        <f>'HourGH-AUG'!N36</f>
        <v>0.95</v>
      </c>
      <c r="BZ565" s="9">
        <v>564</v>
      </c>
      <c r="CA565" s="9">
        <v>24</v>
      </c>
      <c r="CB565" s="9">
        <v>12</v>
      </c>
      <c r="CC565" s="167">
        <f>'HourGH-SEP'!N36</f>
        <v>0.82</v>
      </c>
      <c r="CD565" s="263">
        <v>564</v>
      </c>
      <c r="CE565" s="9">
        <v>24</v>
      </c>
      <c r="CF565" s="9">
        <v>12</v>
      </c>
      <c r="CG565" s="167">
        <f>'HourGH-OCT'!N36</f>
        <v>1.62</v>
      </c>
      <c r="CH565" s="9">
        <v>564</v>
      </c>
      <c r="CI565" s="9">
        <v>24</v>
      </c>
      <c r="CJ565" s="9">
        <v>12</v>
      </c>
      <c r="CK565" s="167">
        <f>'HourGH-NOV'!N36</f>
        <v>0.62</v>
      </c>
      <c r="CL565" s="263">
        <v>564</v>
      </c>
      <c r="CM565" s="9">
        <v>24</v>
      </c>
      <c r="CN565" s="9">
        <v>12</v>
      </c>
      <c r="CO565" s="167">
        <f>'HourGH-DEC'!N36</f>
        <v>0.45</v>
      </c>
      <c r="CP565" s="263">
        <v>564</v>
      </c>
      <c r="CQ565" s="9">
        <v>24</v>
      </c>
      <c r="CR565" s="9">
        <v>12</v>
      </c>
      <c r="CS565" s="167">
        <f>'HourGH-JAN'!N36</f>
        <v>0.37</v>
      </c>
      <c r="CT565" s="9">
        <v>564</v>
      </c>
      <c r="CU565" s="9">
        <v>24</v>
      </c>
      <c r="CV565" s="9">
        <v>12</v>
      </c>
      <c r="CW565" s="167">
        <f>'HourGH-FEB'!N36</f>
        <v>0.61</v>
      </c>
      <c r="CX565" s="263">
        <v>564</v>
      </c>
      <c r="CY565" s="9">
        <v>24</v>
      </c>
      <c r="CZ565" s="9">
        <v>12</v>
      </c>
      <c r="DA565" s="167">
        <f>'HourGH-MAR'!N36</f>
        <v>0.56000000000000005</v>
      </c>
    </row>
    <row r="566" spans="58:105">
      <c r="BF566" s="9">
        <v>565</v>
      </c>
      <c r="BG566" s="9">
        <v>24</v>
      </c>
      <c r="BH566" s="9">
        <v>13</v>
      </c>
      <c r="BI566" s="167">
        <f>'HourGH-APR'!O36</f>
        <v>0.56999999999999995</v>
      </c>
      <c r="BJ566" s="263">
        <v>565</v>
      </c>
      <c r="BK566" s="9">
        <v>24</v>
      </c>
      <c r="BL566" s="9">
        <v>13</v>
      </c>
      <c r="BM566" s="167">
        <f>'HourGH-MAY'!O36</f>
        <v>0.21</v>
      </c>
      <c r="BN566" s="9">
        <v>565</v>
      </c>
      <c r="BO566" s="9">
        <v>24</v>
      </c>
      <c r="BP566" s="9">
        <v>13</v>
      </c>
      <c r="BQ566" s="167">
        <f>'HourGH-JUN'!O36</f>
        <v>0.61</v>
      </c>
      <c r="BR566" s="263">
        <v>565</v>
      </c>
      <c r="BS566" s="9">
        <v>24</v>
      </c>
      <c r="BT566" s="9">
        <v>13</v>
      </c>
      <c r="BU566" s="167">
        <f>'HourGH-JUL'!O36</f>
        <v>0.64</v>
      </c>
      <c r="BV566" s="263">
        <v>565</v>
      </c>
      <c r="BW566" s="9">
        <v>24</v>
      </c>
      <c r="BX566" s="9">
        <v>13</v>
      </c>
      <c r="BY566" s="167">
        <f>'HourGH-AUG'!O36</f>
        <v>0.93</v>
      </c>
      <c r="BZ566" s="9">
        <v>565</v>
      </c>
      <c r="CA566" s="9">
        <v>24</v>
      </c>
      <c r="CB566" s="9">
        <v>13</v>
      </c>
      <c r="CC566" s="167">
        <f>'HourGH-SEP'!O36</f>
        <v>0.81</v>
      </c>
      <c r="CD566" s="263">
        <v>565</v>
      </c>
      <c r="CE566" s="9">
        <v>24</v>
      </c>
      <c r="CF566" s="9">
        <v>13</v>
      </c>
      <c r="CG566" s="167">
        <f>'HourGH-OCT'!O36</f>
        <v>1.64</v>
      </c>
      <c r="CH566" s="9">
        <v>565</v>
      </c>
      <c r="CI566" s="9">
        <v>24</v>
      </c>
      <c r="CJ566" s="9">
        <v>13</v>
      </c>
      <c r="CK566" s="167">
        <f>'HourGH-NOV'!O36</f>
        <v>0.61</v>
      </c>
      <c r="CL566" s="263">
        <v>565</v>
      </c>
      <c r="CM566" s="9">
        <v>24</v>
      </c>
      <c r="CN566" s="9">
        <v>13</v>
      </c>
      <c r="CO566" s="167">
        <f>'HourGH-DEC'!O36</f>
        <v>0.45</v>
      </c>
      <c r="CP566" s="263">
        <v>565</v>
      </c>
      <c r="CQ566" s="9">
        <v>24</v>
      </c>
      <c r="CR566" s="9">
        <v>13</v>
      </c>
      <c r="CS566" s="167">
        <f>'HourGH-JAN'!O36</f>
        <v>0.37</v>
      </c>
      <c r="CT566" s="9">
        <v>565</v>
      </c>
      <c r="CU566" s="9">
        <v>24</v>
      </c>
      <c r="CV566" s="9">
        <v>13</v>
      </c>
      <c r="CW566" s="167">
        <f>'HourGH-FEB'!O36</f>
        <v>0.59</v>
      </c>
      <c r="CX566" s="263">
        <v>565</v>
      </c>
      <c r="CY566" s="9">
        <v>24</v>
      </c>
      <c r="CZ566" s="9">
        <v>13</v>
      </c>
      <c r="DA566" s="167">
        <f>'HourGH-MAR'!O36</f>
        <v>0.56000000000000005</v>
      </c>
    </row>
    <row r="567" spans="58:105">
      <c r="BF567" s="9">
        <v>566</v>
      </c>
      <c r="BG567" s="9">
        <v>24</v>
      </c>
      <c r="BH567" s="9">
        <v>14</v>
      </c>
      <c r="BI567" s="167">
        <f>'HourGH-APR'!P36</f>
        <v>0.56999999999999995</v>
      </c>
      <c r="BJ567" s="263">
        <v>566</v>
      </c>
      <c r="BK567" s="9">
        <v>24</v>
      </c>
      <c r="BL567" s="9">
        <v>14</v>
      </c>
      <c r="BM567" s="167">
        <f>'HourGH-MAY'!P36</f>
        <v>0.21</v>
      </c>
      <c r="BN567" s="9">
        <v>566</v>
      </c>
      <c r="BO567" s="9">
        <v>24</v>
      </c>
      <c r="BP567" s="9">
        <v>14</v>
      </c>
      <c r="BQ567" s="167">
        <f>'HourGH-JUN'!P36</f>
        <v>0.57999999999999996</v>
      </c>
      <c r="BR567" s="263">
        <v>566</v>
      </c>
      <c r="BS567" s="9">
        <v>24</v>
      </c>
      <c r="BT567" s="9">
        <v>14</v>
      </c>
      <c r="BU567" s="167">
        <f>'HourGH-JUL'!P36</f>
        <v>0.63</v>
      </c>
      <c r="BV567" s="263">
        <v>566</v>
      </c>
      <c r="BW567" s="9">
        <v>24</v>
      </c>
      <c r="BX567" s="9">
        <v>14</v>
      </c>
      <c r="BY567" s="167">
        <f>'HourGH-AUG'!P36</f>
        <v>0.92</v>
      </c>
      <c r="BZ567" s="9">
        <v>566</v>
      </c>
      <c r="CA567" s="9">
        <v>24</v>
      </c>
      <c r="CB567" s="9">
        <v>14</v>
      </c>
      <c r="CC567" s="167">
        <f>'HourGH-SEP'!P36</f>
        <v>0.81</v>
      </c>
      <c r="CD567" s="263">
        <v>566</v>
      </c>
      <c r="CE567" s="9">
        <v>24</v>
      </c>
      <c r="CF567" s="9">
        <v>14</v>
      </c>
      <c r="CG567" s="167">
        <f>'HourGH-OCT'!P36</f>
        <v>1.65</v>
      </c>
      <c r="CH567" s="9">
        <v>566</v>
      </c>
      <c r="CI567" s="9">
        <v>24</v>
      </c>
      <c r="CJ567" s="9">
        <v>14</v>
      </c>
      <c r="CK567" s="167">
        <f>'HourGH-NOV'!P36</f>
        <v>0.61</v>
      </c>
      <c r="CL567" s="263">
        <v>566</v>
      </c>
      <c r="CM567" s="9">
        <v>24</v>
      </c>
      <c r="CN567" s="9">
        <v>14</v>
      </c>
      <c r="CO567" s="167">
        <f>'HourGH-DEC'!P36</f>
        <v>0.45</v>
      </c>
      <c r="CP567" s="263">
        <v>566</v>
      </c>
      <c r="CQ567" s="9">
        <v>24</v>
      </c>
      <c r="CR567" s="9">
        <v>14</v>
      </c>
      <c r="CS567" s="167">
        <f>'HourGH-JAN'!P36</f>
        <v>0.37</v>
      </c>
      <c r="CT567" s="9">
        <v>566</v>
      </c>
      <c r="CU567" s="9">
        <v>24</v>
      </c>
      <c r="CV567" s="9">
        <v>14</v>
      </c>
      <c r="CW567" s="167">
        <f>'HourGH-FEB'!P36</f>
        <v>0.56999999999999995</v>
      </c>
      <c r="CX567" s="263">
        <v>566</v>
      </c>
      <c r="CY567" s="9">
        <v>24</v>
      </c>
      <c r="CZ567" s="9">
        <v>14</v>
      </c>
      <c r="DA567" s="167">
        <f>'HourGH-MAR'!P36</f>
        <v>0.56000000000000005</v>
      </c>
    </row>
    <row r="568" spans="58:105">
      <c r="BF568" s="9">
        <v>567</v>
      </c>
      <c r="BG568" s="9">
        <v>24</v>
      </c>
      <c r="BH568" s="9">
        <v>15</v>
      </c>
      <c r="BI568" s="167">
        <f>'HourGH-APR'!Q36</f>
        <v>0.56999999999999995</v>
      </c>
      <c r="BJ568" s="263">
        <v>567</v>
      </c>
      <c r="BK568" s="9">
        <v>24</v>
      </c>
      <c r="BL568" s="9">
        <v>15</v>
      </c>
      <c r="BM568" s="167">
        <f>'HourGH-MAY'!Q36</f>
        <v>0.21</v>
      </c>
      <c r="BN568" s="9">
        <v>567</v>
      </c>
      <c r="BO568" s="9">
        <v>24</v>
      </c>
      <c r="BP568" s="9">
        <v>15</v>
      </c>
      <c r="BQ568" s="167">
        <f>'HourGH-JUN'!Q36</f>
        <v>0.54</v>
      </c>
      <c r="BR568" s="263">
        <v>567</v>
      </c>
      <c r="BS568" s="9">
        <v>24</v>
      </c>
      <c r="BT568" s="9">
        <v>15</v>
      </c>
      <c r="BU568" s="167">
        <f>'HourGH-JUL'!Q36</f>
        <v>0.62</v>
      </c>
      <c r="BV568" s="263">
        <v>567</v>
      </c>
      <c r="BW568" s="9">
        <v>24</v>
      </c>
      <c r="BX568" s="9">
        <v>15</v>
      </c>
      <c r="BY568" s="167">
        <f>'HourGH-AUG'!Q36</f>
        <v>0.91</v>
      </c>
      <c r="BZ568" s="9">
        <v>567</v>
      </c>
      <c r="CA568" s="9">
        <v>24</v>
      </c>
      <c r="CB568" s="9">
        <v>15</v>
      </c>
      <c r="CC568" s="167">
        <f>'HourGH-SEP'!Q36</f>
        <v>0.81</v>
      </c>
      <c r="CD568" s="263">
        <v>567</v>
      </c>
      <c r="CE568" s="9">
        <v>24</v>
      </c>
      <c r="CF568" s="9">
        <v>15</v>
      </c>
      <c r="CG568" s="167">
        <f>'HourGH-OCT'!Q36</f>
        <v>1.67</v>
      </c>
      <c r="CH568" s="9">
        <v>567</v>
      </c>
      <c r="CI568" s="9">
        <v>24</v>
      </c>
      <c r="CJ568" s="9">
        <v>15</v>
      </c>
      <c r="CK568" s="167">
        <f>'HourGH-NOV'!Q36</f>
        <v>0.61</v>
      </c>
      <c r="CL568" s="263">
        <v>567</v>
      </c>
      <c r="CM568" s="9">
        <v>24</v>
      </c>
      <c r="CN568" s="9">
        <v>15</v>
      </c>
      <c r="CO568" s="167">
        <f>'HourGH-DEC'!Q36</f>
        <v>0.45</v>
      </c>
      <c r="CP568" s="263">
        <v>567</v>
      </c>
      <c r="CQ568" s="9">
        <v>24</v>
      </c>
      <c r="CR568" s="9">
        <v>15</v>
      </c>
      <c r="CS568" s="167">
        <f>'HourGH-JAN'!Q36</f>
        <v>0.37</v>
      </c>
      <c r="CT568" s="9">
        <v>567</v>
      </c>
      <c r="CU568" s="9">
        <v>24</v>
      </c>
      <c r="CV568" s="9">
        <v>15</v>
      </c>
      <c r="CW568" s="167">
        <f>'HourGH-FEB'!Q36</f>
        <v>0.54</v>
      </c>
      <c r="CX568" s="263">
        <v>567</v>
      </c>
      <c r="CY568" s="9">
        <v>24</v>
      </c>
      <c r="CZ568" s="9">
        <v>15</v>
      </c>
      <c r="DA568" s="167">
        <f>'HourGH-MAR'!Q36</f>
        <v>0.56999999999999995</v>
      </c>
    </row>
    <row r="569" spans="58:105">
      <c r="BF569" s="9">
        <v>568</v>
      </c>
      <c r="BG569" s="9">
        <v>24</v>
      </c>
      <c r="BH569" s="9">
        <v>16</v>
      </c>
      <c r="BI569" s="167">
        <f>'HourGH-APR'!R36</f>
        <v>0.56999999999999995</v>
      </c>
      <c r="BJ569" s="263">
        <v>568</v>
      </c>
      <c r="BK569" s="9">
        <v>24</v>
      </c>
      <c r="BL569" s="9">
        <v>16</v>
      </c>
      <c r="BM569" s="167">
        <f>'HourGH-MAY'!R36</f>
        <v>0.21</v>
      </c>
      <c r="BN569" s="9">
        <v>568</v>
      </c>
      <c r="BO569" s="9">
        <v>24</v>
      </c>
      <c r="BP569" s="9">
        <v>16</v>
      </c>
      <c r="BQ569" s="167">
        <f>'HourGH-JUN'!R36</f>
        <v>0.5</v>
      </c>
      <c r="BR569" s="263">
        <v>568</v>
      </c>
      <c r="BS569" s="9">
        <v>24</v>
      </c>
      <c r="BT569" s="9">
        <v>16</v>
      </c>
      <c r="BU569" s="167">
        <f>'HourGH-JUL'!R36</f>
        <v>0.61</v>
      </c>
      <c r="BV569" s="263">
        <v>568</v>
      </c>
      <c r="BW569" s="9">
        <v>24</v>
      </c>
      <c r="BX569" s="9">
        <v>16</v>
      </c>
      <c r="BY569" s="167">
        <f>'HourGH-AUG'!R36</f>
        <v>0.9</v>
      </c>
      <c r="BZ569" s="9">
        <v>568</v>
      </c>
      <c r="CA569" s="9">
        <v>24</v>
      </c>
      <c r="CB569" s="9">
        <v>16</v>
      </c>
      <c r="CC569" s="167">
        <f>'HourGH-SEP'!R36</f>
        <v>0.81</v>
      </c>
      <c r="CD569" s="263">
        <v>568</v>
      </c>
      <c r="CE569" s="9">
        <v>24</v>
      </c>
      <c r="CF569" s="9">
        <v>16</v>
      </c>
      <c r="CG569" s="167">
        <f>'HourGH-OCT'!R36</f>
        <v>1.67</v>
      </c>
      <c r="CH569" s="9">
        <v>568</v>
      </c>
      <c r="CI569" s="9">
        <v>24</v>
      </c>
      <c r="CJ569" s="9">
        <v>16</v>
      </c>
      <c r="CK569" s="167">
        <f>'HourGH-NOV'!R36</f>
        <v>0.61</v>
      </c>
      <c r="CL569" s="263">
        <v>568</v>
      </c>
      <c r="CM569" s="9">
        <v>24</v>
      </c>
      <c r="CN569" s="9">
        <v>16</v>
      </c>
      <c r="CO569" s="167">
        <f>'HourGH-DEC'!R36</f>
        <v>0.45</v>
      </c>
      <c r="CP569" s="263">
        <v>568</v>
      </c>
      <c r="CQ569" s="9">
        <v>24</v>
      </c>
      <c r="CR569" s="9">
        <v>16</v>
      </c>
      <c r="CS569" s="167">
        <f>'HourGH-JAN'!R36</f>
        <v>0.38</v>
      </c>
      <c r="CT569" s="9">
        <v>568</v>
      </c>
      <c r="CU569" s="9">
        <v>24</v>
      </c>
      <c r="CV569" s="9">
        <v>16</v>
      </c>
      <c r="CW569" s="167">
        <f>'HourGH-FEB'!R36</f>
        <v>0.51</v>
      </c>
      <c r="CX569" s="263">
        <v>568</v>
      </c>
      <c r="CY569" s="9">
        <v>24</v>
      </c>
      <c r="CZ569" s="9">
        <v>16</v>
      </c>
      <c r="DA569" s="167">
        <f>'HourGH-MAR'!R36</f>
        <v>0.57999999999999996</v>
      </c>
    </row>
    <row r="570" spans="58:105">
      <c r="BF570" s="9">
        <v>569</v>
      </c>
      <c r="BG570" s="9">
        <v>24</v>
      </c>
      <c r="BH570" s="9">
        <v>17</v>
      </c>
      <c r="BI570" s="167">
        <f>'HourGH-APR'!S36</f>
        <v>0.56999999999999995</v>
      </c>
      <c r="BJ570" s="263">
        <v>569</v>
      </c>
      <c r="BK570" s="9">
        <v>24</v>
      </c>
      <c r="BL570" s="9">
        <v>17</v>
      </c>
      <c r="BM570" s="167">
        <f>'HourGH-MAY'!S36</f>
        <v>0.21</v>
      </c>
      <c r="BN570" s="9">
        <v>569</v>
      </c>
      <c r="BO570" s="9">
        <v>24</v>
      </c>
      <c r="BP570" s="9">
        <v>17</v>
      </c>
      <c r="BQ570" s="167">
        <f>'HourGH-JUN'!S36</f>
        <v>0.46</v>
      </c>
      <c r="BR570" s="263">
        <v>569</v>
      </c>
      <c r="BS570" s="9">
        <v>24</v>
      </c>
      <c r="BT570" s="9">
        <v>17</v>
      </c>
      <c r="BU570" s="167">
        <f>'HourGH-JUL'!S36</f>
        <v>0.6</v>
      </c>
      <c r="BV570" s="263">
        <v>569</v>
      </c>
      <c r="BW570" s="9">
        <v>24</v>
      </c>
      <c r="BX570" s="9">
        <v>17</v>
      </c>
      <c r="BY570" s="167">
        <f>'HourGH-AUG'!S36</f>
        <v>0.89</v>
      </c>
      <c r="BZ570" s="9">
        <v>569</v>
      </c>
      <c r="CA570" s="9">
        <v>24</v>
      </c>
      <c r="CB570" s="9">
        <v>17</v>
      </c>
      <c r="CC570" s="167">
        <f>'HourGH-SEP'!S36</f>
        <v>0.81</v>
      </c>
      <c r="CD570" s="263">
        <v>569</v>
      </c>
      <c r="CE570" s="9">
        <v>24</v>
      </c>
      <c r="CF570" s="9">
        <v>17</v>
      </c>
      <c r="CG570" s="167">
        <f>'HourGH-OCT'!S36</f>
        <v>1.68</v>
      </c>
      <c r="CH570" s="9">
        <v>569</v>
      </c>
      <c r="CI570" s="9">
        <v>24</v>
      </c>
      <c r="CJ570" s="9">
        <v>17</v>
      </c>
      <c r="CK570" s="167">
        <f>'HourGH-NOV'!S36</f>
        <v>0.61</v>
      </c>
      <c r="CL570" s="263">
        <v>569</v>
      </c>
      <c r="CM570" s="9">
        <v>24</v>
      </c>
      <c r="CN570" s="9">
        <v>17</v>
      </c>
      <c r="CO570" s="167">
        <f>'HourGH-DEC'!S36</f>
        <v>0.45</v>
      </c>
      <c r="CP570" s="263">
        <v>569</v>
      </c>
      <c r="CQ570" s="9">
        <v>24</v>
      </c>
      <c r="CR570" s="9">
        <v>17</v>
      </c>
      <c r="CS570" s="167">
        <f>'HourGH-JAN'!S36</f>
        <v>0.39</v>
      </c>
      <c r="CT570" s="9">
        <v>569</v>
      </c>
      <c r="CU570" s="9">
        <v>24</v>
      </c>
      <c r="CV570" s="9">
        <v>17</v>
      </c>
      <c r="CW570" s="167">
        <f>'HourGH-FEB'!S36</f>
        <v>0.49</v>
      </c>
      <c r="CX570" s="263">
        <v>569</v>
      </c>
      <c r="CY570" s="9">
        <v>24</v>
      </c>
      <c r="CZ570" s="9">
        <v>17</v>
      </c>
      <c r="DA570" s="167">
        <f>'HourGH-MAR'!S36</f>
        <v>0.59</v>
      </c>
    </row>
    <row r="571" spans="58:105">
      <c r="BF571" s="9">
        <v>570</v>
      </c>
      <c r="BG571" s="9">
        <v>24</v>
      </c>
      <c r="BH571" s="9">
        <v>18</v>
      </c>
      <c r="BI571" s="167">
        <f>'HourGH-APR'!T36</f>
        <v>0.56999999999999995</v>
      </c>
      <c r="BJ571" s="263">
        <v>570</v>
      </c>
      <c r="BK571" s="9">
        <v>24</v>
      </c>
      <c r="BL571" s="9">
        <v>18</v>
      </c>
      <c r="BM571" s="167">
        <f>'HourGH-MAY'!T36</f>
        <v>0.21</v>
      </c>
      <c r="BN571" s="9">
        <v>570</v>
      </c>
      <c r="BO571" s="9">
        <v>24</v>
      </c>
      <c r="BP571" s="9">
        <v>18</v>
      </c>
      <c r="BQ571" s="167">
        <f>'HourGH-JUN'!T36</f>
        <v>0.43</v>
      </c>
      <c r="BR571" s="263">
        <v>570</v>
      </c>
      <c r="BS571" s="9">
        <v>24</v>
      </c>
      <c r="BT571" s="9">
        <v>18</v>
      </c>
      <c r="BU571" s="167">
        <f>'HourGH-JUL'!T36</f>
        <v>0.59</v>
      </c>
      <c r="BV571" s="263">
        <v>570</v>
      </c>
      <c r="BW571" s="9">
        <v>24</v>
      </c>
      <c r="BX571" s="9">
        <v>18</v>
      </c>
      <c r="BY571" s="167">
        <f>'HourGH-AUG'!T36</f>
        <v>0.88</v>
      </c>
      <c r="BZ571" s="9">
        <v>570</v>
      </c>
      <c r="CA571" s="9">
        <v>24</v>
      </c>
      <c r="CB571" s="9">
        <v>18</v>
      </c>
      <c r="CC571" s="167">
        <f>'HourGH-SEP'!T36</f>
        <v>0.81</v>
      </c>
      <c r="CD571" s="263">
        <v>570</v>
      </c>
      <c r="CE571" s="9">
        <v>24</v>
      </c>
      <c r="CF571" s="9">
        <v>18</v>
      </c>
      <c r="CG571" s="167">
        <f>'HourGH-OCT'!T36</f>
        <v>1.68</v>
      </c>
      <c r="CH571" s="9">
        <v>570</v>
      </c>
      <c r="CI571" s="9">
        <v>24</v>
      </c>
      <c r="CJ571" s="9">
        <v>18</v>
      </c>
      <c r="CK571" s="167">
        <f>'HourGH-NOV'!T36</f>
        <v>0.61</v>
      </c>
      <c r="CL571" s="263">
        <v>570</v>
      </c>
      <c r="CM571" s="9">
        <v>24</v>
      </c>
      <c r="CN571" s="9">
        <v>18</v>
      </c>
      <c r="CO571" s="167">
        <f>'HourGH-DEC'!T36</f>
        <v>0.45</v>
      </c>
      <c r="CP571" s="263">
        <v>570</v>
      </c>
      <c r="CQ571" s="9">
        <v>24</v>
      </c>
      <c r="CR571" s="9">
        <v>18</v>
      </c>
      <c r="CS571" s="167">
        <f>'HourGH-JAN'!T36</f>
        <v>0.4</v>
      </c>
      <c r="CT571" s="9">
        <v>570</v>
      </c>
      <c r="CU571" s="9">
        <v>24</v>
      </c>
      <c r="CV571" s="9">
        <v>18</v>
      </c>
      <c r="CW571" s="167">
        <f>'HourGH-FEB'!T36</f>
        <v>0.46</v>
      </c>
      <c r="CX571" s="263">
        <v>570</v>
      </c>
      <c r="CY571" s="9">
        <v>24</v>
      </c>
      <c r="CZ571" s="9">
        <v>18</v>
      </c>
      <c r="DA571" s="167">
        <f>'HourGH-MAR'!T36</f>
        <v>0.59</v>
      </c>
    </row>
    <row r="572" spans="58:105">
      <c r="BF572" s="9">
        <v>571</v>
      </c>
      <c r="BG572" s="9">
        <v>24</v>
      </c>
      <c r="BH572" s="9">
        <v>19</v>
      </c>
      <c r="BI572" s="167">
        <f>'HourGH-APR'!U36</f>
        <v>0.56999999999999995</v>
      </c>
      <c r="BJ572" s="263">
        <v>571</v>
      </c>
      <c r="BK572" s="9">
        <v>24</v>
      </c>
      <c r="BL572" s="9">
        <v>19</v>
      </c>
      <c r="BM572" s="167">
        <f>'HourGH-MAY'!U36</f>
        <v>0.2</v>
      </c>
      <c r="BN572" s="9">
        <v>571</v>
      </c>
      <c r="BO572" s="9">
        <v>24</v>
      </c>
      <c r="BP572" s="9">
        <v>19</v>
      </c>
      <c r="BQ572" s="167">
        <f>'HourGH-JUN'!U36</f>
        <v>0.4</v>
      </c>
      <c r="BR572" s="263">
        <v>571</v>
      </c>
      <c r="BS572" s="9">
        <v>24</v>
      </c>
      <c r="BT572" s="9">
        <v>19</v>
      </c>
      <c r="BU572" s="167">
        <f>'HourGH-JUL'!U36</f>
        <v>0.57999999999999996</v>
      </c>
      <c r="BV572" s="263">
        <v>571</v>
      </c>
      <c r="BW572" s="9">
        <v>24</v>
      </c>
      <c r="BX572" s="9">
        <v>19</v>
      </c>
      <c r="BY572" s="167">
        <f>'HourGH-AUG'!U36</f>
        <v>0.86</v>
      </c>
      <c r="BZ572" s="9">
        <v>571</v>
      </c>
      <c r="CA572" s="9">
        <v>24</v>
      </c>
      <c r="CB572" s="9">
        <v>19</v>
      </c>
      <c r="CC572" s="167">
        <f>'HourGH-SEP'!U36</f>
        <v>0.81</v>
      </c>
      <c r="CD572" s="263">
        <v>571</v>
      </c>
      <c r="CE572" s="9">
        <v>24</v>
      </c>
      <c r="CF572" s="9">
        <v>19</v>
      </c>
      <c r="CG572" s="167">
        <f>'HourGH-OCT'!U36</f>
        <v>1.68</v>
      </c>
      <c r="CH572" s="9">
        <v>571</v>
      </c>
      <c r="CI572" s="9">
        <v>24</v>
      </c>
      <c r="CJ572" s="9">
        <v>19</v>
      </c>
      <c r="CK572" s="167">
        <f>'HourGH-NOV'!U36</f>
        <v>0.61</v>
      </c>
      <c r="CL572" s="263">
        <v>571</v>
      </c>
      <c r="CM572" s="9">
        <v>24</v>
      </c>
      <c r="CN572" s="9">
        <v>19</v>
      </c>
      <c r="CO572" s="167">
        <f>'HourGH-DEC'!U36</f>
        <v>0.45</v>
      </c>
      <c r="CP572" s="263">
        <v>571</v>
      </c>
      <c r="CQ572" s="9">
        <v>24</v>
      </c>
      <c r="CR572" s="9">
        <v>19</v>
      </c>
      <c r="CS572" s="167">
        <f>'HourGH-JAN'!U36</f>
        <v>0.42</v>
      </c>
      <c r="CT572" s="9">
        <v>571</v>
      </c>
      <c r="CU572" s="9">
        <v>24</v>
      </c>
      <c r="CV572" s="9">
        <v>19</v>
      </c>
      <c r="CW572" s="167">
        <f>'HourGH-FEB'!U36</f>
        <v>0.43</v>
      </c>
      <c r="CX572" s="263">
        <v>571</v>
      </c>
      <c r="CY572" s="9">
        <v>24</v>
      </c>
      <c r="CZ572" s="9">
        <v>19</v>
      </c>
      <c r="DA572" s="167">
        <f>'HourGH-MAR'!U36</f>
        <v>0.59</v>
      </c>
    </row>
    <row r="573" spans="58:105">
      <c r="BF573" s="9">
        <v>572</v>
      </c>
      <c r="BG573" s="9">
        <v>24</v>
      </c>
      <c r="BH573" s="9">
        <v>20</v>
      </c>
      <c r="BI573" s="167">
        <f>'HourGH-APR'!V36</f>
        <v>0.56999999999999995</v>
      </c>
      <c r="BJ573" s="263">
        <v>572</v>
      </c>
      <c r="BK573" s="9">
        <v>24</v>
      </c>
      <c r="BL573" s="9">
        <v>20</v>
      </c>
      <c r="BM573" s="167">
        <f>'HourGH-MAY'!V36</f>
        <v>0.2</v>
      </c>
      <c r="BN573" s="9">
        <v>572</v>
      </c>
      <c r="BO573" s="9">
        <v>24</v>
      </c>
      <c r="BP573" s="9">
        <v>20</v>
      </c>
      <c r="BQ573" s="167">
        <f>'HourGH-JUN'!V36</f>
        <v>0.36</v>
      </c>
      <c r="BR573" s="263">
        <v>572</v>
      </c>
      <c r="BS573" s="9">
        <v>24</v>
      </c>
      <c r="BT573" s="9">
        <v>20</v>
      </c>
      <c r="BU573" s="167">
        <f>'HourGH-JUL'!V36</f>
        <v>0.56999999999999995</v>
      </c>
      <c r="BV573" s="263">
        <v>572</v>
      </c>
      <c r="BW573" s="9">
        <v>24</v>
      </c>
      <c r="BX573" s="9">
        <v>20</v>
      </c>
      <c r="BY573" s="167">
        <f>'HourGH-AUG'!V36</f>
        <v>0.85</v>
      </c>
      <c r="BZ573" s="9">
        <v>572</v>
      </c>
      <c r="CA573" s="9">
        <v>24</v>
      </c>
      <c r="CB573" s="9">
        <v>20</v>
      </c>
      <c r="CC573" s="167">
        <f>'HourGH-SEP'!V36</f>
        <v>0.81</v>
      </c>
      <c r="CD573" s="263">
        <v>572</v>
      </c>
      <c r="CE573" s="9">
        <v>24</v>
      </c>
      <c r="CF573" s="9">
        <v>20</v>
      </c>
      <c r="CG573" s="167">
        <f>'HourGH-OCT'!V36</f>
        <v>1.68</v>
      </c>
      <c r="CH573" s="9">
        <v>572</v>
      </c>
      <c r="CI573" s="9">
        <v>24</v>
      </c>
      <c r="CJ573" s="9">
        <v>20</v>
      </c>
      <c r="CK573" s="167">
        <f>'HourGH-NOV'!V36</f>
        <v>0.61</v>
      </c>
      <c r="CL573" s="263">
        <v>572</v>
      </c>
      <c r="CM573" s="9">
        <v>24</v>
      </c>
      <c r="CN573" s="9">
        <v>20</v>
      </c>
      <c r="CO573" s="167">
        <f>'HourGH-DEC'!V36</f>
        <v>0.45</v>
      </c>
      <c r="CP573" s="263">
        <v>572</v>
      </c>
      <c r="CQ573" s="9">
        <v>24</v>
      </c>
      <c r="CR573" s="9">
        <v>20</v>
      </c>
      <c r="CS573" s="167">
        <f>'HourGH-JAN'!V36</f>
        <v>0.44</v>
      </c>
      <c r="CT573" s="9">
        <v>572</v>
      </c>
      <c r="CU573" s="9">
        <v>24</v>
      </c>
      <c r="CV573" s="9">
        <v>20</v>
      </c>
      <c r="CW573" s="167">
        <f>'HourGH-FEB'!V36</f>
        <v>0.41</v>
      </c>
      <c r="CX573" s="263">
        <v>572</v>
      </c>
      <c r="CY573" s="9">
        <v>24</v>
      </c>
      <c r="CZ573" s="9">
        <v>20</v>
      </c>
      <c r="DA573" s="167">
        <f>'HourGH-MAR'!V36</f>
        <v>0.59</v>
      </c>
    </row>
    <row r="574" spans="58:105">
      <c r="BF574" s="9">
        <v>573</v>
      </c>
      <c r="BG574" s="9">
        <v>24</v>
      </c>
      <c r="BH574" s="9">
        <v>21</v>
      </c>
      <c r="BI574" s="167">
        <f>'HourGH-APR'!W36</f>
        <v>0.56999999999999995</v>
      </c>
      <c r="BJ574" s="263">
        <v>573</v>
      </c>
      <c r="BK574" s="9">
        <v>24</v>
      </c>
      <c r="BL574" s="9">
        <v>21</v>
      </c>
      <c r="BM574" s="167">
        <f>'HourGH-MAY'!W36</f>
        <v>0.2</v>
      </c>
      <c r="BN574" s="9">
        <v>573</v>
      </c>
      <c r="BO574" s="9">
        <v>24</v>
      </c>
      <c r="BP574" s="9">
        <v>21</v>
      </c>
      <c r="BQ574" s="167">
        <f>'HourGH-JUN'!W36</f>
        <v>0.34</v>
      </c>
      <c r="BR574" s="263">
        <v>573</v>
      </c>
      <c r="BS574" s="9">
        <v>24</v>
      </c>
      <c r="BT574" s="9">
        <v>21</v>
      </c>
      <c r="BU574" s="167">
        <f>'HourGH-JUL'!W36</f>
        <v>0.56000000000000005</v>
      </c>
      <c r="BV574" s="263">
        <v>573</v>
      </c>
      <c r="BW574" s="9">
        <v>24</v>
      </c>
      <c r="BX574" s="9">
        <v>21</v>
      </c>
      <c r="BY574" s="167">
        <f>'HourGH-AUG'!W36</f>
        <v>0.84</v>
      </c>
      <c r="BZ574" s="9">
        <v>573</v>
      </c>
      <c r="CA574" s="9">
        <v>24</v>
      </c>
      <c r="CB574" s="9">
        <v>21</v>
      </c>
      <c r="CC574" s="167">
        <f>'HourGH-SEP'!W36</f>
        <v>0.81</v>
      </c>
      <c r="CD574" s="263">
        <v>573</v>
      </c>
      <c r="CE574" s="9">
        <v>24</v>
      </c>
      <c r="CF574" s="9">
        <v>21</v>
      </c>
      <c r="CG574" s="167">
        <f>'HourGH-OCT'!W36</f>
        <v>1.67</v>
      </c>
      <c r="CH574" s="9">
        <v>573</v>
      </c>
      <c r="CI574" s="9">
        <v>24</v>
      </c>
      <c r="CJ574" s="9">
        <v>21</v>
      </c>
      <c r="CK574" s="167">
        <f>'HourGH-NOV'!W36</f>
        <v>0.61</v>
      </c>
      <c r="CL574" s="263">
        <v>573</v>
      </c>
      <c r="CM574" s="9">
        <v>24</v>
      </c>
      <c r="CN574" s="9">
        <v>21</v>
      </c>
      <c r="CO574" s="167">
        <f>'HourGH-DEC'!W36</f>
        <v>0.45</v>
      </c>
      <c r="CP574" s="263">
        <v>573</v>
      </c>
      <c r="CQ574" s="9">
        <v>24</v>
      </c>
      <c r="CR574" s="9">
        <v>21</v>
      </c>
      <c r="CS574" s="167">
        <f>'HourGH-JAN'!W36</f>
        <v>0.46</v>
      </c>
      <c r="CT574" s="9">
        <v>573</v>
      </c>
      <c r="CU574" s="9">
        <v>24</v>
      </c>
      <c r="CV574" s="9">
        <v>21</v>
      </c>
      <c r="CW574" s="167">
        <f>'HourGH-FEB'!W36</f>
        <v>0.39</v>
      </c>
      <c r="CX574" s="263">
        <v>573</v>
      </c>
      <c r="CY574" s="9">
        <v>24</v>
      </c>
      <c r="CZ574" s="9">
        <v>21</v>
      </c>
      <c r="DA574" s="167">
        <f>'HourGH-MAR'!W36</f>
        <v>0.59</v>
      </c>
    </row>
    <row r="575" spans="58:105">
      <c r="BF575" s="9">
        <v>574</v>
      </c>
      <c r="BG575" s="9">
        <v>24</v>
      </c>
      <c r="BH575" s="9">
        <v>22</v>
      </c>
      <c r="BI575" s="167">
        <f>'HourGH-APR'!X36</f>
        <v>0.56999999999999995</v>
      </c>
      <c r="BJ575" s="263">
        <v>574</v>
      </c>
      <c r="BK575" s="9">
        <v>24</v>
      </c>
      <c r="BL575" s="9">
        <v>22</v>
      </c>
      <c r="BM575" s="167">
        <f>'HourGH-MAY'!X36</f>
        <v>0.2</v>
      </c>
      <c r="BN575" s="9">
        <v>574</v>
      </c>
      <c r="BO575" s="9">
        <v>24</v>
      </c>
      <c r="BP575" s="9">
        <v>22</v>
      </c>
      <c r="BQ575" s="167">
        <f>'HourGH-JUN'!X36</f>
        <v>0.32</v>
      </c>
      <c r="BR575" s="263">
        <v>574</v>
      </c>
      <c r="BS575" s="9">
        <v>24</v>
      </c>
      <c r="BT575" s="9">
        <v>22</v>
      </c>
      <c r="BU575" s="167">
        <f>'HourGH-JUL'!X36</f>
        <v>0.55000000000000004</v>
      </c>
      <c r="BV575" s="263">
        <v>574</v>
      </c>
      <c r="BW575" s="9">
        <v>24</v>
      </c>
      <c r="BX575" s="9">
        <v>22</v>
      </c>
      <c r="BY575" s="167">
        <f>'HourGH-AUG'!X36</f>
        <v>0.83</v>
      </c>
      <c r="BZ575" s="9">
        <v>574</v>
      </c>
      <c r="CA575" s="9">
        <v>24</v>
      </c>
      <c r="CB575" s="9">
        <v>22</v>
      </c>
      <c r="CC575" s="167">
        <f>'HourGH-SEP'!X36</f>
        <v>0.81</v>
      </c>
      <c r="CD575" s="263">
        <v>574</v>
      </c>
      <c r="CE575" s="9">
        <v>24</v>
      </c>
      <c r="CF575" s="9">
        <v>22</v>
      </c>
      <c r="CG575" s="167">
        <f>'HourGH-OCT'!X36</f>
        <v>1.66</v>
      </c>
      <c r="CH575" s="9">
        <v>574</v>
      </c>
      <c r="CI575" s="9">
        <v>24</v>
      </c>
      <c r="CJ575" s="9">
        <v>22</v>
      </c>
      <c r="CK575" s="167">
        <f>'HourGH-NOV'!X36</f>
        <v>0.61</v>
      </c>
      <c r="CL575" s="263">
        <v>574</v>
      </c>
      <c r="CM575" s="9">
        <v>24</v>
      </c>
      <c r="CN575" s="9">
        <v>22</v>
      </c>
      <c r="CO575" s="167">
        <f>'HourGH-DEC'!X36</f>
        <v>0.45</v>
      </c>
      <c r="CP575" s="263">
        <v>574</v>
      </c>
      <c r="CQ575" s="9">
        <v>24</v>
      </c>
      <c r="CR575" s="9">
        <v>22</v>
      </c>
      <c r="CS575" s="167">
        <f>'HourGH-JAN'!X36</f>
        <v>0.48</v>
      </c>
      <c r="CT575" s="9">
        <v>574</v>
      </c>
      <c r="CU575" s="9">
        <v>24</v>
      </c>
      <c r="CV575" s="9">
        <v>22</v>
      </c>
      <c r="CW575" s="167">
        <f>'HourGH-FEB'!X36</f>
        <v>0.36</v>
      </c>
      <c r="CX575" s="263">
        <v>574</v>
      </c>
      <c r="CY575" s="9">
        <v>24</v>
      </c>
      <c r="CZ575" s="9">
        <v>22</v>
      </c>
      <c r="DA575" s="167">
        <f>'HourGH-MAR'!X36</f>
        <v>0.59</v>
      </c>
    </row>
    <row r="576" spans="58:105">
      <c r="BF576" s="9">
        <v>575</v>
      </c>
      <c r="BG576" s="9">
        <v>24</v>
      </c>
      <c r="BH576" s="9">
        <v>23</v>
      </c>
      <c r="BI576" s="167">
        <f>'HourGH-APR'!Y36</f>
        <v>0.56999999999999995</v>
      </c>
      <c r="BJ576" s="263">
        <v>575</v>
      </c>
      <c r="BK576" s="9">
        <v>24</v>
      </c>
      <c r="BL576" s="9">
        <v>23</v>
      </c>
      <c r="BM576" s="167">
        <f>'HourGH-MAY'!Y36</f>
        <v>0.2</v>
      </c>
      <c r="BN576" s="9">
        <v>575</v>
      </c>
      <c r="BO576" s="9">
        <v>24</v>
      </c>
      <c r="BP576" s="9">
        <v>23</v>
      </c>
      <c r="BQ576" s="167">
        <f>'HourGH-JUN'!Y36</f>
        <v>0.3</v>
      </c>
      <c r="BR576" s="263">
        <v>575</v>
      </c>
      <c r="BS576" s="9">
        <v>24</v>
      </c>
      <c r="BT576" s="9">
        <v>23</v>
      </c>
      <c r="BU576" s="167">
        <f>'HourGH-JUL'!Y36</f>
        <v>0.54</v>
      </c>
      <c r="BV576" s="263">
        <v>575</v>
      </c>
      <c r="BW576" s="9">
        <v>24</v>
      </c>
      <c r="BX576" s="9">
        <v>23</v>
      </c>
      <c r="BY576" s="167">
        <f>'HourGH-AUG'!Y36</f>
        <v>0.82</v>
      </c>
      <c r="BZ576" s="9">
        <v>575</v>
      </c>
      <c r="CA576" s="9">
        <v>24</v>
      </c>
      <c r="CB576" s="9">
        <v>23</v>
      </c>
      <c r="CC576" s="167">
        <f>'HourGH-SEP'!Y36</f>
        <v>0.81</v>
      </c>
      <c r="CD576" s="263">
        <v>575</v>
      </c>
      <c r="CE576" s="9">
        <v>24</v>
      </c>
      <c r="CF576" s="9">
        <v>23</v>
      </c>
      <c r="CG576" s="167">
        <f>'HourGH-OCT'!Y36</f>
        <v>1.65</v>
      </c>
      <c r="CH576" s="9">
        <v>575</v>
      </c>
      <c r="CI576" s="9">
        <v>24</v>
      </c>
      <c r="CJ576" s="9">
        <v>23</v>
      </c>
      <c r="CK576" s="167">
        <f>'HourGH-NOV'!Y36</f>
        <v>0.61</v>
      </c>
      <c r="CL576" s="263">
        <v>575</v>
      </c>
      <c r="CM576" s="9">
        <v>24</v>
      </c>
      <c r="CN576" s="9">
        <v>23</v>
      </c>
      <c r="CO576" s="167">
        <f>'HourGH-DEC'!Y36</f>
        <v>0.45</v>
      </c>
      <c r="CP576" s="263">
        <v>575</v>
      </c>
      <c r="CQ576" s="9">
        <v>24</v>
      </c>
      <c r="CR576" s="9">
        <v>23</v>
      </c>
      <c r="CS576" s="167">
        <f>'HourGH-JAN'!Y36</f>
        <v>0.5</v>
      </c>
      <c r="CT576" s="9">
        <v>575</v>
      </c>
      <c r="CU576" s="9">
        <v>24</v>
      </c>
      <c r="CV576" s="9">
        <v>23</v>
      </c>
      <c r="CW576" s="167">
        <f>'HourGH-FEB'!Y36</f>
        <v>0.34</v>
      </c>
      <c r="CX576" s="263">
        <v>575</v>
      </c>
      <c r="CY576" s="9">
        <v>24</v>
      </c>
      <c r="CZ576" s="9">
        <v>23</v>
      </c>
      <c r="DA576" s="167">
        <f>'HourGH-MAR'!Y36</f>
        <v>0.57999999999999996</v>
      </c>
    </row>
    <row r="577" spans="58:105">
      <c r="BF577" s="9">
        <v>576</v>
      </c>
      <c r="BG577" s="9">
        <v>24</v>
      </c>
      <c r="BH577" s="9">
        <v>24</v>
      </c>
      <c r="BI577" s="167">
        <f>'HourGH-APR'!Z36</f>
        <v>0.56999999999999995</v>
      </c>
      <c r="BJ577" s="263">
        <v>576</v>
      </c>
      <c r="BK577" s="9">
        <v>24</v>
      </c>
      <c r="BL577" s="9">
        <v>24</v>
      </c>
      <c r="BM577" s="167">
        <f>'HourGH-MAY'!Z36</f>
        <v>0.2</v>
      </c>
      <c r="BN577" s="9">
        <v>576</v>
      </c>
      <c r="BO577" s="9">
        <v>24</v>
      </c>
      <c r="BP577" s="9">
        <v>24</v>
      </c>
      <c r="BQ577" s="167">
        <f>'HourGH-JUN'!Z36</f>
        <v>0.28000000000000003</v>
      </c>
      <c r="BR577" s="263">
        <v>576</v>
      </c>
      <c r="BS577" s="9">
        <v>24</v>
      </c>
      <c r="BT577" s="9">
        <v>24</v>
      </c>
      <c r="BU577" s="167">
        <f>'HourGH-JUL'!Z36</f>
        <v>0.53</v>
      </c>
      <c r="BV577" s="263">
        <v>576</v>
      </c>
      <c r="BW577" s="9">
        <v>24</v>
      </c>
      <c r="BX577" s="9">
        <v>24</v>
      </c>
      <c r="BY577" s="167">
        <f>'HourGH-AUG'!Z36</f>
        <v>0.81</v>
      </c>
      <c r="BZ577" s="9">
        <v>576</v>
      </c>
      <c r="CA577" s="9">
        <v>24</v>
      </c>
      <c r="CB577" s="9">
        <v>24</v>
      </c>
      <c r="CC577" s="167">
        <f>'HourGH-SEP'!Z36</f>
        <v>0.81</v>
      </c>
      <c r="CD577" s="263">
        <v>576</v>
      </c>
      <c r="CE577" s="9">
        <v>24</v>
      </c>
      <c r="CF577" s="9">
        <v>24</v>
      </c>
      <c r="CG577" s="167">
        <f>'HourGH-OCT'!Z36</f>
        <v>1.64</v>
      </c>
      <c r="CH577" s="9">
        <v>576</v>
      </c>
      <c r="CI577" s="9">
        <v>24</v>
      </c>
      <c r="CJ577" s="9">
        <v>24</v>
      </c>
      <c r="CK577" s="167">
        <f>'HourGH-NOV'!Z36</f>
        <v>0.61</v>
      </c>
      <c r="CL577" s="263">
        <v>576</v>
      </c>
      <c r="CM577" s="9">
        <v>24</v>
      </c>
      <c r="CN577" s="9">
        <v>24</v>
      </c>
      <c r="CO577" s="167">
        <f>'HourGH-DEC'!Z36</f>
        <v>0.45</v>
      </c>
      <c r="CP577" s="263">
        <v>576</v>
      </c>
      <c r="CQ577" s="9">
        <v>24</v>
      </c>
      <c r="CR577" s="9">
        <v>24</v>
      </c>
      <c r="CS577" s="167">
        <f>'HourGH-JAN'!Z36</f>
        <v>0.53</v>
      </c>
      <c r="CT577" s="9">
        <v>576</v>
      </c>
      <c r="CU577" s="9">
        <v>24</v>
      </c>
      <c r="CV577" s="9">
        <v>24</v>
      </c>
      <c r="CW577" s="167">
        <f>'HourGH-FEB'!Z36</f>
        <v>0.33</v>
      </c>
      <c r="CX577" s="263">
        <v>576</v>
      </c>
      <c r="CY577" s="9">
        <v>24</v>
      </c>
      <c r="CZ577" s="9">
        <v>24</v>
      </c>
      <c r="DA577" s="167">
        <f>'HourGH-MAR'!Z36</f>
        <v>0.57999999999999996</v>
      </c>
    </row>
    <row r="578" spans="58:105">
      <c r="BF578" s="9">
        <v>577</v>
      </c>
      <c r="BG578" s="9">
        <v>25</v>
      </c>
      <c r="BH578" s="9">
        <v>1</v>
      </c>
      <c r="BI578" s="167">
        <f>'HourGH-APR'!C37</f>
        <v>0.56999999999999995</v>
      </c>
      <c r="BJ578" s="263">
        <v>577</v>
      </c>
      <c r="BK578" s="9">
        <v>25</v>
      </c>
      <c r="BL578" s="9">
        <v>1</v>
      </c>
      <c r="BM578" s="167">
        <f>'HourGH-MAY'!C37</f>
        <v>0.19</v>
      </c>
      <c r="BN578" s="9">
        <v>577</v>
      </c>
      <c r="BO578" s="9">
        <v>25</v>
      </c>
      <c r="BP578" s="9">
        <v>1</v>
      </c>
      <c r="BQ578" s="167">
        <f>'HourGH-JUN'!C37</f>
        <v>0.28000000000000003</v>
      </c>
      <c r="BR578" s="263">
        <v>577</v>
      </c>
      <c r="BS578" s="9">
        <v>25</v>
      </c>
      <c r="BT578" s="9">
        <v>1</v>
      </c>
      <c r="BU578" s="167">
        <f>'HourGH-JUL'!C37</f>
        <v>0.52</v>
      </c>
      <c r="BV578" s="263">
        <v>577</v>
      </c>
      <c r="BW578" s="9">
        <v>25</v>
      </c>
      <c r="BX578" s="9">
        <v>1</v>
      </c>
      <c r="BY578" s="167">
        <f>'HourGH-AUG'!C37</f>
        <v>0.8</v>
      </c>
      <c r="BZ578" s="9">
        <v>577</v>
      </c>
      <c r="CA578" s="9">
        <v>25</v>
      </c>
      <c r="CB578" s="9">
        <v>1</v>
      </c>
      <c r="CC578" s="167">
        <f>'HourGH-SEP'!C37</f>
        <v>0.82</v>
      </c>
      <c r="CD578" s="263">
        <v>577</v>
      </c>
      <c r="CE578" s="9">
        <v>25</v>
      </c>
      <c r="CF578" s="9">
        <v>1</v>
      </c>
      <c r="CG578" s="167">
        <f>'HourGH-OCT'!C37</f>
        <v>1.61</v>
      </c>
      <c r="CH578" s="9">
        <v>577</v>
      </c>
      <c r="CI578" s="9">
        <v>25</v>
      </c>
      <c r="CJ578" s="9">
        <v>1</v>
      </c>
      <c r="CK578" s="167">
        <f>'HourGH-NOV'!C37</f>
        <v>0.6</v>
      </c>
      <c r="CL578" s="263">
        <v>577</v>
      </c>
      <c r="CM578" s="9">
        <v>25</v>
      </c>
      <c r="CN578" s="9">
        <v>1</v>
      </c>
      <c r="CO578" s="167">
        <f>'HourGH-DEC'!C37</f>
        <v>0.45</v>
      </c>
      <c r="CP578" s="263">
        <v>577</v>
      </c>
      <c r="CQ578" s="9">
        <v>25</v>
      </c>
      <c r="CR578" s="9">
        <v>1</v>
      </c>
      <c r="CS578" s="167">
        <f>'HourGH-JAN'!C37</f>
        <v>0.57999999999999996</v>
      </c>
      <c r="CT578" s="9">
        <v>577</v>
      </c>
      <c r="CU578" s="9">
        <v>25</v>
      </c>
      <c r="CV578" s="9">
        <v>1</v>
      </c>
      <c r="CW578" s="167">
        <f>'HourGH-FEB'!C37</f>
        <v>0.31</v>
      </c>
      <c r="CX578" s="263">
        <v>577</v>
      </c>
      <c r="CY578" s="9">
        <v>25</v>
      </c>
      <c r="CZ578" s="9">
        <v>1</v>
      </c>
      <c r="DA578" s="167">
        <f>'HourGH-MAR'!C37</f>
        <v>0.57999999999999996</v>
      </c>
    </row>
    <row r="579" spans="58:105">
      <c r="BF579" s="9">
        <v>578</v>
      </c>
      <c r="BG579" s="9">
        <v>25</v>
      </c>
      <c r="BH579" s="9">
        <v>2</v>
      </c>
      <c r="BI579" s="167">
        <f>'HourGH-APR'!D37</f>
        <v>0.56999999999999995</v>
      </c>
      <c r="BJ579" s="263">
        <v>578</v>
      </c>
      <c r="BK579" s="9">
        <v>25</v>
      </c>
      <c r="BL579" s="9">
        <v>2</v>
      </c>
      <c r="BM579" s="167">
        <f>'HourGH-MAY'!D37</f>
        <v>0.19</v>
      </c>
      <c r="BN579" s="9">
        <v>578</v>
      </c>
      <c r="BO579" s="9">
        <v>25</v>
      </c>
      <c r="BP579" s="9">
        <v>2</v>
      </c>
      <c r="BQ579" s="167">
        <f>'HourGH-JUN'!D37</f>
        <v>0.27</v>
      </c>
      <c r="BR579" s="263">
        <v>578</v>
      </c>
      <c r="BS579" s="9">
        <v>25</v>
      </c>
      <c r="BT579" s="9">
        <v>2</v>
      </c>
      <c r="BU579" s="167">
        <f>'HourGH-JUL'!D37</f>
        <v>0.51</v>
      </c>
      <c r="BV579" s="263">
        <v>578</v>
      </c>
      <c r="BW579" s="9">
        <v>25</v>
      </c>
      <c r="BX579" s="9">
        <v>2</v>
      </c>
      <c r="BY579" s="167">
        <f>'HourGH-AUG'!D37</f>
        <v>0.79</v>
      </c>
      <c r="BZ579" s="9">
        <v>578</v>
      </c>
      <c r="CA579" s="9">
        <v>25</v>
      </c>
      <c r="CB579" s="9">
        <v>2</v>
      </c>
      <c r="CC579" s="167">
        <f>'HourGH-SEP'!D37</f>
        <v>0.82</v>
      </c>
      <c r="CD579" s="263">
        <v>578</v>
      </c>
      <c r="CE579" s="9">
        <v>25</v>
      </c>
      <c r="CF579" s="9">
        <v>2</v>
      </c>
      <c r="CG579" s="167">
        <f>'HourGH-OCT'!D37</f>
        <v>1.59</v>
      </c>
      <c r="CH579" s="9">
        <v>578</v>
      </c>
      <c r="CI579" s="9">
        <v>25</v>
      </c>
      <c r="CJ579" s="9">
        <v>2</v>
      </c>
      <c r="CK579" s="167">
        <f>'HourGH-NOV'!D37</f>
        <v>0.6</v>
      </c>
      <c r="CL579" s="263">
        <v>578</v>
      </c>
      <c r="CM579" s="9">
        <v>25</v>
      </c>
      <c r="CN579" s="9">
        <v>2</v>
      </c>
      <c r="CO579" s="167">
        <f>'HourGH-DEC'!D37</f>
        <v>0.45</v>
      </c>
      <c r="CP579" s="263">
        <v>578</v>
      </c>
      <c r="CQ579" s="9">
        <v>25</v>
      </c>
      <c r="CR579" s="9">
        <v>2</v>
      </c>
      <c r="CS579" s="167">
        <f>'HourGH-JAN'!D37</f>
        <v>0.61</v>
      </c>
      <c r="CT579" s="9">
        <v>578</v>
      </c>
      <c r="CU579" s="9">
        <v>25</v>
      </c>
      <c r="CV579" s="9">
        <v>2</v>
      </c>
      <c r="CW579" s="167">
        <f>'HourGH-FEB'!D37</f>
        <v>0.3</v>
      </c>
      <c r="CX579" s="263">
        <v>578</v>
      </c>
      <c r="CY579" s="9">
        <v>25</v>
      </c>
      <c r="CZ579" s="9">
        <v>2</v>
      </c>
      <c r="DA579" s="167">
        <f>'HourGH-MAR'!D37</f>
        <v>0.57999999999999996</v>
      </c>
    </row>
    <row r="580" spans="58:105">
      <c r="BF580" s="9">
        <v>579</v>
      </c>
      <c r="BG580" s="9">
        <v>25</v>
      </c>
      <c r="BH580" s="9">
        <v>3</v>
      </c>
      <c r="BI580" s="167">
        <f>'HourGH-APR'!E37</f>
        <v>0.56999999999999995</v>
      </c>
      <c r="BJ580" s="263">
        <v>579</v>
      </c>
      <c r="BK580" s="9">
        <v>25</v>
      </c>
      <c r="BL580" s="9">
        <v>3</v>
      </c>
      <c r="BM580" s="167">
        <f>'HourGH-MAY'!E37</f>
        <v>0.19</v>
      </c>
      <c r="BN580" s="9">
        <v>579</v>
      </c>
      <c r="BO580" s="9">
        <v>25</v>
      </c>
      <c r="BP580" s="9">
        <v>3</v>
      </c>
      <c r="BQ580" s="167">
        <f>'HourGH-JUN'!E37</f>
        <v>0.26</v>
      </c>
      <c r="BR580" s="263">
        <v>579</v>
      </c>
      <c r="BS580" s="9">
        <v>25</v>
      </c>
      <c r="BT580" s="9">
        <v>3</v>
      </c>
      <c r="BU580" s="167">
        <f>'HourGH-JUL'!E37</f>
        <v>0.5</v>
      </c>
      <c r="BV580" s="263">
        <v>579</v>
      </c>
      <c r="BW580" s="9">
        <v>25</v>
      </c>
      <c r="BX580" s="9">
        <v>3</v>
      </c>
      <c r="BY580" s="167">
        <f>'HourGH-AUG'!E37</f>
        <v>0.78</v>
      </c>
      <c r="BZ580" s="9">
        <v>579</v>
      </c>
      <c r="CA580" s="9">
        <v>25</v>
      </c>
      <c r="CB580" s="9">
        <v>3</v>
      </c>
      <c r="CC580" s="167">
        <f>'HourGH-SEP'!E37</f>
        <v>0.82</v>
      </c>
      <c r="CD580" s="263">
        <v>579</v>
      </c>
      <c r="CE580" s="9">
        <v>25</v>
      </c>
      <c r="CF580" s="9">
        <v>3</v>
      </c>
      <c r="CG580" s="167">
        <f>'HourGH-OCT'!E37</f>
        <v>1.57</v>
      </c>
      <c r="CH580" s="9">
        <v>579</v>
      </c>
      <c r="CI580" s="9">
        <v>25</v>
      </c>
      <c r="CJ580" s="9">
        <v>3</v>
      </c>
      <c r="CK580" s="167">
        <f>'HourGH-NOV'!E37</f>
        <v>0.6</v>
      </c>
      <c r="CL580" s="263">
        <v>579</v>
      </c>
      <c r="CM580" s="9">
        <v>25</v>
      </c>
      <c r="CN580" s="9">
        <v>3</v>
      </c>
      <c r="CO580" s="167">
        <f>'HourGH-DEC'!E37</f>
        <v>0.45</v>
      </c>
      <c r="CP580" s="263">
        <v>579</v>
      </c>
      <c r="CQ580" s="9">
        <v>25</v>
      </c>
      <c r="CR580" s="9">
        <v>3</v>
      </c>
      <c r="CS580" s="167">
        <f>'HourGH-JAN'!E37</f>
        <v>0.64</v>
      </c>
      <c r="CT580" s="9">
        <v>579</v>
      </c>
      <c r="CU580" s="9">
        <v>25</v>
      </c>
      <c r="CV580" s="9">
        <v>3</v>
      </c>
      <c r="CW580" s="167">
        <f>'HourGH-FEB'!E37</f>
        <v>0.28999999999999998</v>
      </c>
      <c r="CX580" s="263">
        <v>579</v>
      </c>
      <c r="CY580" s="9">
        <v>25</v>
      </c>
      <c r="CZ580" s="9">
        <v>3</v>
      </c>
      <c r="DA580" s="167">
        <f>'HourGH-MAR'!E37</f>
        <v>0.57999999999999996</v>
      </c>
    </row>
    <row r="581" spans="58:105">
      <c r="BF581" s="9">
        <v>580</v>
      </c>
      <c r="BG581" s="9">
        <v>25</v>
      </c>
      <c r="BH581" s="9">
        <v>4</v>
      </c>
      <c r="BI581" s="167">
        <f>'HourGH-APR'!F37</f>
        <v>0.56999999999999995</v>
      </c>
      <c r="BJ581" s="263">
        <v>580</v>
      </c>
      <c r="BK581" s="9">
        <v>25</v>
      </c>
      <c r="BL581" s="9">
        <v>4</v>
      </c>
      <c r="BM581" s="167">
        <f>'HourGH-MAY'!F37</f>
        <v>0.19</v>
      </c>
      <c r="BN581" s="9">
        <v>580</v>
      </c>
      <c r="BO581" s="9">
        <v>25</v>
      </c>
      <c r="BP581" s="9">
        <v>4</v>
      </c>
      <c r="BQ581" s="167">
        <f>'HourGH-JUN'!F37</f>
        <v>0.25</v>
      </c>
      <c r="BR581" s="263">
        <v>580</v>
      </c>
      <c r="BS581" s="9">
        <v>25</v>
      </c>
      <c r="BT581" s="9">
        <v>4</v>
      </c>
      <c r="BU581" s="167">
        <f>'HourGH-JUL'!F37</f>
        <v>0.5</v>
      </c>
      <c r="BV581" s="263">
        <v>580</v>
      </c>
      <c r="BW581" s="9">
        <v>25</v>
      </c>
      <c r="BX581" s="9">
        <v>4</v>
      </c>
      <c r="BY581" s="167">
        <f>'HourGH-AUG'!F37</f>
        <v>0.78</v>
      </c>
      <c r="BZ581" s="9">
        <v>580</v>
      </c>
      <c r="CA581" s="9">
        <v>25</v>
      </c>
      <c r="CB581" s="9">
        <v>4</v>
      </c>
      <c r="CC581" s="167">
        <f>'HourGH-SEP'!F37</f>
        <v>0.82</v>
      </c>
      <c r="CD581" s="263">
        <v>580</v>
      </c>
      <c r="CE581" s="9">
        <v>25</v>
      </c>
      <c r="CF581" s="9">
        <v>4</v>
      </c>
      <c r="CG581" s="167">
        <f>'HourGH-OCT'!F37</f>
        <v>1.55</v>
      </c>
      <c r="CH581" s="9">
        <v>580</v>
      </c>
      <c r="CI581" s="9">
        <v>25</v>
      </c>
      <c r="CJ581" s="9">
        <v>4</v>
      </c>
      <c r="CK581" s="167">
        <f>'HourGH-NOV'!F37</f>
        <v>0.6</v>
      </c>
      <c r="CL581" s="263">
        <v>580</v>
      </c>
      <c r="CM581" s="9">
        <v>25</v>
      </c>
      <c r="CN581" s="9">
        <v>4</v>
      </c>
      <c r="CO581" s="167">
        <f>'HourGH-DEC'!F37</f>
        <v>0.45</v>
      </c>
      <c r="CP581" s="263">
        <v>580</v>
      </c>
      <c r="CQ581" s="9">
        <v>25</v>
      </c>
      <c r="CR581" s="9">
        <v>4</v>
      </c>
      <c r="CS581" s="167">
        <f>'HourGH-JAN'!F37</f>
        <v>0.67</v>
      </c>
      <c r="CT581" s="9">
        <v>580</v>
      </c>
      <c r="CU581" s="9">
        <v>25</v>
      </c>
      <c r="CV581" s="9">
        <v>4</v>
      </c>
      <c r="CW581" s="167">
        <f>'HourGH-FEB'!F37</f>
        <v>0.28000000000000003</v>
      </c>
      <c r="CX581" s="263">
        <v>580</v>
      </c>
      <c r="CY581" s="9">
        <v>25</v>
      </c>
      <c r="CZ581" s="9">
        <v>4</v>
      </c>
      <c r="DA581" s="167">
        <f>'HourGH-MAR'!F37</f>
        <v>0.56999999999999995</v>
      </c>
    </row>
    <row r="582" spans="58:105">
      <c r="BF582" s="9">
        <v>581</v>
      </c>
      <c r="BG582" s="9">
        <v>25</v>
      </c>
      <c r="BH582" s="9">
        <v>5</v>
      </c>
      <c r="BI582" s="167">
        <f>'HourGH-APR'!G37</f>
        <v>0.56999999999999995</v>
      </c>
      <c r="BJ582" s="263">
        <v>581</v>
      </c>
      <c r="BK582" s="9">
        <v>25</v>
      </c>
      <c r="BL582" s="9">
        <v>5</v>
      </c>
      <c r="BM582" s="167">
        <f>'HourGH-MAY'!G37</f>
        <v>0.19</v>
      </c>
      <c r="BN582" s="9">
        <v>581</v>
      </c>
      <c r="BO582" s="9">
        <v>25</v>
      </c>
      <c r="BP582" s="9">
        <v>5</v>
      </c>
      <c r="BQ582" s="167">
        <f>'HourGH-JUN'!G37</f>
        <v>0.24</v>
      </c>
      <c r="BR582" s="263">
        <v>581</v>
      </c>
      <c r="BS582" s="9">
        <v>25</v>
      </c>
      <c r="BT582" s="9">
        <v>5</v>
      </c>
      <c r="BU582" s="167">
        <f>'HourGH-JUL'!G37</f>
        <v>0.49</v>
      </c>
      <c r="BV582" s="263">
        <v>581</v>
      </c>
      <c r="BW582" s="9">
        <v>25</v>
      </c>
      <c r="BX582" s="9">
        <v>5</v>
      </c>
      <c r="BY582" s="167">
        <f>'HourGH-AUG'!G37</f>
        <v>0.77</v>
      </c>
      <c r="BZ582" s="9">
        <v>581</v>
      </c>
      <c r="CA582" s="9">
        <v>25</v>
      </c>
      <c r="CB582" s="9">
        <v>5</v>
      </c>
      <c r="CC582" s="167">
        <f>'HourGH-SEP'!G37</f>
        <v>0.82</v>
      </c>
      <c r="CD582" s="263">
        <v>581</v>
      </c>
      <c r="CE582" s="9">
        <v>25</v>
      </c>
      <c r="CF582" s="9">
        <v>5</v>
      </c>
      <c r="CG582" s="167">
        <f>'HourGH-OCT'!G37</f>
        <v>1.53</v>
      </c>
      <c r="CH582" s="9">
        <v>581</v>
      </c>
      <c r="CI582" s="9">
        <v>25</v>
      </c>
      <c r="CJ582" s="9">
        <v>5</v>
      </c>
      <c r="CK582" s="167">
        <f>'HourGH-NOV'!G37</f>
        <v>0.6</v>
      </c>
      <c r="CL582" s="263">
        <v>581</v>
      </c>
      <c r="CM582" s="9">
        <v>25</v>
      </c>
      <c r="CN582" s="9">
        <v>5</v>
      </c>
      <c r="CO582" s="167">
        <f>'HourGH-DEC'!G37</f>
        <v>0.45</v>
      </c>
      <c r="CP582" s="263">
        <v>581</v>
      </c>
      <c r="CQ582" s="9">
        <v>25</v>
      </c>
      <c r="CR582" s="9">
        <v>5</v>
      </c>
      <c r="CS582" s="167">
        <f>'HourGH-JAN'!G37</f>
        <v>0.7</v>
      </c>
      <c r="CT582" s="9">
        <v>581</v>
      </c>
      <c r="CU582" s="9">
        <v>25</v>
      </c>
      <c r="CV582" s="9">
        <v>5</v>
      </c>
      <c r="CW582" s="167">
        <f>'HourGH-FEB'!G37</f>
        <v>0.27</v>
      </c>
      <c r="CX582" s="263">
        <v>581</v>
      </c>
      <c r="CY582" s="9">
        <v>25</v>
      </c>
      <c r="CZ582" s="9">
        <v>5</v>
      </c>
      <c r="DA582" s="167">
        <f>'HourGH-MAR'!G37</f>
        <v>0.56999999999999995</v>
      </c>
    </row>
    <row r="583" spans="58:105">
      <c r="BF583" s="9">
        <v>582</v>
      </c>
      <c r="BG583" s="9">
        <v>25</v>
      </c>
      <c r="BH583" s="9">
        <v>6</v>
      </c>
      <c r="BI583" s="167">
        <f>'HourGH-APR'!H37</f>
        <v>0.56999999999999995</v>
      </c>
      <c r="BJ583" s="263">
        <v>582</v>
      </c>
      <c r="BK583" s="9">
        <v>25</v>
      </c>
      <c r="BL583" s="9">
        <v>6</v>
      </c>
      <c r="BM583" s="167">
        <f>'HourGH-MAY'!H37</f>
        <v>0.19</v>
      </c>
      <c r="BN583" s="9">
        <v>582</v>
      </c>
      <c r="BO583" s="9">
        <v>25</v>
      </c>
      <c r="BP583" s="9">
        <v>6</v>
      </c>
      <c r="BQ583" s="167">
        <f>'HourGH-JUN'!H37</f>
        <v>0.24</v>
      </c>
      <c r="BR583" s="263">
        <v>582</v>
      </c>
      <c r="BS583" s="9">
        <v>25</v>
      </c>
      <c r="BT583" s="9">
        <v>6</v>
      </c>
      <c r="BU583" s="167">
        <f>'HourGH-JUL'!H37</f>
        <v>0.49</v>
      </c>
      <c r="BV583" s="263">
        <v>582</v>
      </c>
      <c r="BW583" s="9">
        <v>25</v>
      </c>
      <c r="BX583" s="9">
        <v>6</v>
      </c>
      <c r="BY583" s="167">
        <f>'HourGH-AUG'!H37</f>
        <v>0.77</v>
      </c>
      <c r="BZ583" s="9">
        <v>582</v>
      </c>
      <c r="CA583" s="9">
        <v>25</v>
      </c>
      <c r="CB583" s="9">
        <v>6</v>
      </c>
      <c r="CC583" s="167">
        <f>'HourGH-SEP'!H37</f>
        <v>0.82</v>
      </c>
      <c r="CD583" s="263">
        <v>582</v>
      </c>
      <c r="CE583" s="9">
        <v>25</v>
      </c>
      <c r="CF583" s="9">
        <v>6</v>
      </c>
      <c r="CG583" s="167">
        <f>'HourGH-OCT'!H37</f>
        <v>1.51</v>
      </c>
      <c r="CH583" s="9">
        <v>582</v>
      </c>
      <c r="CI583" s="9">
        <v>25</v>
      </c>
      <c r="CJ583" s="9">
        <v>6</v>
      </c>
      <c r="CK583" s="167">
        <f>'HourGH-NOV'!H37</f>
        <v>0.6</v>
      </c>
      <c r="CL583" s="263">
        <v>582</v>
      </c>
      <c r="CM583" s="9">
        <v>25</v>
      </c>
      <c r="CN583" s="9">
        <v>6</v>
      </c>
      <c r="CO583" s="167">
        <f>'HourGH-DEC'!H37</f>
        <v>0.45</v>
      </c>
      <c r="CP583" s="263">
        <v>582</v>
      </c>
      <c r="CQ583" s="9">
        <v>25</v>
      </c>
      <c r="CR583" s="9">
        <v>6</v>
      </c>
      <c r="CS583" s="167">
        <f>'HourGH-JAN'!H37</f>
        <v>0.72</v>
      </c>
      <c r="CT583" s="9">
        <v>582</v>
      </c>
      <c r="CU583" s="9">
        <v>25</v>
      </c>
      <c r="CV583" s="9">
        <v>6</v>
      </c>
      <c r="CW583" s="167">
        <f>'HourGH-FEB'!H37</f>
        <v>0.26</v>
      </c>
      <c r="CX583" s="263">
        <v>582</v>
      </c>
      <c r="CY583" s="9">
        <v>25</v>
      </c>
      <c r="CZ583" s="9">
        <v>6</v>
      </c>
      <c r="DA583" s="167">
        <f>'HourGH-MAR'!H37</f>
        <v>0.56000000000000005</v>
      </c>
    </row>
    <row r="584" spans="58:105">
      <c r="BF584" s="9">
        <v>583</v>
      </c>
      <c r="BG584" s="9">
        <v>25</v>
      </c>
      <c r="BH584" s="9">
        <v>7</v>
      </c>
      <c r="BI584" s="167">
        <f>'HourGH-APR'!I37</f>
        <v>0.56999999999999995</v>
      </c>
      <c r="BJ584" s="263">
        <v>583</v>
      </c>
      <c r="BK584" s="9">
        <v>25</v>
      </c>
      <c r="BL584" s="9">
        <v>7</v>
      </c>
      <c r="BM584" s="167">
        <f>'HourGH-MAY'!I37</f>
        <v>0.18</v>
      </c>
      <c r="BN584" s="9">
        <v>583</v>
      </c>
      <c r="BO584" s="9">
        <v>25</v>
      </c>
      <c r="BP584" s="9">
        <v>7</v>
      </c>
      <c r="BQ584" s="167">
        <f>'HourGH-JUN'!I37</f>
        <v>0.24</v>
      </c>
      <c r="BR584" s="263">
        <v>583</v>
      </c>
      <c r="BS584" s="9">
        <v>25</v>
      </c>
      <c r="BT584" s="9">
        <v>7</v>
      </c>
      <c r="BU584" s="167">
        <f>'HourGH-JUL'!I37</f>
        <v>0.48</v>
      </c>
      <c r="BV584" s="263">
        <v>583</v>
      </c>
      <c r="BW584" s="9">
        <v>25</v>
      </c>
      <c r="BX584" s="9">
        <v>7</v>
      </c>
      <c r="BY584" s="167">
        <f>'HourGH-AUG'!I37</f>
        <v>0.77</v>
      </c>
      <c r="BZ584" s="9">
        <v>583</v>
      </c>
      <c r="CA584" s="9">
        <v>25</v>
      </c>
      <c r="CB584" s="9">
        <v>7</v>
      </c>
      <c r="CC584" s="167">
        <f>'HourGH-SEP'!I37</f>
        <v>0.82</v>
      </c>
      <c r="CD584" s="263">
        <v>583</v>
      </c>
      <c r="CE584" s="9">
        <v>25</v>
      </c>
      <c r="CF584" s="9">
        <v>7</v>
      </c>
      <c r="CG584" s="167">
        <f>'HourGH-OCT'!I37</f>
        <v>1.5</v>
      </c>
      <c r="CH584" s="9">
        <v>583</v>
      </c>
      <c r="CI584" s="9">
        <v>25</v>
      </c>
      <c r="CJ584" s="9">
        <v>7</v>
      </c>
      <c r="CK584" s="167">
        <f>'HourGH-NOV'!I37</f>
        <v>0.6</v>
      </c>
      <c r="CL584" s="263">
        <v>583</v>
      </c>
      <c r="CM584" s="9">
        <v>25</v>
      </c>
      <c r="CN584" s="9">
        <v>7</v>
      </c>
      <c r="CO584" s="167">
        <f>'HourGH-DEC'!I37</f>
        <v>0.47</v>
      </c>
      <c r="CP584" s="263">
        <v>583</v>
      </c>
      <c r="CQ584" s="9">
        <v>25</v>
      </c>
      <c r="CR584" s="9">
        <v>7</v>
      </c>
      <c r="CS584" s="167">
        <f>'HourGH-JAN'!I37</f>
        <v>0.72</v>
      </c>
      <c r="CT584" s="9">
        <v>583</v>
      </c>
      <c r="CU584" s="9">
        <v>25</v>
      </c>
      <c r="CV584" s="9">
        <v>7</v>
      </c>
      <c r="CW584" s="167">
        <f>'HourGH-FEB'!I37</f>
        <v>0.26</v>
      </c>
      <c r="CX584" s="263">
        <v>583</v>
      </c>
      <c r="CY584" s="9">
        <v>25</v>
      </c>
      <c r="CZ584" s="9">
        <v>7</v>
      </c>
      <c r="DA584" s="167">
        <f>'HourGH-MAR'!I37</f>
        <v>0.55000000000000004</v>
      </c>
    </row>
    <row r="585" spans="58:105">
      <c r="BF585" s="9">
        <v>584</v>
      </c>
      <c r="BG585" s="9">
        <v>25</v>
      </c>
      <c r="BH585" s="9">
        <v>8</v>
      </c>
      <c r="BI585" s="167">
        <f>'HourGH-APR'!J37</f>
        <v>0.56999999999999995</v>
      </c>
      <c r="BJ585" s="263">
        <v>584</v>
      </c>
      <c r="BK585" s="9">
        <v>25</v>
      </c>
      <c r="BL585" s="9">
        <v>8</v>
      </c>
      <c r="BM585" s="167">
        <f>'HourGH-MAY'!J37</f>
        <v>0.18</v>
      </c>
      <c r="BN585" s="9">
        <v>584</v>
      </c>
      <c r="BO585" s="9">
        <v>25</v>
      </c>
      <c r="BP585" s="9">
        <v>8</v>
      </c>
      <c r="BQ585" s="167">
        <f>'HourGH-JUN'!J37</f>
        <v>0.24</v>
      </c>
      <c r="BR585" s="263">
        <v>584</v>
      </c>
      <c r="BS585" s="9">
        <v>25</v>
      </c>
      <c r="BT585" s="9">
        <v>8</v>
      </c>
      <c r="BU585" s="167">
        <f>'HourGH-JUL'!J37</f>
        <v>0.48</v>
      </c>
      <c r="BV585" s="263">
        <v>584</v>
      </c>
      <c r="BW585" s="9">
        <v>25</v>
      </c>
      <c r="BX585" s="9">
        <v>8</v>
      </c>
      <c r="BY585" s="167">
        <f>'HourGH-AUG'!J37</f>
        <v>0.76</v>
      </c>
      <c r="BZ585" s="9">
        <v>584</v>
      </c>
      <c r="CA585" s="9">
        <v>25</v>
      </c>
      <c r="CB585" s="9">
        <v>8</v>
      </c>
      <c r="CC585" s="167">
        <f>'HourGH-SEP'!J37</f>
        <v>0.82</v>
      </c>
      <c r="CD585" s="263">
        <v>584</v>
      </c>
      <c r="CE585" s="9">
        <v>25</v>
      </c>
      <c r="CF585" s="9">
        <v>8</v>
      </c>
      <c r="CG585" s="167">
        <f>'HourGH-OCT'!J37</f>
        <v>1.49</v>
      </c>
      <c r="CH585" s="9">
        <v>584</v>
      </c>
      <c r="CI585" s="9">
        <v>25</v>
      </c>
      <c r="CJ585" s="9">
        <v>8</v>
      </c>
      <c r="CK585" s="167">
        <f>'HourGH-NOV'!J37</f>
        <v>0.6</v>
      </c>
      <c r="CL585" s="263">
        <v>584</v>
      </c>
      <c r="CM585" s="9">
        <v>25</v>
      </c>
      <c r="CN585" s="9">
        <v>8</v>
      </c>
      <c r="CO585" s="167">
        <f>'HourGH-DEC'!J37</f>
        <v>0.49</v>
      </c>
      <c r="CP585" s="263">
        <v>584</v>
      </c>
      <c r="CQ585" s="9">
        <v>25</v>
      </c>
      <c r="CR585" s="9">
        <v>8</v>
      </c>
      <c r="CS585" s="167">
        <f>'HourGH-JAN'!J37</f>
        <v>0.72</v>
      </c>
      <c r="CT585" s="9">
        <v>584</v>
      </c>
      <c r="CU585" s="9">
        <v>25</v>
      </c>
      <c r="CV585" s="9">
        <v>8</v>
      </c>
      <c r="CW585" s="167">
        <f>'HourGH-FEB'!J37</f>
        <v>0.26</v>
      </c>
      <c r="CX585" s="263">
        <v>584</v>
      </c>
      <c r="CY585" s="9">
        <v>25</v>
      </c>
      <c r="CZ585" s="9">
        <v>8</v>
      </c>
      <c r="DA585" s="167">
        <f>'HourGH-MAR'!J37</f>
        <v>0.54</v>
      </c>
    </row>
    <row r="586" spans="58:105">
      <c r="BF586" s="9">
        <v>585</v>
      </c>
      <c r="BG586" s="9">
        <v>25</v>
      </c>
      <c r="BH586" s="9">
        <v>9</v>
      </c>
      <c r="BI586" s="167">
        <f>'HourGH-APR'!K37</f>
        <v>0.56999999999999995</v>
      </c>
      <c r="BJ586" s="263">
        <v>585</v>
      </c>
      <c r="BK586" s="9">
        <v>25</v>
      </c>
      <c r="BL586" s="9">
        <v>9</v>
      </c>
      <c r="BM586" s="167">
        <f>'HourGH-MAY'!K37</f>
        <v>0.18</v>
      </c>
      <c r="BN586" s="9">
        <v>585</v>
      </c>
      <c r="BO586" s="9">
        <v>25</v>
      </c>
      <c r="BP586" s="9">
        <v>9</v>
      </c>
      <c r="BQ586" s="167">
        <f>'HourGH-JUN'!K37</f>
        <v>0.24</v>
      </c>
      <c r="BR586" s="263">
        <v>585</v>
      </c>
      <c r="BS586" s="9">
        <v>25</v>
      </c>
      <c r="BT586" s="9">
        <v>9</v>
      </c>
      <c r="BU586" s="167">
        <f>'HourGH-JUL'!K37</f>
        <v>0.47</v>
      </c>
      <c r="BV586" s="263">
        <v>585</v>
      </c>
      <c r="BW586" s="9">
        <v>25</v>
      </c>
      <c r="BX586" s="9">
        <v>9</v>
      </c>
      <c r="BY586" s="167">
        <f>'HourGH-AUG'!K37</f>
        <v>0.76</v>
      </c>
      <c r="BZ586" s="9">
        <v>585</v>
      </c>
      <c r="CA586" s="9">
        <v>25</v>
      </c>
      <c r="CB586" s="9">
        <v>9</v>
      </c>
      <c r="CC586" s="167">
        <f>'HourGH-SEP'!K37</f>
        <v>0.82</v>
      </c>
      <c r="CD586" s="263">
        <v>585</v>
      </c>
      <c r="CE586" s="9">
        <v>25</v>
      </c>
      <c r="CF586" s="9">
        <v>9</v>
      </c>
      <c r="CG586" s="167">
        <f>'HourGH-OCT'!K37</f>
        <v>1.48</v>
      </c>
      <c r="CH586" s="9">
        <v>585</v>
      </c>
      <c r="CI586" s="9">
        <v>25</v>
      </c>
      <c r="CJ586" s="9">
        <v>9</v>
      </c>
      <c r="CK586" s="167">
        <f>'HourGH-NOV'!K37</f>
        <v>0.6</v>
      </c>
      <c r="CL586" s="263">
        <v>585</v>
      </c>
      <c r="CM586" s="9">
        <v>25</v>
      </c>
      <c r="CN586" s="9">
        <v>9</v>
      </c>
      <c r="CO586" s="167">
        <f>'HourGH-DEC'!K37</f>
        <v>0.51</v>
      </c>
      <c r="CP586" s="263">
        <v>585</v>
      </c>
      <c r="CQ586" s="9">
        <v>25</v>
      </c>
      <c r="CR586" s="9">
        <v>9</v>
      </c>
      <c r="CS586" s="167">
        <f>'HourGH-JAN'!K37</f>
        <v>0.72</v>
      </c>
      <c r="CT586" s="9">
        <v>585</v>
      </c>
      <c r="CU586" s="9">
        <v>25</v>
      </c>
      <c r="CV586" s="9">
        <v>9</v>
      </c>
      <c r="CW586" s="167">
        <f>'HourGH-FEB'!K37</f>
        <v>0.26</v>
      </c>
      <c r="CX586" s="263">
        <v>585</v>
      </c>
      <c r="CY586" s="9">
        <v>25</v>
      </c>
      <c r="CZ586" s="9">
        <v>9</v>
      </c>
      <c r="DA586" s="167">
        <f>'HourGH-MAR'!K37</f>
        <v>0.53</v>
      </c>
    </row>
    <row r="587" spans="58:105">
      <c r="BF587" s="9">
        <v>586</v>
      </c>
      <c r="BG587" s="9">
        <v>25</v>
      </c>
      <c r="BH587" s="9">
        <v>10</v>
      </c>
      <c r="BI587" s="167">
        <f>'HourGH-APR'!L37</f>
        <v>0.56999999999999995</v>
      </c>
      <c r="BJ587" s="263">
        <v>586</v>
      </c>
      <c r="BK587" s="9">
        <v>25</v>
      </c>
      <c r="BL587" s="9">
        <v>10</v>
      </c>
      <c r="BM587" s="167">
        <f>'HourGH-MAY'!L37</f>
        <v>0.18</v>
      </c>
      <c r="BN587" s="9">
        <v>586</v>
      </c>
      <c r="BO587" s="9">
        <v>25</v>
      </c>
      <c r="BP587" s="9">
        <v>10</v>
      </c>
      <c r="BQ587" s="167">
        <f>'HourGH-JUN'!L37</f>
        <v>0.24</v>
      </c>
      <c r="BR587" s="263">
        <v>586</v>
      </c>
      <c r="BS587" s="9">
        <v>25</v>
      </c>
      <c r="BT587" s="9">
        <v>10</v>
      </c>
      <c r="BU587" s="167">
        <f>'HourGH-JUL'!L37</f>
        <v>0.47</v>
      </c>
      <c r="BV587" s="263">
        <v>586</v>
      </c>
      <c r="BW587" s="9">
        <v>25</v>
      </c>
      <c r="BX587" s="9">
        <v>10</v>
      </c>
      <c r="BY587" s="167">
        <f>'HourGH-AUG'!L37</f>
        <v>0.76</v>
      </c>
      <c r="BZ587" s="9">
        <v>586</v>
      </c>
      <c r="CA587" s="9">
        <v>25</v>
      </c>
      <c r="CB587" s="9">
        <v>10</v>
      </c>
      <c r="CC587" s="167">
        <f>'HourGH-SEP'!L37</f>
        <v>0.82</v>
      </c>
      <c r="CD587" s="263">
        <v>586</v>
      </c>
      <c r="CE587" s="9">
        <v>25</v>
      </c>
      <c r="CF587" s="9">
        <v>10</v>
      </c>
      <c r="CG587" s="167">
        <f>'HourGH-OCT'!L37</f>
        <v>1.46</v>
      </c>
      <c r="CH587" s="9">
        <v>586</v>
      </c>
      <c r="CI587" s="9">
        <v>25</v>
      </c>
      <c r="CJ587" s="9">
        <v>10</v>
      </c>
      <c r="CK587" s="167">
        <f>'HourGH-NOV'!L37</f>
        <v>0.6</v>
      </c>
      <c r="CL587" s="263">
        <v>586</v>
      </c>
      <c r="CM587" s="9">
        <v>25</v>
      </c>
      <c r="CN587" s="9">
        <v>10</v>
      </c>
      <c r="CO587" s="167">
        <f>'HourGH-DEC'!L37</f>
        <v>0.53</v>
      </c>
      <c r="CP587" s="263">
        <v>586</v>
      </c>
      <c r="CQ587" s="9">
        <v>25</v>
      </c>
      <c r="CR587" s="9">
        <v>10</v>
      </c>
      <c r="CS587" s="167">
        <f>'HourGH-JAN'!L37</f>
        <v>0.72</v>
      </c>
      <c r="CT587" s="9">
        <v>586</v>
      </c>
      <c r="CU587" s="9">
        <v>25</v>
      </c>
      <c r="CV587" s="9">
        <v>10</v>
      </c>
      <c r="CW587" s="167">
        <f>'HourGH-FEB'!L37</f>
        <v>0.26</v>
      </c>
      <c r="CX587" s="263">
        <v>586</v>
      </c>
      <c r="CY587" s="9">
        <v>25</v>
      </c>
      <c r="CZ587" s="9">
        <v>10</v>
      </c>
      <c r="DA587" s="167">
        <f>'HourGH-MAR'!L37</f>
        <v>0.51</v>
      </c>
    </row>
    <row r="588" spans="58:105">
      <c r="BF588" s="9">
        <v>587</v>
      </c>
      <c r="BG588" s="9">
        <v>25</v>
      </c>
      <c r="BH588" s="9">
        <v>11</v>
      </c>
      <c r="BI588" s="167">
        <f>'HourGH-APR'!M37</f>
        <v>0.56999999999999995</v>
      </c>
      <c r="BJ588" s="263">
        <v>587</v>
      </c>
      <c r="BK588" s="9">
        <v>25</v>
      </c>
      <c r="BL588" s="9">
        <v>11</v>
      </c>
      <c r="BM588" s="167">
        <f>'HourGH-MAY'!M37</f>
        <v>0.18</v>
      </c>
      <c r="BN588" s="9">
        <v>587</v>
      </c>
      <c r="BO588" s="9">
        <v>25</v>
      </c>
      <c r="BP588" s="9">
        <v>11</v>
      </c>
      <c r="BQ588" s="167">
        <f>'HourGH-JUN'!M37</f>
        <v>0.24</v>
      </c>
      <c r="BR588" s="263">
        <v>587</v>
      </c>
      <c r="BS588" s="9">
        <v>25</v>
      </c>
      <c r="BT588" s="9">
        <v>11</v>
      </c>
      <c r="BU588" s="167">
        <f>'HourGH-JUL'!M37</f>
        <v>0.46</v>
      </c>
      <c r="BV588" s="263">
        <v>587</v>
      </c>
      <c r="BW588" s="9">
        <v>25</v>
      </c>
      <c r="BX588" s="9">
        <v>11</v>
      </c>
      <c r="BY588" s="167">
        <f>'HourGH-AUG'!M37</f>
        <v>0.75</v>
      </c>
      <c r="BZ588" s="9">
        <v>587</v>
      </c>
      <c r="CA588" s="9">
        <v>25</v>
      </c>
      <c r="CB588" s="9">
        <v>11</v>
      </c>
      <c r="CC588" s="167">
        <f>'HourGH-SEP'!M37</f>
        <v>0.82</v>
      </c>
      <c r="CD588" s="263">
        <v>587</v>
      </c>
      <c r="CE588" s="9">
        <v>25</v>
      </c>
      <c r="CF588" s="9">
        <v>11</v>
      </c>
      <c r="CG588" s="167">
        <f>'HourGH-OCT'!M37</f>
        <v>1.45</v>
      </c>
      <c r="CH588" s="9">
        <v>587</v>
      </c>
      <c r="CI588" s="9">
        <v>25</v>
      </c>
      <c r="CJ588" s="9">
        <v>11</v>
      </c>
      <c r="CK588" s="167">
        <f>'HourGH-NOV'!M37</f>
        <v>0.6</v>
      </c>
      <c r="CL588" s="263">
        <v>587</v>
      </c>
      <c r="CM588" s="9">
        <v>25</v>
      </c>
      <c r="CN588" s="9">
        <v>11</v>
      </c>
      <c r="CO588" s="167">
        <f>'HourGH-DEC'!M37</f>
        <v>0.55000000000000004</v>
      </c>
      <c r="CP588" s="263">
        <v>587</v>
      </c>
      <c r="CQ588" s="9">
        <v>25</v>
      </c>
      <c r="CR588" s="9">
        <v>11</v>
      </c>
      <c r="CS588" s="167">
        <f>'HourGH-JAN'!M37</f>
        <v>0.72</v>
      </c>
      <c r="CT588" s="9">
        <v>587</v>
      </c>
      <c r="CU588" s="9">
        <v>25</v>
      </c>
      <c r="CV588" s="9">
        <v>11</v>
      </c>
      <c r="CW588" s="167">
        <f>'HourGH-FEB'!M37</f>
        <v>0.26</v>
      </c>
      <c r="CX588" s="263">
        <v>587</v>
      </c>
      <c r="CY588" s="9">
        <v>25</v>
      </c>
      <c r="CZ588" s="9">
        <v>11</v>
      </c>
      <c r="DA588" s="167">
        <f>'HourGH-MAR'!M37</f>
        <v>0.49</v>
      </c>
    </row>
    <row r="589" spans="58:105">
      <c r="BF589" s="9">
        <v>588</v>
      </c>
      <c r="BG589" s="9">
        <v>25</v>
      </c>
      <c r="BH589" s="9">
        <v>12</v>
      </c>
      <c r="BI589" s="167">
        <f>'HourGH-APR'!N37</f>
        <v>0.56999999999999995</v>
      </c>
      <c r="BJ589" s="263">
        <v>588</v>
      </c>
      <c r="BK589" s="9">
        <v>25</v>
      </c>
      <c r="BL589" s="9">
        <v>12</v>
      </c>
      <c r="BM589" s="167">
        <f>'HourGH-MAY'!N37</f>
        <v>0.18</v>
      </c>
      <c r="BN589" s="9">
        <v>588</v>
      </c>
      <c r="BO589" s="9">
        <v>25</v>
      </c>
      <c r="BP589" s="9">
        <v>12</v>
      </c>
      <c r="BQ589" s="167">
        <f>'HourGH-JUN'!N37</f>
        <v>0.23</v>
      </c>
      <c r="BR589" s="263">
        <v>588</v>
      </c>
      <c r="BS589" s="9">
        <v>25</v>
      </c>
      <c r="BT589" s="9">
        <v>12</v>
      </c>
      <c r="BU589" s="167">
        <f>'HourGH-JUL'!N37</f>
        <v>0.46</v>
      </c>
      <c r="BV589" s="263">
        <v>588</v>
      </c>
      <c r="BW589" s="9">
        <v>25</v>
      </c>
      <c r="BX589" s="9">
        <v>12</v>
      </c>
      <c r="BY589" s="167">
        <f>'HourGH-AUG'!N37</f>
        <v>0.75</v>
      </c>
      <c r="BZ589" s="9">
        <v>588</v>
      </c>
      <c r="CA589" s="9">
        <v>25</v>
      </c>
      <c r="CB589" s="9">
        <v>12</v>
      </c>
      <c r="CC589" s="167">
        <f>'HourGH-SEP'!N37</f>
        <v>0.82</v>
      </c>
      <c r="CD589" s="263">
        <v>588</v>
      </c>
      <c r="CE589" s="9">
        <v>25</v>
      </c>
      <c r="CF589" s="9">
        <v>12</v>
      </c>
      <c r="CG589" s="167">
        <f>'HourGH-OCT'!N37</f>
        <v>1.44</v>
      </c>
      <c r="CH589" s="9">
        <v>588</v>
      </c>
      <c r="CI589" s="9">
        <v>25</v>
      </c>
      <c r="CJ589" s="9">
        <v>12</v>
      </c>
      <c r="CK589" s="167">
        <f>'HourGH-NOV'!N37</f>
        <v>0.6</v>
      </c>
      <c r="CL589" s="263">
        <v>588</v>
      </c>
      <c r="CM589" s="9">
        <v>25</v>
      </c>
      <c r="CN589" s="9">
        <v>12</v>
      </c>
      <c r="CO589" s="167">
        <f>'HourGH-DEC'!N37</f>
        <v>0.56999999999999995</v>
      </c>
      <c r="CP589" s="263">
        <v>588</v>
      </c>
      <c r="CQ589" s="9">
        <v>25</v>
      </c>
      <c r="CR589" s="9">
        <v>12</v>
      </c>
      <c r="CS589" s="167">
        <f>'HourGH-JAN'!N37</f>
        <v>0.73</v>
      </c>
      <c r="CT589" s="9">
        <v>588</v>
      </c>
      <c r="CU589" s="9">
        <v>25</v>
      </c>
      <c r="CV589" s="9">
        <v>12</v>
      </c>
      <c r="CW589" s="167">
        <f>'HourGH-FEB'!N37</f>
        <v>0.26</v>
      </c>
      <c r="CX589" s="263">
        <v>588</v>
      </c>
      <c r="CY589" s="9">
        <v>25</v>
      </c>
      <c r="CZ589" s="9">
        <v>12</v>
      </c>
      <c r="DA589" s="167">
        <f>'HourGH-MAR'!N37</f>
        <v>0.47</v>
      </c>
    </row>
    <row r="590" spans="58:105">
      <c r="BF590" s="9">
        <v>589</v>
      </c>
      <c r="BG590" s="9">
        <v>25</v>
      </c>
      <c r="BH590" s="9">
        <v>13</v>
      </c>
      <c r="BI590" s="167">
        <f>'HourGH-APR'!O37</f>
        <v>0.56999999999999995</v>
      </c>
      <c r="BJ590" s="263">
        <v>589</v>
      </c>
      <c r="BK590" s="9">
        <v>25</v>
      </c>
      <c r="BL590" s="9">
        <v>13</v>
      </c>
      <c r="BM590" s="167">
        <f>'HourGH-MAY'!O37</f>
        <v>0.17</v>
      </c>
      <c r="BN590" s="9">
        <v>589</v>
      </c>
      <c r="BO590" s="9">
        <v>25</v>
      </c>
      <c r="BP590" s="9">
        <v>13</v>
      </c>
      <c r="BQ590" s="167">
        <f>'HourGH-JUN'!O37</f>
        <v>0.23</v>
      </c>
      <c r="BR590" s="263">
        <v>589</v>
      </c>
      <c r="BS590" s="9">
        <v>25</v>
      </c>
      <c r="BT590" s="9">
        <v>13</v>
      </c>
      <c r="BU590" s="167">
        <f>'HourGH-JUL'!O37</f>
        <v>0.45</v>
      </c>
      <c r="BV590" s="263">
        <v>589</v>
      </c>
      <c r="BW590" s="9">
        <v>25</v>
      </c>
      <c r="BX590" s="9">
        <v>13</v>
      </c>
      <c r="BY590" s="167">
        <f>'HourGH-AUG'!O37</f>
        <v>0.75</v>
      </c>
      <c r="BZ590" s="9">
        <v>589</v>
      </c>
      <c r="CA590" s="9">
        <v>25</v>
      </c>
      <c r="CB590" s="9">
        <v>13</v>
      </c>
      <c r="CC590" s="167">
        <f>'HourGH-SEP'!O37</f>
        <v>0.81</v>
      </c>
      <c r="CD590" s="263">
        <v>589</v>
      </c>
      <c r="CE590" s="9">
        <v>25</v>
      </c>
      <c r="CF590" s="9">
        <v>13</v>
      </c>
      <c r="CG590" s="167">
        <f>'HourGH-OCT'!O37</f>
        <v>1.43</v>
      </c>
      <c r="CH590" s="9">
        <v>589</v>
      </c>
      <c r="CI590" s="9">
        <v>25</v>
      </c>
      <c r="CJ590" s="9">
        <v>13</v>
      </c>
      <c r="CK590" s="167">
        <f>'HourGH-NOV'!O37</f>
        <v>0.59</v>
      </c>
      <c r="CL590" s="263">
        <v>589</v>
      </c>
      <c r="CM590" s="9">
        <v>25</v>
      </c>
      <c r="CN590" s="9">
        <v>13</v>
      </c>
      <c r="CO590" s="167">
        <f>'HourGH-DEC'!O37</f>
        <v>0.59</v>
      </c>
      <c r="CP590" s="263">
        <v>589</v>
      </c>
      <c r="CQ590" s="9">
        <v>25</v>
      </c>
      <c r="CR590" s="9">
        <v>13</v>
      </c>
      <c r="CS590" s="167">
        <f>'HourGH-JAN'!O37</f>
        <v>0.73</v>
      </c>
      <c r="CT590" s="9">
        <v>589</v>
      </c>
      <c r="CU590" s="9">
        <v>25</v>
      </c>
      <c r="CV590" s="9">
        <v>13</v>
      </c>
      <c r="CW590" s="167">
        <f>'HourGH-FEB'!O37</f>
        <v>0.26</v>
      </c>
      <c r="CX590" s="263">
        <v>589</v>
      </c>
      <c r="CY590" s="9">
        <v>25</v>
      </c>
      <c r="CZ590" s="9">
        <v>13</v>
      </c>
      <c r="DA590" s="167">
        <f>'HourGH-MAR'!O37</f>
        <v>0.45</v>
      </c>
    </row>
    <row r="591" spans="58:105">
      <c r="BF591" s="9">
        <v>590</v>
      </c>
      <c r="BG591" s="9">
        <v>25</v>
      </c>
      <c r="BH591" s="9">
        <v>14</v>
      </c>
      <c r="BI591" s="167">
        <f>'HourGH-APR'!P37</f>
        <v>0.56999999999999995</v>
      </c>
      <c r="BJ591" s="263">
        <v>590</v>
      </c>
      <c r="BK591" s="9">
        <v>25</v>
      </c>
      <c r="BL591" s="9">
        <v>14</v>
      </c>
      <c r="BM591" s="167">
        <f>'HourGH-MAY'!P37</f>
        <v>0.17</v>
      </c>
      <c r="BN591" s="9">
        <v>590</v>
      </c>
      <c r="BO591" s="9">
        <v>25</v>
      </c>
      <c r="BP591" s="9">
        <v>14</v>
      </c>
      <c r="BQ591" s="167">
        <f>'HourGH-JUN'!P37</f>
        <v>0.23</v>
      </c>
      <c r="BR591" s="263">
        <v>590</v>
      </c>
      <c r="BS591" s="9">
        <v>25</v>
      </c>
      <c r="BT591" s="9">
        <v>14</v>
      </c>
      <c r="BU591" s="167">
        <f>'HourGH-JUL'!P37</f>
        <v>0.45</v>
      </c>
      <c r="BV591" s="263">
        <v>590</v>
      </c>
      <c r="BW591" s="9">
        <v>25</v>
      </c>
      <c r="BX591" s="9">
        <v>14</v>
      </c>
      <c r="BY591" s="167">
        <f>'HourGH-AUG'!P37</f>
        <v>0.74</v>
      </c>
      <c r="BZ591" s="9">
        <v>590</v>
      </c>
      <c r="CA591" s="9">
        <v>25</v>
      </c>
      <c r="CB591" s="9">
        <v>14</v>
      </c>
      <c r="CC591" s="167">
        <f>'HourGH-SEP'!P37</f>
        <v>0.81</v>
      </c>
      <c r="CD591" s="263">
        <v>590</v>
      </c>
      <c r="CE591" s="9">
        <v>25</v>
      </c>
      <c r="CF591" s="9">
        <v>14</v>
      </c>
      <c r="CG591" s="167">
        <f>'HourGH-OCT'!P37</f>
        <v>1.42</v>
      </c>
      <c r="CH591" s="9">
        <v>590</v>
      </c>
      <c r="CI591" s="9">
        <v>25</v>
      </c>
      <c r="CJ591" s="9">
        <v>14</v>
      </c>
      <c r="CK591" s="167">
        <f>'HourGH-NOV'!P37</f>
        <v>0.59</v>
      </c>
      <c r="CL591" s="263">
        <v>590</v>
      </c>
      <c r="CM591" s="9">
        <v>25</v>
      </c>
      <c r="CN591" s="9">
        <v>14</v>
      </c>
      <c r="CO591" s="167">
        <f>'HourGH-DEC'!P37</f>
        <v>0.61</v>
      </c>
      <c r="CP591" s="263">
        <v>590</v>
      </c>
      <c r="CQ591" s="9">
        <v>25</v>
      </c>
      <c r="CR591" s="9">
        <v>14</v>
      </c>
      <c r="CS591" s="167">
        <f>'HourGH-JAN'!P37</f>
        <v>0.73</v>
      </c>
      <c r="CT591" s="9">
        <v>590</v>
      </c>
      <c r="CU591" s="9">
        <v>25</v>
      </c>
      <c r="CV591" s="9">
        <v>14</v>
      </c>
      <c r="CW591" s="167">
        <f>'HourGH-FEB'!P37</f>
        <v>0.26</v>
      </c>
      <c r="CX591" s="263">
        <v>590</v>
      </c>
      <c r="CY591" s="9">
        <v>25</v>
      </c>
      <c r="CZ591" s="9">
        <v>14</v>
      </c>
      <c r="DA591" s="167">
        <f>'HourGH-MAR'!P37</f>
        <v>0.43</v>
      </c>
    </row>
    <row r="592" spans="58:105">
      <c r="BF592" s="9">
        <v>591</v>
      </c>
      <c r="BG592" s="9">
        <v>25</v>
      </c>
      <c r="BH592" s="9">
        <v>15</v>
      </c>
      <c r="BI592" s="167">
        <f>'HourGH-APR'!Q37</f>
        <v>0.56999999999999995</v>
      </c>
      <c r="BJ592" s="263">
        <v>591</v>
      </c>
      <c r="BK592" s="9">
        <v>25</v>
      </c>
      <c r="BL592" s="9">
        <v>15</v>
      </c>
      <c r="BM592" s="167">
        <f>'HourGH-MAY'!Q37</f>
        <v>0.17</v>
      </c>
      <c r="BN592" s="9">
        <v>591</v>
      </c>
      <c r="BO592" s="9">
        <v>25</v>
      </c>
      <c r="BP592" s="9">
        <v>15</v>
      </c>
      <c r="BQ592" s="167">
        <f>'HourGH-JUN'!Q37</f>
        <v>0.23</v>
      </c>
      <c r="BR592" s="263">
        <v>591</v>
      </c>
      <c r="BS592" s="9">
        <v>25</v>
      </c>
      <c r="BT592" s="9">
        <v>15</v>
      </c>
      <c r="BU592" s="167">
        <f>'HourGH-JUL'!Q37</f>
        <v>0.44</v>
      </c>
      <c r="BV592" s="263">
        <v>591</v>
      </c>
      <c r="BW592" s="9">
        <v>25</v>
      </c>
      <c r="BX592" s="9">
        <v>15</v>
      </c>
      <c r="BY592" s="167">
        <f>'HourGH-AUG'!Q37</f>
        <v>0.74</v>
      </c>
      <c r="BZ592" s="9">
        <v>591</v>
      </c>
      <c r="CA592" s="9">
        <v>25</v>
      </c>
      <c r="CB592" s="9">
        <v>15</v>
      </c>
      <c r="CC592" s="167">
        <f>'HourGH-SEP'!Q37</f>
        <v>0.81</v>
      </c>
      <c r="CD592" s="263">
        <v>591</v>
      </c>
      <c r="CE592" s="9">
        <v>25</v>
      </c>
      <c r="CF592" s="9">
        <v>15</v>
      </c>
      <c r="CG592" s="167">
        <f>'HourGH-OCT'!Q37</f>
        <v>1.41</v>
      </c>
      <c r="CH592" s="9">
        <v>591</v>
      </c>
      <c r="CI592" s="9">
        <v>25</v>
      </c>
      <c r="CJ592" s="9">
        <v>15</v>
      </c>
      <c r="CK592" s="167">
        <f>'HourGH-NOV'!Q37</f>
        <v>0.59</v>
      </c>
      <c r="CL592" s="263">
        <v>591</v>
      </c>
      <c r="CM592" s="9">
        <v>25</v>
      </c>
      <c r="CN592" s="9">
        <v>15</v>
      </c>
      <c r="CO592" s="167">
        <f>'HourGH-DEC'!Q37</f>
        <v>0.62</v>
      </c>
      <c r="CP592" s="263">
        <v>591</v>
      </c>
      <c r="CQ592" s="9">
        <v>25</v>
      </c>
      <c r="CR592" s="9">
        <v>15</v>
      </c>
      <c r="CS592" s="167">
        <f>'HourGH-JAN'!Q37</f>
        <v>0.73</v>
      </c>
      <c r="CT592" s="9">
        <v>591</v>
      </c>
      <c r="CU592" s="9">
        <v>25</v>
      </c>
      <c r="CV592" s="9">
        <v>15</v>
      </c>
      <c r="CW592" s="167">
        <f>'HourGH-FEB'!Q37</f>
        <v>0.26</v>
      </c>
      <c r="CX592" s="263">
        <v>591</v>
      </c>
      <c r="CY592" s="9">
        <v>25</v>
      </c>
      <c r="CZ592" s="9">
        <v>15</v>
      </c>
      <c r="DA592" s="167">
        <f>'HourGH-MAR'!Q37</f>
        <v>0.41</v>
      </c>
    </row>
    <row r="593" spans="58:105">
      <c r="BF593" s="9">
        <v>592</v>
      </c>
      <c r="BG593" s="9">
        <v>25</v>
      </c>
      <c r="BH593" s="9">
        <v>16</v>
      </c>
      <c r="BI593" s="167">
        <f>'HourGH-APR'!R37</f>
        <v>0.56999999999999995</v>
      </c>
      <c r="BJ593" s="263">
        <v>592</v>
      </c>
      <c r="BK593" s="9">
        <v>25</v>
      </c>
      <c r="BL593" s="9">
        <v>16</v>
      </c>
      <c r="BM593" s="167">
        <f>'HourGH-MAY'!R37</f>
        <v>0.17</v>
      </c>
      <c r="BN593" s="9">
        <v>592</v>
      </c>
      <c r="BO593" s="9">
        <v>25</v>
      </c>
      <c r="BP593" s="9">
        <v>16</v>
      </c>
      <c r="BQ593" s="167">
        <f>'HourGH-JUN'!R37</f>
        <v>0.23</v>
      </c>
      <c r="BR593" s="263">
        <v>592</v>
      </c>
      <c r="BS593" s="9">
        <v>25</v>
      </c>
      <c r="BT593" s="9">
        <v>16</v>
      </c>
      <c r="BU593" s="167">
        <f>'HourGH-JUL'!R37</f>
        <v>0.44</v>
      </c>
      <c r="BV593" s="263">
        <v>592</v>
      </c>
      <c r="BW593" s="9">
        <v>25</v>
      </c>
      <c r="BX593" s="9">
        <v>16</v>
      </c>
      <c r="BY593" s="167">
        <f>'HourGH-AUG'!R37</f>
        <v>0.74</v>
      </c>
      <c r="BZ593" s="9">
        <v>592</v>
      </c>
      <c r="CA593" s="9">
        <v>25</v>
      </c>
      <c r="CB593" s="9">
        <v>16</v>
      </c>
      <c r="CC593" s="167">
        <f>'HourGH-SEP'!R37</f>
        <v>0.81</v>
      </c>
      <c r="CD593" s="263">
        <v>592</v>
      </c>
      <c r="CE593" s="9">
        <v>25</v>
      </c>
      <c r="CF593" s="9">
        <v>16</v>
      </c>
      <c r="CG593" s="167">
        <f>'HourGH-OCT'!R37</f>
        <v>1.4</v>
      </c>
      <c r="CH593" s="9">
        <v>592</v>
      </c>
      <c r="CI593" s="9">
        <v>25</v>
      </c>
      <c r="CJ593" s="9">
        <v>16</v>
      </c>
      <c r="CK593" s="167">
        <f>'HourGH-NOV'!R37</f>
        <v>0.59</v>
      </c>
      <c r="CL593" s="263">
        <v>592</v>
      </c>
      <c r="CM593" s="9">
        <v>25</v>
      </c>
      <c r="CN593" s="9">
        <v>16</v>
      </c>
      <c r="CO593" s="167">
        <f>'HourGH-DEC'!R37</f>
        <v>0.63</v>
      </c>
      <c r="CP593" s="263">
        <v>592</v>
      </c>
      <c r="CQ593" s="9">
        <v>25</v>
      </c>
      <c r="CR593" s="9">
        <v>16</v>
      </c>
      <c r="CS593" s="167">
        <f>'HourGH-JAN'!R37</f>
        <v>0.73</v>
      </c>
      <c r="CT593" s="9">
        <v>592</v>
      </c>
      <c r="CU593" s="9">
        <v>25</v>
      </c>
      <c r="CV593" s="9">
        <v>16</v>
      </c>
      <c r="CW593" s="167">
        <f>'HourGH-FEB'!R37</f>
        <v>0.26</v>
      </c>
      <c r="CX593" s="263">
        <v>592</v>
      </c>
      <c r="CY593" s="9">
        <v>25</v>
      </c>
      <c r="CZ593" s="9">
        <v>16</v>
      </c>
      <c r="DA593" s="167">
        <f>'HourGH-MAR'!R37</f>
        <v>0.39</v>
      </c>
    </row>
    <row r="594" spans="58:105">
      <c r="BF594" s="9">
        <v>593</v>
      </c>
      <c r="BG594" s="9">
        <v>25</v>
      </c>
      <c r="BH594" s="9">
        <v>17</v>
      </c>
      <c r="BI594" s="167">
        <f>'HourGH-APR'!S37</f>
        <v>0.56999999999999995</v>
      </c>
      <c r="BJ594" s="263">
        <v>593</v>
      </c>
      <c r="BK594" s="9">
        <v>25</v>
      </c>
      <c r="BL594" s="9">
        <v>17</v>
      </c>
      <c r="BM594" s="167">
        <f>'HourGH-MAY'!S37</f>
        <v>0.17</v>
      </c>
      <c r="BN594" s="9">
        <v>593</v>
      </c>
      <c r="BO594" s="9">
        <v>25</v>
      </c>
      <c r="BP594" s="9">
        <v>17</v>
      </c>
      <c r="BQ594" s="167">
        <f>'HourGH-JUN'!S37</f>
        <v>0.23</v>
      </c>
      <c r="BR594" s="263">
        <v>593</v>
      </c>
      <c r="BS594" s="9">
        <v>25</v>
      </c>
      <c r="BT594" s="9">
        <v>17</v>
      </c>
      <c r="BU594" s="167">
        <f>'HourGH-JUL'!S37</f>
        <v>0.44</v>
      </c>
      <c r="BV594" s="263">
        <v>593</v>
      </c>
      <c r="BW594" s="9">
        <v>25</v>
      </c>
      <c r="BX594" s="9">
        <v>17</v>
      </c>
      <c r="BY594" s="167">
        <f>'HourGH-AUG'!S37</f>
        <v>0.74</v>
      </c>
      <c r="BZ594" s="9">
        <v>593</v>
      </c>
      <c r="CA594" s="9">
        <v>25</v>
      </c>
      <c r="CB594" s="9">
        <v>17</v>
      </c>
      <c r="CC594" s="167">
        <f>'HourGH-SEP'!S37</f>
        <v>0.81</v>
      </c>
      <c r="CD594" s="263">
        <v>593</v>
      </c>
      <c r="CE594" s="9">
        <v>25</v>
      </c>
      <c r="CF594" s="9">
        <v>17</v>
      </c>
      <c r="CG594" s="167">
        <f>'HourGH-OCT'!S37</f>
        <v>1.39</v>
      </c>
      <c r="CH594" s="9">
        <v>593</v>
      </c>
      <c r="CI594" s="9">
        <v>25</v>
      </c>
      <c r="CJ594" s="9">
        <v>17</v>
      </c>
      <c r="CK594" s="167">
        <f>'HourGH-NOV'!S37</f>
        <v>0.59</v>
      </c>
      <c r="CL594" s="263">
        <v>593</v>
      </c>
      <c r="CM594" s="9">
        <v>25</v>
      </c>
      <c r="CN594" s="9">
        <v>17</v>
      </c>
      <c r="CO594" s="167">
        <f>'HourGH-DEC'!S37</f>
        <v>0.63</v>
      </c>
      <c r="CP594" s="263">
        <v>593</v>
      </c>
      <c r="CQ594" s="9">
        <v>25</v>
      </c>
      <c r="CR594" s="9">
        <v>17</v>
      </c>
      <c r="CS594" s="167">
        <f>'HourGH-JAN'!S37</f>
        <v>0.73</v>
      </c>
      <c r="CT594" s="9">
        <v>593</v>
      </c>
      <c r="CU594" s="9">
        <v>25</v>
      </c>
      <c r="CV594" s="9">
        <v>17</v>
      </c>
      <c r="CW594" s="167">
        <f>'HourGH-FEB'!S37</f>
        <v>0.26</v>
      </c>
      <c r="CX594" s="263">
        <v>593</v>
      </c>
      <c r="CY594" s="9">
        <v>25</v>
      </c>
      <c r="CZ594" s="9">
        <v>17</v>
      </c>
      <c r="DA594" s="167">
        <f>'HourGH-MAR'!S37</f>
        <v>0.38</v>
      </c>
    </row>
    <row r="595" spans="58:105">
      <c r="BF595" s="9">
        <v>594</v>
      </c>
      <c r="BG595" s="9">
        <v>25</v>
      </c>
      <c r="BH595" s="9">
        <v>18</v>
      </c>
      <c r="BI595" s="167">
        <f>'HourGH-APR'!T37</f>
        <v>0.56999999999999995</v>
      </c>
      <c r="BJ595" s="263">
        <v>594</v>
      </c>
      <c r="BK595" s="9">
        <v>25</v>
      </c>
      <c r="BL595" s="9">
        <v>18</v>
      </c>
      <c r="BM595" s="167">
        <f>'HourGH-MAY'!T37</f>
        <v>0.17</v>
      </c>
      <c r="BN595" s="9">
        <v>594</v>
      </c>
      <c r="BO595" s="9">
        <v>25</v>
      </c>
      <c r="BP595" s="9">
        <v>18</v>
      </c>
      <c r="BQ595" s="167">
        <f>'HourGH-JUN'!T37</f>
        <v>0.24</v>
      </c>
      <c r="BR595" s="263">
        <v>594</v>
      </c>
      <c r="BS595" s="9">
        <v>25</v>
      </c>
      <c r="BT595" s="9">
        <v>18</v>
      </c>
      <c r="BU595" s="167">
        <f>'HourGH-JUL'!T37</f>
        <v>0.44</v>
      </c>
      <c r="BV595" s="263">
        <v>594</v>
      </c>
      <c r="BW595" s="9">
        <v>25</v>
      </c>
      <c r="BX595" s="9">
        <v>18</v>
      </c>
      <c r="BY595" s="167">
        <f>'HourGH-AUG'!T37</f>
        <v>0.74</v>
      </c>
      <c r="BZ595" s="9">
        <v>594</v>
      </c>
      <c r="CA595" s="9">
        <v>25</v>
      </c>
      <c r="CB595" s="9">
        <v>18</v>
      </c>
      <c r="CC595" s="167">
        <f>'HourGH-SEP'!T37</f>
        <v>0.81</v>
      </c>
      <c r="CD595" s="263">
        <v>594</v>
      </c>
      <c r="CE595" s="9">
        <v>25</v>
      </c>
      <c r="CF595" s="9">
        <v>18</v>
      </c>
      <c r="CG595" s="167">
        <f>'HourGH-OCT'!T37</f>
        <v>1.38</v>
      </c>
      <c r="CH595" s="9">
        <v>594</v>
      </c>
      <c r="CI595" s="9">
        <v>25</v>
      </c>
      <c r="CJ595" s="9">
        <v>18</v>
      </c>
      <c r="CK595" s="167">
        <f>'HourGH-NOV'!T37</f>
        <v>0.59</v>
      </c>
      <c r="CL595" s="263">
        <v>594</v>
      </c>
      <c r="CM595" s="9">
        <v>25</v>
      </c>
      <c r="CN595" s="9">
        <v>18</v>
      </c>
      <c r="CO595" s="167">
        <f>'HourGH-DEC'!T37</f>
        <v>0.63</v>
      </c>
      <c r="CP595" s="263">
        <v>594</v>
      </c>
      <c r="CQ595" s="9">
        <v>25</v>
      </c>
      <c r="CR595" s="9">
        <v>18</v>
      </c>
      <c r="CS595" s="167">
        <f>'HourGH-JAN'!T37</f>
        <v>0.73</v>
      </c>
      <c r="CT595" s="9">
        <v>594</v>
      </c>
      <c r="CU595" s="9">
        <v>25</v>
      </c>
      <c r="CV595" s="9">
        <v>18</v>
      </c>
      <c r="CW595" s="167">
        <f>'HourGH-FEB'!T37</f>
        <v>0.26</v>
      </c>
      <c r="CX595" s="263">
        <v>594</v>
      </c>
      <c r="CY595" s="9">
        <v>25</v>
      </c>
      <c r="CZ595" s="9">
        <v>18</v>
      </c>
      <c r="DA595" s="167">
        <f>'HourGH-MAR'!T37</f>
        <v>0.37</v>
      </c>
    </row>
    <row r="596" spans="58:105">
      <c r="BF596" s="9">
        <v>595</v>
      </c>
      <c r="BG596" s="9">
        <v>25</v>
      </c>
      <c r="BH596" s="9">
        <v>19</v>
      </c>
      <c r="BI596" s="167">
        <f>'HourGH-APR'!U37</f>
        <v>0.56999999999999995</v>
      </c>
      <c r="BJ596" s="263">
        <v>595</v>
      </c>
      <c r="BK596" s="9">
        <v>25</v>
      </c>
      <c r="BL596" s="9">
        <v>19</v>
      </c>
      <c r="BM596" s="167">
        <f>'HourGH-MAY'!U37</f>
        <v>0.16</v>
      </c>
      <c r="BN596" s="9">
        <v>595</v>
      </c>
      <c r="BO596" s="9">
        <v>25</v>
      </c>
      <c r="BP596" s="9">
        <v>19</v>
      </c>
      <c r="BQ596" s="167">
        <f>'HourGH-JUN'!U37</f>
        <v>0.24</v>
      </c>
      <c r="BR596" s="263">
        <v>595</v>
      </c>
      <c r="BS596" s="9">
        <v>25</v>
      </c>
      <c r="BT596" s="9">
        <v>19</v>
      </c>
      <c r="BU596" s="167">
        <f>'HourGH-JUL'!U37</f>
        <v>0.43</v>
      </c>
      <c r="BV596" s="263">
        <v>595</v>
      </c>
      <c r="BW596" s="9">
        <v>25</v>
      </c>
      <c r="BX596" s="9">
        <v>19</v>
      </c>
      <c r="BY596" s="167">
        <f>'HourGH-AUG'!U37</f>
        <v>0.73</v>
      </c>
      <c r="BZ596" s="9">
        <v>595</v>
      </c>
      <c r="CA596" s="9">
        <v>25</v>
      </c>
      <c r="CB596" s="9">
        <v>19</v>
      </c>
      <c r="CC596" s="167">
        <f>'HourGH-SEP'!U37</f>
        <v>0.82</v>
      </c>
      <c r="CD596" s="263">
        <v>595</v>
      </c>
      <c r="CE596" s="9">
        <v>25</v>
      </c>
      <c r="CF596" s="9">
        <v>19</v>
      </c>
      <c r="CG596" s="167">
        <f>'HourGH-OCT'!U37</f>
        <v>1.37</v>
      </c>
      <c r="CH596" s="9">
        <v>595</v>
      </c>
      <c r="CI596" s="9">
        <v>25</v>
      </c>
      <c r="CJ596" s="9">
        <v>19</v>
      </c>
      <c r="CK596" s="167">
        <f>'HourGH-NOV'!U37</f>
        <v>0.59</v>
      </c>
      <c r="CL596" s="263">
        <v>595</v>
      </c>
      <c r="CM596" s="9">
        <v>25</v>
      </c>
      <c r="CN596" s="9">
        <v>19</v>
      </c>
      <c r="CO596" s="167">
        <f>'HourGH-DEC'!U37</f>
        <v>0.62</v>
      </c>
      <c r="CP596" s="263">
        <v>595</v>
      </c>
      <c r="CQ596" s="9">
        <v>25</v>
      </c>
      <c r="CR596" s="9">
        <v>19</v>
      </c>
      <c r="CS596" s="167">
        <f>'HourGH-JAN'!U37</f>
        <v>0.73</v>
      </c>
      <c r="CT596" s="9">
        <v>595</v>
      </c>
      <c r="CU596" s="9">
        <v>25</v>
      </c>
      <c r="CV596" s="9">
        <v>19</v>
      </c>
      <c r="CW596" s="167">
        <f>'HourGH-FEB'!U37</f>
        <v>0.26</v>
      </c>
      <c r="CX596" s="263">
        <v>595</v>
      </c>
      <c r="CY596" s="9">
        <v>25</v>
      </c>
      <c r="CZ596" s="9">
        <v>19</v>
      </c>
      <c r="DA596" s="167">
        <f>'HourGH-MAR'!U37</f>
        <v>0.35</v>
      </c>
    </row>
    <row r="597" spans="58:105">
      <c r="BF597" s="9">
        <v>596</v>
      </c>
      <c r="BG597" s="9">
        <v>25</v>
      </c>
      <c r="BH597" s="9">
        <v>20</v>
      </c>
      <c r="BI597" s="167">
        <f>'HourGH-APR'!V37</f>
        <v>0.56999999999999995</v>
      </c>
      <c r="BJ597" s="263">
        <v>596</v>
      </c>
      <c r="BK597" s="9">
        <v>25</v>
      </c>
      <c r="BL597" s="9">
        <v>20</v>
      </c>
      <c r="BM597" s="167">
        <f>'HourGH-MAY'!V37</f>
        <v>0.16</v>
      </c>
      <c r="BN597" s="9">
        <v>596</v>
      </c>
      <c r="BO597" s="9">
        <v>25</v>
      </c>
      <c r="BP597" s="9">
        <v>20</v>
      </c>
      <c r="BQ597" s="167">
        <f>'HourGH-JUN'!V37</f>
        <v>0.24</v>
      </c>
      <c r="BR597" s="263">
        <v>596</v>
      </c>
      <c r="BS597" s="9">
        <v>25</v>
      </c>
      <c r="BT597" s="9">
        <v>20</v>
      </c>
      <c r="BU597" s="167">
        <f>'HourGH-JUL'!V37</f>
        <v>0.43</v>
      </c>
      <c r="BV597" s="263">
        <v>596</v>
      </c>
      <c r="BW597" s="9">
        <v>25</v>
      </c>
      <c r="BX597" s="9">
        <v>20</v>
      </c>
      <c r="BY597" s="167">
        <f>'HourGH-AUG'!V37</f>
        <v>0.73</v>
      </c>
      <c r="BZ597" s="9">
        <v>596</v>
      </c>
      <c r="CA597" s="9">
        <v>25</v>
      </c>
      <c r="CB597" s="9">
        <v>20</v>
      </c>
      <c r="CC597" s="167">
        <f>'HourGH-SEP'!V37</f>
        <v>0.82</v>
      </c>
      <c r="CD597" s="263">
        <v>596</v>
      </c>
      <c r="CE597" s="9">
        <v>25</v>
      </c>
      <c r="CF597" s="9">
        <v>20</v>
      </c>
      <c r="CG597" s="167">
        <f>'HourGH-OCT'!V37</f>
        <v>1.37</v>
      </c>
      <c r="CH597" s="9">
        <v>596</v>
      </c>
      <c r="CI597" s="9">
        <v>25</v>
      </c>
      <c r="CJ597" s="9">
        <v>20</v>
      </c>
      <c r="CK597" s="167">
        <f>'HourGH-NOV'!V37</f>
        <v>0.59</v>
      </c>
      <c r="CL597" s="263">
        <v>596</v>
      </c>
      <c r="CM597" s="9">
        <v>25</v>
      </c>
      <c r="CN597" s="9">
        <v>20</v>
      </c>
      <c r="CO597" s="167">
        <f>'HourGH-DEC'!V37</f>
        <v>0.61</v>
      </c>
      <c r="CP597" s="263">
        <v>596</v>
      </c>
      <c r="CQ597" s="9">
        <v>25</v>
      </c>
      <c r="CR597" s="9">
        <v>20</v>
      </c>
      <c r="CS597" s="167">
        <f>'HourGH-JAN'!V37</f>
        <v>0.73</v>
      </c>
      <c r="CT597" s="9">
        <v>596</v>
      </c>
      <c r="CU597" s="9">
        <v>25</v>
      </c>
      <c r="CV597" s="9">
        <v>20</v>
      </c>
      <c r="CW597" s="167">
        <f>'HourGH-FEB'!V37</f>
        <v>0.26</v>
      </c>
      <c r="CX597" s="263">
        <v>596</v>
      </c>
      <c r="CY597" s="9">
        <v>25</v>
      </c>
      <c r="CZ597" s="9">
        <v>20</v>
      </c>
      <c r="DA597" s="167">
        <f>'HourGH-MAR'!V37</f>
        <v>0.33</v>
      </c>
    </row>
    <row r="598" spans="58:105">
      <c r="BF598" s="9">
        <v>597</v>
      </c>
      <c r="BG598" s="9">
        <v>25</v>
      </c>
      <c r="BH598" s="9">
        <v>21</v>
      </c>
      <c r="BI598" s="167">
        <f>'HourGH-APR'!W37</f>
        <v>0.56999999999999995</v>
      </c>
      <c r="BJ598" s="263">
        <v>597</v>
      </c>
      <c r="BK598" s="9">
        <v>25</v>
      </c>
      <c r="BL598" s="9">
        <v>21</v>
      </c>
      <c r="BM598" s="167">
        <f>'HourGH-MAY'!W37</f>
        <v>0.16</v>
      </c>
      <c r="BN598" s="9">
        <v>597</v>
      </c>
      <c r="BO598" s="9">
        <v>25</v>
      </c>
      <c r="BP598" s="9">
        <v>21</v>
      </c>
      <c r="BQ598" s="167">
        <f>'HourGH-JUN'!W37</f>
        <v>0.24</v>
      </c>
      <c r="BR598" s="263">
        <v>597</v>
      </c>
      <c r="BS598" s="9">
        <v>25</v>
      </c>
      <c r="BT598" s="9">
        <v>21</v>
      </c>
      <c r="BU598" s="167">
        <f>'HourGH-JUL'!W37</f>
        <v>0.43</v>
      </c>
      <c r="BV598" s="263">
        <v>597</v>
      </c>
      <c r="BW598" s="9">
        <v>25</v>
      </c>
      <c r="BX598" s="9">
        <v>21</v>
      </c>
      <c r="BY598" s="167">
        <f>'HourGH-AUG'!W37</f>
        <v>0.73</v>
      </c>
      <c r="BZ598" s="9">
        <v>597</v>
      </c>
      <c r="CA598" s="9">
        <v>25</v>
      </c>
      <c r="CB598" s="9">
        <v>21</v>
      </c>
      <c r="CC598" s="167">
        <f>'HourGH-SEP'!W37</f>
        <v>0.82</v>
      </c>
      <c r="CD598" s="263">
        <v>597</v>
      </c>
      <c r="CE598" s="9">
        <v>25</v>
      </c>
      <c r="CF598" s="9">
        <v>21</v>
      </c>
      <c r="CG598" s="167">
        <f>'HourGH-OCT'!W37</f>
        <v>1.36</v>
      </c>
      <c r="CH598" s="9">
        <v>597</v>
      </c>
      <c r="CI598" s="9">
        <v>25</v>
      </c>
      <c r="CJ598" s="9">
        <v>21</v>
      </c>
      <c r="CK598" s="167">
        <f>'HourGH-NOV'!W37</f>
        <v>0.59</v>
      </c>
      <c r="CL598" s="263">
        <v>597</v>
      </c>
      <c r="CM598" s="9">
        <v>25</v>
      </c>
      <c r="CN598" s="9">
        <v>21</v>
      </c>
      <c r="CO598" s="167">
        <f>'HourGH-DEC'!W37</f>
        <v>0.6</v>
      </c>
      <c r="CP598" s="263">
        <v>597</v>
      </c>
      <c r="CQ598" s="9">
        <v>25</v>
      </c>
      <c r="CR598" s="9">
        <v>21</v>
      </c>
      <c r="CS598" s="167">
        <f>'HourGH-JAN'!W37</f>
        <v>0.73</v>
      </c>
      <c r="CT598" s="9">
        <v>597</v>
      </c>
      <c r="CU598" s="9">
        <v>25</v>
      </c>
      <c r="CV598" s="9">
        <v>21</v>
      </c>
      <c r="CW598" s="167">
        <f>'HourGH-FEB'!W37</f>
        <v>0.26</v>
      </c>
      <c r="CX598" s="263">
        <v>597</v>
      </c>
      <c r="CY598" s="9">
        <v>25</v>
      </c>
      <c r="CZ598" s="9">
        <v>21</v>
      </c>
      <c r="DA598" s="167">
        <f>'HourGH-MAR'!W37</f>
        <v>0.3</v>
      </c>
    </row>
    <row r="599" spans="58:105">
      <c r="BF599" s="9">
        <v>598</v>
      </c>
      <c r="BG599" s="9">
        <v>25</v>
      </c>
      <c r="BH599" s="9">
        <v>22</v>
      </c>
      <c r="BI599" s="167">
        <f>'HourGH-APR'!X37</f>
        <v>0.56999999999999995</v>
      </c>
      <c r="BJ599" s="263">
        <v>598</v>
      </c>
      <c r="BK599" s="9">
        <v>25</v>
      </c>
      <c r="BL599" s="9">
        <v>22</v>
      </c>
      <c r="BM599" s="167">
        <f>'HourGH-MAY'!X37</f>
        <v>0.16</v>
      </c>
      <c r="BN599" s="9">
        <v>598</v>
      </c>
      <c r="BO599" s="9">
        <v>25</v>
      </c>
      <c r="BP599" s="9">
        <v>22</v>
      </c>
      <c r="BQ599" s="167">
        <f>'HourGH-JUN'!X37</f>
        <v>0.24</v>
      </c>
      <c r="BR599" s="263">
        <v>598</v>
      </c>
      <c r="BS599" s="9">
        <v>25</v>
      </c>
      <c r="BT599" s="9">
        <v>22</v>
      </c>
      <c r="BU599" s="167">
        <f>'HourGH-JUL'!X37</f>
        <v>0.43</v>
      </c>
      <c r="BV599" s="263">
        <v>598</v>
      </c>
      <c r="BW599" s="9">
        <v>25</v>
      </c>
      <c r="BX599" s="9">
        <v>22</v>
      </c>
      <c r="BY599" s="167">
        <f>'HourGH-AUG'!X37</f>
        <v>0.73</v>
      </c>
      <c r="BZ599" s="9">
        <v>598</v>
      </c>
      <c r="CA599" s="9">
        <v>25</v>
      </c>
      <c r="CB599" s="9">
        <v>22</v>
      </c>
      <c r="CC599" s="167">
        <f>'HourGH-SEP'!X37</f>
        <v>0.83</v>
      </c>
      <c r="CD599" s="263">
        <v>598</v>
      </c>
      <c r="CE599" s="9">
        <v>25</v>
      </c>
      <c r="CF599" s="9">
        <v>22</v>
      </c>
      <c r="CG599" s="167">
        <f>'HourGH-OCT'!X37</f>
        <v>1.36</v>
      </c>
      <c r="CH599" s="9">
        <v>598</v>
      </c>
      <c r="CI599" s="9">
        <v>25</v>
      </c>
      <c r="CJ599" s="9">
        <v>22</v>
      </c>
      <c r="CK599" s="167">
        <f>'HourGH-NOV'!X37</f>
        <v>0.59</v>
      </c>
      <c r="CL599" s="263">
        <v>598</v>
      </c>
      <c r="CM599" s="9">
        <v>25</v>
      </c>
      <c r="CN599" s="9">
        <v>22</v>
      </c>
      <c r="CO599" s="167">
        <f>'HourGH-DEC'!X37</f>
        <v>0.59</v>
      </c>
      <c r="CP599" s="263">
        <v>598</v>
      </c>
      <c r="CQ599" s="9">
        <v>25</v>
      </c>
      <c r="CR599" s="9">
        <v>22</v>
      </c>
      <c r="CS599" s="167">
        <f>'HourGH-JAN'!X37</f>
        <v>0.73</v>
      </c>
      <c r="CT599" s="9">
        <v>598</v>
      </c>
      <c r="CU599" s="9">
        <v>25</v>
      </c>
      <c r="CV599" s="9">
        <v>22</v>
      </c>
      <c r="CW599" s="167">
        <f>'HourGH-FEB'!X37</f>
        <v>0.26</v>
      </c>
      <c r="CX599" s="263">
        <v>598</v>
      </c>
      <c r="CY599" s="9">
        <v>25</v>
      </c>
      <c r="CZ599" s="9">
        <v>22</v>
      </c>
      <c r="DA599" s="167">
        <f>'HourGH-MAR'!X37</f>
        <v>0.28000000000000003</v>
      </c>
    </row>
    <row r="600" spans="58:105">
      <c r="BF600" s="9">
        <v>599</v>
      </c>
      <c r="BG600" s="9">
        <v>25</v>
      </c>
      <c r="BH600" s="9">
        <v>23</v>
      </c>
      <c r="BI600" s="167">
        <f>'HourGH-APR'!Y37</f>
        <v>0.56999999999999995</v>
      </c>
      <c r="BJ600" s="263">
        <v>599</v>
      </c>
      <c r="BK600" s="9">
        <v>25</v>
      </c>
      <c r="BL600" s="9">
        <v>23</v>
      </c>
      <c r="BM600" s="167">
        <f>'HourGH-MAY'!Y37</f>
        <v>0.16</v>
      </c>
      <c r="BN600" s="9">
        <v>599</v>
      </c>
      <c r="BO600" s="9">
        <v>25</v>
      </c>
      <c r="BP600" s="9">
        <v>23</v>
      </c>
      <c r="BQ600" s="167">
        <f>'HourGH-JUN'!Y37</f>
        <v>0.24</v>
      </c>
      <c r="BR600" s="263">
        <v>599</v>
      </c>
      <c r="BS600" s="9">
        <v>25</v>
      </c>
      <c r="BT600" s="9">
        <v>23</v>
      </c>
      <c r="BU600" s="167">
        <f>'HourGH-JUL'!Y37</f>
        <v>0.43</v>
      </c>
      <c r="BV600" s="263">
        <v>599</v>
      </c>
      <c r="BW600" s="9">
        <v>25</v>
      </c>
      <c r="BX600" s="9">
        <v>23</v>
      </c>
      <c r="BY600" s="167">
        <f>'HourGH-AUG'!Y37</f>
        <v>0.73</v>
      </c>
      <c r="BZ600" s="9">
        <v>599</v>
      </c>
      <c r="CA600" s="9">
        <v>25</v>
      </c>
      <c r="CB600" s="9">
        <v>23</v>
      </c>
      <c r="CC600" s="167">
        <f>'HourGH-SEP'!Y37</f>
        <v>0.83</v>
      </c>
      <c r="CD600" s="263">
        <v>599</v>
      </c>
      <c r="CE600" s="9">
        <v>25</v>
      </c>
      <c r="CF600" s="9">
        <v>23</v>
      </c>
      <c r="CG600" s="167">
        <f>'HourGH-OCT'!Y37</f>
        <v>1.35</v>
      </c>
      <c r="CH600" s="9">
        <v>599</v>
      </c>
      <c r="CI600" s="9">
        <v>25</v>
      </c>
      <c r="CJ600" s="9">
        <v>23</v>
      </c>
      <c r="CK600" s="167">
        <f>'HourGH-NOV'!Y37</f>
        <v>0.59</v>
      </c>
      <c r="CL600" s="263">
        <v>599</v>
      </c>
      <c r="CM600" s="9">
        <v>25</v>
      </c>
      <c r="CN600" s="9">
        <v>23</v>
      </c>
      <c r="CO600" s="167">
        <f>'HourGH-DEC'!Y37</f>
        <v>0.56000000000000005</v>
      </c>
      <c r="CP600" s="263">
        <v>599</v>
      </c>
      <c r="CQ600" s="9">
        <v>25</v>
      </c>
      <c r="CR600" s="9">
        <v>23</v>
      </c>
      <c r="CS600" s="167">
        <f>'HourGH-JAN'!Y37</f>
        <v>0.73</v>
      </c>
      <c r="CT600" s="9">
        <v>599</v>
      </c>
      <c r="CU600" s="9">
        <v>25</v>
      </c>
      <c r="CV600" s="9">
        <v>23</v>
      </c>
      <c r="CW600" s="167">
        <f>'HourGH-FEB'!Y37</f>
        <v>0.26</v>
      </c>
      <c r="CX600" s="263">
        <v>599</v>
      </c>
      <c r="CY600" s="9">
        <v>25</v>
      </c>
      <c r="CZ600" s="9">
        <v>23</v>
      </c>
      <c r="DA600" s="167">
        <f>'HourGH-MAR'!Y37</f>
        <v>0.26</v>
      </c>
    </row>
    <row r="601" spans="58:105">
      <c r="BF601" s="9">
        <v>600</v>
      </c>
      <c r="BG601" s="9">
        <v>25</v>
      </c>
      <c r="BH601" s="9">
        <v>24</v>
      </c>
      <c r="BI601" s="167">
        <f>'HourGH-APR'!Z37</f>
        <v>0.56999999999999995</v>
      </c>
      <c r="BJ601" s="263">
        <v>600</v>
      </c>
      <c r="BK601" s="9">
        <v>25</v>
      </c>
      <c r="BL601" s="9">
        <v>24</v>
      </c>
      <c r="BM601" s="167">
        <f>'HourGH-MAY'!Z37</f>
        <v>0.16</v>
      </c>
      <c r="BN601" s="9">
        <v>600</v>
      </c>
      <c r="BO601" s="9">
        <v>25</v>
      </c>
      <c r="BP601" s="9">
        <v>24</v>
      </c>
      <c r="BQ601" s="167">
        <f>'HourGH-JUN'!Z37</f>
        <v>0.24</v>
      </c>
      <c r="BR601" s="263">
        <v>600</v>
      </c>
      <c r="BS601" s="9">
        <v>25</v>
      </c>
      <c r="BT601" s="9">
        <v>24</v>
      </c>
      <c r="BU601" s="167">
        <f>'HourGH-JUL'!Z37</f>
        <v>0.43</v>
      </c>
      <c r="BV601" s="263">
        <v>600</v>
      </c>
      <c r="BW601" s="9">
        <v>25</v>
      </c>
      <c r="BX601" s="9">
        <v>24</v>
      </c>
      <c r="BY601" s="167">
        <f>'HourGH-AUG'!Z37</f>
        <v>0.73</v>
      </c>
      <c r="BZ601" s="9">
        <v>600</v>
      </c>
      <c r="CA601" s="9">
        <v>25</v>
      </c>
      <c r="CB601" s="9">
        <v>24</v>
      </c>
      <c r="CC601" s="167">
        <f>'HourGH-SEP'!Z37</f>
        <v>0.84</v>
      </c>
      <c r="CD601" s="263">
        <v>600</v>
      </c>
      <c r="CE601" s="9">
        <v>25</v>
      </c>
      <c r="CF601" s="9">
        <v>24</v>
      </c>
      <c r="CG601" s="167">
        <f>'HourGH-OCT'!Z37</f>
        <v>1.35</v>
      </c>
      <c r="CH601" s="9">
        <v>600</v>
      </c>
      <c r="CI601" s="9">
        <v>25</v>
      </c>
      <c r="CJ601" s="9">
        <v>24</v>
      </c>
      <c r="CK601" s="167">
        <f>'HourGH-NOV'!Z37</f>
        <v>0.59</v>
      </c>
      <c r="CL601" s="263">
        <v>600</v>
      </c>
      <c r="CM601" s="9">
        <v>25</v>
      </c>
      <c r="CN601" s="9">
        <v>24</v>
      </c>
      <c r="CO601" s="167">
        <f>'HourGH-DEC'!Z37</f>
        <v>0.53</v>
      </c>
      <c r="CP601" s="263">
        <v>600</v>
      </c>
      <c r="CQ601" s="9">
        <v>25</v>
      </c>
      <c r="CR601" s="9">
        <v>24</v>
      </c>
      <c r="CS601" s="167">
        <f>'HourGH-JAN'!Z37</f>
        <v>0.73</v>
      </c>
      <c r="CT601" s="9">
        <v>600</v>
      </c>
      <c r="CU601" s="9">
        <v>25</v>
      </c>
      <c r="CV601" s="9">
        <v>24</v>
      </c>
      <c r="CW601" s="167">
        <f>'HourGH-FEB'!Z37</f>
        <v>0.26</v>
      </c>
      <c r="CX601" s="263">
        <v>600</v>
      </c>
      <c r="CY601" s="9">
        <v>25</v>
      </c>
      <c r="CZ601" s="9">
        <v>24</v>
      </c>
      <c r="DA601" s="167">
        <f>'HourGH-MAR'!Z37</f>
        <v>0.25</v>
      </c>
    </row>
    <row r="602" spans="58:105">
      <c r="BF602" s="9">
        <v>601</v>
      </c>
      <c r="BG602" s="9">
        <v>26</v>
      </c>
      <c r="BH602" s="9">
        <v>1</v>
      </c>
      <c r="BI602" s="167">
        <f>'HourGH-APR'!C38</f>
        <v>0.56000000000000005</v>
      </c>
      <c r="BJ602" s="263">
        <v>601</v>
      </c>
      <c r="BK602" s="9">
        <v>26</v>
      </c>
      <c r="BL602" s="9">
        <v>1</v>
      </c>
      <c r="BM602" s="167">
        <f>'HourGH-MAY'!C38</f>
        <v>0.15</v>
      </c>
      <c r="BN602" s="9">
        <v>601</v>
      </c>
      <c r="BO602" s="9">
        <v>26</v>
      </c>
      <c r="BP602" s="9">
        <v>1</v>
      </c>
      <c r="BQ602" s="167">
        <f>'HourGH-JUN'!C38</f>
        <v>0.25</v>
      </c>
      <c r="BR602" s="263">
        <v>601</v>
      </c>
      <c r="BS602" s="9">
        <v>26</v>
      </c>
      <c r="BT602" s="9">
        <v>1</v>
      </c>
      <c r="BU602" s="167">
        <f>'HourGH-JUL'!C38</f>
        <v>0.42</v>
      </c>
      <c r="BV602" s="263">
        <v>601</v>
      </c>
      <c r="BW602" s="9">
        <v>26</v>
      </c>
      <c r="BX602" s="9">
        <v>1</v>
      </c>
      <c r="BY602" s="167">
        <f>'HourGH-AUG'!C38</f>
        <v>0.72</v>
      </c>
      <c r="BZ602" s="9">
        <v>601</v>
      </c>
      <c r="CA602" s="9">
        <v>26</v>
      </c>
      <c r="CB602" s="9">
        <v>1</v>
      </c>
      <c r="CC602" s="167">
        <f>'HourGH-SEP'!C38</f>
        <v>0.84</v>
      </c>
      <c r="CD602" s="263">
        <v>601</v>
      </c>
      <c r="CE602" s="9">
        <v>26</v>
      </c>
      <c r="CF602" s="9">
        <v>1</v>
      </c>
      <c r="CG602" s="167">
        <f>'HourGH-OCT'!C38</f>
        <v>1.34</v>
      </c>
      <c r="CH602" s="9">
        <v>601</v>
      </c>
      <c r="CI602" s="9">
        <v>26</v>
      </c>
      <c r="CJ602" s="9">
        <v>1</v>
      </c>
      <c r="CK602" s="167">
        <f>'HourGH-NOV'!C38</f>
        <v>0.57999999999999996</v>
      </c>
      <c r="CL602" s="263">
        <v>601</v>
      </c>
      <c r="CM602" s="9">
        <v>26</v>
      </c>
      <c r="CN602" s="9">
        <v>1</v>
      </c>
      <c r="CO602" s="167">
        <f>'HourGH-DEC'!C38</f>
        <v>0.51</v>
      </c>
      <c r="CP602" s="263">
        <v>601</v>
      </c>
      <c r="CQ602" s="9">
        <v>26</v>
      </c>
      <c r="CR602" s="9">
        <v>1</v>
      </c>
      <c r="CS602" s="167">
        <f>'HourGH-JAN'!C38</f>
        <v>0.72</v>
      </c>
      <c r="CT602" s="9">
        <v>601</v>
      </c>
      <c r="CU602" s="9">
        <v>26</v>
      </c>
      <c r="CV602" s="9">
        <v>1</v>
      </c>
      <c r="CW602" s="167">
        <f>'HourGH-FEB'!C38</f>
        <v>0.25</v>
      </c>
      <c r="CX602" s="263">
        <v>601</v>
      </c>
      <c r="CY602" s="9">
        <v>26</v>
      </c>
      <c r="CZ602" s="9">
        <v>1</v>
      </c>
      <c r="DA602" s="167">
        <f>'HourGH-MAR'!C38</f>
        <v>0.24</v>
      </c>
    </row>
    <row r="603" spans="58:105">
      <c r="BF603" s="9">
        <v>602</v>
      </c>
      <c r="BG603" s="9">
        <v>26</v>
      </c>
      <c r="BH603" s="9">
        <v>2</v>
      </c>
      <c r="BI603" s="167">
        <f>'HourGH-APR'!D38</f>
        <v>0.56000000000000005</v>
      </c>
      <c r="BJ603" s="263">
        <v>602</v>
      </c>
      <c r="BK603" s="9">
        <v>26</v>
      </c>
      <c r="BL603" s="9">
        <v>2</v>
      </c>
      <c r="BM603" s="167">
        <f>'HourGH-MAY'!D38</f>
        <v>0.15</v>
      </c>
      <c r="BN603" s="9">
        <v>602</v>
      </c>
      <c r="BO603" s="9">
        <v>26</v>
      </c>
      <c r="BP603" s="9">
        <v>2</v>
      </c>
      <c r="BQ603" s="167">
        <f>'HourGH-JUN'!D38</f>
        <v>0.25</v>
      </c>
      <c r="BR603" s="263">
        <v>602</v>
      </c>
      <c r="BS603" s="9">
        <v>26</v>
      </c>
      <c r="BT603" s="9">
        <v>2</v>
      </c>
      <c r="BU603" s="167">
        <f>'HourGH-JUL'!D38</f>
        <v>0.42</v>
      </c>
      <c r="BV603" s="263">
        <v>602</v>
      </c>
      <c r="BW603" s="9">
        <v>26</v>
      </c>
      <c r="BX603" s="9">
        <v>2</v>
      </c>
      <c r="BY603" s="167">
        <f>'HourGH-AUG'!D38</f>
        <v>0.72</v>
      </c>
      <c r="BZ603" s="9">
        <v>602</v>
      </c>
      <c r="CA603" s="9">
        <v>26</v>
      </c>
      <c r="CB603" s="9">
        <v>2</v>
      </c>
      <c r="CC603" s="167">
        <f>'HourGH-SEP'!D38</f>
        <v>0.85</v>
      </c>
      <c r="CD603" s="263">
        <v>602</v>
      </c>
      <c r="CE603" s="9">
        <v>26</v>
      </c>
      <c r="CF603" s="9">
        <v>2</v>
      </c>
      <c r="CG603" s="167">
        <f>'HourGH-OCT'!D38</f>
        <v>1.34</v>
      </c>
      <c r="CH603" s="9">
        <v>602</v>
      </c>
      <c r="CI603" s="9">
        <v>26</v>
      </c>
      <c r="CJ603" s="9">
        <v>2</v>
      </c>
      <c r="CK603" s="167">
        <f>'HourGH-NOV'!D38</f>
        <v>0.57999999999999996</v>
      </c>
      <c r="CL603" s="263">
        <v>602</v>
      </c>
      <c r="CM603" s="9">
        <v>26</v>
      </c>
      <c r="CN603" s="9">
        <v>2</v>
      </c>
      <c r="CO603" s="167">
        <f>'HourGH-DEC'!D38</f>
        <v>0.49</v>
      </c>
      <c r="CP603" s="263">
        <v>602</v>
      </c>
      <c r="CQ603" s="9">
        <v>26</v>
      </c>
      <c r="CR603" s="9">
        <v>2</v>
      </c>
      <c r="CS603" s="167">
        <f>'HourGH-JAN'!D38</f>
        <v>0.72</v>
      </c>
      <c r="CT603" s="9">
        <v>602</v>
      </c>
      <c r="CU603" s="9">
        <v>26</v>
      </c>
      <c r="CV603" s="9">
        <v>2</v>
      </c>
      <c r="CW603" s="167">
        <f>'HourGH-FEB'!D38</f>
        <v>0.25</v>
      </c>
      <c r="CX603" s="263">
        <v>602</v>
      </c>
      <c r="CY603" s="9">
        <v>26</v>
      </c>
      <c r="CZ603" s="9">
        <v>2</v>
      </c>
      <c r="DA603" s="167">
        <f>'HourGH-MAR'!D38</f>
        <v>0.23</v>
      </c>
    </row>
    <row r="604" spans="58:105">
      <c r="BF604" s="9">
        <v>603</v>
      </c>
      <c r="BG604" s="9">
        <v>26</v>
      </c>
      <c r="BH604" s="9">
        <v>3</v>
      </c>
      <c r="BI604" s="167">
        <f>'HourGH-APR'!E38</f>
        <v>0.56000000000000005</v>
      </c>
      <c r="BJ604" s="263">
        <v>603</v>
      </c>
      <c r="BK604" s="9">
        <v>26</v>
      </c>
      <c r="BL604" s="9">
        <v>3</v>
      </c>
      <c r="BM604" s="167">
        <f>'HourGH-MAY'!E38</f>
        <v>0.15</v>
      </c>
      <c r="BN604" s="9">
        <v>603</v>
      </c>
      <c r="BO604" s="9">
        <v>26</v>
      </c>
      <c r="BP604" s="9">
        <v>3</v>
      </c>
      <c r="BQ604" s="167">
        <f>'HourGH-JUN'!E38</f>
        <v>0.25</v>
      </c>
      <c r="BR604" s="263">
        <v>603</v>
      </c>
      <c r="BS604" s="9">
        <v>26</v>
      </c>
      <c r="BT604" s="9">
        <v>3</v>
      </c>
      <c r="BU604" s="167">
        <f>'HourGH-JUL'!E38</f>
        <v>0.42</v>
      </c>
      <c r="BV604" s="263">
        <v>603</v>
      </c>
      <c r="BW604" s="9">
        <v>26</v>
      </c>
      <c r="BX604" s="9">
        <v>3</v>
      </c>
      <c r="BY604" s="167">
        <f>'HourGH-AUG'!E38</f>
        <v>0.72</v>
      </c>
      <c r="BZ604" s="9">
        <v>603</v>
      </c>
      <c r="CA604" s="9">
        <v>26</v>
      </c>
      <c r="CB604" s="9">
        <v>3</v>
      </c>
      <c r="CC604" s="167">
        <f>'HourGH-SEP'!E38</f>
        <v>0.85</v>
      </c>
      <c r="CD604" s="263">
        <v>603</v>
      </c>
      <c r="CE604" s="9">
        <v>26</v>
      </c>
      <c r="CF604" s="9">
        <v>3</v>
      </c>
      <c r="CG604" s="167">
        <f>'HourGH-OCT'!E38</f>
        <v>1.33</v>
      </c>
      <c r="CH604" s="9">
        <v>603</v>
      </c>
      <c r="CI604" s="9">
        <v>26</v>
      </c>
      <c r="CJ604" s="9">
        <v>3</v>
      </c>
      <c r="CK604" s="167">
        <f>'HourGH-NOV'!E38</f>
        <v>0.57999999999999996</v>
      </c>
      <c r="CL604" s="263">
        <v>603</v>
      </c>
      <c r="CM604" s="9">
        <v>26</v>
      </c>
      <c r="CN604" s="9">
        <v>3</v>
      </c>
      <c r="CO604" s="167">
        <f>'HourGH-DEC'!E38</f>
        <v>0.47</v>
      </c>
      <c r="CP604" s="263">
        <v>603</v>
      </c>
      <c r="CQ604" s="9">
        <v>26</v>
      </c>
      <c r="CR604" s="9">
        <v>3</v>
      </c>
      <c r="CS604" s="167">
        <f>'HourGH-JAN'!E38</f>
        <v>0.72</v>
      </c>
      <c r="CT604" s="9">
        <v>603</v>
      </c>
      <c r="CU604" s="9">
        <v>26</v>
      </c>
      <c r="CV604" s="9">
        <v>3</v>
      </c>
      <c r="CW604" s="167">
        <f>'HourGH-FEB'!E38</f>
        <v>0.25</v>
      </c>
      <c r="CX604" s="263">
        <v>603</v>
      </c>
      <c r="CY604" s="9">
        <v>26</v>
      </c>
      <c r="CZ604" s="9">
        <v>3</v>
      </c>
      <c r="DA604" s="167">
        <f>'HourGH-MAR'!E38</f>
        <v>0.22</v>
      </c>
    </row>
    <row r="605" spans="58:105">
      <c r="BF605" s="9">
        <v>604</v>
      </c>
      <c r="BG605" s="9">
        <v>26</v>
      </c>
      <c r="BH605" s="9">
        <v>4</v>
      </c>
      <c r="BI605" s="167">
        <f>'HourGH-APR'!F38</f>
        <v>0.56000000000000005</v>
      </c>
      <c r="BJ605" s="263">
        <v>604</v>
      </c>
      <c r="BK605" s="9">
        <v>26</v>
      </c>
      <c r="BL605" s="9">
        <v>4</v>
      </c>
      <c r="BM605" s="167">
        <f>'HourGH-MAY'!F38</f>
        <v>0.15</v>
      </c>
      <c r="BN605" s="9">
        <v>604</v>
      </c>
      <c r="BO605" s="9">
        <v>26</v>
      </c>
      <c r="BP605" s="9">
        <v>4</v>
      </c>
      <c r="BQ605" s="167">
        <f>'HourGH-JUN'!F38</f>
        <v>0.25</v>
      </c>
      <c r="BR605" s="263">
        <v>604</v>
      </c>
      <c r="BS605" s="9">
        <v>26</v>
      </c>
      <c r="BT605" s="9">
        <v>4</v>
      </c>
      <c r="BU605" s="167">
        <f>'HourGH-JUL'!F38</f>
        <v>0.42</v>
      </c>
      <c r="BV605" s="263">
        <v>604</v>
      </c>
      <c r="BW605" s="9">
        <v>26</v>
      </c>
      <c r="BX605" s="9">
        <v>4</v>
      </c>
      <c r="BY605" s="167">
        <f>'HourGH-AUG'!F38</f>
        <v>0.72</v>
      </c>
      <c r="BZ605" s="9">
        <v>604</v>
      </c>
      <c r="CA605" s="9">
        <v>26</v>
      </c>
      <c r="CB605" s="9">
        <v>4</v>
      </c>
      <c r="CC605" s="167">
        <f>'HourGH-SEP'!F38</f>
        <v>0.86</v>
      </c>
      <c r="CD605" s="263">
        <v>604</v>
      </c>
      <c r="CE605" s="9">
        <v>26</v>
      </c>
      <c r="CF605" s="9">
        <v>4</v>
      </c>
      <c r="CG605" s="167">
        <f>'HourGH-OCT'!F38</f>
        <v>1.33</v>
      </c>
      <c r="CH605" s="9">
        <v>604</v>
      </c>
      <c r="CI605" s="9">
        <v>26</v>
      </c>
      <c r="CJ605" s="9">
        <v>4</v>
      </c>
      <c r="CK605" s="167">
        <f>'HourGH-NOV'!F38</f>
        <v>0.57999999999999996</v>
      </c>
      <c r="CL605" s="263">
        <v>604</v>
      </c>
      <c r="CM605" s="9">
        <v>26</v>
      </c>
      <c r="CN605" s="9">
        <v>4</v>
      </c>
      <c r="CO605" s="167">
        <f>'HourGH-DEC'!F38</f>
        <v>0.46</v>
      </c>
      <c r="CP605" s="263">
        <v>604</v>
      </c>
      <c r="CQ605" s="9">
        <v>26</v>
      </c>
      <c r="CR605" s="9">
        <v>4</v>
      </c>
      <c r="CS605" s="167">
        <f>'HourGH-JAN'!F38</f>
        <v>0.72</v>
      </c>
      <c r="CT605" s="9">
        <v>604</v>
      </c>
      <c r="CU605" s="9">
        <v>26</v>
      </c>
      <c r="CV605" s="9">
        <v>4</v>
      </c>
      <c r="CW605" s="167">
        <f>'HourGH-FEB'!F38</f>
        <v>0.25</v>
      </c>
      <c r="CX605" s="263">
        <v>604</v>
      </c>
      <c r="CY605" s="9">
        <v>26</v>
      </c>
      <c r="CZ605" s="9">
        <v>4</v>
      </c>
      <c r="DA605" s="167">
        <f>'HourGH-MAR'!F38</f>
        <v>0.21</v>
      </c>
    </row>
    <row r="606" spans="58:105">
      <c r="BF606" s="9">
        <v>605</v>
      </c>
      <c r="BG606" s="9">
        <v>26</v>
      </c>
      <c r="BH606" s="9">
        <v>5</v>
      </c>
      <c r="BI606" s="167">
        <f>'HourGH-APR'!G38</f>
        <v>0.56000000000000005</v>
      </c>
      <c r="BJ606" s="263">
        <v>605</v>
      </c>
      <c r="BK606" s="9">
        <v>26</v>
      </c>
      <c r="BL606" s="9">
        <v>5</v>
      </c>
      <c r="BM606" s="167">
        <f>'HourGH-MAY'!O38</f>
        <v>0.15</v>
      </c>
      <c r="BN606" s="9">
        <v>605</v>
      </c>
      <c r="BO606" s="9">
        <v>26</v>
      </c>
      <c r="BP606" s="9">
        <v>5</v>
      </c>
      <c r="BQ606" s="167">
        <f>'HourGH-JUN'!G38</f>
        <v>0.25</v>
      </c>
      <c r="BR606" s="263">
        <v>605</v>
      </c>
      <c r="BS606" s="9">
        <v>26</v>
      </c>
      <c r="BT606" s="9">
        <v>5</v>
      </c>
      <c r="BU606" s="167">
        <f>'HourGH-JUL'!G38</f>
        <v>0.42</v>
      </c>
      <c r="BV606" s="263">
        <v>605</v>
      </c>
      <c r="BW606" s="9">
        <v>26</v>
      </c>
      <c r="BX606" s="9">
        <v>5</v>
      </c>
      <c r="BY606" s="167">
        <f>'HourGH-AUG'!G38</f>
        <v>0.72</v>
      </c>
      <c r="BZ606" s="9">
        <v>605</v>
      </c>
      <c r="CA606" s="9">
        <v>26</v>
      </c>
      <c r="CB606" s="9">
        <v>5</v>
      </c>
      <c r="CC606" s="167">
        <f>'HourGH-SEP'!G38</f>
        <v>0.87</v>
      </c>
      <c r="CD606" s="263">
        <v>605</v>
      </c>
      <c r="CE606" s="9">
        <v>26</v>
      </c>
      <c r="CF606" s="9">
        <v>5</v>
      </c>
      <c r="CG606" s="167">
        <f>'HourGH-OCT'!G38</f>
        <v>1.32</v>
      </c>
      <c r="CH606" s="9">
        <v>605</v>
      </c>
      <c r="CI606" s="9">
        <v>26</v>
      </c>
      <c r="CJ606" s="9">
        <v>5</v>
      </c>
      <c r="CK606" s="167">
        <f>'HourGH-NOV'!G38</f>
        <v>0.57999999999999996</v>
      </c>
      <c r="CL606" s="263">
        <v>605</v>
      </c>
      <c r="CM606" s="9">
        <v>26</v>
      </c>
      <c r="CN606" s="9">
        <v>5</v>
      </c>
      <c r="CO606" s="167">
        <f>'HourGH-DEC'!G38</f>
        <v>0.45</v>
      </c>
      <c r="CP606" s="263">
        <v>605</v>
      </c>
      <c r="CQ606" s="9">
        <v>26</v>
      </c>
      <c r="CR606" s="9">
        <v>5</v>
      </c>
      <c r="CS606" s="167">
        <f>'HourGH-JAN'!G38</f>
        <v>0.72</v>
      </c>
      <c r="CT606" s="9">
        <v>605</v>
      </c>
      <c r="CU606" s="9">
        <v>26</v>
      </c>
      <c r="CV606" s="9">
        <v>5</v>
      </c>
      <c r="CW606" s="167">
        <f>'HourGH-FEB'!G38</f>
        <v>0.25</v>
      </c>
      <c r="CX606" s="263">
        <v>605</v>
      </c>
      <c r="CY606" s="9">
        <v>26</v>
      </c>
      <c r="CZ606" s="9">
        <v>5</v>
      </c>
      <c r="DA606" s="167">
        <f>'HourGH-MAR'!G38</f>
        <v>0.21</v>
      </c>
    </row>
    <row r="607" spans="58:105">
      <c r="BF607" s="9">
        <v>606</v>
      </c>
      <c r="BG607" s="9">
        <v>26</v>
      </c>
      <c r="BH607" s="9">
        <v>6</v>
      </c>
      <c r="BI607" s="167">
        <f>'HourGH-APR'!H38</f>
        <v>0.56000000000000005</v>
      </c>
      <c r="BJ607" s="263">
        <v>606</v>
      </c>
      <c r="BK607" s="9">
        <v>26</v>
      </c>
      <c r="BL607" s="9">
        <v>6</v>
      </c>
      <c r="BM607" s="167">
        <f>'HourGH-MAY'!H38</f>
        <v>0.14000000000000001</v>
      </c>
      <c r="BN607" s="9">
        <v>606</v>
      </c>
      <c r="BO607" s="9">
        <v>26</v>
      </c>
      <c r="BP607" s="9">
        <v>6</v>
      </c>
      <c r="BQ607" s="167">
        <f>'HourGH-JUN'!H38</f>
        <v>0.26</v>
      </c>
      <c r="BR607" s="263">
        <v>606</v>
      </c>
      <c r="BS607" s="9">
        <v>26</v>
      </c>
      <c r="BT607" s="9">
        <v>6</v>
      </c>
      <c r="BU607" s="167">
        <f>'HourGH-JUL'!H38</f>
        <v>0.42</v>
      </c>
      <c r="BV607" s="263">
        <v>606</v>
      </c>
      <c r="BW607" s="9">
        <v>26</v>
      </c>
      <c r="BX607" s="9">
        <v>6</v>
      </c>
      <c r="BY607" s="167">
        <f>'HourGH-AUG'!H38</f>
        <v>0.72</v>
      </c>
      <c r="BZ607" s="9">
        <v>606</v>
      </c>
      <c r="CA607" s="9">
        <v>26</v>
      </c>
      <c r="CB607" s="9">
        <v>6</v>
      </c>
      <c r="CC607" s="167">
        <f>'HourGH-SEP'!H38</f>
        <v>0.88</v>
      </c>
      <c r="CD607" s="263">
        <v>606</v>
      </c>
      <c r="CE607" s="9">
        <v>26</v>
      </c>
      <c r="CF607" s="9">
        <v>6</v>
      </c>
      <c r="CG607" s="167">
        <f>'HourGH-OCT'!H38</f>
        <v>1.31</v>
      </c>
      <c r="CH607" s="9">
        <v>606</v>
      </c>
      <c r="CI607" s="9">
        <v>26</v>
      </c>
      <c r="CJ607" s="9">
        <v>6</v>
      </c>
      <c r="CK607" s="167">
        <f>'HourGH-NOV'!H38</f>
        <v>0.57999999999999996</v>
      </c>
      <c r="CL607" s="263">
        <v>606</v>
      </c>
      <c r="CM607" s="9">
        <v>26</v>
      </c>
      <c r="CN607" s="9">
        <v>6</v>
      </c>
      <c r="CO607" s="167">
        <f>'HourGH-DEC'!H38</f>
        <v>0.44</v>
      </c>
      <c r="CP607" s="263">
        <v>606</v>
      </c>
      <c r="CQ607" s="9">
        <v>26</v>
      </c>
      <c r="CR607" s="9">
        <v>6</v>
      </c>
      <c r="CS607" s="167">
        <f>'HourGH-JAN'!H38</f>
        <v>0.72</v>
      </c>
      <c r="CT607" s="9">
        <v>606</v>
      </c>
      <c r="CU607" s="9">
        <v>26</v>
      </c>
      <c r="CV607" s="9">
        <v>6</v>
      </c>
      <c r="CW607" s="167">
        <f>'HourGH-FEB'!H38</f>
        <v>0.25</v>
      </c>
      <c r="CX607" s="263">
        <v>606</v>
      </c>
      <c r="CY607" s="9">
        <v>26</v>
      </c>
      <c r="CZ607" s="9">
        <v>6</v>
      </c>
      <c r="DA607" s="167">
        <f>'HourGH-MAR'!H38</f>
        <v>0.2</v>
      </c>
    </row>
    <row r="608" spans="58:105">
      <c r="BF608" s="9">
        <v>607</v>
      </c>
      <c r="BG608" s="9">
        <v>26</v>
      </c>
      <c r="BH608" s="9">
        <v>7</v>
      </c>
      <c r="BI608" s="167">
        <f>'HourGH-APR'!I38</f>
        <v>0.56000000000000005</v>
      </c>
      <c r="BJ608" s="263">
        <v>607</v>
      </c>
      <c r="BK608" s="9">
        <v>26</v>
      </c>
      <c r="BL608" s="9">
        <v>7</v>
      </c>
      <c r="BM608" s="167">
        <f>'HourGH-MAY'!I38</f>
        <v>0.14000000000000001</v>
      </c>
      <c r="BN608" s="9">
        <v>607</v>
      </c>
      <c r="BO608" s="9">
        <v>26</v>
      </c>
      <c r="BP608" s="9">
        <v>7</v>
      </c>
      <c r="BQ608" s="167">
        <f>'HourGH-JUN'!I38</f>
        <v>0.26</v>
      </c>
      <c r="BR608" s="263">
        <v>607</v>
      </c>
      <c r="BS608" s="9">
        <v>26</v>
      </c>
      <c r="BT608" s="9">
        <v>7</v>
      </c>
      <c r="BU608" s="167">
        <f>'HourGH-JUL'!I38</f>
        <v>0.42</v>
      </c>
      <c r="BV608" s="263">
        <v>607</v>
      </c>
      <c r="BW608" s="9">
        <v>26</v>
      </c>
      <c r="BX608" s="9">
        <v>7</v>
      </c>
      <c r="BY608" s="167">
        <f>'HourGH-AUG'!I38</f>
        <v>0.71</v>
      </c>
      <c r="BZ608" s="9">
        <v>607</v>
      </c>
      <c r="CA608" s="9">
        <v>26</v>
      </c>
      <c r="CB608" s="9">
        <v>7</v>
      </c>
      <c r="CC608" s="167">
        <f>'HourGH-SEP'!I38</f>
        <v>0.9</v>
      </c>
      <c r="CD608" s="263">
        <v>607</v>
      </c>
      <c r="CE608" s="9">
        <v>26</v>
      </c>
      <c r="CF608" s="9">
        <v>7</v>
      </c>
      <c r="CG608" s="167">
        <f>'HourGH-OCT'!I38</f>
        <v>1.31</v>
      </c>
      <c r="CH608" s="9">
        <v>607</v>
      </c>
      <c r="CI608" s="9">
        <v>26</v>
      </c>
      <c r="CJ608" s="9">
        <v>7</v>
      </c>
      <c r="CK608" s="167">
        <f>'HourGH-NOV'!I38</f>
        <v>0.57999999999999996</v>
      </c>
      <c r="CL608" s="263">
        <v>607</v>
      </c>
      <c r="CM608" s="9">
        <v>26</v>
      </c>
      <c r="CN608" s="9">
        <v>7</v>
      </c>
      <c r="CO608" s="167">
        <f>'HourGH-DEC'!I38</f>
        <v>0.44</v>
      </c>
      <c r="CP608" s="263">
        <v>607</v>
      </c>
      <c r="CQ608" s="9">
        <v>26</v>
      </c>
      <c r="CR608" s="9">
        <v>7</v>
      </c>
      <c r="CS608" s="167">
        <f>'HourGH-JAN'!I38</f>
        <v>0.72</v>
      </c>
      <c r="CT608" s="9">
        <v>607</v>
      </c>
      <c r="CU608" s="9">
        <v>26</v>
      </c>
      <c r="CV608" s="9">
        <v>7</v>
      </c>
      <c r="CW608" s="167">
        <f>'HourGH-FEB'!I38</f>
        <v>0.25</v>
      </c>
      <c r="CX608" s="263">
        <v>607</v>
      </c>
      <c r="CY608" s="9">
        <v>26</v>
      </c>
      <c r="CZ608" s="9">
        <v>7</v>
      </c>
      <c r="DA608" s="167">
        <f>'HourGH-MAR'!I38</f>
        <v>0.2</v>
      </c>
    </row>
    <row r="609" spans="58:105">
      <c r="BF609" s="9">
        <v>608</v>
      </c>
      <c r="BG609" s="9">
        <v>26</v>
      </c>
      <c r="BH609" s="9">
        <v>8</v>
      </c>
      <c r="BI609" s="167">
        <f>'HourGH-APR'!J38</f>
        <v>0.56000000000000005</v>
      </c>
      <c r="BJ609" s="263">
        <v>608</v>
      </c>
      <c r="BK609" s="9">
        <v>26</v>
      </c>
      <c r="BL609" s="9">
        <v>8</v>
      </c>
      <c r="BM609" s="167">
        <f>'HourGH-MAY'!J38</f>
        <v>0.14000000000000001</v>
      </c>
      <c r="BN609" s="9">
        <v>608</v>
      </c>
      <c r="BO609" s="9">
        <v>26</v>
      </c>
      <c r="BP609" s="9">
        <v>8</v>
      </c>
      <c r="BQ609" s="167">
        <f>'HourGH-JUN'!J38</f>
        <v>0.26</v>
      </c>
      <c r="BR609" s="263">
        <v>608</v>
      </c>
      <c r="BS609" s="9">
        <v>26</v>
      </c>
      <c r="BT609" s="9">
        <v>8</v>
      </c>
      <c r="BU609" s="167">
        <f>'HourGH-JUL'!J38</f>
        <v>0.42</v>
      </c>
      <c r="BV609" s="263">
        <v>608</v>
      </c>
      <c r="BW609" s="9">
        <v>26</v>
      </c>
      <c r="BX609" s="9">
        <v>8</v>
      </c>
      <c r="BY609" s="167">
        <f>'HourGH-AUG'!J38</f>
        <v>0.71</v>
      </c>
      <c r="BZ609" s="9">
        <v>608</v>
      </c>
      <c r="CA609" s="9">
        <v>26</v>
      </c>
      <c r="CB609" s="9">
        <v>8</v>
      </c>
      <c r="CC609" s="167">
        <f>'HourGH-SEP'!J38</f>
        <v>0.92</v>
      </c>
      <c r="CD609" s="263">
        <v>608</v>
      </c>
      <c r="CE609" s="9">
        <v>26</v>
      </c>
      <c r="CF609" s="9">
        <v>8</v>
      </c>
      <c r="CG609" s="167">
        <f>'HourGH-OCT'!J38</f>
        <v>1.3</v>
      </c>
      <c r="CH609" s="9">
        <v>608</v>
      </c>
      <c r="CI609" s="9">
        <v>26</v>
      </c>
      <c r="CJ609" s="9">
        <v>8</v>
      </c>
      <c r="CK609" s="167">
        <f>'HourGH-NOV'!J38</f>
        <v>0.57999999999999996</v>
      </c>
      <c r="CL609" s="263">
        <v>608</v>
      </c>
      <c r="CM609" s="9">
        <v>26</v>
      </c>
      <c r="CN609" s="9">
        <v>8</v>
      </c>
      <c r="CO609" s="167">
        <f>'HourGH-DEC'!J38</f>
        <v>0.44</v>
      </c>
      <c r="CP609" s="263">
        <v>608</v>
      </c>
      <c r="CQ609" s="9">
        <v>26</v>
      </c>
      <c r="CR609" s="9">
        <v>8</v>
      </c>
      <c r="CS609" s="167">
        <f>'HourGH-JAN'!J38</f>
        <v>0.72</v>
      </c>
      <c r="CT609" s="9">
        <v>608</v>
      </c>
      <c r="CU609" s="9">
        <v>26</v>
      </c>
      <c r="CV609" s="9">
        <v>8</v>
      </c>
      <c r="CW609" s="167">
        <f>'HourGH-FEB'!J38</f>
        <v>0.25</v>
      </c>
      <c r="CX609" s="263">
        <v>608</v>
      </c>
      <c r="CY609" s="9">
        <v>26</v>
      </c>
      <c r="CZ609" s="9">
        <v>8</v>
      </c>
      <c r="DA609" s="167">
        <f>'HourGH-MAR'!J38</f>
        <v>0.2</v>
      </c>
    </row>
    <row r="610" spans="58:105">
      <c r="BF610" s="9">
        <v>609</v>
      </c>
      <c r="BG610" s="9">
        <v>26</v>
      </c>
      <c r="BH610" s="9">
        <v>9</v>
      </c>
      <c r="BI610" s="167">
        <f>'HourGH-APR'!K38</f>
        <v>0.56000000000000005</v>
      </c>
      <c r="BJ610" s="263">
        <v>609</v>
      </c>
      <c r="BK610" s="9">
        <v>26</v>
      </c>
      <c r="BL610" s="9">
        <v>9</v>
      </c>
      <c r="BM610" s="167">
        <f>'HourGH-MAY'!K38</f>
        <v>0.14000000000000001</v>
      </c>
      <c r="BN610" s="9">
        <v>609</v>
      </c>
      <c r="BO610" s="9">
        <v>26</v>
      </c>
      <c r="BP610" s="9">
        <v>9</v>
      </c>
      <c r="BQ610" s="167">
        <f>'HourGH-JUN'!K38</f>
        <v>0.26</v>
      </c>
      <c r="BR610" s="263">
        <v>609</v>
      </c>
      <c r="BS610" s="9">
        <v>26</v>
      </c>
      <c r="BT610" s="9">
        <v>9</v>
      </c>
      <c r="BU610" s="167">
        <f>'HourGH-JUL'!K38</f>
        <v>0.42</v>
      </c>
      <c r="BV610" s="263">
        <v>609</v>
      </c>
      <c r="BW610" s="9">
        <v>26</v>
      </c>
      <c r="BX610" s="9">
        <v>9</v>
      </c>
      <c r="BY610" s="167">
        <f>'HourGH-AUG'!K38</f>
        <v>0.71</v>
      </c>
      <c r="BZ610" s="9">
        <v>609</v>
      </c>
      <c r="CA610" s="9">
        <v>26</v>
      </c>
      <c r="CB610" s="9">
        <v>9</v>
      </c>
      <c r="CC610" s="167">
        <f>'HourGH-SEP'!K38</f>
        <v>0.94</v>
      </c>
      <c r="CD610" s="263">
        <v>609</v>
      </c>
      <c r="CE610" s="9">
        <v>26</v>
      </c>
      <c r="CF610" s="9">
        <v>9</v>
      </c>
      <c r="CG610" s="167">
        <f>'HourGH-OCT'!K38</f>
        <v>1.3</v>
      </c>
      <c r="CH610" s="9">
        <v>609</v>
      </c>
      <c r="CI610" s="9">
        <v>26</v>
      </c>
      <c r="CJ610" s="9">
        <v>9</v>
      </c>
      <c r="CK610" s="167">
        <f>'HourGH-NOV'!K38</f>
        <v>0.57999999999999996</v>
      </c>
      <c r="CL610" s="263">
        <v>609</v>
      </c>
      <c r="CM610" s="9">
        <v>26</v>
      </c>
      <c r="CN610" s="9">
        <v>9</v>
      </c>
      <c r="CO610" s="167">
        <f>'HourGH-DEC'!K38</f>
        <v>0.44</v>
      </c>
      <c r="CP610" s="263">
        <v>609</v>
      </c>
      <c r="CQ610" s="9">
        <v>26</v>
      </c>
      <c r="CR610" s="9">
        <v>9</v>
      </c>
      <c r="CS610" s="167">
        <f>'HourGH-JAN'!K38</f>
        <v>0.72</v>
      </c>
      <c r="CT610" s="9">
        <v>609</v>
      </c>
      <c r="CU610" s="9">
        <v>26</v>
      </c>
      <c r="CV610" s="9">
        <v>9</v>
      </c>
      <c r="CW610" s="167">
        <f>'HourGH-FEB'!K38</f>
        <v>0.25</v>
      </c>
      <c r="CX610" s="263">
        <v>609</v>
      </c>
      <c r="CY610" s="9">
        <v>26</v>
      </c>
      <c r="CZ610" s="9">
        <v>9</v>
      </c>
      <c r="DA610" s="167">
        <f>'HourGH-MAR'!K38</f>
        <v>0.2</v>
      </c>
    </row>
    <row r="611" spans="58:105">
      <c r="BF611" s="9">
        <v>610</v>
      </c>
      <c r="BG611" s="9">
        <v>26</v>
      </c>
      <c r="BH611" s="9">
        <v>10</v>
      </c>
      <c r="BI611" s="167">
        <f>'HourGH-APR'!L38</f>
        <v>0.56000000000000005</v>
      </c>
      <c r="BJ611" s="263">
        <v>610</v>
      </c>
      <c r="BK611" s="9">
        <v>26</v>
      </c>
      <c r="BL611" s="9">
        <v>10</v>
      </c>
      <c r="BM611" s="167">
        <f>'HourGH-MAY'!L38</f>
        <v>0.14000000000000001</v>
      </c>
      <c r="BN611" s="9">
        <v>610</v>
      </c>
      <c r="BO611" s="9">
        <v>26</v>
      </c>
      <c r="BP611" s="9">
        <v>10</v>
      </c>
      <c r="BQ611" s="167">
        <f>'HourGH-JUN'!L38</f>
        <v>0.26</v>
      </c>
      <c r="BR611" s="263">
        <v>610</v>
      </c>
      <c r="BS611" s="9">
        <v>26</v>
      </c>
      <c r="BT611" s="9">
        <v>10</v>
      </c>
      <c r="BU611" s="167">
        <f>'HourGH-JUL'!L38</f>
        <v>0.42</v>
      </c>
      <c r="BV611" s="263">
        <v>610</v>
      </c>
      <c r="BW611" s="9">
        <v>26</v>
      </c>
      <c r="BX611" s="9">
        <v>10</v>
      </c>
      <c r="BY611" s="167">
        <f>'HourGH-AUG'!L38</f>
        <v>0.71</v>
      </c>
      <c r="BZ611" s="9">
        <v>610</v>
      </c>
      <c r="CA611" s="9">
        <v>26</v>
      </c>
      <c r="CB611" s="9">
        <v>10</v>
      </c>
      <c r="CC611" s="167">
        <f>'HourGH-SEP'!L38</f>
        <v>0.96</v>
      </c>
      <c r="CD611" s="263">
        <v>610</v>
      </c>
      <c r="CE611" s="9">
        <v>26</v>
      </c>
      <c r="CF611" s="9">
        <v>10</v>
      </c>
      <c r="CG611" s="167">
        <f>'HourGH-OCT'!L38</f>
        <v>1.29</v>
      </c>
      <c r="CH611" s="9">
        <v>610</v>
      </c>
      <c r="CI611" s="9">
        <v>26</v>
      </c>
      <c r="CJ611" s="9">
        <v>10</v>
      </c>
      <c r="CK611" s="167">
        <f>'HourGH-NOV'!L38</f>
        <v>0.57999999999999996</v>
      </c>
      <c r="CL611" s="263">
        <v>610</v>
      </c>
      <c r="CM611" s="9">
        <v>26</v>
      </c>
      <c r="CN611" s="9">
        <v>10</v>
      </c>
      <c r="CO611" s="167">
        <f>'HourGH-DEC'!L38</f>
        <v>0.44</v>
      </c>
      <c r="CP611" s="263">
        <v>610</v>
      </c>
      <c r="CQ611" s="9">
        <v>26</v>
      </c>
      <c r="CR611" s="9">
        <v>10</v>
      </c>
      <c r="CS611" s="167">
        <f>'HourGH-JAN'!L38</f>
        <v>0.72</v>
      </c>
      <c r="CT611" s="9">
        <v>610</v>
      </c>
      <c r="CU611" s="9">
        <v>26</v>
      </c>
      <c r="CV611" s="9">
        <v>10</v>
      </c>
      <c r="CW611" s="167">
        <f>'HourGH-FEB'!L38</f>
        <v>0.25</v>
      </c>
      <c r="CX611" s="263">
        <v>610</v>
      </c>
      <c r="CY611" s="9">
        <v>26</v>
      </c>
      <c r="CZ611" s="9">
        <v>10</v>
      </c>
      <c r="DA611" s="167">
        <f>'HourGH-MAR'!L38</f>
        <v>0.2</v>
      </c>
    </row>
    <row r="612" spans="58:105">
      <c r="BF612" s="9">
        <v>611</v>
      </c>
      <c r="BG612" s="9">
        <v>26</v>
      </c>
      <c r="BH612" s="9">
        <v>11</v>
      </c>
      <c r="BI612" s="167">
        <f>'HourGH-APR'!M38</f>
        <v>0.56000000000000005</v>
      </c>
      <c r="BJ612" s="263">
        <v>611</v>
      </c>
      <c r="BK612" s="9">
        <v>26</v>
      </c>
      <c r="BL612" s="9">
        <v>11</v>
      </c>
      <c r="BM612" s="167">
        <f>'HourGH-MAY'!M38</f>
        <v>0.14000000000000001</v>
      </c>
      <c r="BN612" s="9">
        <v>611</v>
      </c>
      <c r="BO612" s="9">
        <v>26</v>
      </c>
      <c r="BP612" s="9">
        <v>11</v>
      </c>
      <c r="BQ612" s="167">
        <f>'HourGH-JUN'!M38</f>
        <v>0.26</v>
      </c>
      <c r="BR612" s="263">
        <v>611</v>
      </c>
      <c r="BS612" s="9">
        <v>26</v>
      </c>
      <c r="BT612" s="9">
        <v>11</v>
      </c>
      <c r="BU612" s="167">
        <f>'HourGH-JUL'!M38</f>
        <v>0.42</v>
      </c>
      <c r="BV612" s="263">
        <v>611</v>
      </c>
      <c r="BW612" s="9">
        <v>26</v>
      </c>
      <c r="BX612" s="9">
        <v>11</v>
      </c>
      <c r="BY612" s="167">
        <f>'HourGH-AUG'!M38</f>
        <v>0.71</v>
      </c>
      <c r="BZ612" s="9">
        <v>611</v>
      </c>
      <c r="CA612" s="9">
        <v>26</v>
      </c>
      <c r="CB612" s="9">
        <v>11</v>
      </c>
      <c r="CC612" s="167">
        <f>'HourGH-SEP'!M38</f>
        <v>0.99</v>
      </c>
      <c r="CD612" s="263">
        <v>611</v>
      </c>
      <c r="CE612" s="9">
        <v>26</v>
      </c>
      <c r="CF612" s="9">
        <v>11</v>
      </c>
      <c r="CG612" s="167">
        <f>'HourGH-OCT'!M38</f>
        <v>1.29</v>
      </c>
      <c r="CH612" s="9">
        <v>611</v>
      </c>
      <c r="CI612" s="9">
        <v>26</v>
      </c>
      <c r="CJ612" s="9">
        <v>11</v>
      </c>
      <c r="CK612" s="167">
        <f>'HourGH-NOV'!M38</f>
        <v>0.57999999999999996</v>
      </c>
      <c r="CL612" s="263">
        <v>611</v>
      </c>
      <c r="CM612" s="9">
        <v>26</v>
      </c>
      <c r="CN612" s="9">
        <v>11</v>
      </c>
      <c r="CO612" s="167">
        <f>'HourGH-DEC'!M38</f>
        <v>0.44</v>
      </c>
      <c r="CP612" s="263">
        <v>611</v>
      </c>
      <c r="CQ612" s="9">
        <v>26</v>
      </c>
      <c r="CR612" s="9">
        <v>11</v>
      </c>
      <c r="CS612" s="167">
        <f>'HourGH-JAN'!M38</f>
        <v>0.72</v>
      </c>
      <c r="CT612" s="9">
        <v>611</v>
      </c>
      <c r="CU612" s="9">
        <v>26</v>
      </c>
      <c r="CV612" s="9">
        <v>11</v>
      </c>
      <c r="CW612" s="167">
        <f>'HourGH-FEB'!M38</f>
        <v>0.25</v>
      </c>
      <c r="CX612" s="263">
        <v>611</v>
      </c>
      <c r="CY612" s="9">
        <v>26</v>
      </c>
      <c r="CZ612" s="9">
        <v>11</v>
      </c>
      <c r="DA612" s="167">
        <f>'HourGH-MAR'!M38</f>
        <v>0.2</v>
      </c>
    </row>
    <row r="613" spans="58:105">
      <c r="BF613" s="9">
        <v>612</v>
      </c>
      <c r="BG613" s="9">
        <v>26</v>
      </c>
      <c r="BH613" s="9">
        <v>12</v>
      </c>
      <c r="BI613" s="167">
        <f>'HourGH-APR'!N38</f>
        <v>0.56000000000000005</v>
      </c>
      <c r="BJ613" s="263">
        <v>612</v>
      </c>
      <c r="BK613" s="9">
        <v>26</v>
      </c>
      <c r="BL613" s="9">
        <v>12</v>
      </c>
      <c r="BM613" s="167">
        <f>'HourGH-MAY'!N38</f>
        <v>0.14000000000000001</v>
      </c>
      <c r="BN613" s="9">
        <v>612</v>
      </c>
      <c r="BO613" s="9">
        <v>26</v>
      </c>
      <c r="BP613" s="9">
        <v>12</v>
      </c>
      <c r="BQ613" s="167">
        <f>'HourGH-JUN'!N38</f>
        <v>0.26</v>
      </c>
      <c r="BR613" s="263">
        <v>612</v>
      </c>
      <c r="BS613" s="9">
        <v>26</v>
      </c>
      <c r="BT613" s="9">
        <v>12</v>
      </c>
      <c r="BU613" s="167">
        <f>'HourGH-JUL'!N38</f>
        <v>0.42</v>
      </c>
      <c r="BV613" s="263">
        <v>612</v>
      </c>
      <c r="BW613" s="9">
        <v>26</v>
      </c>
      <c r="BX613" s="9">
        <v>12</v>
      </c>
      <c r="BY613" s="167">
        <f>'HourGH-AUG'!N38</f>
        <v>0.71</v>
      </c>
      <c r="BZ613" s="9">
        <v>612</v>
      </c>
      <c r="CA613" s="9">
        <v>26</v>
      </c>
      <c r="CB613" s="9">
        <v>12</v>
      </c>
      <c r="CC613" s="167">
        <f>'HourGH-SEP'!N38</f>
        <v>1.01</v>
      </c>
      <c r="CD613" s="263">
        <v>612</v>
      </c>
      <c r="CE613" s="9">
        <v>26</v>
      </c>
      <c r="CF613" s="9">
        <v>12</v>
      </c>
      <c r="CG613" s="167">
        <f>'HourGH-OCT'!N38</f>
        <v>1.28</v>
      </c>
      <c r="CH613" s="9">
        <v>612</v>
      </c>
      <c r="CI613" s="9">
        <v>26</v>
      </c>
      <c r="CJ613" s="9">
        <v>12</v>
      </c>
      <c r="CK613" s="167">
        <f>'HourGH-NOV'!N38</f>
        <v>0.57999999999999996</v>
      </c>
      <c r="CL613" s="263">
        <v>612</v>
      </c>
      <c r="CM613" s="9">
        <v>26</v>
      </c>
      <c r="CN613" s="9">
        <v>12</v>
      </c>
      <c r="CO613" s="167">
        <f>'HourGH-DEC'!N38</f>
        <v>0.44</v>
      </c>
      <c r="CP613" s="263">
        <v>612</v>
      </c>
      <c r="CQ613" s="9">
        <v>26</v>
      </c>
      <c r="CR613" s="9">
        <v>12</v>
      </c>
      <c r="CS613" s="167">
        <f>'HourGH-JAN'!N38</f>
        <v>0.72</v>
      </c>
      <c r="CT613" s="9">
        <v>612</v>
      </c>
      <c r="CU613" s="9">
        <v>26</v>
      </c>
      <c r="CV613" s="9">
        <v>12</v>
      </c>
      <c r="CW613" s="167">
        <f>'HourGH-FEB'!N38</f>
        <v>0.25</v>
      </c>
      <c r="CX613" s="263">
        <v>612</v>
      </c>
      <c r="CY613" s="9">
        <v>26</v>
      </c>
      <c r="CZ613" s="9">
        <v>12</v>
      </c>
      <c r="DA613" s="167">
        <f>'HourGH-MAR'!N38</f>
        <v>0.2</v>
      </c>
    </row>
    <row r="614" spans="58:105">
      <c r="BF614" s="9">
        <v>613</v>
      </c>
      <c r="BG614" s="9">
        <v>26</v>
      </c>
      <c r="BH614" s="9">
        <v>13</v>
      </c>
      <c r="BI614" s="167">
        <f>'HourGH-APR'!O38</f>
        <v>0.56000000000000005</v>
      </c>
      <c r="BJ614" s="263">
        <v>613</v>
      </c>
      <c r="BK614" s="9">
        <v>26</v>
      </c>
      <c r="BL614" s="9">
        <v>13</v>
      </c>
      <c r="BM614" s="167">
        <f>'HourGH-MAY'!O38</f>
        <v>0.15</v>
      </c>
      <c r="BN614" s="9">
        <v>613</v>
      </c>
      <c r="BO614" s="9">
        <v>26</v>
      </c>
      <c r="BP614" s="9">
        <v>13</v>
      </c>
      <c r="BQ614" s="167">
        <f>'HourGH-JUN'!O38</f>
        <v>0.25</v>
      </c>
      <c r="BR614" s="263">
        <v>613</v>
      </c>
      <c r="BS614" s="9">
        <v>26</v>
      </c>
      <c r="BT614" s="9">
        <v>13</v>
      </c>
      <c r="BU614" s="167">
        <f>'HourGH-JUL'!O38</f>
        <v>0.41</v>
      </c>
      <c r="BV614" s="263">
        <v>613</v>
      </c>
      <c r="BW614" s="9">
        <v>26</v>
      </c>
      <c r="BX614" s="9">
        <v>13</v>
      </c>
      <c r="BY614" s="167">
        <f>'HourGH-AUG'!O38</f>
        <v>0.7</v>
      </c>
      <c r="BZ614" s="9">
        <v>613</v>
      </c>
      <c r="CA614" s="9">
        <v>26</v>
      </c>
      <c r="CB614" s="9">
        <v>13</v>
      </c>
      <c r="CC614" s="167">
        <f>'HourGH-SEP'!O38</f>
        <v>1.03</v>
      </c>
      <c r="CD614" s="263">
        <v>613</v>
      </c>
      <c r="CE614" s="9">
        <v>26</v>
      </c>
      <c r="CF614" s="9">
        <v>13</v>
      </c>
      <c r="CG614" s="167">
        <f>'HourGH-OCT'!O38</f>
        <v>1.27</v>
      </c>
      <c r="CH614" s="9">
        <v>613</v>
      </c>
      <c r="CI614" s="9">
        <v>26</v>
      </c>
      <c r="CJ614" s="9">
        <v>13</v>
      </c>
      <c r="CK614" s="167">
        <f>'HourGH-NOV'!O38</f>
        <v>0.57999999999999996</v>
      </c>
      <c r="CL614" s="263">
        <v>613</v>
      </c>
      <c r="CM614" s="9">
        <v>26</v>
      </c>
      <c r="CN614" s="9">
        <v>13</v>
      </c>
      <c r="CO614" s="167">
        <f>'HourGH-DEC'!O38</f>
        <v>0.44</v>
      </c>
      <c r="CP614" s="263">
        <v>613</v>
      </c>
      <c r="CQ614" s="9">
        <v>26</v>
      </c>
      <c r="CR614" s="9">
        <v>13</v>
      </c>
      <c r="CS614" s="167">
        <f>'HourGH-JAN'!O38</f>
        <v>0.71</v>
      </c>
      <c r="CT614" s="9">
        <v>613</v>
      </c>
      <c r="CU614" s="9">
        <v>26</v>
      </c>
      <c r="CV614" s="9">
        <v>13</v>
      </c>
      <c r="CW614" s="167">
        <f>'HourGH-FEB'!O38</f>
        <v>0.25</v>
      </c>
      <c r="CX614" s="263">
        <v>613</v>
      </c>
      <c r="CY614" s="9">
        <v>26</v>
      </c>
      <c r="CZ614" s="9">
        <v>13</v>
      </c>
      <c r="DA614" s="167">
        <f>'HourGH-MAR'!O38</f>
        <v>0.2</v>
      </c>
    </row>
    <row r="615" spans="58:105">
      <c r="BF615" s="9">
        <v>614</v>
      </c>
      <c r="BG615" s="9">
        <v>26</v>
      </c>
      <c r="BH615" s="9">
        <v>14</v>
      </c>
      <c r="BI615" s="167">
        <f>'HourGH-APR'!P38</f>
        <v>0.56000000000000005</v>
      </c>
      <c r="BJ615" s="263">
        <v>614</v>
      </c>
      <c r="BK615" s="9">
        <v>26</v>
      </c>
      <c r="BL615" s="9">
        <v>14</v>
      </c>
      <c r="BM615" s="167">
        <f>'HourGH-MAY'!P38</f>
        <v>0.15</v>
      </c>
      <c r="BN615" s="9">
        <v>614</v>
      </c>
      <c r="BO615" s="9">
        <v>26</v>
      </c>
      <c r="BP615" s="9">
        <v>14</v>
      </c>
      <c r="BQ615" s="167">
        <f>'HourGH-JUN'!P38</f>
        <v>0.25</v>
      </c>
      <c r="BR615" s="263">
        <v>614</v>
      </c>
      <c r="BS615" s="9">
        <v>26</v>
      </c>
      <c r="BT615" s="9">
        <v>14</v>
      </c>
      <c r="BU615" s="167">
        <f>'HourGH-JUL'!P38</f>
        <v>0.41</v>
      </c>
      <c r="BV615" s="263">
        <v>614</v>
      </c>
      <c r="BW615" s="9">
        <v>26</v>
      </c>
      <c r="BX615" s="9">
        <v>14</v>
      </c>
      <c r="BY615" s="167">
        <f>'HourGH-AUG'!P38</f>
        <v>0.7</v>
      </c>
      <c r="BZ615" s="9">
        <v>614</v>
      </c>
      <c r="CA615" s="9">
        <v>26</v>
      </c>
      <c r="CB615" s="9">
        <v>14</v>
      </c>
      <c r="CC615" s="167">
        <f>'HourGH-SEP'!P38</f>
        <v>1.07</v>
      </c>
      <c r="CD615" s="263">
        <v>614</v>
      </c>
      <c r="CE615" s="9">
        <v>26</v>
      </c>
      <c r="CF615" s="9">
        <v>14</v>
      </c>
      <c r="CG615" s="167">
        <f>'HourGH-OCT'!P38</f>
        <v>1.27</v>
      </c>
      <c r="CH615" s="9">
        <v>614</v>
      </c>
      <c r="CI615" s="9">
        <v>26</v>
      </c>
      <c r="CJ615" s="9">
        <v>14</v>
      </c>
      <c r="CK615" s="167">
        <f>'HourGH-NOV'!P38</f>
        <v>0.57999999999999996</v>
      </c>
      <c r="CL615" s="263">
        <v>614</v>
      </c>
      <c r="CM615" s="9">
        <v>26</v>
      </c>
      <c r="CN615" s="9">
        <v>14</v>
      </c>
      <c r="CO615" s="167">
        <f>'HourGH-DEC'!P38</f>
        <v>0.44</v>
      </c>
      <c r="CP615" s="263">
        <v>614</v>
      </c>
      <c r="CQ615" s="9">
        <v>26</v>
      </c>
      <c r="CR615" s="9">
        <v>14</v>
      </c>
      <c r="CS615" s="167">
        <f>'HourGH-JAN'!P38</f>
        <v>0.71</v>
      </c>
      <c r="CT615" s="9">
        <v>614</v>
      </c>
      <c r="CU615" s="9">
        <v>26</v>
      </c>
      <c r="CV615" s="9">
        <v>14</v>
      </c>
      <c r="CW615" s="167">
        <f>'HourGH-FEB'!P38</f>
        <v>0.25</v>
      </c>
      <c r="CX615" s="263">
        <v>614</v>
      </c>
      <c r="CY615" s="9">
        <v>26</v>
      </c>
      <c r="CZ615" s="9">
        <v>14</v>
      </c>
      <c r="DA615" s="167">
        <f>'HourGH-MAR'!P38</f>
        <v>0.2</v>
      </c>
    </row>
    <row r="616" spans="58:105">
      <c r="BF616" s="9">
        <v>615</v>
      </c>
      <c r="BG616" s="9">
        <v>26</v>
      </c>
      <c r="BH616" s="9">
        <v>15</v>
      </c>
      <c r="BI616" s="167">
        <f>'HourGH-APR'!Q38</f>
        <v>0.56000000000000005</v>
      </c>
      <c r="BJ616" s="263">
        <v>615</v>
      </c>
      <c r="BK616" s="9">
        <v>26</v>
      </c>
      <c r="BL616" s="9">
        <v>15</v>
      </c>
      <c r="BM616" s="167">
        <f>'HourGH-MAY'!Q38</f>
        <v>0.15</v>
      </c>
      <c r="BN616" s="9">
        <v>615</v>
      </c>
      <c r="BO616" s="9">
        <v>26</v>
      </c>
      <c r="BP616" s="9">
        <v>15</v>
      </c>
      <c r="BQ616" s="167">
        <f>'HourGH-JUN'!Q38</f>
        <v>0.25</v>
      </c>
      <c r="BR616" s="263">
        <v>615</v>
      </c>
      <c r="BS616" s="9">
        <v>26</v>
      </c>
      <c r="BT616" s="9">
        <v>15</v>
      </c>
      <c r="BU616" s="167">
        <f>'HourGH-JUL'!Q38</f>
        <v>0.41</v>
      </c>
      <c r="BV616" s="263">
        <v>615</v>
      </c>
      <c r="BW616" s="9">
        <v>26</v>
      </c>
      <c r="BX616" s="9">
        <v>15</v>
      </c>
      <c r="BY616" s="167">
        <f>'HourGH-AUG'!Q38</f>
        <v>0.7</v>
      </c>
      <c r="BZ616" s="9">
        <v>615</v>
      </c>
      <c r="CA616" s="9">
        <v>26</v>
      </c>
      <c r="CB616" s="9">
        <v>15</v>
      </c>
      <c r="CC616" s="167">
        <f>'HourGH-SEP'!Q38</f>
        <v>1.1000000000000001</v>
      </c>
      <c r="CD616" s="263">
        <v>615</v>
      </c>
      <c r="CE616" s="9">
        <v>26</v>
      </c>
      <c r="CF616" s="9">
        <v>15</v>
      </c>
      <c r="CG616" s="167">
        <f>'HourGH-OCT'!Q38</f>
        <v>1.26</v>
      </c>
      <c r="CH616" s="9">
        <v>615</v>
      </c>
      <c r="CI616" s="9">
        <v>26</v>
      </c>
      <c r="CJ616" s="9">
        <v>15</v>
      </c>
      <c r="CK616" s="167">
        <f>'HourGH-NOV'!Q38</f>
        <v>0.57999999999999996</v>
      </c>
      <c r="CL616" s="263">
        <v>615</v>
      </c>
      <c r="CM616" s="9">
        <v>26</v>
      </c>
      <c r="CN616" s="9">
        <v>15</v>
      </c>
      <c r="CO616" s="167">
        <f>'HourGH-DEC'!Q38</f>
        <v>0.44</v>
      </c>
      <c r="CP616" s="263">
        <v>615</v>
      </c>
      <c r="CQ616" s="9">
        <v>26</v>
      </c>
      <c r="CR616" s="9">
        <v>15</v>
      </c>
      <c r="CS616" s="167">
        <f>'HourGH-JAN'!Q38</f>
        <v>0.71</v>
      </c>
      <c r="CT616" s="9">
        <v>615</v>
      </c>
      <c r="CU616" s="9">
        <v>26</v>
      </c>
      <c r="CV616" s="9">
        <v>15</v>
      </c>
      <c r="CW616" s="167">
        <f>'HourGH-FEB'!Q38</f>
        <v>0.25</v>
      </c>
      <c r="CX616" s="263">
        <v>615</v>
      </c>
      <c r="CY616" s="9">
        <v>26</v>
      </c>
      <c r="CZ616" s="9">
        <v>15</v>
      </c>
      <c r="DA616" s="167">
        <f>'HourGH-MAR'!Q38</f>
        <v>0.2</v>
      </c>
    </row>
    <row r="617" spans="58:105">
      <c r="BF617" s="9">
        <v>616</v>
      </c>
      <c r="BG617" s="9">
        <v>26</v>
      </c>
      <c r="BH617" s="9">
        <v>16</v>
      </c>
      <c r="BI617" s="167">
        <f>'HourGH-APR'!R38</f>
        <v>0.56000000000000005</v>
      </c>
      <c r="BJ617" s="263">
        <v>616</v>
      </c>
      <c r="BK617" s="9">
        <v>26</v>
      </c>
      <c r="BL617" s="9">
        <v>16</v>
      </c>
      <c r="BM617" s="167">
        <f>'HourGH-MAY'!R38</f>
        <v>0.15</v>
      </c>
      <c r="BN617" s="9">
        <v>616</v>
      </c>
      <c r="BO617" s="9">
        <v>26</v>
      </c>
      <c r="BP617" s="9">
        <v>16</v>
      </c>
      <c r="BQ617" s="167">
        <f>'HourGH-JUN'!R38</f>
        <v>0.25</v>
      </c>
      <c r="BR617" s="263">
        <v>616</v>
      </c>
      <c r="BS617" s="9">
        <v>26</v>
      </c>
      <c r="BT617" s="9">
        <v>16</v>
      </c>
      <c r="BU617" s="167">
        <f>'HourGH-JUL'!R38</f>
        <v>0.41</v>
      </c>
      <c r="BV617" s="263">
        <v>616</v>
      </c>
      <c r="BW617" s="9">
        <v>26</v>
      </c>
      <c r="BX617" s="9">
        <v>16</v>
      </c>
      <c r="BY617" s="167">
        <f>'HourGH-AUG'!R38</f>
        <v>0.7</v>
      </c>
      <c r="BZ617" s="9">
        <v>616</v>
      </c>
      <c r="CA617" s="9">
        <v>26</v>
      </c>
      <c r="CB617" s="9">
        <v>16</v>
      </c>
      <c r="CC617" s="167">
        <f>'HourGH-SEP'!R38</f>
        <v>1.1399999999999999</v>
      </c>
      <c r="CD617" s="263">
        <v>616</v>
      </c>
      <c r="CE617" s="9">
        <v>26</v>
      </c>
      <c r="CF617" s="9">
        <v>16</v>
      </c>
      <c r="CG617" s="167">
        <f>'HourGH-OCT'!R38</f>
        <v>1.26</v>
      </c>
      <c r="CH617" s="9">
        <v>616</v>
      </c>
      <c r="CI617" s="9">
        <v>26</v>
      </c>
      <c r="CJ617" s="9">
        <v>16</v>
      </c>
      <c r="CK617" s="167">
        <f>'HourGH-NOV'!R38</f>
        <v>0.57999999999999996</v>
      </c>
      <c r="CL617" s="263">
        <v>616</v>
      </c>
      <c r="CM617" s="9">
        <v>26</v>
      </c>
      <c r="CN617" s="9">
        <v>16</v>
      </c>
      <c r="CO617" s="167">
        <f>'HourGH-DEC'!R38</f>
        <v>0.44</v>
      </c>
      <c r="CP617" s="263">
        <v>616</v>
      </c>
      <c r="CQ617" s="9">
        <v>26</v>
      </c>
      <c r="CR617" s="9">
        <v>16</v>
      </c>
      <c r="CS617" s="167">
        <f>'HourGH-JAN'!R38</f>
        <v>0.71</v>
      </c>
      <c r="CT617" s="9">
        <v>616</v>
      </c>
      <c r="CU617" s="9">
        <v>26</v>
      </c>
      <c r="CV617" s="9">
        <v>16</v>
      </c>
      <c r="CW617" s="167">
        <f>'HourGH-FEB'!R38</f>
        <v>0.25</v>
      </c>
      <c r="CX617" s="263">
        <v>616</v>
      </c>
      <c r="CY617" s="9">
        <v>26</v>
      </c>
      <c r="CZ617" s="9">
        <v>16</v>
      </c>
      <c r="DA617" s="167">
        <f>'HourGH-MAR'!R38</f>
        <v>0.2</v>
      </c>
    </row>
    <row r="618" spans="58:105">
      <c r="BF618" s="9">
        <v>617</v>
      </c>
      <c r="BG618" s="9">
        <v>26</v>
      </c>
      <c r="BH618" s="9">
        <v>17</v>
      </c>
      <c r="BI618" s="167">
        <f>'HourGH-APR'!S38</f>
        <v>0.56000000000000005</v>
      </c>
      <c r="BJ618" s="263">
        <v>617</v>
      </c>
      <c r="BK618" s="9">
        <v>26</v>
      </c>
      <c r="BL618" s="9">
        <v>17</v>
      </c>
      <c r="BM618" s="167">
        <f>'HourGH-MAY'!S38</f>
        <v>0.15</v>
      </c>
      <c r="BN618" s="9">
        <v>617</v>
      </c>
      <c r="BO618" s="9">
        <v>26</v>
      </c>
      <c r="BP618" s="9">
        <v>17</v>
      </c>
      <c r="BQ618" s="167">
        <f>'HourGH-JUN'!S38</f>
        <v>0.25</v>
      </c>
      <c r="BR618" s="263">
        <v>617</v>
      </c>
      <c r="BS618" s="9">
        <v>26</v>
      </c>
      <c r="BT618" s="9">
        <v>17</v>
      </c>
      <c r="BU618" s="167">
        <f>'HourGH-JUL'!S38</f>
        <v>0.4</v>
      </c>
      <c r="BV618" s="263">
        <v>617</v>
      </c>
      <c r="BW618" s="9">
        <v>26</v>
      </c>
      <c r="BX618" s="9">
        <v>17</v>
      </c>
      <c r="BY618" s="167">
        <f>'HourGH-AUG'!S38</f>
        <v>0.7</v>
      </c>
      <c r="BZ618" s="9">
        <v>617</v>
      </c>
      <c r="CA618" s="9">
        <v>26</v>
      </c>
      <c r="CB618" s="9">
        <v>17</v>
      </c>
      <c r="CC618" s="167">
        <f>'HourGH-SEP'!S38</f>
        <v>1.18</v>
      </c>
      <c r="CD618" s="263">
        <v>617</v>
      </c>
      <c r="CE618" s="9">
        <v>26</v>
      </c>
      <c r="CF618" s="9">
        <v>17</v>
      </c>
      <c r="CG618" s="167">
        <f>'HourGH-OCT'!S38</f>
        <v>1.25</v>
      </c>
      <c r="CH618" s="9">
        <v>617</v>
      </c>
      <c r="CI618" s="9">
        <v>26</v>
      </c>
      <c r="CJ618" s="9">
        <v>17</v>
      </c>
      <c r="CK618" s="167">
        <f>'HourGH-NOV'!S38</f>
        <v>0.57999999999999996</v>
      </c>
      <c r="CL618" s="263">
        <v>617</v>
      </c>
      <c r="CM618" s="9">
        <v>26</v>
      </c>
      <c r="CN618" s="9">
        <v>17</v>
      </c>
      <c r="CO618" s="167">
        <f>'HourGH-DEC'!S38</f>
        <v>0.44</v>
      </c>
      <c r="CP618" s="263">
        <v>617</v>
      </c>
      <c r="CQ618" s="9">
        <v>26</v>
      </c>
      <c r="CR618" s="9">
        <v>17</v>
      </c>
      <c r="CS618" s="167">
        <f>'HourGH-JAN'!S38</f>
        <v>0.71</v>
      </c>
      <c r="CT618" s="9">
        <v>617</v>
      </c>
      <c r="CU618" s="9">
        <v>26</v>
      </c>
      <c r="CV618" s="9">
        <v>17</v>
      </c>
      <c r="CW618" s="167">
        <f>'HourGH-FEB'!S38</f>
        <v>0.25</v>
      </c>
      <c r="CX618" s="263">
        <v>617</v>
      </c>
      <c r="CY618" s="9">
        <v>26</v>
      </c>
      <c r="CZ618" s="9">
        <v>17</v>
      </c>
      <c r="DA618" s="167">
        <f>'HourGH-MAR'!S38</f>
        <v>0.2</v>
      </c>
    </row>
    <row r="619" spans="58:105">
      <c r="BF619" s="9">
        <v>618</v>
      </c>
      <c r="BG619" s="9">
        <v>26</v>
      </c>
      <c r="BH619" s="9">
        <v>18</v>
      </c>
      <c r="BI619" s="167">
        <f>'HourGH-APR'!T38</f>
        <v>0.56000000000000005</v>
      </c>
      <c r="BJ619" s="263">
        <v>618</v>
      </c>
      <c r="BK619" s="9">
        <v>26</v>
      </c>
      <c r="BL619" s="9">
        <v>18</v>
      </c>
      <c r="BM619" s="167">
        <f>'HourGH-MAY'!T38</f>
        <v>0.15</v>
      </c>
      <c r="BN619" s="9">
        <v>618</v>
      </c>
      <c r="BO619" s="9">
        <v>26</v>
      </c>
      <c r="BP619" s="9">
        <v>18</v>
      </c>
      <c r="BQ619" s="167">
        <f>'HourGH-JUN'!T38</f>
        <v>0.25</v>
      </c>
      <c r="BR619" s="263">
        <v>618</v>
      </c>
      <c r="BS619" s="9">
        <v>26</v>
      </c>
      <c r="BT619" s="9">
        <v>18</v>
      </c>
      <c r="BU619" s="167">
        <f>'HourGH-JUL'!T38</f>
        <v>0.4</v>
      </c>
      <c r="BV619" s="263">
        <v>618</v>
      </c>
      <c r="BW619" s="9">
        <v>26</v>
      </c>
      <c r="BX619" s="9">
        <v>18</v>
      </c>
      <c r="BY619" s="167">
        <f>'HourGH-AUG'!T38</f>
        <v>0.7</v>
      </c>
      <c r="BZ619" s="9">
        <v>618</v>
      </c>
      <c r="CA619" s="9">
        <v>26</v>
      </c>
      <c r="CB619" s="9">
        <v>18</v>
      </c>
      <c r="CC619" s="167">
        <f>'HourGH-SEP'!T38</f>
        <v>1.23</v>
      </c>
      <c r="CD619" s="263">
        <v>618</v>
      </c>
      <c r="CE619" s="9">
        <v>26</v>
      </c>
      <c r="CF619" s="9">
        <v>18</v>
      </c>
      <c r="CG619" s="167">
        <f>'HourGH-OCT'!T38</f>
        <v>1.25</v>
      </c>
      <c r="CH619" s="9">
        <v>618</v>
      </c>
      <c r="CI619" s="9">
        <v>26</v>
      </c>
      <c r="CJ619" s="9">
        <v>18</v>
      </c>
      <c r="CK619" s="167">
        <f>'HourGH-NOV'!T38</f>
        <v>0.57999999999999996</v>
      </c>
      <c r="CL619" s="263">
        <v>618</v>
      </c>
      <c r="CM619" s="9">
        <v>26</v>
      </c>
      <c r="CN619" s="9">
        <v>18</v>
      </c>
      <c r="CO619" s="167">
        <f>'HourGH-DEC'!T38</f>
        <v>0.44</v>
      </c>
      <c r="CP619" s="263">
        <v>618</v>
      </c>
      <c r="CQ619" s="9">
        <v>26</v>
      </c>
      <c r="CR619" s="9">
        <v>18</v>
      </c>
      <c r="CS619" s="167">
        <f>'HourGH-JAN'!T38</f>
        <v>0.71</v>
      </c>
      <c r="CT619" s="9">
        <v>618</v>
      </c>
      <c r="CU619" s="9">
        <v>26</v>
      </c>
      <c r="CV619" s="9">
        <v>18</v>
      </c>
      <c r="CW619" s="167">
        <f>'HourGH-FEB'!T38</f>
        <v>0.25</v>
      </c>
      <c r="CX619" s="263">
        <v>618</v>
      </c>
      <c r="CY619" s="9">
        <v>26</v>
      </c>
      <c r="CZ619" s="9">
        <v>18</v>
      </c>
      <c r="DA619" s="167">
        <f>'HourGH-MAR'!T38</f>
        <v>0.2</v>
      </c>
    </row>
    <row r="620" spans="58:105">
      <c r="BF620" s="9">
        <v>619</v>
      </c>
      <c r="BG620" s="9">
        <v>26</v>
      </c>
      <c r="BH620" s="9">
        <v>19</v>
      </c>
      <c r="BI620" s="167">
        <f>'HourGH-APR'!U38</f>
        <v>0.56000000000000005</v>
      </c>
      <c r="BJ620" s="263">
        <v>619</v>
      </c>
      <c r="BK620" s="9">
        <v>26</v>
      </c>
      <c r="BL620" s="9">
        <v>19</v>
      </c>
      <c r="BM620" s="167">
        <f>'HourGH-MAY'!U38</f>
        <v>0.16</v>
      </c>
      <c r="BN620" s="9">
        <v>619</v>
      </c>
      <c r="BO620" s="9">
        <v>26</v>
      </c>
      <c r="BP620" s="9">
        <v>19</v>
      </c>
      <c r="BQ620" s="167">
        <f>'HourGH-JUN'!U38</f>
        <v>0.25</v>
      </c>
      <c r="BR620" s="263">
        <v>619</v>
      </c>
      <c r="BS620" s="9">
        <v>26</v>
      </c>
      <c r="BT620" s="9">
        <v>19</v>
      </c>
      <c r="BU620" s="167">
        <f>'HourGH-JUL'!U38</f>
        <v>0.4</v>
      </c>
      <c r="BV620" s="263">
        <v>619</v>
      </c>
      <c r="BW620" s="9">
        <v>26</v>
      </c>
      <c r="BX620" s="9">
        <v>19</v>
      </c>
      <c r="BY620" s="167">
        <f>'HourGH-AUG'!U38</f>
        <v>0.69</v>
      </c>
      <c r="BZ620" s="9">
        <v>619</v>
      </c>
      <c r="CA620" s="9">
        <v>26</v>
      </c>
      <c r="CB620" s="9">
        <v>19</v>
      </c>
      <c r="CC620" s="167">
        <f>'HourGH-SEP'!U38</f>
        <v>1.27</v>
      </c>
      <c r="CD620" s="263">
        <v>619</v>
      </c>
      <c r="CE620" s="9">
        <v>26</v>
      </c>
      <c r="CF620" s="9">
        <v>19</v>
      </c>
      <c r="CG620" s="167">
        <f>'HourGH-OCT'!U38</f>
        <v>1.24</v>
      </c>
      <c r="CH620" s="9">
        <v>619</v>
      </c>
      <c r="CI620" s="9">
        <v>26</v>
      </c>
      <c r="CJ620" s="9">
        <v>19</v>
      </c>
      <c r="CK620" s="167">
        <f>'HourGH-NOV'!U38</f>
        <v>0.57999999999999996</v>
      </c>
      <c r="CL620" s="263">
        <v>619</v>
      </c>
      <c r="CM620" s="9">
        <v>26</v>
      </c>
      <c r="CN620" s="9">
        <v>19</v>
      </c>
      <c r="CO620" s="167">
        <f>'HourGH-DEC'!U38</f>
        <v>0.44</v>
      </c>
      <c r="CP620" s="263">
        <v>619</v>
      </c>
      <c r="CQ620" s="9">
        <v>26</v>
      </c>
      <c r="CR620" s="9">
        <v>19</v>
      </c>
      <c r="CS620" s="167">
        <f>'HourGH-JAN'!U38</f>
        <v>0.71</v>
      </c>
      <c r="CT620" s="9">
        <v>619</v>
      </c>
      <c r="CU620" s="9">
        <v>26</v>
      </c>
      <c r="CV620" s="9">
        <v>19</v>
      </c>
      <c r="CW620" s="167">
        <f>'HourGH-FEB'!U38</f>
        <v>0.25</v>
      </c>
      <c r="CX620" s="263">
        <v>619</v>
      </c>
      <c r="CY620" s="9">
        <v>26</v>
      </c>
      <c r="CZ620" s="9">
        <v>19</v>
      </c>
      <c r="DA620" s="167">
        <f>'HourGH-MAR'!U38</f>
        <v>0.2</v>
      </c>
    </row>
    <row r="621" spans="58:105">
      <c r="BF621" s="9">
        <v>620</v>
      </c>
      <c r="BG621" s="9">
        <v>26</v>
      </c>
      <c r="BH621" s="9">
        <v>20</v>
      </c>
      <c r="BI621" s="167">
        <f>'HourGH-APR'!V38</f>
        <v>0.56000000000000005</v>
      </c>
      <c r="BJ621" s="263">
        <v>620</v>
      </c>
      <c r="BK621" s="9">
        <v>26</v>
      </c>
      <c r="BL621" s="9">
        <v>20</v>
      </c>
      <c r="BM621" s="167">
        <f>'HourGH-MAY'!V38</f>
        <v>0.16</v>
      </c>
      <c r="BN621" s="9">
        <v>620</v>
      </c>
      <c r="BO621" s="9">
        <v>26</v>
      </c>
      <c r="BP621" s="9">
        <v>20</v>
      </c>
      <c r="BQ621" s="167">
        <f>'HourGH-JUN'!V38</f>
        <v>0.26</v>
      </c>
      <c r="BR621" s="263">
        <v>620</v>
      </c>
      <c r="BS621" s="9">
        <v>26</v>
      </c>
      <c r="BT621" s="9">
        <v>20</v>
      </c>
      <c r="BU621" s="167">
        <f>'HourGH-JUL'!V38</f>
        <v>0.39</v>
      </c>
      <c r="BV621" s="263">
        <v>620</v>
      </c>
      <c r="BW621" s="9">
        <v>26</v>
      </c>
      <c r="BX621" s="9">
        <v>20</v>
      </c>
      <c r="BY621" s="167">
        <f>'HourGH-AUG'!V38</f>
        <v>0.69</v>
      </c>
      <c r="BZ621" s="9">
        <v>620</v>
      </c>
      <c r="CA621" s="9">
        <v>26</v>
      </c>
      <c r="CB621" s="9">
        <v>20</v>
      </c>
      <c r="CC621" s="167">
        <f>'HourGH-SEP'!V38</f>
        <v>1.32</v>
      </c>
      <c r="CD621" s="263">
        <v>620</v>
      </c>
      <c r="CE621" s="9">
        <v>26</v>
      </c>
      <c r="CF621" s="9">
        <v>20</v>
      </c>
      <c r="CG621" s="167">
        <f>'HourGH-OCT'!V38</f>
        <v>1.23</v>
      </c>
      <c r="CH621" s="9">
        <v>620</v>
      </c>
      <c r="CI621" s="9">
        <v>26</v>
      </c>
      <c r="CJ621" s="9">
        <v>20</v>
      </c>
      <c r="CK621" s="167">
        <f>'HourGH-NOV'!V38</f>
        <v>0.57999999999999996</v>
      </c>
      <c r="CL621" s="263">
        <v>620</v>
      </c>
      <c r="CM621" s="9">
        <v>26</v>
      </c>
      <c r="CN621" s="9">
        <v>20</v>
      </c>
      <c r="CO621" s="167">
        <f>'HourGH-DEC'!V38</f>
        <v>0.44</v>
      </c>
      <c r="CP621" s="263">
        <v>620</v>
      </c>
      <c r="CQ621" s="9">
        <v>26</v>
      </c>
      <c r="CR621" s="9">
        <v>20</v>
      </c>
      <c r="CS621" s="167">
        <f>'HourGH-JAN'!V38</f>
        <v>0.71</v>
      </c>
      <c r="CT621" s="9">
        <v>620</v>
      </c>
      <c r="CU621" s="9">
        <v>26</v>
      </c>
      <c r="CV621" s="9">
        <v>20</v>
      </c>
      <c r="CW621" s="167">
        <f>'HourGH-FEB'!V38</f>
        <v>0.25</v>
      </c>
      <c r="CX621" s="263">
        <v>620</v>
      </c>
      <c r="CY621" s="9">
        <v>26</v>
      </c>
      <c r="CZ621" s="9">
        <v>20</v>
      </c>
      <c r="DA621" s="167">
        <f>'HourGH-MAR'!V38</f>
        <v>0.2</v>
      </c>
    </row>
    <row r="622" spans="58:105">
      <c r="BF622" s="9">
        <v>621</v>
      </c>
      <c r="BG622" s="9">
        <v>26</v>
      </c>
      <c r="BH622" s="9">
        <v>21</v>
      </c>
      <c r="BI622" s="167">
        <f>'HourGH-APR'!W38</f>
        <v>0.56000000000000005</v>
      </c>
      <c r="BJ622" s="263">
        <v>621</v>
      </c>
      <c r="BK622" s="9">
        <v>26</v>
      </c>
      <c r="BL622" s="9">
        <v>21</v>
      </c>
      <c r="BM622" s="167">
        <f>'HourGH-MAY'!W38</f>
        <v>0.16</v>
      </c>
      <c r="BN622" s="9">
        <v>621</v>
      </c>
      <c r="BO622" s="9">
        <v>26</v>
      </c>
      <c r="BP622" s="9">
        <v>21</v>
      </c>
      <c r="BQ622" s="167">
        <f>'HourGH-JUN'!W38</f>
        <v>0.26</v>
      </c>
      <c r="BR622" s="263">
        <v>621</v>
      </c>
      <c r="BS622" s="9">
        <v>26</v>
      </c>
      <c r="BT622" s="9">
        <v>21</v>
      </c>
      <c r="BU622" s="167">
        <f>'HourGH-JUL'!W38</f>
        <v>0.39</v>
      </c>
      <c r="BV622" s="263">
        <v>621</v>
      </c>
      <c r="BW622" s="9">
        <v>26</v>
      </c>
      <c r="BX622" s="9">
        <v>21</v>
      </c>
      <c r="BY622" s="167">
        <f>'HourGH-AUG'!W38</f>
        <v>0.69</v>
      </c>
      <c r="BZ622" s="9">
        <v>621</v>
      </c>
      <c r="CA622" s="9">
        <v>26</v>
      </c>
      <c r="CB622" s="9">
        <v>21</v>
      </c>
      <c r="CC622" s="167">
        <f>'HourGH-SEP'!W38</f>
        <v>1.39</v>
      </c>
      <c r="CD622" s="263">
        <v>621</v>
      </c>
      <c r="CE622" s="9">
        <v>26</v>
      </c>
      <c r="CF622" s="9">
        <v>21</v>
      </c>
      <c r="CG622" s="167">
        <f>'HourGH-OCT'!W38</f>
        <v>1.23</v>
      </c>
      <c r="CH622" s="9">
        <v>621</v>
      </c>
      <c r="CI622" s="9">
        <v>26</v>
      </c>
      <c r="CJ622" s="9">
        <v>21</v>
      </c>
      <c r="CK622" s="167">
        <f>'HourGH-NOV'!W38</f>
        <v>0.57999999999999996</v>
      </c>
      <c r="CL622" s="263">
        <v>621</v>
      </c>
      <c r="CM622" s="9">
        <v>26</v>
      </c>
      <c r="CN622" s="9">
        <v>21</v>
      </c>
      <c r="CO622" s="167">
        <f>'HourGH-DEC'!W38</f>
        <v>0.44</v>
      </c>
      <c r="CP622" s="263">
        <v>621</v>
      </c>
      <c r="CQ622" s="9">
        <v>26</v>
      </c>
      <c r="CR622" s="9">
        <v>21</v>
      </c>
      <c r="CS622" s="167">
        <f>'HourGH-JAN'!W38</f>
        <v>0.71</v>
      </c>
      <c r="CT622" s="9">
        <v>621</v>
      </c>
      <c r="CU622" s="9">
        <v>26</v>
      </c>
      <c r="CV622" s="9">
        <v>21</v>
      </c>
      <c r="CW622" s="167">
        <f>'HourGH-FEB'!W38</f>
        <v>0.25</v>
      </c>
      <c r="CX622" s="263">
        <v>621</v>
      </c>
      <c r="CY622" s="9">
        <v>26</v>
      </c>
      <c r="CZ622" s="9">
        <v>21</v>
      </c>
      <c r="DA622" s="167">
        <f>'HourGH-MAR'!W38</f>
        <v>0.2</v>
      </c>
    </row>
    <row r="623" spans="58:105">
      <c r="BF623" s="9">
        <v>622</v>
      </c>
      <c r="BG623" s="9">
        <v>26</v>
      </c>
      <c r="BH623" s="9">
        <v>22</v>
      </c>
      <c r="BI623" s="167">
        <f>'HourGH-APR'!X38</f>
        <v>0.56000000000000005</v>
      </c>
      <c r="BJ623" s="263">
        <v>622</v>
      </c>
      <c r="BK623" s="9">
        <v>26</v>
      </c>
      <c r="BL623" s="9">
        <v>22</v>
      </c>
      <c r="BM623" s="167">
        <f>'HourGH-MAY'!X38</f>
        <v>0.16</v>
      </c>
      <c r="BN623" s="9">
        <v>622</v>
      </c>
      <c r="BO623" s="9">
        <v>26</v>
      </c>
      <c r="BP623" s="9">
        <v>22</v>
      </c>
      <c r="BQ623" s="167">
        <f>'HourGH-JUN'!X38</f>
        <v>0.26</v>
      </c>
      <c r="BR623" s="263">
        <v>622</v>
      </c>
      <c r="BS623" s="9">
        <v>26</v>
      </c>
      <c r="BT623" s="9">
        <v>22</v>
      </c>
      <c r="BU623" s="167">
        <f>'HourGH-JUL'!X38</f>
        <v>0.38</v>
      </c>
      <c r="BV623" s="263">
        <v>622</v>
      </c>
      <c r="BW623" s="9">
        <v>26</v>
      </c>
      <c r="BX623" s="9">
        <v>22</v>
      </c>
      <c r="BY623" s="167">
        <f>'HourGH-AUG'!X38</f>
        <v>0.69</v>
      </c>
      <c r="BZ623" s="9">
        <v>622</v>
      </c>
      <c r="CA623" s="9">
        <v>26</v>
      </c>
      <c r="CB623" s="9">
        <v>22</v>
      </c>
      <c r="CC623" s="167">
        <f>'HourGH-SEP'!X38</f>
        <v>1.45</v>
      </c>
      <c r="CD623" s="263">
        <v>622</v>
      </c>
      <c r="CE623" s="9">
        <v>26</v>
      </c>
      <c r="CF623" s="9">
        <v>22</v>
      </c>
      <c r="CG623" s="167">
        <f>'HourGH-OCT'!X38</f>
        <v>1.22</v>
      </c>
      <c r="CH623" s="9">
        <v>622</v>
      </c>
      <c r="CI623" s="9">
        <v>26</v>
      </c>
      <c r="CJ623" s="9">
        <v>22</v>
      </c>
      <c r="CK623" s="167">
        <f>'HourGH-NOV'!X38</f>
        <v>0.57999999999999996</v>
      </c>
      <c r="CL623" s="263">
        <v>622</v>
      </c>
      <c r="CM623" s="9">
        <v>26</v>
      </c>
      <c r="CN623" s="9">
        <v>22</v>
      </c>
      <c r="CO623" s="167">
        <f>'HourGH-DEC'!X38</f>
        <v>0.44</v>
      </c>
      <c r="CP623" s="263">
        <v>622</v>
      </c>
      <c r="CQ623" s="9">
        <v>26</v>
      </c>
      <c r="CR623" s="9">
        <v>22</v>
      </c>
      <c r="CS623" s="167">
        <f>'HourGH-JAN'!X38</f>
        <v>0.71</v>
      </c>
      <c r="CT623" s="9">
        <v>622</v>
      </c>
      <c r="CU623" s="9">
        <v>26</v>
      </c>
      <c r="CV623" s="9">
        <v>22</v>
      </c>
      <c r="CW623" s="167">
        <f>'HourGH-FEB'!X38</f>
        <v>0.25</v>
      </c>
      <c r="CX623" s="263">
        <v>622</v>
      </c>
      <c r="CY623" s="9">
        <v>26</v>
      </c>
      <c r="CZ623" s="9">
        <v>22</v>
      </c>
      <c r="DA623" s="167">
        <f>'HourGH-MAR'!X38</f>
        <v>0.2</v>
      </c>
    </row>
    <row r="624" spans="58:105">
      <c r="BF624" s="9">
        <v>623</v>
      </c>
      <c r="BG624" s="9">
        <v>26</v>
      </c>
      <c r="BH624" s="9">
        <v>23</v>
      </c>
      <c r="BI624" s="167">
        <f>'HourGH-APR'!Y38</f>
        <v>0.56000000000000005</v>
      </c>
      <c r="BJ624" s="263">
        <v>623</v>
      </c>
      <c r="BK624" s="9">
        <v>26</v>
      </c>
      <c r="BL624" s="9">
        <v>23</v>
      </c>
      <c r="BM624" s="167">
        <f>'HourGH-MAY'!Y38</f>
        <v>0.16</v>
      </c>
      <c r="BN624" s="9">
        <v>623</v>
      </c>
      <c r="BO624" s="9">
        <v>26</v>
      </c>
      <c r="BP624" s="9">
        <v>23</v>
      </c>
      <c r="BQ624" s="167">
        <f>'HourGH-JUN'!Y38</f>
        <v>0.26</v>
      </c>
      <c r="BR624" s="263">
        <v>623</v>
      </c>
      <c r="BS624" s="9">
        <v>26</v>
      </c>
      <c r="BT624" s="9">
        <v>23</v>
      </c>
      <c r="BU624" s="167">
        <f>'HourGH-JUL'!Y38</f>
        <v>0.38</v>
      </c>
      <c r="BV624" s="263">
        <v>623</v>
      </c>
      <c r="BW624" s="9">
        <v>26</v>
      </c>
      <c r="BX624" s="9">
        <v>23</v>
      </c>
      <c r="BY624" s="167">
        <f>'HourGH-AUG'!Y38</f>
        <v>0.69</v>
      </c>
      <c r="BZ624" s="9">
        <v>623</v>
      </c>
      <c r="CA624" s="9">
        <v>26</v>
      </c>
      <c r="CB624" s="9">
        <v>23</v>
      </c>
      <c r="CC624" s="167">
        <f>'HourGH-SEP'!Y38</f>
        <v>1.5</v>
      </c>
      <c r="CD624" s="263">
        <v>623</v>
      </c>
      <c r="CE624" s="9">
        <v>26</v>
      </c>
      <c r="CF624" s="9">
        <v>23</v>
      </c>
      <c r="CG624" s="167">
        <f>'HourGH-OCT'!Y38</f>
        <v>1.21</v>
      </c>
      <c r="CH624" s="9">
        <v>623</v>
      </c>
      <c r="CI624" s="9">
        <v>26</v>
      </c>
      <c r="CJ624" s="9">
        <v>23</v>
      </c>
      <c r="CK624" s="167">
        <f>'HourGH-NOV'!Y38</f>
        <v>0.57999999999999996</v>
      </c>
      <c r="CL624" s="263">
        <v>623</v>
      </c>
      <c r="CM624" s="9">
        <v>26</v>
      </c>
      <c r="CN624" s="9">
        <v>23</v>
      </c>
      <c r="CO624" s="167">
        <f>'HourGH-DEC'!Y38</f>
        <v>0.44</v>
      </c>
      <c r="CP624" s="263">
        <v>623</v>
      </c>
      <c r="CQ624" s="9">
        <v>26</v>
      </c>
      <c r="CR624" s="9">
        <v>23</v>
      </c>
      <c r="CS624" s="167">
        <f>'HourGH-JAN'!Y38</f>
        <v>0.71</v>
      </c>
      <c r="CT624" s="9">
        <v>623</v>
      </c>
      <c r="CU624" s="9">
        <v>26</v>
      </c>
      <c r="CV624" s="9">
        <v>23</v>
      </c>
      <c r="CW624" s="167">
        <f>'HourGH-FEB'!Y38</f>
        <v>0.25</v>
      </c>
      <c r="CX624" s="263">
        <v>623</v>
      </c>
      <c r="CY624" s="9">
        <v>26</v>
      </c>
      <c r="CZ624" s="9">
        <v>23</v>
      </c>
      <c r="DA624" s="167">
        <f>'HourGH-MAR'!Y38</f>
        <v>0.2</v>
      </c>
    </row>
    <row r="625" spans="58:105">
      <c r="BF625" s="9">
        <v>624</v>
      </c>
      <c r="BG625" s="9">
        <v>26</v>
      </c>
      <c r="BH625" s="9">
        <v>24</v>
      </c>
      <c r="BI625" s="167">
        <f>'HourGH-APR'!Z38</f>
        <v>0.56000000000000005</v>
      </c>
      <c r="BJ625" s="263">
        <v>624</v>
      </c>
      <c r="BK625" s="9">
        <v>26</v>
      </c>
      <c r="BL625" s="9">
        <v>24</v>
      </c>
      <c r="BM625" s="167">
        <f>'HourGH-MAY'!Z38</f>
        <v>0.16</v>
      </c>
      <c r="BN625" s="9">
        <v>624</v>
      </c>
      <c r="BO625" s="9">
        <v>26</v>
      </c>
      <c r="BP625" s="9">
        <v>24</v>
      </c>
      <c r="BQ625" s="167">
        <f>'HourGH-JUN'!Z38</f>
        <v>0.26</v>
      </c>
      <c r="BR625" s="263">
        <v>624</v>
      </c>
      <c r="BS625" s="9">
        <v>26</v>
      </c>
      <c r="BT625" s="9">
        <v>24</v>
      </c>
      <c r="BU625" s="167">
        <f>'HourGH-JUL'!Z38</f>
        <v>0.37</v>
      </c>
      <c r="BV625" s="263">
        <v>624</v>
      </c>
      <c r="BW625" s="9">
        <v>26</v>
      </c>
      <c r="BX625" s="9">
        <v>24</v>
      </c>
      <c r="BY625" s="167">
        <f>'HourGH-AUG'!Z38</f>
        <v>0.69</v>
      </c>
      <c r="BZ625" s="9">
        <v>624</v>
      </c>
      <c r="CA625" s="9">
        <v>26</v>
      </c>
      <c r="CB625" s="9">
        <v>24</v>
      </c>
      <c r="CC625" s="167">
        <f>'HourGH-SEP'!Z38</f>
        <v>1.55</v>
      </c>
      <c r="CD625" s="263">
        <v>624</v>
      </c>
      <c r="CE625" s="9">
        <v>26</v>
      </c>
      <c r="CF625" s="9">
        <v>24</v>
      </c>
      <c r="CG625" s="167">
        <f>'HourGH-OCT'!Z38</f>
        <v>1.21</v>
      </c>
      <c r="CH625" s="9">
        <v>624</v>
      </c>
      <c r="CI625" s="9">
        <v>26</v>
      </c>
      <c r="CJ625" s="9">
        <v>24</v>
      </c>
      <c r="CK625" s="167">
        <f>'HourGH-NOV'!Z38</f>
        <v>0.57999999999999996</v>
      </c>
      <c r="CL625" s="263">
        <v>624</v>
      </c>
      <c r="CM625" s="9">
        <v>26</v>
      </c>
      <c r="CN625" s="9">
        <v>24</v>
      </c>
      <c r="CO625" s="167">
        <f>'HourGH-DEC'!Z38</f>
        <v>0.44</v>
      </c>
      <c r="CP625" s="263">
        <v>624</v>
      </c>
      <c r="CQ625" s="9">
        <v>26</v>
      </c>
      <c r="CR625" s="9">
        <v>24</v>
      </c>
      <c r="CS625" s="167">
        <f>'HourGH-JAN'!Z38</f>
        <v>0.71</v>
      </c>
      <c r="CT625" s="9">
        <v>624</v>
      </c>
      <c r="CU625" s="9">
        <v>26</v>
      </c>
      <c r="CV625" s="9">
        <v>24</v>
      </c>
      <c r="CW625" s="167">
        <f>'HourGH-FEB'!Z38</f>
        <v>0.25</v>
      </c>
      <c r="CX625" s="263">
        <v>624</v>
      </c>
      <c r="CY625" s="9">
        <v>26</v>
      </c>
      <c r="CZ625" s="9">
        <v>24</v>
      </c>
      <c r="DA625" s="167">
        <f>'HourGH-MAR'!Z38</f>
        <v>0.2</v>
      </c>
    </row>
    <row r="626" spans="58:105">
      <c r="BF626" s="9">
        <v>625</v>
      </c>
      <c r="BG626" s="9">
        <v>27</v>
      </c>
      <c r="BH626" s="9">
        <v>1</v>
      </c>
      <c r="BI626" s="167">
        <f>'HourGH-APR'!C39</f>
        <v>0.56000000000000005</v>
      </c>
      <c r="BJ626" s="263">
        <v>625</v>
      </c>
      <c r="BK626" s="9">
        <v>27</v>
      </c>
      <c r="BL626" s="9">
        <v>1</v>
      </c>
      <c r="BM626" s="167">
        <f>'HourGH-MAY'!C39</f>
        <v>0.17</v>
      </c>
      <c r="BN626" s="9">
        <v>625</v>
      </c>
      <c r="BO626" s="9">
        <v>27</v>
      </c>
      <c r="BP626" s="9">
        <v>1</v>
      </c>
      <c r="BQ626" s="167">
        <f>'HourGH-JUN'!C39</f>
        <v>0.26</v>
      </c>
      <c r="BR626" s="263">
        <v>625</v>
      </c>
      <c r="BS626" s="9">
        <v>27</v>
      </c>
      <c r="BT626" s="9">
        <v>1</v>
      </c>
      <c r="BU626" s="167">
        <f>'HourGH-JUL'!C39</f>
        <v>0.37</v>
      </c>
      <c r="BV626" s="263">
        <v>625</v>
      </c>
      <c r="BW626" s="9">
        <v>27</v>
      </c>
      <c r="BX626" s="9">
        <v>1</v>
      </c>
      <c r="BY626" s="167">
        <f>'HourGH-AUG'!C39</f>
        <v>0.68</v>
      </c>
      <c r="BZ626" s="9">
        <v>625</v>
      </c>
      <c r="CA626" s="9">
        <v>27</v>
      </c>
      <c r="CB626" s="9">
        <v>1</v>
      </c>
      <c r="CC626" s="167">
        <f>'HourGH-SEP'!C39</f>
        <v>1.62</v>
      </c>
      <c r="CD626" s="263">
        <v>625</v>
      </c>
      <c r="CE626" s="9">
        <v>27</v>
      </c>
      <c r="CF626" s="9">
        <v>1</v>
      </c>
      <c r="CG626" s="167">
        <f>'HourGH-OCT'!C39</f>
        <v>1.21</v>
      </c>
      <c r="CH626" s="9">
        <v>625</v>
      </c>
      <c r="CI626" s="9">
        <v>27</v>
      </c>
      <c r="CJ626" s="9">
        <v>1</v>
      </c>
      <c r="CK626" s="167">
        <f>'HourGH-NOV'!C39</f>
        <v>0.57999999999999996</v>
      </c>
      <c r="CL626" s="263">
        <v>625</v>
      </c>
      <c r="CM626" s="9">
        <v>27</v>
      </c>
      <c r="CN626" s="9">
        <v>1</v>
      </c>
      <c r="CO626" s="167">
        <f>'HourGH-DEC'!C39</f>
        <v>0.43</v>
      </c>
      <c r="CP626" s="263">
        <v>625</v>
      </c>
      <c r="CQ626" s="9">
        <v>27</v>
      </c>
      <c r="CR626" s="9">
        <v>1</v>
      </c>
      <c r="CS626" s="167">
        <f>'HourGH-JAN'!C39</f>
        <v>0.7</v>
      </c>
      <c r="CT626" s="9">
        <v>625</v>
      </c>
      <c r="CU626" s="9">
        <v>27</v>
      </c>
      <c r="CV626" s="9">
        <v>1</v>
      </c>
      <c r="CW626" s="167">
        <f>'HourGH-FEB'!C39</f>
        <v>0.25</v>
      </c>
      <c r="CX626" s="263">
        <v>625</v>
      </c>
      <c r="CY626" s="9">
        <v>27</v>
      </c>
      <c r="CZ626" s="9">
        <v>1</v>
      </c>
      <c r="DA626" s="167">
        <f>'HourGH-MAR'!C39</f>
        <v>0.2</v>
      </c>
    </row>
    <row r="627" spans="58:105">
      <c r="BF627" s="9">
        <v>626</v>
      </c>
      <c r="BG627" s="9">
        <v>27</v>
      </c>
      <c r="BH627" s="9">
        <v>2</v>
      </c>
      <c r="BI627" s="167">
        <f>'HourGH-APR'!D39</f>
        <v>0.56000000000000005</v>
      </c>
      <c r="BJ627" s="263">
        <v>626</v>
      </c>
      <c r="BK627" s="9">
        <v>27</v>
      </c>
      <c r="BL627" s="9">
        <v>2</v>
      </c>
      <c r="BM627" s="167">
        <f>'HourGH-MAY'!D39</f>
        <v>0.17</v>
      </c>
      <c r="BN627" s="9">
        <v>626</v>
      </c>
      <c r="BO627" s="9">
        <v>27</v>
      </c>
      <c r="BP627" s="9">
        <v>2</v>
      </c>
      <c r="BQ627" s="167">
        <f>'HourGH-JUN'!D39</f>
        <v>0.26</v>
      </c>
      <c r="BR627" s="263">
        <v>626</v>
      </c>
      <c r="BS627" s="9">
        <v>27</v>
      </c>
      <c r="BT627" s="9">
        <v>2</v>
      </c>
      <c r="BU627" s="167">
        <f>'HourGH-JUL'!D39</f>
        <v>0.37</v>
      </c>
      <c r="BV627" s="263">
        <v>626</v>
      </c>
      <c r="BW627" s="9">
        <v>27</v>
      </c>
      <c r="BX627" s="9">
        <v>2</v>
      </c>
      <c r="BY627" s="167">
        <f>'HourGH-AUG'!D39</f>
        <v>0.68</v>
      </c>
      <c r="BZ627" s="9">
        <v>626</v>
      </c>
      <c r="CA627" s="9">
        <v>27</v>
      </c>
      <c r="CB627" s="9">
        <v>2</v>
      </c>
      <c r="CC627" s="167">
        <f>'HourGH-SEP'!D39</f>
        <v>1.68</v>
      </c>
      <c r="CD627" s="263">
        <v>626</v>
      </c>
      <c r="CE627" s="9">
        <v>27</v>
      </c>
      <c r="CF627" s="9">
        <v>2</v>
      </c>
      <c r="CG627" s="167">
        <f>'HourGH-OCT'!D39</f>
        <v>1.21</v>
      </c>
      <c r="CH627" s="9">
        <v>626</v>
      </c>
      <c r="CI627" s="9">
        <v>27</v>
      </c>
      <c r="CJ627" s="9">
        <v>2</v>
      </c>
      <c r="CK627" s="167">
        <f>'HourGH-NOV'!D39</f>
        <v>0.57999999999999996</v>
      </c>
      <c r="CL627" s="263">
        <v>626</v>
      </c>
      <c r="CM627" s="9">
        <v>27</v>
      </c>
      <c r="CN627" s="9">
        <v>2</v>
      </c>
      <c r="CO627" s="167">
        <f>'HourGH-DEC'!D39</f>
        <v>0.43</v>
      </c>
      <c r="CP627" s="263">
        <v>626</v>
      </c>
      <c r="CQ627" s="9">
        <v>27</v>
      </c>
      <c r="CR627" s="9">
        <v>2</v>
      </c>
      <c r="CS627" s="167">
        <f>'HourGH-JAN'!D39</f>
        <v>0.7</v>
      </c>
      <c r="CT627" s="9">
        <v>626</v>
      </c>
      <c r="CU627" s="9">
        <v>27</v>
      </c>
      <c r="CV627" s="9">
        <v>2</v>
      </c>
      <c r="CW627" s="167">
        <f>'HourGH-FEB'!D39</f>
        <v>0.25</v>
      </c>
      <c r="CX627" s="263">
        <v>626</v>
      </c>
      <c r="CY627" s="9">
        <v>27</v>
      </c>
      <c r="CZ627" s="9">
        <v>2</v>
      </c>
      <c r="DA627" s="167">
        <f>'HourGH-MAR'!D39</f>
        <v>0.2</v>
      </c>
    </row>
    <row r="628" spans="58:105">
      <c r="BF628" s="9">
        <v>627</v>
      </c>
      <c r="BG628" s="9">
        <v>27</v>
      </c>
      <c r="BH628" s="9">
        <v>3</v>
      </c>
      <c r="BI628" s="167">
        <f>'HourGH-APR'!E39</f>
        <v>0.56000000000000005</v>
      </c>
      <c r="BJ628" s="263">
        <v>627</v>
      </c>
      <c r="BK628" s="9">
        <v>27</v>
      </c>
      <c r="BL628" s="9">
        <v>3</v>
      </c>
      <c r="BM628" s="167">
        <f>'HourGH-MAY'!E39</f>
        <v>0.17</v>
      </c>
      <c r="BN628" s="9">
        <v>627</v>
      </c>
      <c r="BO628" s="9">
        <v>27</v>
      </c>
      <c r="BP628" s="9">
        <v>3</v>
      </c>
      <c r="BQ628" s="167">
        <f>'HourGH-JUN'!E39</f>
        <v>0.26</v>
      </c>
      <c r="BR628" s="263">
        <v>627</v>
      </c>
      <c r="BS628" s="9">
        <v>27</v>
      </c>
      <c r="BT628" s="9">
        <v>3</v>
      </c>
      <c r="BU628" s="167">
        <f>'HourGH-JUL'!E39</f>
        <v>0.36</v>
      </c>
      <c r="BV628" s="263">
        <v>627</v>
      </c>
      <c r="BW628" s="9">
        <v>27</v>
      </c>
      <c r="BX628" s="9">
        <v>3</v>
      </c>
      <c r="BY628" s="167">
        <f>'HourGH-AUG'!E39</f>
        <v>0.68</v>
      </c>
      <c r="BZ628" s="9">
        <v>627</v>
      </c>
      <c r="CA628" s="9">
        <v>27</v>
      </c>
      <c r="CB628" s="9">
        <v>3</v>
      </c>
      <c r="CC628" s="167">
        <f>'HourGH-SEP'!E39</f>
        <v>1.75</v>
      </c>
      <c r="CD628" s="263">
        <v>627</v>
      </c>
      <c r="CE628" s="9">
        <v>27</v>
      </c>
      <c r="CF628" s="9">
        <v>3</v>
      </c>
      <c r="CG628" s="167">
        <f>'HourGH-OCT'!E39</f>
        <v>1.2</v>
      </c>
      <c r="CH628" s="9">
        <v>627</v>
      </c>
      <c r="CI628" s="9">
        <v>27</v>
      </c>
      <c r="CJ628" s="9">
        <v>3</v>
      </c>
      <c r="CK628" s="167">
        <f>'HourGH-NOV'!E39</f>
        <v>0.57999999999999996</v>
      </c>
      <c r="CL628" s="263">
        <v>627</v>
      </c>
      <c r="CM628" s="9">
        <v>27</v>
      </c>
      <c r="CN628" s="9">
        <v>3</v>
      </c>
      <c r="CO628" s="167">
        <f>'HourGH-DEC'!E39</f>
        <v>0.43</v>
      </c>
      <c r="CP628" s="263">
        <v>627</v>
      </c>
      <c r="CQ628" s="9">
        <v>27</v>
      </c>
      <c r="CR628" s="9">
        <v>3</v>
      </c>
      <c r="CS628" s="167">
        <f>'HourGH-JAN'!E39</f>
        <v>0.7</v>
      </c>
      <c r="CT628" s="9">
        <v>627</v>
      </c>
      <c r="CU628" s="9">
        <v>27</v>
      </c>
      <c r="CV628" s="9">
        <v>3</v>
      </c>
      <c r="CW628" s="167">
        <f>'HourGH-FEB'!E39</f>
        <v>0.25</v>
      </c>
      <c r="CX628" s="263">
        <v>627</v>
      </c>
      <c r="CY628" s="9">
        <v>27</v>
      </c>
      <c r="CZ628" s="9">
        <v>3</v>
      </c>
      <c r="DA628" s="167">
        <f>'HourGH-MAR'!E39</f>
        <v>0.2</v>
      </c>
    </row>
    <row r="629" spans="58:105">
      <c r="BF629" s="9">
        <v>628</v>
      </c>
      <c r="BG629" s="9">
        <v>27</v>
      </c>
      <c r="BH629" s="9">
        <v>4</v>
      </c>
      <c r="BI629" s="167">
        <f>'HourGH-APR'!F39</f>
        <v>0.56000000000000005</v>
      </c>
      <c r="BJ629" s="263">
        <v>628</v>
      </c>
      <c r="BK629" s="9">
        <v>27</v>
      </c>
      <c r="BL629" s="9">
        <v>4</v>
      </c>
      <c r="BM629" s="167">
        <f>'HourGH-MAY'!F39</f>
        <v>0.17</v>
      </c>
      <c r="BN629" s="9">
        <v>628</v>
      </c>
      <c r="BO629" s="9">
        <v>27</v>
      </c>
      <c r="BP629" s="9">
        <v>4</v>
      </c>
      <c r="BQ629" s="167">
        <f>'HourGH-JUN'!F39</f>
        <v>0.26</v>
      </c>
      <c r="BR629" s="263">
        <v>628</v>
      </c>
      <c r="BS629" s="9">
        <v>27</v>
      </c>
      <c r="BT629" s="9">
        <v>4</v>
      </c>
      <c r="BU629" s="167">
        <f>'HourGH-JUL'!F39</f>
        <v>0.36</v>
      </c>
      <c r="BV629" s="263">
        <v>628</v>
      </c>
      <c r="BW629" s="9">
        <v>27</v>
      </c>
      <c r="BX629" s="9">
        <v>4</v>
      </c>
      <c r="BY629" s="167">
        <f>'HourGH-AUG'!F39</f>
        <v>0.68</v>
      </c>
      <c r="BZ629" s="9">
        <v>628</v>
      </c>
      <c r="CA629" s="9">
        <v>27</v>
      </c>
      <c r="CB629" s="9">
        <v>4</v>
      </c>
      <c r="CC629" s="167">
        <f>'HourGH-SEP'!F39</f>
        <v>1.8</v>
      </c>
      <c r="CD629" s="263">
        <v>628</v>
      </c>
      <c r="CE629" s="9">
        <v>27</v>
      </c>
      <c r="CF629" s="9">
        <v>4</v>
      </c>
      <c r="CG629" s="167">
        <f>'HourGH-OCT'!F39</f>
        <v>1.2</v>
      </c>
      <c r="CH629" s="9">
        <v>628</v>
      </c>
      <c r="CI629" s="9">
        <v>27</v>
      </c>
      <c r="CJ629" s="9">
        <v>4</v>
      </c>
      <c r="CK629" s="167">
        <f>'HourGH-NOV'!F39</f>
        <v>0.57999999999999996</v>
      </c>
      <c r="CL629" s="263">
        <v>628</v>
      </c>
      <c r="CM629" s="9">
        <v>27</v>
      </c>
      <c r="CN629" s="9">
        <v>4</v>
      </c>
      <c r="CO629" s="167">
        <f>'HourGH-DEC'!F39</f>
        <v>0.43</v>
      </c>
      <c r="CP629" s="263">
        <v>628</v>
      </c>
      <c r="CQ629" s="9">
        <v>27</v>
      </c>
      <c r="CR629" s="9">
        <v>4</v>
      </c>
      <c r="CS629" s="167">
        <f>'HourGH-JAN'!F39</f>
        <v>0.7</v>
      </c>
      <c r="CT629" s="9">
        <v>628</v>
      </c>
      <c r="CU629" s="9">
        <v>27</v>
      </c>
      <c r="CV629" s="9">
        <v>4</v>
      </c>
      <c r="CW629" s="167">
        <f>'HourGH-FEB'!F39</f>
        <v>0.25</v>
      </c>
      <c r="CX629" s="263">
        <v>628</v>
      </c>
      <c r="CY629" s="9">
        <v>27</v>
      </c>
      <c r="CZ629" s="9">
        <v>4</v>
      </c>
      <c r="DA629" s="167">
        <f>'HourGH-MAR'!F39</f>
        <v>0.2</v>
      </c>
    </row>
    <row r="630" spans="58:105">
      <c r="BF630" s="9">
        <v>629</v>
      </c>
      <c r="BG630" s="9">
        <v>27</v>
      </c>
      <c r="BH630" s="9">
        <v>5</v>
      </c>
      <c r="BI630" s="167">
        <f>'HourGH-APR'!G39</f>
        <v>0.56000000000000005</v>
      </c>
      <c r="BJ630" s="263">
        <v>629</v>
      </c>
      <c r="BK630" s="9">
        <v>27</v>
      </c>
      <c r="BL630" s="9">
        <v>5</v>
      </c>
      <c r="BM630" s="167">
        <f>'HourGH-MAY'!G39</f>
        <v>0.17</v>
      </c>
      <c r="BN630" s="9">
        <v>629</v>
      </c>
      <c r="BO630" s="9">
        <v>27</v>
      </c>
      <c r="BP630" s="9">
        <v>5</v>
      </c>
      <c r="BQ630" s="167">
        <f>'HourGH-JUN'!G39</f>
        <v>0.26</v>
      </c>
      <c r="BR630" s="263">
        <v>629</v>
      </c>
      <c r="BS630" s="9">
        <v>27</v>
      </c>
      <c r="BT630" s="9">
        <v>5</v>
      </c>
      <c r="BU630" s="167">
        <f>'HourGH-JUL'!G39</f>
        <v>0.36</v>
      </c>
      <c r="BV630" s="263">
        <v>629</v>
      </c>
      <c r="BW630" s="9">
        <v>27</v>
      </c>
      <c r="BX630" s="9">
        <v>5</v>
      </c>
      <c r="BY630" s="167">
        <f>'HourGH-AUG'!G39</f>
        <v>0.68</v>
      </c>
      <c r="BZ630" s="9">
        <v>629</v>
      </c>
      <c r="CA630" s="9">
        <v>27</v>
      </c>
      <c r="CB630" s="9">
        <v>5</v>
      </c>
      <c r="CC630" s="167">
        <f>'HourGH-SEP'!G39</f>
        <v>1.85</v>
      </c>
      <c r="CD630" s="263">
        <v>629</v>
      </c>
      <c r="CE630" s="9">
        <v>27</v>
      </c>
      <c r="CF630" s="9">
        <v>5</v>
      </c>
      <c r="CG630" s="167">
        <f>'HourGH-OCT'!G39</f>
        <v>1.2</v>
      </c>
      <c r="CH630" s="9">
        <v>629</v>
      </c>
      <c r="CI630" s="9">
        <v>27</v>
      </c>
      <c r="CJ630" s="9">
        <v>5</v>
      </c>
      <c r="CK630" s="167">
        <f>'HourGH-NOV'!G39</f>
        <v>0.57999999999999996</v>
      </c>
      <c r="CL630" s="263">
        <v>629</v>
      </c>
      <c r="CM630" s="9">
        <v>27</v>
      </c>
      <c r="CN630" s="9">
        <v>5</v>
      </c>
      <c r="CO630" s="167">
        <f>'HourGH-DEC'!G39</f>
        <v>0.43</v>
      </c>
      <c r="CP630" s="263">
        <v>629</v>
      </c>
      <c r="CQ630" s="9">
        <v>27</v>
      </c>
      <c r="CR630" s="9">
        <v>5</v>
      </c>
      <c r="CS630" s="167">
        <f>'HourGH-JAN'!G39</f>
        <v>0.7</v>
      </c>
      <c r="CT630" s="9">
        <v>629</v>
      </c>
      <c r="CU630" s="9">
        <v>27</v>
      </c>
      <c r="CV630" s="9">
        <v>5</v>
      </c>
      <c r="CW630" s="167">
        <f>'HourGH-FEB'!G39</f>
        <v>0.25</v>
      </c>
      <c r="CX630" s="263">
        <v>629</v>
      </c>
      <c r="CY630" s="9">
        <v>27</v>
      </c>
      <c r="CZ630" s="9">
        <v>5</v>
      </c>
      <c r="DA630" s="167">
        <f>'HourGH-MAR'!G39</f>
        <v>0.2</v>
      </c>
    </row>
    <row r="631" spans="58:105">
      <c r="BF631" s="9">
        <v>630</v>
      </c>
      <c r="BG631" s="9">
        <v>27</v>
      </c>
      <c r="BH631" s="9">
        <v>6</v>
      </c>
      <c r="BI631" s="167">
        <f>'HourGH-APR'!H39</f>
        <v>0.56000000000000005</v>
      </c>
      <c r="BJ631" s="263">
        <v>630</v>
      </c>
      <c r="BK631" s="9">
        <v>27</v>
      </c>
      <c r="BL631" s="9">
        <v>6</v>
      </c>
      <c r="BM631" s="167">
        <f>'HourGH-MAY'!H39</f>
        <v>0.18</v>
      </c>
      <c r="BN631" s="9">
        <v>630</v>
      </c>
      <c r="BO631" s="9">
        <v>27</v>
      </c>
      <c r="BP631" s="9">
        <v>6</v>
      </c>
      <c r="BQ631" s="167">
        <f>'HourGH-JUN'!H39</f>
        <v>0.26</v>
      </c>
      <c r="BR631" s="263">
        <v>630</v>
      </c>
      <c r="BS631" s="9">
        <v>27</v>
      </c>
      <c r="BT631" s="9">
        <v>6</v>
      </c>
      <c r="BU631" s="167">
        <f>'HourGH-JUL'!H39</f>
        <v>0.35</v>
      </c>
      <c r="BV631" s="263">
        <v>630</v>
      </c>
      <c r="BW631" s="9">
        <v>27</v>
      </c>
      <c r="BX631" s="9">
        <v>6</v>
      </c>
      <c r="BY631" s="167">
        <f>'HourGH-AUG'!H39</f>
        <v>0.68</v>
      </c>
      <c r="BZ631" s="9">
        <v>630</v>
      </c>
      <c r="CA631" s="9">
        <v>27</v>
      </c>
      <c r="CB631" s="9">
        <v>6</v>
      </c>
      <c r="CC631" s="167">
        <f>'HourGH-SEP'!H39</f>
        <v>1.88</v>
      </c>
      <c r="CD631" s="263">
        <v>630</v>
      </c>
      <c r="CE631" s="9">
        <v>27</v>
      </c>
      <c r="CF631" s="9">
        <v>6</v>
      </c>
      <c r="CG631" s="167">
        <f>'HourGH-OCT'!H39</f>
        <v>1.2</v>
      </c>
      <c r="CH631" s="9">
        <v>630</v>
      </c>
      <c r="CI631" s="9">
        <v>27</v>
      </c>
      <c r="CJ631" s="9">
        <v>6</v>
      </c>
      <c r="CK631" s="167">
        <f>'HourGH-NOV'!H39</f>
        <v>0.57999999999999996</v>
      </c>
      <c r="CL631" s="263">
        <v>630</v>
      </c>
      <c r="CM631" s="9">
        <v>27</v>
      </c>
      <c r="CN631" s="9">
        <v>6</v>
      </c>
      <c r="CO631" s="167">
        <f>'HourGH-DEC'!H39</f>
        <v>0.43</v>
      </c>
      <c r="CP631" s="263">
        <v>630</v>
      </c>
      <c r="CQ631" s="9">
        <v>27</v>
      </c>
      <c r="CR631" s="9">
        <v>6</v>
      </c>
      <c r="CS631" s="167">
        <f>'HourGH-JAN'!H39</f>
        <v>0.7</v>
      </c>
      <c r="CT631" s="9">
        <v>630</v>
      </c>
      <c r="CU631" s="9">
        <v>27</v>
      </c>
      <c r="CV631" s="9">
        <v>6</v>
      </c>
      <c r="CW631" s="167">
        <f>'HourGH-FEB'!H39</f>
        <v>0.25</v>
      </c>
      <c r="CX631" s="263">
        <v>630</v>
      </c>
      <c r="CY631" s="9">
        <v>27</v>
      </c>
      <c r="CZ631" s="9">
        <v>6</v>
      </c>
      <c r="DA631" s="167">
        <f>'HourGH-MAR'!H39</f>
        <v>0.2</v>
      </c>
    </row>
    <row r="632" spans="58:105">
      <c r="BF632" s="9">
        <v>631</v>
      </c>
      <c r="BG632" s="9">
        <v>27</v>
      </c>
      <c r="BH632" s="9">
        <v>7</v>
      </c>
      <c r="BI632" s="167">
        <f>'HourGH-APR'!I39</f>
        <v>0.56000000000000005</v>
      </c>
      <c r="BJ632" s="263">
        <v>631</v>
      </c>
      <c r="BK632" s="9">
        <v>27</v>
      </c>
      <c r="BL632" s="9">
        <v>7</v>
      </c>
      <c r="BM632" s="167">
        <f>'HourGH-MAY'!I39</f>
        <v>0.18</v>
      </c>
      <c r="BN632" s="9">
        <v>631</v>
      </c>
      <c r="BO632" s="9">
        <v>27</v>
      </c>
      <c r="BP632" s="9">
        <v>7</v>
      </c>
      <c r="BQ632" s="167">
        <f>'HourGH-JUN'!I39</f>
        <v>0.26</v>
      </c>
      <c r="BR632" s="263">
        <v>631</v>
      </c>
      <c r="BS632" s="9">
        <v>27</v>
      </c>
      <c r="BT632" s="9">
        <v>7</v>
      </c>
      <c r="BU632" s="167">
        <f>'HourGH-JUL'!I39</f>
        <v>0.35</v>
      </c>
      <c r="BV632" s="263">
        <v>631</v>
      </c>
      <c r="BW632" s="9">
        <v>27</v>
      </c>
      <c r="BX632" s="9">
        <v>7</v>
      </c>
      <c r="BY632" s="167">
        <f>'HourGH-AUG'!I39</f>
        <v>0.67</v>
      </c>
      <c r="BZ632" s="9">
        <v>631</v>
      </c>
      <c r="CA632" s="9">
        <v>27</v>
      </c>
      <c r="CB632" s="9">
        <v>7</v>
      </c>
      <c r="CC632" s="167">
        <f>'HourGH-SEP'!I39</f>
        <v>1.92</v>
      </c>
      <c r="CD632" s="263">
        <v>631</v>
      </c>
      <c r="CE632" s="9">
        <v>27</v>
      </c>
      <c r="CF632" s="9">
        <v>7</v>
      </c>
      <c r="CG632" s="167">
        <f>'HourGH-OCT'!I39</f>
        <v>1.2</v>
      </c>
      <c r="CH632" s="9">
        <v>631</v>
      </c>
      <c r="CI632" s="9">
        <v>27</v>
      </c>
      <c r="CJ632" s="9">
        <v>7</v>
      </c>
      <c r="CK632" s="167">
        <f>'HourGH-NOV'!I39</f>
        <v>0.57999999999999996</v>
      </c>
      <c r="CL632" s="263">
        <v>631</v>
      </c>
      <c r="CM632" s="9">
        <v>27</v>
      </c>
      <c r="CN632" s="9">
        <v>7</v>
      </c>
      <c r="CO632" s="167">
        <f>'HourGH-DEC'!I39</f>
        <v>0.43</v>
      </c>
      <c r="CP632" s="263">
        <v>631</v>
      </c>
      <c r="CQ632" s="9">
        <v>27</v>
      </c>
      <c r="CR632" s="9">
        <v>7</v>
      </c>
      <c r="CS632" s="167">
        <f>'HourGH-JAN'!I39</f>
        <v>0.7</v>
      </c>
      <c r="CT632" s="9">
        <v>631</v>
      </c>
      <c r="CU632" s="9">
        <v>27</v>
      </c>
      <c r="CV632" s="9">
        <v>7</v>
      </c>
      <c r="CW632" s="167">
        <f>'HourGH-FEB'!I39</f>
        <v>0.25</v>
      </c>
      <c r="CX632" s="263">
        <v>631</v>
      </c>
      <c r="CY632" s="9">
        <v>27</v>
      </c>
      <c r="CZ632" s="9">
        <v>7</v>
      </c>
      <c r="DA632" s="167">
        <f>'HourGH-MAR'!I39</f>
        <v>0.2</v>
      </c>
    </row>
    <row r="633" spans="58:105">
      <c r="BF633" s="9">
        <v>632</v>
      </c>
      <c r="BG633" s="9">
        <v>27</v>
      </c>
      <c r="BH633" s="9">
        <v>8</v>
      </c>
      <c r="BI633" s="167">
        <f>'HourGH-APR'!J39</f>
        <v>0.56000000000000005</v>
      </c>
      <c r="BJ633" s="263">
        <v>632</v>
      </c>
      <c r="BK633" s="9">
        <v>27</v>
      </c>
      <c r="BL633" s="9">
        <v>8</v>
      </c>
      <c r="BM633" s="167">
        <f>'HourGH-MAY'!J39</f>
        <v>0.18</v>
      </c>
      <c r="BN633" s="9">
        <v>632</v>
      </c>
      <c r="BO633" s="9">
        <v>27</v>
      </c>
      <c r="BP633" s="9">
        <v>8</v>
      </c>
      <c r="BQ633" s="167">
        <f>'HourGH-JUN'!J39</f>
        <v>0.26</v>
      </c>
      <c r="BR633" s="263">
        <v>632</v>
      </c>
      <c r="BS633" s="9">
        <v>27</v>
      </c>
      <c r="BT633" s="9">
        <v>8</v>
      </c>
      <c r="BU633" s="167">
        <f>'HourGH-JUL'!J39</f>
        <v>0.35</v>
      </c>
      <c r="BV633" s="263">
        <v>632</v>
      </c>
      <c r="BW633" s="9">
        <v>27</v>
      </c>
      <c r="BX633" s="9">
        <v>8</v>
      </c>
      <c r="BY633" s="167">
        <f>'HourGH-AUG'!J39</f>
        <v>0.67</v>
      </c>
      <c r="BZ633" s="9">
        <v>632</v>
      </c>
      <c r="CA633" s="9">
        <v>27</v>
      </c>
      <c r="CB633" s="9">
        <v>8</v>
      </c>
      <c r="CC633" s="167">
        <f>'HourGH-SEP'!J39</f>
        <v>1.96</v>
      </c>
      <c r="CD633" s="263">
        <v>632</v>
      </c>
      <c r="CE633" s="9">
        <v>27</v>
      </c>
      <c r="CF633" s="9">
        <v>8</v>
      </c>
      <c r="CG633" s="167">
        <f>'HourGH-OCT'!J39</f>
        <v>1.2</v>
      </c>
      <c r="CH633" s="9">
        <v>632</v>
      </c>
      <c r="CI633" s="9">
        <v>27</v>
      </c>
      <c r="CJ633" s="9">
        <v>8</v>
      </c>
      <c r="CK633" s="167">
        <f>'HourGH-NOV'!J39</f>
        <v>0.57999999999999996</v>
      </c>
      <c r="CL633" s="263">
        <v>632</v>
      </c>
      <c r="CM633" s="9">
        <v>27</v>
      </c>
      <c r="CN633" s="9">
        <v>8</v>
      </c>
      <c r="CO633" s="167">
        <f>'HourGH-DEC'!J39</f>
        <v>0.43</v>
      </c>
      <c r="CP633" s="263">
        <v>632</v>
      </c>
      <c r="CQ633" s="9">
        <v>27</v>
      </c>
      <c r="CR633" s="9">
        <v>8</v>
      </c>
      <c r="CS633" s="167">
        <f>'HourGH-JAN'!J39</f>
        <v>0.69</v>
      </c>
      <c r="CT633" s="9">
        <v>632</v>
      </c>
      <c r="CU633" s="9">
        <v>27</v>
      </c>
      <c r="CV633" s="9">
        <v>8</v>
      </c>
      <c r="CW633" s="167">
        <f>'HourGH-FEB'!J39</f>
        <v>0.25</v>
      </c>
      <c r="CX633" s="263">
        <v>632</v>
      </c>
      <c r="CY633" s="9">
        <v>27</v>
      </c>
      <c r="CZ633" s="9">
        <v>8</v>
      </c>
      <c r="DA633" s="167">
        <f>'HourGH-MAR'!J39</f>
        <v>0.2</v>
      </c>
    </row>
    <row r="634" spans="58:105">
      <c r="BF634" s="9">
        <v>633</v>
      </c>
      <c r="BG634" s="9">
        <v>27</v>
      </c>
      <c r="BH634" s="9">
        <v>9</v>
      </c>
      <c r="BI634" s="167">
        <f>'HourGH-APR'!K39</f>
        <v>0.56000000000000005</v>
      </c>
      <c r="BJ634" s="263">
        <v>633</v>
      </c>
      <c r="BK634" s="9">
        <v>27</v>
      </c>
      <c r="BL634" s="9">
        <v>9</v>
      </c>
      <c r="BM634" s="167">
        <f>'HourGH-MAY'!K39</f>
        <v>0.18</v>
      </c>
      <c r="BN634" s="9">
        <v>633</v>
      </c>
      <c r="BO634" s="9">
        <v>27</v>
      </c>
      <c r="BP634" s="9">
        <v>9</v>
      </c>
      <c r="BQ634" s="167">
        <f>'HourGH-JUN'!K39</f>
        <v>0.26</v>
      </c>
      <c r="BR634" s="263">
        <v>633</v>
      </c>
      <c r="BS634" s="9">
        <v>27</v>
      </c>
      <c r="BT634" s="9">
        <v>9</v>
      </c>
      <c r="BU634" s="167">
        <f>'HourGH-JUL'!K39</f>
        <v>0.34</v>
      </c>
      <c r="BV634" s="263">
        <v>633</v>
      </c>
      <c r="BW634" s="9">
        <v>27</v>
      </c>
      <c r="BX634" s="9">
        <v>9</v>
      </c>
      <c r="BY634" s="167">
        <f>'HourGH-AUG'!K39</f>
        <v>0.67</v>
      </c>
      <c r="BZ634" s="9">
        <v>633</v>
      </c>
      <c r="CA634" s="9">
        <v>27</v>
      </c>
      <c r="CB634" s="9">
        <v>9</v>
      </c>
      <c r="CC634" s="167">
        <f>'HourGH-SEP'!K39</f>
        <v>1.98</v>
      </c>
      <c r="CD634" s="263">
        <v>633</v>
      </c>
      <c r="CE634" s="9">
        <v>27</v>
      </c>
      <c r="CF634" s="9">
        <v>9</v>
      </c>
      <c r="CG634" s="167">
        <f>'HourGH-OCT'!K39</f>
        <v>1.19</v>
      </c>
      <c r="CH634" s="9">
        <v>633</v>
      </c>
      <c r="CI634" s="9">
        <v>27</v>
      </c>
      <c r="CJ634" s="9">
        <v>9</v>
      </c>
      <c r="CK634" s="167">
        <f>'HourGH-NOV'!K39</f>
        <v>0.57999999999999996</v>
      </c>
      <c r="CL634" s="263">
        <v>633</v>
      </c>
      <c r="CM634" s="9">
        <v>27</v>
      </c>
      <c r="CN634" s="9">
        <v>9</v>
      </c>
      <c r="CO634" s="167">
        <f>'HourGH-DEC'!K39</f>
        <v>0.43</v>
      </c>
      <c r="CP634" s="263">
        <v>633</v>
      </c>
      <c r="CQ634" s="9">
        <v>27</v>
      </c>
      <c r="CR634" s="9">
        <v>9</v>
      </c>
      <c r="CS634" s="167">
        <f>'HourGH-JAN'!K39</f>
        <v>0.68</v>
      </c>
      <c r="CT634" s="9">
        <v>633</v>
      </c>
      <c r="CU634" s="9">
        <v>27</v>
      </c>
      <c r="CV634" s="9">
        <v>9</v>
      </c>
      <c r="CW634" s="167">
        <f>'HourGH-FEB'!K39</f>
        <v>0.25</v>
      </c>
      <c r="CX634" s="263">
        <v>633</v>
      </c>
      <c r="CY634" s="9">
        <v>27</v>
      </c>
      <c r="CZ634" s="9">
        <v>9</v>
      </c>
      <c r="DA634" s="167">
        <f>'HourGH-MAR'!K39</f>
        <v>0.2</v>
      </c>
    </row>
    <row r="635" spans="58:105">
      <c r="BF635" s="9">
        <v>634</v>
      </c>
      <c r="BG635" s="9">
        <v>27</v>
      </c>
      <c r="BH635" s="9">
        <v>10</v>
      </c>
      <c r="BI635" s="167">
        <f>'HourGH-APR'!L39</f>
        <v>0.56000000000000005</v>
      </c>
      <c r="BJ635" s="263">
        <v>634</v>
      </c>
      <c r="BK635" s="9">
        <v>27</v>
      </c>
      <c r="BL635" s="9">
        <v>10</v>
      </c>
      <c r="BM635" s="167">
        <f>'HourGH-MAY'!L39</f>
        <v>0.18</v>
      </c>
      <c r="BN635" s="9">
        <v>634</v>
      </c>
      <c r="BO635" s="9">
        <v>27</v>
      </c>
      <c r="BP635" s="9">
        <v>10</v>
      </c>
      <c r="BQ635" s="167">
        <f>'HourGH-JUN'!L39</f>
        <v>0.26</v>
      </c>
      <c r="BR635" s="263">
        <v>634</v>
      </c>
      <c r="BS635" s="9">
        <v>27</v>
      </c>
      <c r="BT635" s="9">
        <v>10</v>
      </c>
      <c r="BU635" s="167">
        <f>'HourGH-JUL'!L39</f>
        <v>0.34</v>
      </c>
      <c r="BV635" s="263">
        <v>634</v>
      </c>
      <c r="BW635" s="9">
        <v>27</v>
      </c>
      <c r="BX635" s="9">
        <v>10</v>
      </c>
      <c r="BY635" s="167">
        <f>'HourGH-AUG'!L39</f>
        <v>0.67</v>
      </c>
      <c r="BZ635" s="9">
        <v>634</v>
      </c>
      <c r="CA635" s="9">
        <v>27</v>
      </c>
      <c r="CB635" s="9">
        <v>10</v>
      </c>
      <c r="CC635" s="167">
        <f>'HourGH-SEP'!L39</f>
        <v>2</v>
      </c>
      <c r="CD635" s="263">
        <v>634</v>
      </c>
      <c r="CE635" s="9">
        <v>27</v>
      </c>
      <c r="CF635" s="9">
        <v>10</v>
      </c>
      <c r="CG635" s="167">
        <f>'HourGH-OCT'!L39</f>
        <v>1.19</v>
      </c>
      <c r="CH635" s="9">
        <v>634</v>
      </c>
      <c r="CI635" s="9">
        <v>27</v>
      </c>
      <c r="CJ635" s="9">
        <v>10</v>
      </c>
      <c r="CK635" s="167">
        <f>'HourGH-NOV'!L39</f>
        <v>0.57999999999999996</v>
      </c>
      <c r="CL635" s="263">
        <v>634</v>
      </c>
      <c r="CM635" s="9">
        <v>27</v>
      </c>
      <c r="CN635" s="9">
        <v>10</v>
      </c>
      <c r="CO635" s="167">
        <f>'HourGH-DEC'!L39</f>
        <v>0.43</v>
      </c>
      <c r="CP635" s="263">
        <v>634</v>
      </c>
      <c r="CQ635" s="9">
        <v>27</v>
      </c>
      <c r="CR635" s="9">
        <v>10</v>
      </c>
      <c r="CS635" s="167">
        <f>'HourGH-JAN'!L39</f>
        <v>0.67</v>
      </c>
      <c r="CT635" s="9">
        <v>634</v>
      </c>
      <c r="CU635" s="9">
        <v>27</v>
      </c>
      <c r="CV635" s="9">
        <v>10</v>
      </c>
      <c r="CW635" s="167">
        <f>'HourGH-FEB'!L39</f>
        <v>0.25</v>
      </c>
      <c r="CX635" s="263">
        <v>634</v>
      </c>
      <c r="CY635" s="9">
        <v>27</v>
      </c>
      <c r="CZ635" s="9">
        <v>10</v>
      </c>
      <c r="DA635" s="167">
        <f>'HourGH-MAR'!L39</f>
        <v>0.2</v>
      </c>
    </row>
    <row r="636" spans="58:105">
      <c r="BF636" s="9">
        <v>635</v>
      </c>
      <c r="BG636" s="9">
        <v>27</v>
      </c>
      <c r="BH636" s="9">
        <v>11</v>
      </c>
      <c r="BI636" s="167">
        <f>'HourGH-APR'!M39</f>
        <v>0.56000000000000005</v>
      </c>
      <c r="BJ636" s="263">
        <v>635</v>
      </c>
      <c r="BK636" s="9">
        <v>27</v>
      </c>
      <c r="BL636" s="9">
        <v>11</v>
      </c>
      <c r="BM636" s="167">
        <f>'HourGH-MAY'!M39</f>
        <v>0.18</v>
      </c>
      <c r="BN636" s="9">
        <v>635</v>
      </c>
      <c r="BO636" s="9">
        <v>27</v>
      </c>
      <c r="BP636" s="9">
        <v>11</v>
      </c>
      <c r="BQ636" s="167">
        <f>'HourGH-JUN'!M39</f>
        <v>0.25</v>
      </c>
      <c r="BR636" s="263">
        <v>635</v>
      </c>
      <c r="BS636" s="9">
        <v>27</v>
      </c>
      <c r="BT636" s="9">
        <v>11</v>
      </c>
      <c r="BU636" s="167">
        <f>'HourGH-JUL'!M39</f>
        <v>0.34</v>
      </c>
      <c r="BV636" s="263">
        <v>635</v>
      </c>
      <c r="BW636" s="9">
        <v>27</v>
      </c>
      <c r="BX636" s="9">
        <v>11</v>
      </c>
      <c r="BY636" s="167">
        <f>'HourGH-AUG'!M39</f>
        <v>0.67</v>
      </c>
      <c r="BZ636" s="9">
        <v>635</v>
      </c>
      <c r="CA636" s="9">
        <v>27</v>
      </c>
      <c r="CB636" s="9">
        <v>11</v>
      </c>
      <c r="CC636" s="167">
        <f>'HourGH-SEP'!M39</f>
        <v>2.02</v>
      </c>
      <c r="CD636" s="263">
        <v>635</v>
      </c>
      <c r="CE636" s="9">
        <v>27</v>
      </c>
      <c r="CF636" s="9">
        <v>11</v>
      </c>
      <c r="CG636" s="167">
        <f>'HourGH-OCT'!M39</f>
        <v>1.19</v>
      </c>
      <c r="CH636" s="9">
        <v>635</v>
      </c>
      <c r="CI636" s="9">
        <v>27</v>
      </c>
      <c r="CJ636" s="9">
        <v>11</v>
      </c>
      <c r="CK636" s="167">
        <f>'HourGH-NOV'!M39</f>
        <v>0.57999999999999996</v>
      </c>
      <c r="CL636" s="263">
        <v>635</v>
      </c>
      <c r="CM636" s="9">
        <v>27</v>
      </c>
      <c r="CN636" s="9">
        <v>11</v>
      </c>
      <c r="CO636" s="167">
        <f>'HourGH-DEC'!M39</f>
        <v>0.43</v>
      </c>
      <c r="CP636" s="263">
        <v>635</v>
      </c>
      <c r="CQ636" s="9">
        <v>27</v>
      </c>
      <c r="CR636" s="9">
        <v>11</v>
      </c>
      <c r="CS636" s="167">
        <f>'HourGH-JAN'!M39</f>
        <v>0.66</v>
      </c>
      <c r="CT636" s="9">
        <v>635</v>
      </c>
      <c r="CU636" s="9">
        <v>27</v>
      </c>
      <c r="CV636" s="9">
        <v>11</v>
      </c>
      <c r="CW636" s="167">
        <f>'HourGH-FEB'!M39</f>
        <v>0.25</v>
      </c>
      <c r="CX636" s="263">
        <v>635</v>
      </c>
      <c r="CY636" s="9">
        <v>27</v>
      </c>
      <c r="CZ636" s="9">
        <v>11</v>
      </c>
      <c r="DA636" s="167">
        <f>'HourGH-MAR'!M39</f>
        <v>0.2</v>
      </c>
    </row>
    <row r="637" spans="58:105">
      <c r="BF637" s="9">
        <v>636</v>
      </c>
      <c r="BG637" s="9">
        <v>27</v>
      </c>
      <c r="BH637" s="9">
        <v>12</v>
      </c>
      <c r="BI637" s="167">
        <f>'HourGH-APR'!N39</f>
        <v>0.56000000000000005</v>
      </c>
      <c r="BJ637" s="263">
        <v>636</v>
      </c>
      <c r="BK637" s="9">
        <v>27</v>
      </c>
      <c r="BL637" s="9">
        <v>12</v>
      </c>
      <c r="BM637" s="167">
        <f>'HourGH-MAY'!N39</f>
        <v>0.18</v>
      </c>
      <c r="BN637" s="9">
        <v>636</v>
      </c>
      <c r="BO637" s="9">
        <v>27</v>
      </c>
      <c r="BP637" s="9">
        <v>12</v>
      </c>
      <c r="BQ637" s="167">
        <f>'HourGH-JUN'!N39</f>
        <v>0.25</v>
      </c>
      <c r="BR637" s="263">
        <v>636</v>
      </c>
      <c r="BS637" s="9">
        <v>27</v>
      </c>
      <c r="BT637" s="9">
        <v>12</v>
      </c>
      <c r="BU637" s="167">
        <f>'HourGH-JUL'!N39</f>
        <v>0.34</v>
      </c>
      <c r="BV637" s="263">
        <v>636</v>
      </c>
      <c r="BW637" s="9">
        <v>27</v>
      </c>
      <c r="BX637" s="9">
        <v>12</v>
      </c>
      <c r="BY637" s="167">
        <f>'HourGH-AUG'!N39</f>
        <v>0.67</v>
      </c>
      <c r="BZ637" s="9">
        <v>636</v>
      </c>
      <c r="CA637" s="9">
        <v>27</v>
      </c>
      <c r="CB637" s="9">
        <v>12</v>
      </c>
      <c r="CC637" s="167">
        <f>'HourGH-SEP'!N39</f>
        <v>2.0299999999999998</v>
      </c>
      <c r="CD637" s="263">
        <v>636</v>
      </c>
      <c r="CE637" s="9">
        <v>27</v>
      </c>
      <c r="CF637" s="9">
        <v>12</v>
      </c>
      <c r="CG637" s="167">
        <f>'HourGH-OCT'!N39</f>
        <v>1.18</v>
      </c>
      <c r="CH637" s="9">
        <v>636</v>
      </c>
      <c r="CI637" s="9">
        <v>27</v>
      </c>
      <c r="CJ637" s="9">
        <v>12</v>
      </c>
      <c r="CK637" s="167">
        <f>'HourGH-NOV'!N39</f>
        <v>0.57999999999999996</v>
      </c>
      <c r="CL637" s="263">
        <v>636</v>
      </c>
      <c r="CM637" s="9">
        <v>27</v>
      </c>
      <c r="CN637" s="9">
        <v>12</v>
      </c>
      <c r="CO637" s="167">
        <f>'HourGH-DEC'!N39</f>
        <v>0.43</v>
      </c>
      <c r="CP637" s="263">
        <v>636</v>
      </c>
      <c r="CQ637" s="9">
        <v>27</v>
      </c>
      <c r="CR637" s="9">
        <v>12</v>
      </c>
      <c r="CS637" s="167">
        <f>'HourGH-JAN'!N39</f>
        <v>0.65</v>
      </c>
      <c r="CT637" s="9">
        <v>636</v>
      </c>
      <c r="CU637" s="9">
        <v>27</v>
      </c>
      <c r="CV637" s="9">
        <v>12</v>
      </c>
      <c r="CW637" s="167">
        <f>'HourGH-FEB'!N39</f>
        <v>0.25</v>
      </c>
      <c r="CX637" s="263">
        <v>636</v>
      </c>
      <c r="CY637" s="9">
        <v>27</v>
      </c>
      <c r="CZ637" s="9">
        <v>12</v>
      </c>
      <c r="DA637" s="167">
        <f>'HourGH-MAR'!N39</f>
        <v>0.2</v>
      </c>
    </row>
    <row r="638" spans="58:105">
      <c r="BF638" s="9">
        <v>637</v>
      </c>
      <c r="BG638" s="9">
        <v>27</v>
      </c>
      <c r="BH638" s="9">
        <v>13</v>
      </c>
      <c r="BI638" s="167">
        <f>'HourGH-APR'!O39</f>
        <v>0.56000000000000005</v>
      </c>
      <c r="BJ638" s="263">
        <v>637</v>
      </c>
      <c r="BK638" s="9">
        <v>27</v>
      </c>
      <c r="BL638" s="9">
        <v>13</v>
      </c>
      <c r="BM638" s="167">
        <f>'HourGH-MAY'!O39</f>
        <v>0.18</v>
      </c>
      <c r="BN638" s="9">
        <v>637</v>
      </c>
      <c r="BO638" s="9">
        <v>27</v>
      </c>
      <c r="BP638" s="9">
        <v>13</v>
      </c>
      <c r="BQ638" s="167">
        <f>'HourGH-JUN'!O39</f>
        <v>0.25</v>
      </c>
      <c r="BR638" s="263">
        <v>637</v>
      </c>
      <c r="BS638" s="9">
        <v>27</v>
      </c>
      <c r="BT638" s="9">
        <v>13</v>
      </c>
      <c r="BU638" s="167">
        <f>'HourGH-JUL'!O39</f>
        <v>0.34</v>
      </c>
      <c r="BV638" s="263">
        <v>637</v>
      </c>
      <c r="BW638" s="9">
        <v>27</v>
      </c>
      <c r="BX638" s="9">
        <v>13</v>
      </c>
      <c r="BY638" s="167">
        <f>'HourGH-AUG'!O39</f>
        <v>0.66</v>
      </c>
      <c r="BZ638" s="9">
        <v>637</v>
      </c>
      <c r="CA638" s="9">
        <v>27</v>
      </c>
      <c r="CB638" s="9">
        <v>13</v>
      </c>
      <c r="CC638" s="167">
        <f>'HourGH-SEP'!O39</f>
        <v>2.04</v>
      </c>
      <c r="CD638" s="263">
        <v>637</v>
      </c>
      <c r="CE638" s="9">
        <v>27</v>
      </c>
      <c r="CF638" s="9">
        <v>13</v>
      </c>
      <c r="CG638" s="167">
        <f>'HourGH-OCT'!O39</f>
        <v>1.18</v>
      </c>
      <c r="CH638" s="9">
        <v>637</v>
      </c>
      <c r="CI638" s="9">
        <v>27</v>
      </c>
      <c r="CJ638" s="9">
        <v>13</v>
      </c>
      <c r="CK638" s="167">
        <f>'HourGH-NOV'!O39</f>
        <v>0.57999999999999996</v>
      </c>
      <c r="CL638" s="263">
        <v>637</v>
      </c>
      <c r="CM638" s="9">
        <v>27</v>
      </c>
      <c r="CN638" s="9">
        <v>13</v>
      </c>
      <c r="CO638" s="167">
        <f>'HourGH-DEC'!O39</f>
        <v>0.43</v>
      </c>
      <c r="CP638" s="263">
        <v>637</v>
      </c>
      <c r="CQ638" s="9">
        <v>27</v>
      </c>
      <c r="CR638" s="9">
        <v>13</v>
      </c>
      <c r="CS638" s="167">
        <f>'HourGH-JAN'!O39</f>
        <v>0.64</v>
      </c>
      <c r="CT638" s="9">
        <v>637</v>
      </c>
      <c r="CU638" s="9">
        <v>27</v>
      </c>
      <c r="CV638" s="9">
        <v>13</v>
      </c>
      <c r="CW638" s="167">
        <f>'HourGH-FEB'!O39</f>
        <v>0.25</v>
      </c>
      <c r="CX638" s="263">
        <v>637</v>
      </c>
      <c r="CY638" s="9">
        <v>27</v>
      </c>
      <c r="CZ638" s="9">
        <v>13</v>
      </c>
      <c r="DA638" s="167">
        <f>'HourGH-MAR'!O39</f>
        <v>0.2</v>
      </c>
    </row>
    <row r="639" spans="58:105">
      <c r="BF639" s="9">
        <v>638</v>
      </c>
      <c r="BG639" s="9">
        <v>27</v>
      </c>
      <c r="BH639" s="9">
        <v>14</v>
      </c>
      <c r="BI639" s="167">
        <f>'HourGH-APR'!P39</f>
        <v>0.56000000000000005</v>
      </c>
      <c r="BJ639" s="263">
        <v>638</v>
      </c>
      <c r="BK639" s="9">
        <v>27</v>
      </c>
      <c r="BL639" s="9">
        <v>14</v>
      </c>
      <c r="BM639" s="167">
        <f>'HourGH-MAY'!P39</f>
        <v>0.18</v>
      </c>
      <c r="BN639" s="9">
        <v>638</v>
      </c>
      <c r="BO639" s="9">
        <v>27</v>
      </c>
      <c r="BP639" s="9">
        <v>14</v>
      </c>
      <c r="BQ639" s="167">
        <f>'HourGH-JUN'!P39</f>
        <v>0.25</v>
      </c>
      <c r="BR639" s="263">
        <v>638</v>
      </c>
      <c r="BS639" s="9">
        <v>27</v>
      </c>
      <c r="BT639" s="9">
        <v>14</v>
      </c>
      <c r="BU639" s="167">
        <f>'HourGH-JUL'!P39</f>
        <v>0.34</v>
      </c>
      <c r="BV639" s="263">
        <v>638</v>
      </c>
      <c r="BW639" s="9">
        <v>27</v>
      </c>
      <c r="BX639" s="9">
        <v>14</v>
      </c>
      <c r="BY639" s="167">
        <f>'HourGH-AUG'!P39</f>
        <v>0.66</v>
      </c>
      <c r="BZ639" s="9">
        <v>638</v>
      </c>
      <c r="CA639" s="9">
        <v>27</v>
      </c>
      <c r="CB639" s="9">
        <v>14</v>
      </c>
      <c r="CC639" s="167">
        <f>'HourGH-SEP'!P39</f>
        <v>2.04</v>
      </c>
      <c r="CD639" s="263">
        <v>638</v>
      </c>
      <c r="CE639" s="9">
        <v>27</v>
      </c>
      <c r="CF639" s="9">
        <v>14</v>
      </c>
      <c r="CG639" s="167">
        <f>'HourGH-OCT'!P39</f>
        <v>1.18</v>
      </c>
      <c r="CH639" s="9">
        <v>638</v>
      </c>
      <c r="CI639" s="9">
        <v>27</v>
      </c>
      <c r="CJ639" s="9">
        <v>14</v>
      </c>
      <c r="CK639" s="167">
        <f>'HourGH-NOV'!P39</f>
        <v>0.57999999999999996</v>
      </c>
      <c r="CL639" s="263">
        <v>638</v>
      </c>
      <c r="CM639" s="9">
        <v>27</v>
      </c>
      <c r="CN639" s="9">
        <v>14</v>
      </c>
      <c r="CO639" s="167">
        <f>'HourGH-DEC'!P39</f>
        <v>0.43</v>
      </c>
      <c r="CP639" s="263">
        <v>638</v>
      </c>
      <c r="CQ639" s="9">
        <v>27</v>
      </c>
      <c r="CR639" s="9">
        <v>14</v>
      </c>
      <c r="CS639" s="167">
        <f>'HourGH-JAN'!P39</f>
        <v>0.62</v>
      </c>
      <c r="CT639" s="9">
        <v>638</v>
      </c>
      <c r="CU639" s="9">
        <v>27</v>
      </c>
      <c r="CV639" s="9">
        <v>14</v>
      </c>
      <c r="CW639" s="167">
        <f>'HourGH-FEB'!P39</f>
        <v>0.25</v>
      </c>
      <c r="CX639" s="263">
        <v>638</v>
      </c>
      <c r="CY639" s="9">
        <v>27</v>
      </c>
      <c r="CZ639" s="9">
        <v>14</v>
      </c>
      <c r="DA639" s="167">
        <f>'HourGH-MAR'!P39</f>
        <v>0.2</v>
      </c>
    </row>
    <row r="640" spans="58:105">
      <c r="BF640" s="9">
        <v>639</v>
      </c>
      <c r="BG640" s="9">
        <v>27</v>
      </c>
      <c r="BH640" s="9">
        <v>15</v>
      </c>
      <c r="BI640" s="167">
        <f>'HourGH-APR'!Q39</f>
        <v>0.56000000000000005</v>
      </c>
      <c r="BJ640" s="263">
        <v>639</v>
      </c>
      <c r="BK640" s="9">
        <v>27</v>
      </c>
      <c r="BL640" s="9">
        <v>15</v>
      </c>
      <c r="BM640" s="167">
        <f>'HourGH-MAY'!Q39</f>
        <v>0.18</v>
      </c>
      <c r="BN640" s="9">
        <v>639</v>
      </c>
      <c r="BO640" s="9">
        <v>27</v>
      </c>
      <c r="BP640" s="9">
        <v>15</v>
      </c>
      <c r="BQ640" s="167">
        <f>'HourGH-JUN'!Q39</f>
        <v>0.25</v>
      </c>
      <c r="BR640" s="263">
        <v>639</v>
      </c>
      <c r="BS640" s="9">
        <v>27</v>
      </c>
      <c r="BT640" s="9">
        <v>15</v>
      </c>
      <c r="BU640" s="167">
        <f>'HourGH-JUL'!Q39</f>
        <v>0.35</v>
      </c>
      <c r="BV640" s="263">
        <v>639</v>
      </c>
      <c r="BW640" s="9">
        <v>27</v>
      </c>
      <c r="BX640" s="9">
        <v>15</v>
      </c>
      <c r="BY640" s="167">
        <f>'HourGH-AUG'!Q39</f>
        <v>0.66</v>
      </c>
      <c r="BZ640" s="9">
        <v>639</v>
      </c>
      <c r="CA640" s="9">
        <v>27</v>
      </c>
      <c r="CB640" s="9">
        <v>15</v>
      </c>
      <c r="CC640" s="167">
        <f>'HourGH-SEP'!Q39</f>
        <v>2.04</v>
      </c>
      <c r="CD640" s="263">
        <v>639</v>
      </c>
      <c r="CE640" s="9">
        <v>27</v>
      </c>
      <c r="CF640" s="9">
        <v>15</v>
      </c>
      <c r="CG640" s="167">
        <f>'HourGH-OCT'!Q39</f>
        <v>1.17</v>
      </c>
      <c r="CH640" s="9">
        <v>639</v>
      </c>
      <c r="CI640" s="9">
        <v>27</v>
      </c>
      <c r="CJ640" s="9">
        <v>15</v>
      </c>
      <c r="CK640" s="167">
        <f>'HourGH-NOV'!Q39</f>
        <v>0.57999999999999996</v>
      </c>
      <c r="CL640" s="263">
        <v>639</v>
      </c>
      <c r="CM640" s="9">
        <v>27</v>
      </c>
      <c r="CN640" s="9">
        <v>15</v>
      </c>
      <c r="CO640" s="167">
        <f>'HourGH-DEC'!Q39</f>
        <v>0.43</v>
      </c>
      <c r="CP640" s="263">
        <v>639</v>
      </c>
      <c r="CQ640" s="9">
        <v>27</v>
      </c>
      <c r="CR640" s="9">
        <v>15</v>
      </c>
      <c r="CS640" s="167">
        <f>'HourGH-JAN'!Q39</f>
        <v>0.6</v>
      </c>
      <c r="CT640" s="9">
        <v>639</v>
      </c>
      <c r="CU640" s="9">
        <v>27</v>
      </c>
      <c r="CV640" s="9">
        <v>15</v>
      </c>
      <c r="CW640" s="167">
        <f>'HourGH-FEB'!Q39</f>
        <v>0.25</v>
      </c>
      <c r="CX640" s="263">
        <v>639</v>
      </c>
      <c r="CY640" s="9">
        <v>27</v>
      </c>
      <c r="CZ640" s="9">
        <v>15</v>
      </c>
      <c r="DA640" s="167">
        <f>'HourGH-MAR'!Q39</f>
        <v>0.2</v>
      </c>
    </row>
    <row r="641" spans="58:105">
      <c r="BF641" s="9">
        <v>640</v>
      </c>
      <c r="BG641" s="9">
        <v>27</v>
      </c>
      <c r="BH641" s="9">
        <v>16</v>
      </c>
      <c r="BI641" s="167">
        <f>'HourGH-APR'!R39</f>
        <v>0.56000000000000005</v>
      </c>
      <c r="BJ641" s="263">
        <v>640</v>
      </c>
      <c r="BK641" s="9">
        <v>27</v>
      </c>
      <c r="BL641" s="9">
        <v>16</v>
      </c>
      <c r="BM641" s="167">
        <f>'HourGH-MAY'!R39</f>
        <v>0.18</v>
      </c>
      <c r="BN641" s="9">
        <v>640</v>
      </c>
      <c r="BO641" s="9">
        <v>27</v>
      </c>
      <c r="BP641" s="9">
        <v>16</v>
      </c>
      <c r="BQ641" s="167">
        <f>'HourGH-JUN'!R39</f>
        <v>0.25</v>
      </c>
      <c r="BR641" s="263">
        <v>640</v>
      </c>
      <c r="BS641" s="9">
        <v>27</v>
      </c>
      <c r="BT641" s="9">
        <v>16</v>
      </c>
      <c r="BU641" s="167">
        <f>'HourGH-JUL'!R39</f>
        <v>0.35</v>
      </c>
      <c r="BV641" s="263">
        <v>640</v>
      </c>
      <c r="BW641" s="9">
        <v>27</v>
      </c>
      <c r="BX641" s="9">
        <v>16</v>
      </c>
      <c r="BY641" s="167">
        <f>'HourGH-AUG'!R39</f>
        <v>0.66</v>
      </c>
      <c r="BZ641" s="9">
        <v>640</v>
      </c>
      <c r="CA641" s="9">
        <v>27</v>
      </c>
      <c r="CB641" s="9">
        <v>16</v>
      </c>
      <c r="CC641" s="167">
        <f>'HourGH-SEP'!R39</f>
        <v>2.0299999999999998</v>
      </c>
      <c r="CD641" s="263">
        <v>640</v>
      </c>
      <c r="CE641" s="9">
        <v>27</v>
      </c>
      <c r="CF641" s="9">
        <v>16</v>
      </c>
      <c r="CG641" s="167">
        <f>'HourGH-OCT'!R39</f>
        <v>1.17</v>
      </c>
      <c r="CH641" s="9">
        <v>640</v>
      </c>
      <c r="CI641" s="9">
        <v>27</v>
      </c>
      <c r="CJ641" s="9">
        <v>16</v>
      </c>
      <c r="CK641" s="167">
        <f>'HourGH-NOV'!R39</f>
        <v>0.57999999999999996</v>
      </c>
      <c r="CL641" s="263">
        <v>640</v>
      </c>
      <c r="CM641" s="9">
        <v>27</v>
      </c>
      <c r="CN641" s="9">
        <v>16</v>
      </c>
      <c r="CO641" s="167">
        <f>'HourGH-DEC'!R39</f>
        <v>0.43</v>
      </c>
      <c r="CP641" s="263">
        <v>640</v>
      </c>
      <c r="CQ641" s="9">
        <v>27</v>
      </c>
      <c r="CR641" s="9">
        <v>16</v>
      </c>
      <c r="CS641" s="167">
        <f>'HourGH-JAN'!R39</f>
        <v>0.57999999999999996</v>
      </c>
      <c r="CT641" s="9">
        <v>640</v>
      </c>
      <c r="CU641" s="9">
        <v>27</v>
      </c>
      <c r="CV641" s="9">
        <v>16</v>
      </c>
      <c r="CW641" s="167">
        <f>'HourGH-FEB'!R39</f>
        <v>0.25</v>
      </c>
      <c r="CX641" s="263">
        <v>640</v>
      </c>
      <c r="CY641" s="9">
        <v>27</v>
      </c>
      <c r="CZ641" s="9">
        <v>16</v>
      </c>
      <c r="DA641" s="167">
        <f>'HourGH-MAR'!R39</f>
        <v>0.2</v>
      </c>
    </row>
    <row r="642" spans="58:105">
      <c r="BF642" s="9">
        <v>641</v>
      </c>
      <c r="BG642" s="9">
        <v>27</v>
      </c>
      <c r="BH642" s="9">
        <v>17</v>
      </c>
      <c r="BI642" s="167">
        <f>'HourGH-APR'!S39</f>
        <v>0.56000000000000005</v>
      </c>
      <c r="BJ642" s="263">
        <v>641</v>
      </c>
      <c r="BK642" s="9">
        <v>27</v>
      </c>
      <c r="BL642" s="9">
        <v>17</v>
      </c>
      <c r="BM642" s="167">
        <f>'HourGH-MAY'!S39</f>
        <v>0.18</v>
      </c>
      <c r="BN642" s="9">
        <v>641</v>
      </c>
      <c r="BO642" s="9">
        <v>27</v>
      </c>
      <c r="BP642" s="9">
        <v>17</v>
      </c>
      <c r="BQ642" s="167">
        <f>'HourGH-JUN'!S39</f>
        <v>0.25</v>
      </c>
      <c r="BR642" s="263">
        <v>641</v>
      </c>
      <c r="BS642" s="9">
        <v>27</v>
      </c>
      <c r="BT642" s="9">
        <v>17</v>
      </c>
      <c r="BU642" s="167">
        <f>'HourGH-JUL'!S39</f>
        <v>0.35</v>
      </c>
      <c r="BV642" s="263">
        <v>641</v>
      </c>
      <c r="BW642" s="9">
        <v>27</v>
      </c>
      <c r="BX642" s="9">
        <v>17</v>
      </c>
      <c r="BY642" s="167">
        <f>'HourGH-AUG'!S39</f>
        <v>0.66</v>
      </c>
      <c r="BZ642" s="9">
        <v>641</v>
      </c>
      <c r="CA642" s="9">
        <v>27</v>
      </c>
      <c r="CB642" s="9">
        <v>17</v>
      </c>
      <c r="CC642" s="167">
        <f>'HourGH-SEP'!S39</f>
        <v>2.0099999999999998</v>
      </c>
      <c r="CD642" s="263">
        <v>641</v>
      </c>
      <c r="CE642" s="9">
        <v>27</v>
      </c>
      <c r="CF642" s="9">
        <v>17</v>
      </c>
      <c r="CG642" s="167">
        <f>'HourGH-OCT'!S39</f>
        <v>1.17</v>
      </c>
      <c r="CH642" s="9">
        <v>641</v>
      </c>
      <c r="CI642" s="9">
        <v>27</v>
      </c>
      <c r="CJ642" s="9">
        <v>17</v>
      </c>
      <c r="CK642" s="167">
        <f>'HourGH-NOV'!S39</f>
        <v>0.57999999999999996</v>
      </c>
      <c r="CL642" s="263">
        <v>641</v>
      </c>
      <c r="CM642" s="9">
        <v>27</v>
      </c>
      <c r="CN642" s="9">
        <v>17</v>
      </c>
      <c r="CO642" s="167">
        <f>'HourGH-DEC'!S39</f>
        <v>0.43</v>
      </c>
      <c r="CP642" s="263">
        <v>641</v>
      </c>
      <c r="CQ642" s="9">
        <v>27</v>
      </c>
      <c r="CR642" s="9">
        <v>17</v>
      </c>
      <c r="CS642" s="167">
        <f>'HourGH-JAN'!S39</f>
        <v>0.55000000000000004</v>
      </c>
      <c r="CT642" s="9">
        <v>641</v>
      </c>
      <c r="CU642" s="9">
        <v>27</v>
      </c>
      <c r="CV642" s="9">
        <v>17</v>
      </c>
      <c r="CW642" s="167">
        <f>'HourGH-FEB'!S39</f>
        <v>0.25</v>
      </c>
      <c r="CX642" s="263">
        <v>641</v>
      </c>
      <c r="CY642" s="9">
        <v>27</v>
      </c>
      <c r="CZ642" s="9">
        <v>17</v>
      </c>
      <c r="DA642" s="167">
        <f>'HourGH-MAR'!S39</f>
        <v>0.2</v>
      </c>
    </row>
    <row r="643" spans="58:105">
      <c r="BF643" s="9">
        <v>642</v>
      </c>
      <c r="BG643" s="9">
        <v>27</v>
      </c>
      <c r="BH643" s="9">
        <v>18</v>
      </c>
      <c r="BI643" s="167">
        <f>'HourGH-APR'!T39</f>
        <v>0.56000000000000005</v>
      </c>
      <c r="BJ643" s="263">
        <v>642</v>
      </c>
      <c r="BK643" s="9">
        <v>27</v>
      </c>
      <c r="BL643" s="9">
        <v>18</v>
      </c>
      <c r="BM643" s="167">
        <f>'HourGH-MAY'!T39</f>
        <v>0.18</v>
      </c>
      <c r="BN643" s="9">
        <v>642</v>
      </c>
      <c r="BO643" s="9">
        <v>27</v>
      </c>
      <c r="BP643" s="9">
        <v>18</v>
      </c>
      <c r="BQ643" s="167">
        <f>'HourGH-JUN'!T39</f>
        <v>0.24</v>
      </c>
      <c r="BR643" s="263">
        <v>642</v>
      </c>
      <c r="BS643" s="9">
        <v>27</v>
      </c>
      <c r="BT643" s="9">
        <v>18</v>
      </c>
      <c r="BU643" s="167">
        <f>'HourGH-JUL'!T39</f>
        <v>0.36</v>
      </c>
      <c r="BV643" s="263">
        <v>642</v>
      </c>
      <c r="BW643" s="9">
        <v>27</v>
      </c>
      <c r="BX643" s="9">
        <v>18</v>
      </c>
      <c r="BY643" s="167">
        <f>'HourGH-AUG'!T39</f>
        <v>0.66</v>
      </c>
      <c r="BZ643" s="9">
        <v>642</v>
      </c>
      <c r="CA643" s="9">
        <v>27</v>
      </c>
      <c r="CB643" s="9">
        <v>18</v>
      </c>
      <c r="CC643" s="167">
        <f>'HourGH-SEP'!T39</f>
        <v>1.99</v>
      </c>
      <c r="CD643" s="263">
        <v>642</v>
      </c>
      <c r="CE643" s="9">
        <v>27</v>
      </c>
      <c r="CF643" s="9">
        <v>18</v>
      </c>
      <c r="CG643" s="167">
        <f>'HourGH-OCT'!T39</f>
        <v>1.17</v>
      </c>
      <c r="CH643" s="9">
        <v>642</v>
      </c>
      <c r="CI643" s="9">
        <v>27</v>
      </c>
      <c r="CJ643" s="9">
        <v>18</v>
      </c>
      <c r="CK643" s="167">
        <f>'HourGH-NOV'!T39</f>
        <v>0.57999999999999996</v>
      </c>
      <c r="CL643" s="263">
        <v>642</v>
      </c>
      <c r="CM643" s="9">
        <v>27</v>
      </c>
      <c r="CN643" s="9">
        <v>18</v>
      </c>
      <c r="CO643" s="167">
        <f>'HourGH-DEC'!T39</f>
        <v>0.43</v>
      </c>
      <c r="CP643" s="263">
        <v>642</v>
      </c>
      <c r="CQ643" s="9">
        <v>27</v>
      </c>
      <c r="CR643" s="9">
        <v>18</v>
      </c>
      <c r="CS643" s="167">
        <f>'HourGH-JAN'!T39</f>
        <v>0.52</v>
      </c>
      <c r="CT643" s="9">
        <v>642</v>
      </c>
      <c r="CU643" s="9">
        <v>27</v>
      </c>
      <c r="CV643" s="9">
        <v>18</v>
      </c>
      <c r="CW643" s="167">
        <f>'HourGH-FEB'!T39</f>
        <v>0.25</v>
      </c>
      <c r="CX643" s="263">
        <v>642</v>
      </c>
      <c r="CY643" s="9">
        <v>27</v>
      </c>
      <c r="CZ643" s="9">
        <v>18</v>
      </c>
      <c r="DA643" s="167">
        <f>'HourGH-MAR'!T39</f>
        <v>0.2</v>
      </c>
    </row>
    <row r="644" spans="58:105">
      <c r="BF644" s="9">
        <v>643</v>
      </c>
      <c r="BG644" s="9">
        <v>27</v>
      </c>
      <c r="BH644" s="9">
        <v>19</v>
      </c>
      <c r="BI644" s="167">
        <f>'HourGH-APR'!U39</f>
        <v>0.56000000000000005</v>
      </c>
      <c r="BJ644" s="263">
        <v>643</v>
      </c>
      <c r="BK644" s="9">
        <v>27</v>
      </c>
      <c r="BL644" s="9">
        <v>19</v>
      </c>
      <c r="BM644" s="167">
        <f>'HourGH-MAY'!U39</f>
        <v>0.18</v>
      </c>
      <c r="BN644" s="9">
        <v>643</v>
      </c>
      <c r="BO644" s="9">
        <v>27</v>
      </c>
      <c r="BP644" s="9">
        <v>19</v>
      </c>
      <c r="BQ644" s="167">
        <f>'HourGH-JUN'!U39</f>
        <v>0.24</v>
      </c>
      <c r="BR644" s="263">
        <v>643</v>
      </c>
      <c r="BS644" s="9">
        <v>27</v>
      </c>
      <c r="BT644" s="9">
        <v>19</v>
      </c>
      <c r="BU644" s="167">
        <f>'HourGH-JUL'!U39</f>
        <v>0.36</v>
      </c>
      <c r="BV644" s="263">
        <v>643</v>
      </c>
      <c r="BW644" s="9">
        <v>27</v>
      </c>
      <c r="BX644" s="9">
        <v>19</v>
      </c>
      <c r="BY644" s="167">
        <f>'HourGH-AUG'!U39</f>
        <v>0.65</v>
      </c>
      <c r="BZ644" s="9">
        <v>643</v>
      </c>
      <c r="CA644" s="9">
        <v>27</v>
      </c>
      <c r="CB644" s="9">
        <v>19</v>
      </c>
      <c r="CC644" s="167">
        <f>'HourGH-SEP'!U39</f>
        <v>1.97</v>
      </c>
      <c r="CD644" s="263">
        <v>643</v>
      </c>
      <c r="CE644" s="9">
        <v>27</v>
      </c>
      <c r="CF644" s="9">
        <v>19</v>
      </c>
      <c r="CG644" s="167">
        <f>'HourGH-OCT'!U39</f>
        <v>1.1599999999999999</v>
      </c>
      <c r="CH644" s="9">
        <v>643</v>
      </c>
      <c r="CI644" s="9">
        <v>27</v>
      </c>
      <c r="CJ644" s="9">
        <v>19</v>
      </c>
      <c r="CK644" s="167">
        <f>'HourGH-NOV'!U39</f>
        <v>0.57999999999999996</v>
      </c>
      <c r="CL644" s="263">
        <v>643</v>
      </c>
      <c r="CM644" s="9">
        <v>27</v>
      </c>
      <c r="CN644" s="9">
        <v>19</v>
      </c>
      <c r="CO644" s="167">
        <f>'HourGH-DEC'!U39</f>
        <v>0.43</v>
      </c>
      <c r="CP644" s="263">
        <v>643</v>
      </c>
      <c r="CQ644" s="9">
        <v>27</v>
      </c>
      <c r="CR644" s="9">
        <v>19</v>
      </c>
      <c r="CS644" s="167">
        <f>'HourGH-JAN'!U39</f>
        <v>0.5</v>
      </c>
      <c r="CT644" s="9">
        <v>643</v>
      </c>
      <c r="CU644" s="9">
        <v>27</v>
      </c>
      <c r="CV644" s="9">
        <v>19</v>
      </c>
      <c r="CW644" s="167">
        <f>'HourGH-FEB'!U39</f>
        <v>0.25</v>
      </c>
      <c r="CX644" s="263">
        <v>643</v>
      </c>
      <c r="CY644" s="9">
        <v>27</v>
      </c>
      <c r="CZ644" s="9">
        <v>19</v>
      </c>
      <c r="DA644" s="167">
        <f>'HourGH-MAR'!U39</f>
        <v>0.2</v>
      </c>
    </row>
    <row r="645" spans="58:105">
      <c r="BF645" s="9">
        <v>644</v>
      </c>
      <c r="BG645" s="9">
        <v>27</v>
      </c>
      <c r="BH645" s="9">
        <v>20</v>
      </c>
      <c r="BI645" s="167">
        <f>'HourGH-APR'!V39</f>
        <v>0.56000000000000005</v>
      </c>
      <c r="BJ645" s="263">
        <v>644</v>
      </c>
      <c r="BK645" s="9">
        <v>27</v>
      </c>
      <c r="BL645" s="9">
        <v>20</v>
      </c>
      <c r="BM645" s="167">
        <f>'HourGH-MAY'!V39</f>
        <v>0.18</v>
      </c>
      <c r="BN645" s="9">
        <v>644</v>
      </c>
      <c r="BO645" s="9">
        <v>27</v>
      </c>
      <c r="BP645" s="9">
        <v>20</v>
      </c>
      <c r="BQ645" s="167">
        <f>'HourGH-JUN'!V39</f>
        <v>0.24</v>
      </c>
      <c r="BR645" s="263">
        <v>644</v>
      </c>
      <c r="BS645" s="9">
        <v>27</v>
      </c>
      <c r="BT645" s="9">
        <v>20</v>
      </c>
      <c r="BU645" s="167">
        <f>'HourGH-JUL'!V39</f>
        <v>0.36</v>
      </c>
      <c r="BV645" s="263">
        <v>644</v>
      </c>
      <c r="BW645" s="9">
        <v>27</v>
      </c>
      <c r="BX645" s="9">
        <v>20</v>
      </c>
      <c r="BY645" s="167">
        <f>'HourGH-AUG'!V39</f>
        <v>0.65</v>
      </c>
      <c r="BZ645" s="9">
        <v>644</v>
      </c>
      <c r="CA645" s="9">
        <v>27</v>
      </c>
      <c r="CB645" s="9">
        <v>20</v>
      </c>
      <c r="CC645" s="167">
        <f>'HourGH-SEP'!V39</f>
        <v>1.93</v>
      </c>
      <c r="CD645" s="263">
        <v>644</v>
      </c>
      <c r="CE645" s="9">
        <v>27</v>
      </c>
      <c r="CF645" s="9">
        <v>20</v>
      </c>
      <c r="CG645" s="167">
        <f>'HourGH-OCT'!V39</f>
        <v>1.1599999999999999</v>
      </c>
      <c r="CH645" s="9">
        <v>644</v>
      </c>
      <c r="CI645" s="9">
        <v>27</v>
      </c>
      <c r="CJ645" s="9">
        <v>20</v>
      </c>
      <c r="CK645" s="167">
        <f>'HourGH-NOV'!V39</f>
        <v>0.57999999999999996</v>
      </c>
      <c r="CL645" s="263">
        <v>644</v>
      </c>
      <c r="CM645" s="9">
        <v>27</v>
      </c>
      <c r="CN645" s="9">
        <v>20</v>
      </c>
      <c r="CO645" s="167">
        <f>'HourGH-DEC'!V39</f>
        <v>0.43</v>
      </c>
      <c r="CP645" s="263">
        <v>644</v>
      </c>
      <c r="CQ645" s="9">
        <v>27</v>
      </c>
      <c r="CR645" s="9">
        <v>20</v>
      </c>
      <c r="CS645" s="167">
        <f>'HourGH-JAN'!V39</f>
        <v>0.48</v>
      </c>
      <c r="CT645" s="9">
        <v>644</v>
      </c>
      <c r="CU645" s="9">
        <v>27</v>
      </c>
      <c r="CV645" s="9">
        <v>20</v>
      </c>
      <c r="CW645" s="167">
        <f>'HourGH-FEB'!V39</f>
        <v>0.25</v>
      </c>
      <c r="CX645" s="263">
        <v>644</v>
      </c>
      <c r="CY645" s="9">
        <v>27</v>
      </c>
      <c r="CZ645" s="9">
        <v>20</v>
      </c>
      <c r="DA645" s="167">
        <f>'HourGH-MAR'!V39</f>
        <v>0.2</v>
      </c>
    </row>
    <row r="646" spans="58:105">
      <c r="BF646" s="9">
        <v>645</v>
      </c>
      <c r="BG646" s="9">
        <v>27</v>
      </c>
      <c r="BH646" s="9">
        <v>21</v>
      </c>
      <c r="BI646" s="167">
        <f>'HourGH-APR'!W39</f>
        <v>0.56000000000000005</v>
      </c>
      <c r="BJ646" s="263">
        <v>645</v>
      </c>
      <c r="BK646" s="9">
        <v>27</v>
      </c>
      <c r="BL646" s="9">
        <v>21</v>
      </c>
      <c r="BM646" s="167">
        <f>'HourGH-MAY'!W39</f>
        <v>0.18</v>
      </c>
      <c r="BN646" s="9">
        <v>645</v>
      </c>
      <c r="BO646" s="9">
        <v>27</v>
      </c>
      <c r="BP646" s="9">
        <v>21</v>
      </c>
      <c r="BQ646" s="167">
        <f>'HourGH-JUN'!W39</f>
        <v>0.24</v>
      </c>
      <c r="BR646" s="263">
        <v>645</v>
      </c>
      <c r="BS646" s="9">
        <v>27</v>
      </c>
      <c r="BT646" s="9">
        <v>21</v>
      </c>
      <c r="BU646" s="167">
        <f>'HourGH-JUL'!W39</f>
        <v>0.37</v>
      </c>
      <c r="BV646" s="263">
        <v>645</v>
      </c>
      <c r="BW646" s="9">
        <v>27</v>
      </c>
      <c r="BX646" s="9">
        <v>21</v>
      </c>
      <c r="BY646" s="167">
        <f>'HourGH-AUG'!W39</f>
        <v>0.65</v>
      </c>
      <c r="BZ646" s="9">
        <v>645</v>
      </c>
      <c r="CA646" s="9">
        <v>27</v>
      </c>
      <c r="CB646" s="9">
        <v>21</v>
      </c>
      <c r="CC646" s="167">
        <f>'HourGH-SEP'!W39</f>
        <v>1.87</v>
      </c>
      <c r="CD646" s="263">
        <v>645</v>
      </c>
      <c r="CE646" s="9">
        <v>27</v>
      </c>
      <c r="CF646" s="9">
        <v>21</v>
      </c>
      <c r="CG646" s="167">
        <f>'HourGH-OCT'!W39</f>
        <v>1.1599999999999999</v>
      </c>
      <c r="CH646" s="9">
        <v>645</v>
      </c>
      <c r="CI646" s="9">
        <v>27</v>
      </c>
      <c r="CJ646" s="9">
        <v>21</v>
      </c>
      <c r="CK646" s="167">
        <f>'HourGH-NOV'!W39</f>
        <v>0.57999999999999996</v>
      </c>
      <c r="CL646" s="263">
        <v>645</v>
      </c>
      <c r="CM646" s="9">
        <v>27</v>
      </c>
      <c r="CN646" s="9">
        <v>21</v>
      </c>
      <c r="CO646" s="167">
        <f>'HourGH-DEC'!W39</f>
        <v>0.43</v>
      </c>
      <c r="CP646" s="263">
        <v>645</v>
      </c>
      <c r="CQ646" s="9">
        <v>27</v>
      </c>
      <c r="CR646" s="9">
        <v>21</v>
      </c>
      <c r="CS646" s="167">
        <f>'HourGH-JAN'!W39</f>
        <v>0.46</v>
      </c>
      <c r="CT646" s="9">
        <v>645</v>
      </c>
      <c r="CU646" s="9">
        <v>27</v>
      </c>
      <c r="CV646" s="9">
        <v>21</v>
      </c>
      <c r="CW646" s="167">
        <f>'HourGH-FEB'!W39</f>
        <v>0.25</v>
      </c>
      <c r="CX646" s="263">
        <v>645</v>
      </c>
      <c r="CY646" s="9">
        <v>27</v>
      </c>
      <c r="CZ646" s="9">
        <v>21</v>
      </c>
      <c r="DA646" s="167">
        <f>'HourGH-MAR'!W39</f>
        <v>0.2</v>
      </c>
    </row>
    <row r="647" spans="58:105">
      <c r="BF647" s="9">
        <v>646</v>
      </c>
      <c r="BG647" s="9">
        <v>27</v>
      </c>
      <c r="BH647" s="9">
        <v>22</v>
      </c>
      <c r="BI647" s="167">
        <f>'HourGH-APR'!X39</f>
        <v>0.56000000000000005</v>
      </c>
      <c r="BJ647" s="263">
        <v>646</v>
      </c>
      <c r="BK647" s="9">
        <v>27</v>
      </c>
      <c r="BL647" s="9">
        <v>22</v>
      </c>
      <c r="BM647" s="167">
        <f>'HourGH-MAY'!X39</f>
        <v>0.18</v>
      </c>
      <c r="BN647" s="9">
        <v>646</v>
      </c>
      <c r="BO647" s="9">
        <v>27</v>
      </c>
      <c r="BP647" s="9">
        <v>22</v>
      </c>
      <c r="BQ647" s="167">
        <f>'HourGH-JUN'!X39</f>
        <v>0.24</v>
      </c>
      <c r="BR647" s="263">
        <v>646</v>
      </c>
      <c r="BS647" s="9">
        <v>27</v>
      </c>
      <c r="BT647" s="9">
        <v>22</v>
      </c>
      <c r="BU647" s="167">
        <f>'HourGH-JUL'!X39</f>
        <v>0.37</v>
      </c>
      <c r="BV647" s="263">
        <v>646</v>
      </c>
      <c r="BW647" s="9">
        <v>27</v>
      </c>
      <c r="BX647" s="9">
        <v>22</v>
      </c>
      <c r="BY647" s="167">
        <f>'HourGH-AUG'!X39</f>
        <v>0.65</v>
      </c>
      <c r="BZ647" s="9">
        <v>646</v>
      </c>
      <c r="CA647" s="9">
        <v>27</v>
      </c>
      <c r="CB647" s="9">
        <v>22</v>
      </c>
      <c r="CC647" s="167">
        <f>'HourGH-SEP'!X39</f>
        <v>1.81</v>
      </c>
      <c r="CD647" s="263">
        <v>646</v>
      </c>
      <c r="CE647" s="9">
        <v>27</v>
      </c>
      <c r="CF647" s="9">
        <v>22</v>
      </c>
      <c r="CG647" s="167">
        <f>'HourGH-OCT'!X39</f>
        <v>1.1599999999999999</v>
      </c>
      <c r="CH647" s="9">
        <v>646</v>
      </c>
      <c r="CI647" s="9">
        <v>27</v>
      </c>
      <c r="CJ647" s="9">
        <v>22</v>
      </c>
      <c r="CK647" s="167">
        <f>'HourGH-NOV'!X39</f>
        <v>0.57999999999999996</v>
      </c>
      <c r="CL647" s="263">
        <v>646</v>
      </c>
      <c r="CM647" s="9">
        <v>27</v>
      </c>
      <c r="CN647" s="9">
        <v>22</v>
      </c>
      <c r="CO647" s="167">
        <f>'HourGH-DEC'!X39</f>
        <v>0.43</v>
      </c>
      <c r="CP647" s="263">
        <v>646</v>
      </c>
      <c r="CQ647" s="9">
        <v>27</v>
      </c>
      <c r="CR647" s="9">
        <v>22</v>
      </c>
      <c r="CS647" s="167">
        <f>'HourGH-JAN'!X39</f>
        <v>0.44</v>
      </c>
      <c r="CT647" s="9">
        <v>646</v>
      </c>
      <c r="CU647" s="9">
        <v>27</v>
      </c>
      <c r="CV647" s="9">
        <v>22</v>
      </c>
      <c r="CW647" s="167">
        <f>'HourGH-FEB'!X39</f>
        <v>0.25</v>
      </c>
      <c r="CX647" s="263">
        <v>646</v>
      </c>
      <c r="CY647" s="9">
        <v>27</v>
      </c>
      <c r="CZ647" s="9">
        <v>22</v>
      </c>
      <c r="DA647" s="167">
        <f>'HourGH-MAR'!X39</f>
        <v>0.2</v>
      </c>
    </row>
    <row r="648" spans="58:105">
      <c r="BF648" s="9">
        <v>647</v>
      </c>
      <c r="BG648" s="9">
        <v>27</v>
      </c>
      <c r="BH648" s="9">
        <v>23</v>
      </c>
      <c r="BI648" s="167">
        <f>'HourGH-APR'!Y39</f>
        <v>0.56000000000000005</v>
      </c>
      <c r="BJ648" s="263">
        <v>647</v>
      </c>
      <c r="BK648" s="9">
        <v>27</v>
      </c>
      <c r="BL648" s="9">
        <v>23</v>
      </c>
      <c r="BM648" s="167">
        <f>'HourGH-MAY'!Y39</f>
        <v>0.18</v>
      </c>
      <c r="BN648" s="9">
        <v>647</v>
      </c>
      <c r="BO648" s="9">
        <v>27</v>
      </c>
      <c r="BP648" s="9">
        <v>23</v>
      </c>
      <c r="BQ648" s="167">
        <f>'HourGH-JUN'!Y39</f>
        <v>0.24</v>
      </c>
      <c r="BR648" s="263">
        <v>647</v>
      </c>
      <c r="BS648" s="9">
        <v>27</v>
      </c>
      <c r="BT648" s="9">
        <v>23</v>
      </c>
      <c r="BU648" s="167">
        <f>'HourGH-JUL'!Y39</f>
        <v>0.37</v>
      </c>
      <c r="BV648" s="263">
        <v>647</v>
      </c>
      <c r="BW648" s="9">
        <v>27</v>
      </c>
      <c r="BX648" s="9">
        <v>23</v>
      </c>
      <c r="BY648" s="167">
        <f>'HourGH-AUG'!Y39</f>
        <v>0.65</v>
      </c>
      <c r="BZ648" s="9">
        <v>647</v>
      </c>
      <c r="CA648" s="9">
        <v>27</v>
      </c>
      <c r="CB648" s="9">
        <v>23</v>
      </c>
      <c r="CC648" s="167">
        <f>'HourGH-SEP'!Y39</f>
        <v>1.73</v>
      </c>
      <c r="CD648" s="263">
        <v>647</v>
      </c>
      <c r="CE648" s="9">
        <v>27</v>
      </c>
      <c r="CF648" s="9">
        <v>23</v>
      </c>
      <c r="CG648" s="167">
        <f>'HourGH-OCT'!Y39</f>
        <v>1.1499999999999999</v>
      </c>
      <c r="CH648" s="9">
        <v>647</v>
      </c>
      <c r="CI648" s="9">
        <v>27</v>
      </c>
      <c r="CJ648" s="9">
        <v>23</v>
      </c>
      <c r="CK648" s="167">
        <f>'HourGH-NOV'!Y39</f>
        <v>0.57999999999999996</v>
      </c>
      <c r="CL648" s="263">
        <v>647</v>
      </c>
      <c r="CM648" s="9">
        <v>27</v>
      </c>
      <c r="CN648" s="9">
        <v>23</v>
      </c>
      <c r="CO648" s="167">
        <f>'HourGH-DEC'!Y39</f>
        <v>0.43</v>
      </c>
      <c r="CP648" s="263">
        <v>647</v>
      </c>
      <c r="CQ648" s="9">
        <v>27</v>
      </c>
      <c r="CR648" s="9">
        <v>23</v>
      </c>
      <c r="CS648" s="167">
        <f>'HourGH-JAN'!Y39</f>
        <v>0.42</v>
      </c>
      <c r="CT648" s="9">
        <v>647</v>
      </c>
      <c r="CU648" s="9">
        <v>27</v>
      </c>
      <c r="CV648" s="9">
        <v>23</v>
      </c>
      <c r="CW648" s="167">
        <f>'HourGH-FEB'!Y39</f>
        <v>0.25</v>
      </c>
      <c r="CX648" s="263">
        <v>647</v>
      </c>
      <c r="CY648" s="9">
        <v>27</v>
      </c>
      <c r="CZ648" s="9">
        <v>23</v>
      </c>
      <c r="DA648" s="167">
        <f>'HourGH-MAR'!Y39</f>
        <v>0.2</v>
      </c>
    </row>
    <row r="649" spans="58:105">
      <c r="BF649" s="9">
        <v>648</v>
      </c>
      <c r="BG649" s="9">
        <v>27</v>
      </c>
      <c r="BH649" s="9">
        <v>24</v>
      </c>
      <c r="BI649" s="167">
        <f>'HourGH-APR'!Z39</f>
        <v>0.56000000000000005</v>
      </c>
      <c r="BJ649" s="263">
        <v>648</v>
      </c>
      <c r="BK649" s="9">
        <v>27</v>
      </c>
      <c r="BL649" s="9">
        <v>24</v>
      </c>
      <c r="BM649" s="167">
        <f>'HourGH-MAY'!Z39</f>
        <v>0.18</v>
      </c>
      <c r="BN649" s="9">
        <v>648</v>
      </c>
      <c r="BO649" s="9">
        <v>27</v>
      </c>
      <c r="BP649" s="9">
        <v>24</v>
      </c>
      <c r="BQ649" s="167">
        <f>'HourGH-JUN'!Z39</f>
        <v>0.24</v>
      </c>
      <c r="BR649" s="263">
        <v>648</v>
      </c>
      <c r="BS649" s="9">
        <v>27</v>
      </c>
      <c r="BT649" s="9">
        <v>24</v>
      </c>
      <c r="BU649" s="167">
        <f>'HourGH-JUL'!Z39</f>
        <v>0.37</v>
      </c>
      <c r="BV649" s="263">
        <v>648</v>
      </c>
      <c r="BW649" s="9">
        <v>27</v>
      </c>
      <c r="BX649" s="9">
        <v>24</v>
      </c>
      <c r="BY649" s="167">
        <f>'HourGH-AUG'!Z39</f>
        <v>0.65</v>
      </c>
      <c r="BZ649" s="9">
        <v>648</v>
      </c>
      <c r="CA649" s="9">
        <v>27</v>
      </c>
      <c r="CB649" s="9">
        <v>24</v>
      </c>
      <c r="CC649" s="167">
        <f>'HourGH-SEP'!Z39</f>
        <v>1.69</v>
      </c>
      <c r="CD649" s="263">
        <v>648</v>
      </c>
      <c r="CE649" s="9">
        <v>27</v>
      </c>
      <c r="CF649" s="9">
        <v>24</v>
      </c>
      <c r="CG649" s="167">
        <f>'HourGH-OCT'!Z39</f>
        <v>1.1499999999999999</v>
      </c>
      <c r="CH649" s="9">
        <v>648</v>
      </c>
      <c r="CI649" s="9">
        <v>27</v>
      </c>
      <c r="CJ649" s="9">
        <v>24</v>
      </c>
      <c r="CK649" s="167">
        <f>'HourGH-NOV'!Z39</f>
        <v>0.57999999999999996</v>
      </c>
      <c r="CL649" s="263">
        <v>648</v>
      </c>
      <c r="CM649" s="9">
        <v>27</v>
      </c>
      <c r="CN649" s="9">
        <v>24</v>
      </c>
      <c r="CO649" s="167">
        <f>'HourGH-DEC'!Z39</f>
        <v>0.43</v>
      </c>
      <c r="CP649" s="263">
        <v>648</v>
      </c>
      <c r="CQ649" s="9">
        <v>27</v>
      </c>
      <c r="CR649" s="9">
        <v>24</v>
      </c>
      <c r="CS649" s="167">
        <f>'HourGH-JAN'!Z39</f>
        <v>0.4</v>
      </c>
      <c r="CT649" s="9">
        <v>648</v>
      </c>
      <c r="CU649" s="9">
        <v>27</v>
      </c>
      <c r="CV649" s="9">
        <v>24</v>
      </c>
      <c r="CW649" s="167">
        <f>'HourGH-FEB'!Z39</f>
        <v>0.25</v>
      </c>
      <c r="CX649" s="263">
        <v>648</v>
      </c>
      <c r="CY649" s="9">
        <v>27</v>
      </c>
      <c r="CZ649" s="9">
        <v>24</v>
      </c>
      <c r="DA649" s="167">
        <f>'HourGH-MAR'!Z39</f>
        <v>0.2</v>
      </c>
    </row>
    <row r="650" spans="58:105">
      <c r="BF650" s="9">
        <v>649</v>
      </c>
      <c r="BG650" s="9">
        <v>28</v>
      </c>
      <c r="BH650" s="9">
        <v>1</v>
      </c>
      <c r="BI650" s="167">
        <f>'HourGH-APR'!C40</f>
        <v>0.56000000000000005</v>
      </c>
      <c r="BJ650" s="263">
        <v>649</v>
      </c>
      <c r="BK650" s="9">
        <v>28</v>
      </c>
      <c r="BL650" s="9">
        <v>1</v>
      </c>
      <c r="BM650" s="167">
        <f>'HourGH-MAY'!C40</f>
        <v>0.18</v>
      </c>
      <c r="BN650" s="9">
        <v>649</v>
      </c>
      <c r="BO650" s="9">
        <v>28</v>
      </c>
      <c r="BP650" s="9">
        <v>1</v>
      </c>
      <c r="BQ650" s="167">
        <f>'HourGH-JUN'!C40</f>
        <v>0.23</v>
      </c>
      <c r="BR650" s="263">
        <v>649</v>
      </c>
      <c r="BS650" s="9">
        <v>28</v>
      </c>
      <c r="BT650" s="9">
        <v>1</v>
      </c>
      <c r="BU650" s="167">
        <f>'HourGH-JUL'!C40</f>
        <v>0.37</v>
      </c>
      <c r="BV650" s="263">
        <v>649</v>
      </c>
      <c r="BW650" s="9">
        <v>28</v>
      </c>
      <c r="BX650" s="9">
        <v>1</v>
      </c>
      <c r="BY650" s="167">
        <f>'HourGH-AUG'!C40</f>
        <v>0.64</v>
      </c>
      <c r="BZ650" s="9">
        <v>649</v>
      </c>
      <c r="CA650" s="9">
        <v>28</v>
      </c>
      <c r="CB650" s="9">
        <v>1</v>
      </c>
      <c r="CC650" s="167">
        <f>'HourGH-SEP'!C40</f>
        <v>1.64</v>
      </c>
      <c r="CD650" s="263">
        <v>649</v>
      </c>
      <c r="CE650" s="9">
        <v>28</v>
      </c>
      <c r="CF650" s="9">
        <v>1</v>
      </c>
      <c r="CG650" s="167">
        <f>'HourGH-OCT'!C40</f>
        <v>1.1499999999999999</v>
      </c>
      <c r="CH650" s="9">
        <v>649</v>
      </c>
      <c r="CI650" s="9">
        <v>28</v>
      </c>
      <c r="CJ650" s="9">
        <v>1</v>
      </c>
      <c r="CK650" s="167">
        <f>'HourGH-NOV'!C40</f>
        <v>0.57999999999999996</v>
      </c>
      <c r="CL650" s="263">
        <v>649</v>
      </c>
      <c r="CM650" s="9">
        <v>28</v>
      </c>
      <c r="CN650" s="9">
        <v>1</v>
      </c>
      <c r="CO650" s="167">
        <f>'HourGH-DEC'!C40</f>
        <v>0.42</v>
      </c>
      <c r="CP650" s="263">
        <v>649</v>
      </c>
      <c r="CQ650" s="9">
        <v>28</v>
      </c>
      <c r="CR650" s="9">
        <v>1</v>
      </c>
      <c r="CS650" s="167">
        <f>'HourGH-JAN'!C40</f>
        <v>0.39</v>
      </c>
      <c r="CT650" s="9">
        <v>649</v>
      </c>
      <c r="CU650" s="9">
        <v>28</v>
      </c>
      <c r="CV650" s="9">
        <v>1</v>
      </c>
      <c r="CW650" s="167">
        <f>'HourGH-FEB'!C40</f>
        <v>0.25</v>
      </c>
      <c r="CX650" s="263">
        <v>649</v>
      </c>
      <c r="CY650" s="9">
        <v>28</v>
      </c>
      <c r="CZ650" s="9">
        <v>1</v>
      </c>
      <c r="DA650" s="167">
        <f>'HourGH-MAR'!C40</f>
        <v>0.19</v>
      </c>
    </row>
    <row r="651" spans="58:105">
      <c r="BF651" s="9">
        <v>650</v>
      </c>
      <c r="BG651" s="9">
        <v>28</v>
      </c>
      <c r="BH651" s="9">
        <v>2</v>
      </c>
      <c r="BI651" s="167">
        <f>'HourGH-APR'!D40</f>
        <v>0.56000000000000005</v>
      </c>
      <c r="BJ651" s="263">
        <v>650</v>
      </c>
      <c r="BK651" s="9">
        <v>28</v>
      </c>
      <c r="BL651" s="9">
        <v>2</v>
      </c>
      <c r="BM651" s="167">
        <f>'HourGH-MAY'!D40</f>
        <v>0.18</v>
      </c>
      <c r="BN651" s="9">
        <v>650</v>
      </c>
      <c r="BO651" s="9">
        <v>28</v>
      </c>
      <c r="BP651" s="9">
        <v>2</v>
      </c>
      <c r="BQ651" s="167">
        <f>'HourGH-JUN'!D40</f>
        <v>0.23</v>
      </c>
      <c r="BR651" s="263">
        <v>650</v>
      </c>
      <c r="BS651" s="9">
        <v>28</v>
      </c>
      <c r="BT651" s="9">
        <v>2</v>
      </c>
      <c r="BU651" s="167">
        <f>'HourGH-JUL'!D40</f>
        <v>0.37</v>
      </c>
      <c r="BV651" s="263">
        <v>650</v>
      </c>
      <c r="BW651" s="9">
        <v>28</v>
      </c>
      <c r="BX651" s="9">
        <v>2</v>
      </c>
      <c r="BY651" s="167">
        <f>'HourGH-AUG'!D40</f>
        <v>0.64</v>
      </c>
      <c r="BZ651" s="9">
        <v>650</v>
      </c>
      <c r="CA651" s="9">
        <v>28</v>
      </c>
      <c r="CB651" s="9">
        <v>2</v>
      </c>
      <c r="CC651" s="167">
        <f>'HourGH-SEP'!D40</f>
        <v>1.59</v>
      </c>
      <c r="CD651" s="263">
        <v>650</v>
      </c>
      <c r="CE651" s="9">
        <v>28</v>
      </c>
      <c r="CF651" s="9">
        <v>2</v>
      </c>
      <c r="CG651" s="167">
        <f>'HourGH-OCT'!D40</f>
        <v>1.1499999999999999</v>
      </c>
      <c r="CH651" s="9">
        <v>650</v>
      </c>
      <c r="CI651" s="9">
        <v>28</v>
      </c>
      <c r="CJ651" s="9">
        <v>2</v>
      </c>
      <c r="CK651" s="167">
        <f>'HourGH-NOV'!D40</f>
        <v>0.57999999999999996</v>
      </c>
      <c r="CL651" s="263">
        <v>650</v>
      </c>
      <c r="CM651" s="9">
        <v>28</v>
      </c>
      <c r="CN651" s="9">
        <v>2</v>
      </c>
      <c r="CO651" s="167">
        <f>'HourGH-DEC'!D40</f>
        <v>0.42</v>
      </c>
      <c r="CP651" s="263">
        <v>650</v>
      </c>
      <c r="CQ651" s="9">
        <v>28</v>
      </c>
      <c r="CR651" s="9">
        <v>2</v>
      </c>
      <c r="CS651" s="167">
        <f>'HourGH-JAN'!D40</f>
        <v>0.38</v>
      </c>
      <c r="CT651" s="9">
        <v>650</v>
      </c>
      <c r="CU651" s="9">
        <v>28</v>
      </c>
      <c r="CV651" s="9">
        <v>2</v>
      </c>
      <c r="CW651" s="167">
        <f>'HourGH-FEB'!D40</f>
        <v>0.25</v>
      </c>
      <c r="CX651" s="263">
        <v>650</v>
      </c>
      <c r="CY651" s="9">
        <v>28</v>
      </c>
      <c r="CZ651" s="9">
        <v>2</v>
      </c>
      <c r="DA651" s="167">
        <f>'HourGH-MAR'!D40</f>
        <v>0.19</v>
      </c>
    </row>
    <row r="652" spans="58:105">
      <c r="BF652" s="9">
        <v>651</v>
      </c>
      <c r="BG652" s="9">
        <v>28</v>
      </c>
      <c r="BH652" s="9">
        <v>3</v>
      </c>
      <c r="BI652" s="167">
        <f>'HourGH-APR'!E40</f>
        <v>0.56000000000000005</v>
      </c>
      <c r="BJ652" s="263">
        <v>651</v>
      </c>
      <c r="BK652" s="9">
        <v>28</v>
      </c>
      <c r="BL652" s="9">
        <v>3</v>
      </c>
      <c r="BM652" s="167">
        <f>'HourGH-MAY'!E40</f>
        <v>0.18</v>
      </c>
      <c r="BN652" s="9">
        <v>651</v>
      </c>
      <c r="BO652" s="9">
        <v>28</v>
      </c>
      <c r="BP652" s="9">
        <v>3</v>
      </c>
      <c r="BQ652" s="167">
        <f>'HourGH-JUN'!E40</f>
        <v>0.23</v>
      </c>
      <c r="BR652" s="263">
        <v>651</v>
      </c>
      <c r="BS652" s="9">
        <v>28</v>
      </c>
      <c r="BT652" s="9">
        <v>3</v>
      </c>
      <c r="BU652" s="167">
        <f>'HourGH-JUL'!E40</f>
        <v>0.37</v>
      </c>
      <c r="BV652" s="263">
        <v>651</v>
      </c>
      <c r="BW652" s="9">
        <v>28</v>
      </c>
      <c r="BX652" s="9">
        <v>3</v>
      </c>
      <c r="BY652" s="167">
        <f>'HourGH-AUG'!E40</f>
        <v>0.64</v>
      </c>
      <c r="BZ652" s="9">
        <v>651</v>
      </c>
      <c r="CA652" s="9">
        <v>28</v>
      </c>
      <c r="CB652" s="9">
        <v>3</v>
      </c>
      <c r="CC652" s="167">
        <f>'HourGH-SEP'!E40</f>
        <v>1.55</v>
      </c>
      <c r="CD652" s="263">
        <v>651</v>
      </c>
      <c r="CE652" s="9">
        <v>28</v>
      </c>
      <c r="CF652" s="9">
        <v>3</v>
      </c>
      <c r="CG652" s="167">
        <f>'HourGH-OCT'!E40</f>
        <v>1.1399999999999999</v>
      </c>
      <c r="CH652" s="9">
        <v>651</v>
      </c>
      <c r="CI652" s="9">
        <v>28</v>
      </c>
      <c r="CJ652" s="9">
        <v>3</v>
      </c>
      <c r="CK652" s="167">
        <f>'HourGH-NOV'!E40</f>
        <v>0.57999999999999996</v>
      </c>
      <c r="CL652" s="263">
        <v>651</v>
      </c>
      <c r="CM652" s="9">
        <v>28</v>
      </c>
      <c r="CN652" s="9">
        <v>3</v>
      </c>
      <c r="CO652" s="167">
        <f>'HourGH-DEC'!E40</f>
        <v>0.42</v>
      </c>
      <c r="CP652" s="263">
        <v>651</v>
      </c>
      <c r="CQ652" s="9">
        <v>28</v>
      </c>
      <c r="CR652" s="9">
        <v>3</v>
      </c>
      <c r="CS652" s="167">
        <f>'HourGH-JAN'!E40</f>
        <v>0.37</v>
      </c>
      <c r="CT652" s="9">
        <v>651</v>
      </c>
      <c r="CU652" s="9">
        <v>28</v>
      </c>
      <c r="CV652" s="9">
        <v>3</v>
      </c>
      <c r="CW652" s="167">
        <f>'HourGH-FEB'!E40</f>
        <v>0.25</v>
      </c>
      <c r="CX652" s="263">
        <v>651</v>
      </c>
      <c r="CY652" s="9">
        <v>28</v>
      </c>
      <c r="CZ652" s="9">
        <v>3</v>
      </c>
      <c r="DA652" s="167">
        <f>'HourGH-MAR'!E40</f>
        <v>0.19</v>
      </c>
    </row>
    <row r="653" spans="58:105">
      <c r="BF653" s="9">
        <v>652</v>
      </c>
      <c r="BG653" s="9">
        <v>28</v>
      </c>
      <c r="BH653" s="9">
        <v>4</v>
      </c>
      <c r="BI653" s="167">
        <f>'HourGH-APR'!F40</f>
        <v>0.56000000000000005</v>
      </c>
      <c r="BJ653" s="263">
        <v>652</v>
      </c>
      <c r="BK653" s="9">
        <v>28</v>
      </c>
      <c r="BL653" s="9">
        <v>4</v>
      </c>
      <c r="BM653" s="167">
        <f>'HourGH-MAY'!F40</f>
        <v>0.18</v>
      </c>
      <c r="BN653" s="9">
        <v>652</v>
      </c>
      <c r="BO653" s="9">
        <v>28</v>
      </c>
      <c r="BP653" s="9">
        <v>4</v>
      </c>
      <c r="BQ653" s="167">
        <f>'HourGH-JUN'!F40</f>
        <v>0.23</v>
      </c>
      <c r="BR653" s="263">
        <v>652</v>
      </c>
      <c r="BS653" s="9">
        <v>28</v>
      </c>
      <c r="BT653" s="9">
        <v>4</v>
      </c>
      <c r="BU653" s="167">
        <f>'HourGH-JUL'!F40</f>
        <v>0.37</v>
      </c>
      <c r="BV653" s="263">
        <v>652</v>
      </c>
      <c r="BW653" s="9">
        <v>28</v>
      </c>
      <c r="BX653" s="9">
        <v>4</v>
      </c>
      <c r="BY653" s="167">
        <f>'HourGH-AUG'!F40</f>
        <v>0.64</v>
      </c>
      <c r="BZ653" s="9">
        <v>652</v>
      </c>
      <c r="CA653" s="9">
        <v>28</v>
      </c>
      <c r="CB653" s="9">
        <v>4</v>
      </c>
      <c r="CC653" s="167">
        <f>'HourGH-SEP'!F40</f>
        <v>1.51</v>
      </c>
      <c r="CD653" s="263">
        <v>652</v>
      </c>
      <c r="CE653" s="9">
        <v>28</v>
      </c>
      <c r="CF653" s="9">
        <v>4</v>
      </c>
      <c r="CG653" s="167">
        <f>'HourGH-OCT'!F40</f>
        <v>1.1399999999999999</v>
      </c>
      <c r="CH653" s="9">
        <v>652</v>
      </c>
      <c r="CI653" s="9">
        <v>28</v>
      </c>
      <c r="CJ653" s="9">
        <v>4</v>
      </c>
      <c r="CK653" s="167">
        <f>'HourGH-NOV'!F40</f>
        <v>0.57999999999999996</v>
      </c>
      <c r="CL653" s="263">
        <v>652</v>
      </c>
      <c r="CM653" s="9">
        <v>28</v>
      </c>
      <c r="CN653" s="9">
        <v>4</v>
      </c>
      <c r="CO653" s="167">
        <f>'HourGH-DEC'!F40</f>
        <v>0.42</v>
      </c>
      <c r="CP653" s="263">
        <v>652</v>
      </c>
      <c r="CQ653" s="9">
        <v>28</v>
      </c>
      <c r="CR653" s="9">
        <v>4</v>
      </c>
      <c r="CS653" s="167">
        <f>'HourGH-JAN'!F40</f>
        <v>0.36</v>
      </c>
      <c r="CT653" s="9">
        <v>652</v>
      </c>
      <c r="CU653" s="9">
        <v>28</v>
      </c>
      <c r="CV653" s="9">
        <v>4</v>
      </c>
      <c r="CW653" s="167">
        <f>'HourGH-FEB'!F40</f>
        <v>0.25</v>
      </c>
      <c r="CX653" s="263">
        <v>652</v>
      </c>
      <c r="CY653" s="9">
        <v>28</v>
      </c>
      <c r="CZ653" s="9">
        <v>4</v>
      </c>
      <c r="DA653" s="167">
        <f>'HourGH-MAR'!F40</f>
        <v>0.19</v>
      </c>
    </row>
    <row r="654" spans="58:105">
      <c r="BF654" s="9">
        <v>653</v>
      </c>
      <c r="BG654" s="9">
        <v>28</v>
      </c>
      <c r="BH654" s="9">
        <v>5</v>
      </c>
      <c r="BI654" s="167">
        <f>'HourGH-APR'!G40</f>
        <v>0.56000000000000005</v>
      </c>
      <c r="BJ654" s="263">
        <v>653</v>
      </c>
      <c r="BK654" s="9">
        <v>28</v>
      </c>
      <c r="BL654" s="9">
        <v>5</v>
      </c>
      <c r="BM654" s="167">
        <f>'HourGH-MAY'!G40</f>
        <v>0.18</v>
      </c>
      <c r="BN654" s="9">
        <v>653</v>
      </c>
      <c r="BO654" s="9">
        <v>28</v>
      </c>
      <c r="BP654" s="9">
        <v>5</v>
      </c>
      <c r="BQ654" s="167">
        <f>'HourGH-JUN'!G40</f>
        <v>0.23</v>
      </c>
      <c r="BR654" s="263">
        <v>653</v>
      </c>
      <c r="BS654" s="9">
        <v>28</v>
      </c>
      <c r="BT654" s="9">
        <v>5</v>
      </c>
      <c r="BU654" s="167">
        <f>'HourGH-JUL'!G40</f>
        <v>0.37</v>
      </c>
      <c r="BV654" s="263">
        <v>653</v>
      </c>
      <c r="BW654" s="9">
        <v>28</v>
      </c>
      <c r="BX654" s="9">
        <v>5</v>
      </c>
      <c r="BY654" s="167">
        <f>'HourGH-AUG'!G40</f>
        <v>0.64</v>
      </c>
      <c r="BZ654" s="9">
        <v>653</v>
      </c>
      <c r="CA654" s="9">
        <v>28</v>
      </c>
      <c r="CB654" s="9">
        <v>5</v>
      </c>
      <c r="CC654" s="167">
        <f>'HourGH-SEP'!G40</f>
        <v>1.49</v>
      </c>
      <c r="CD654" s="263">
        <v>653</v>
      </c>
      <c r="CE654" s="9">
        <v>28</v>
      </c>
      <c r="CF654" s="9">
        <v>5</v>
      </c>
      <c r="CG654" s="167">
        <f>'HourGH-OCT'!G40</f>
        <v>1.1399999999999999</v>
      </c>
      <c r="CH654" s="9">
        <v>653</v>
      </c>
      <c r="CI654" s="9">
        <v>28</v>
      </c>
      <c r="CJ654" s="9">
        <v>5</v>
      </c>
      <c r="CK654" s="167">
        <f>'HourGH-NOV'!G40</f>
        <v>0.57999999999999996</v>
      </c>
      <c r="CL654" s="263">
        <v>653</v>
      </c>
      <c r="CM654" s="9">
        <v>28</v>
      </c>
      <c r="CN654" s="9">
        <v>5</v>
      </c>
      <c r="CO654" s="167">
        <f>'HourGH-DEC'!G40</f>
        <v>0.42</v>
      </c>
      <c r="CP654" s="263">
        <v>653</v>
      </c>
      <c r="CQ654" s="9">
        <v>28</v>
      </c>
      <c r="CR654" s="9">
        <v>5</v>
      </c>
      <c r="CS654" s="167">
        <f>'HourGH-JAN'!G40</f>
        <v>0.35</v>
      </c>
      <c r="CT654" s="9">
        <v>653</v>
      </c>
      <c r="CU654" s="9">
        <v>28</v>
      </c>
      <c r="CV654" s="9">
        <v>5</v>
      </c>
      <c r="CW654" s="167">
        <f>'HourGH-FEB'!G40</f>
        <v>0.25</v>
      </c>
      <c r="CX654" s="263">
        <v>653</v>
      </c>
      <c r="CY654" s="9">
        <v>28</v>
      </c>
      <c r="CZ654" s="9">
        <v>5</v>
      </c>
      <c r="DA654" s="167">
        <f>'HourGH-MAR'!G40</f>
        <v>0.19</v>
      </c>
    </row>
    <row r="655" spans="58:105">
      <c r="BF655" s="9">
        <v>654</v>
      </c>
      <c r="BG655" s="9">
        <v>28</v>
      </c>
      <c r="BH655" s="9">
        <v>6</v>
      </c>
      <c r="BI655" s="167">
        <f>'HourGH-APR'!H40</f>
        <v>0.56000000000000005</v>
      </c>
      <c r="BJ655" s="263">
        <v>654</v>
      </c>
      <c r="BK655" s="9">
        <v>28</v>
      </c>
      <c r="BL655" s="9">
        <v>6</v>
      </c>
      <c r="BM655" s="167">
        <f>'HourGH-MAY'!H40</f>
        <v>0.18</v>
      </c>
      <c r="BN655" s="9">
        <v>654</v>
      </c>
      <c r="BO655" s="9">
        <v>28</v>
      </c>
      <c r="BP655" s="9">
        <v>6</v>
      </c>
      <c r="BQ655" s="167">
        <f>'HourGH-JUN'!H40</f>
        <v>0.23</v>
      </c>
      <c r="BR655" s="263">
        <v>654</v>
      </c>
      <c r="BS655" s="9">
        <v>28</v>
      </c>
      <c r="BT655" s="9">
        <v>6</v>
      </c>
      <c r="BU655" s="167">
        <f>'HourGH-JUL'!H40</f>
        <v>0.38</v>
      </c>
      <c r="BV655" s="263">
        <v>654</v>
      </c>
      <c r="BW655" s="9">
        <v>28</v>
      </c>
      <c r="BX655" s="9">
        <v>6</v>
      </c>
      <c r="BY655" s="167">
        <f>'HourGH-AUG'!H40</f>
        <v>0.64</v>
      </c>
      <c r="BZ655" s="9">
        <v>654</v>
      </c>
      <c r="CA655" s="9">
        <v>28</v>
      </c>
      <c r="CB655" s="9">
        <v>6</v>
      </c>
      <c r="CC655" s="167">
        <f>'HourGH-SEP'!H40</f>
        <v>1.47</v>
      </c>
      <c r="CD655" s="263">
        <v>654</v>
      </c>
      <c r="CE655" s="9">
        <v>28</v>
      </c>
      <c r="CF655" s="9">
        <v>6</v>
      </c>
      <c r="CG655" s="167">
        <f>'HourGH-OCT'!H40</f>
        <v>1.1399999999999999</v>
      </c>
      <c r="CH655" s="9">
        <v>654</v>
      </c>
      <c r="CI655" s="9">
        <v>28</v>
      </c>
      <c r="CJ655" s="9">
        <v>6</v>
      </c>
      <c r="CK655" s="167">
        <f>'HourGH-NOV'!H40</f>
        <v>0.57999999999999996</v>
      </c>
      <c r="CL655" s="263">
        <v>654</v>
      </c>
      <c r="CM655" s="9">
        <v>28</v>
      </c>
      <c r="CN655" s="9">
        <v>6</v>
      </c>
      <c r="CO655" s="167">
        <f>'HourGH-DEC'!H40</f>
        <v>0.42</v>
      </c>
      <c r="CP655" s="263">
        <v>654</v>
      </c>
      <c r="CQ655" s="9">
        <v>28</v>
      </c>
      <c r="CR655" s="9">
        <v>6</v>
      </c>
      <c r="CS655" s="167">
        <f>'HourGH-JAN'!H40</f>
        <v>0.34</v>
      </c>
      <c r="CT655" s="9">
        <v>654</v>
      </c>
      <c r="CU655" s="9">
        <v>28</v>
      </c>
      <c r="CV655" s="9">
        <v>6</v>
      </c>
      <c r="CW655" s="167">
        <f>'HourGH-FEB'!H40</f>
        <v>0.25</v>
      </c>
      <c r="CX655" s="263">
        <v>654</v>
      </c>
      <c r="CY655" s="9">
        <v>28</v>
      </c>
      <c r="CZ655" s="9">
        <v>6</v>
      </c>
      <c r="DA655" s="167">
        <f>'HourGH-MAR'!H40</f>
        <v>0.19</v>
      </c>
    </row>
    <row r="656" spans="58:105">
      <c r="BF656" s="9">
        <v>655</v>
      </c>
      <c r="BG656" s="9">
        <v>28</v>
      </c>
      <c r="BH656" s="9">
        <v>7</v>
      </c>
      <c r="BI656" s="167">
        <f>'HourGH-APR'!I40</f>
        <v>0.56000000000000005</v>
      </c>
      <c r="BJ656" s="263">
        <v>655</v>
      </c>
      <c r="BK656" s="9">
        <v>28</v>
      </c>
      <c r="BL656" s="9">
        <v>7</v>
      </c>
      <c r="BM656" s="167">
        <f>'HourGH-MAY'!I40</f>
        <v>0.18</v>
      </c>
      <c r="BN656" s="9">
        <v>655</v>
      </c>
      <c r="BO656" s="9">
        <v>28</v>
      </c>
      <c r="BP656" s="9">
        <v>7</v>
      </c>
      <c r="BQ656" s="167">
        <f>'HourGH-JUN'!I40</f>
        <v>0.23</v>
      </c>
      <c r="BR656" s="263">
        <v>655</v>
      </c>
      <c r="BS656" s="9">
        <v>28</v>
      </c>
      <c r="BT656" s="9">
        <v>7</v>
      </c>
      <c r="BU656" s="167">
        <f>'HourGH-JUL'!I40</f>
        <v>0.38</v>
      </c>
      <c r="BV656" s="263">
        <v>655</v>
      </c>
      <c r="BW656" s="9">
        <v>28</v>
      </c>
      <c r="BX656" s="9">
        <v>7</v>
      </c>
      <c r="BY656" s="167">
        <f>'HourGH-AUG'!I40</f>
        <v>0.63</v>
      </c>
      <c r="BZ656" s="9">
        <v>655</v>
      </c>
      <c r="CA656" s="9">
        <v>28</v>
      </c>
      <c r="CB656" s="9">
        <v>7</v>
      </c>
      <c r="CC656" s="167">
        <f>'HourGH-SEP'!I40</f>
        <v>1.46</v>
      </c>
      <c r="CD656" s="263">
        <v>655</v>
      </c>
      <c r="CE656" s="9">
        <v>28</v>
      </c>
      <c r="CF656" s="9">
        <v>7</v>
      </c>
      <c r="CG656" s="167">
        <f>'HourGH-OCT'!I40</f>
        <v>1.1399999999999999</v>
      </c>
      <c r="CH656" s="9">
        <v>655</v>
      </c>
      <c r="CI656" s="9">
        <v>28</v>
      </c>
      <c r="CJ656" s="9">
        <v>7</v>
      </c>
      <c r="CK656" s="167">
        <f>'HourGH-NOV'!I40</f>
        <v>0.57999999999999996</v>
      </c>
      <c r="CL656" s="263">
        <v>655</v>
      </c>
      <c r="CM656" s="9">
        <v>28</v>
      </c>
      <c r="CN656" s="9">
        <v>7</v>
      </c>
      <c r="CO656" s="167">
        <f>'HourGH-DEC'!I40</f>
        <v>0.42</v>
      </c>
      <c r="CP656" s="263">
        <v>655</v>
      </c>
      <c r="CQ656" s="9">
        <v>28</v>
      </c>
      <c r="CR656" s="9">
        <v>7</v>
      </c>
      <c r="CS656" s="167">
        <f>'HourGH-JAN'!I40</f>
        <v>0.34</v>
      </c>
      <c r="CT656" s="9">
        <v>655</v>
      </c>
      <c r="CU656" s="9">
        <v>28</v>
      </c>
      <c r="CV656" s="9">
        <v>7</v>
      </c>
      <c r="CW656" s="167">
        <f>'HourGH-FEB'!I40</f>
        <v>0.26</v>
      </c>
      <c r="CX656" s="263">
        <v>655</v>
      </c>
      <c r="CY656" s="9">
        <v>28</v>
      </c>
      <c r="CZ656" s="9">
        <v>7</v>
      </c>
      <c r="DA656" s="167">
        <f>'HourGH-MAR'!I40</f>
        <v>0.2</v>
      </c>
    </row>
    <row r="657" spans="58:105">
      <c r="BF657" s="9">
        <v>656</v>
      </c>
      <c r="BG657" s="9">
        <v>28</v>
      </c>
      <c r="BH657" s="9">
        <v>8</v>
      </c>
      <c r="BI657" s="167">
        <f>'HourGH-APR'!J40</f>
        <v>0.56000000000000005</v>
      </c>
      <c r="BJ657" s="263">
        <v>656</v>
      </c>
      <c r="BK657" s="9">
        <v>28</v>
      </c>
      <c r="BL657" s="9">
        <v>8</v>
      </c>
      <c r="BM657" s="167">
        <f>'HourGH-MAY'!J40</f>
        <v>0.18</v>
      </c>
      <c r="BN657" s="9">
        <v>656</v>
      </c>
      <c r="BO657" s="9">
        <v>28</v>
      </c>
      <c r="BP657" s="9">
        <v>8</v>
      </c>
      <c r="BQ657" s="167">
        <f>'HourGH-JUN'!J40</f>
        <v>0.23</v>
      </c>
      <c r="BR657" s="263">
        <v>656</v>
      </c>
      <c r="BS657" s="9">
        <v>28</v>
      </c>
      <c r="BT657" s="9">
        <v>8</v>
      </c>
      <c r="BU657" s="167">
        <f>'HourGH-JUL'!J40</f>
        <v>0.38</v>
      </c>
      <c r="BV657" s="263">
        <v>656</v>
      </c>
      <c r="BW657" s="9">
        <v>28</v>
      </c>
      <c r="BX657" s="9">
        <v>8</v>
      </c>
      <c r="BY657" s="167">
        <f>'HourGH-AUG'!J40</f>
        <v>0.63</v>
      </c>
      <c r="BZ657" s="9">
        <v>656</v>
      </c>
      <c r="CA657" s="9">
        <v>28</v>
      </c>
      <c r="CB657" s="9">
        <v>8</v>
      </c>
      <c r="CC657" s="167">
        <f>'HourGH-SEP'!J40</f>
        <v>1.44</v>
      </c>
      <c r="CD657" s="263">
        <v>656</v>
      </c>
      <c r="CE657" s="9">
        <v>28</v>
      </c>
      <c r="CF657" s="9">
        <v>8</v>
      </c>
      <c r="CG657" s="167">
        <f>'HourGH-OCT'!J40</f>
        <v>1.1399999999999999</v>
      </c>
      <c r="CH657" s="9">
        <v>656</v>
      </c>
      <c r="CI657" s="9">
        <v>28</v>
      </c>
      <c r="CJ657" s="9">
        <v>8</v>
      </c>
      <c r="CK657" s="167">
        <f>'HourGH-NOV'!J40</f>
        <v>0.57999999999999996</v>
      </c>
      <c r="CL657" s="263">
        <v>656</v>
      </c>
      <c r="CM657" s="9">
        <v>28</v>
      </c>
      <c r="CN657" s="9">
        <v>8</v>
      </c>
      <c r="CO657" s="167">
        <f>'HourGH-DEC'!J40</f>
        <v>0.42</v>
      </c>
      <c r="CP657" s="263">
        <v>656</v>
      </c>
      <c r="CQ657" s="9">
        <v>28</v>
      </c>
      <c r="CR657" s="9">
        <v>8</v>
      </c>
      <c r="CS657" s="167">
        <f>'HourGH-JAN'!J40</f>
        <v>0.34</v>
      </c>
      <c r="CT657" s="9">
        <v>656</v>
      </c>
      <c r="CU657" s="9">
        <v>28</v>
      </c>
      <c r="CV657" s="9">
        <v>8</v>
      </c>
      <c r="CW657" s="167">
        <f>'HourGH-FEB'!J40</f>
        <v>0.27</v>
      </c>
      <c r="CX657" s="263">
        <v>656</v>
      </c>
      <c r="CY657" s="9">
        <v>28</v>
      </c>
      <c r="CZ657" s="9">
        <v>8</v>
      </c>
      <c r="DA657" s="167">
        <f>'HourGH-MAR'!J40</f>
        <v>0.21</v>
      </c>
    </row>
    <row r="658" spans="58:105">
      <c r="BF658" s="9">
        <v>657</v>
      </c>
      <c r="BG658" s="9">
        <v>28</v>
      </c>
      <c r="BH658" s="9">
        <v>9</v>
      </c>
      <c r="BI658" s="167">
        <f>'HourGH-APR'!K40</f>
        <v>0.56000000000000005</v>
      </c>
      <c r="BJ658" s="263">
        <v>657</v>
      </c>
      <c r="BK658" s="9">
        <v>28</v>
      </c>
      <c r="BL658" s="9">
        <v>9</v>
      </c>
      <c r="BM658" s="167">
        <f>'HourGH-MAY'!K40</f>
        <v>0.18</v>
      </c>
      <c r="BN658" s="9">
        <v>657</v>
      </c>
      <c r="BO658" s="9">
        <v>28</v>
      </c>
      <c r="BP658" s="9">
        <v>9</v>
      </c>
      <c r="BQ658" s="167">
        <f>'HourGH-JUN'!K40</f>
        <v>0.23</v>
      </c>
      <c r="BR658" s="263">
        <v>657</v>
      </c>
      <c r="BS658" s="9">
        <v>28</v>
      </c>
      <c r="BT658" s="9">
        <v>9</v>
      </c>
      <c r="BU658" s="167">
        <f>'HourGH-JUL'!K40</f>
        <v>0.38</v>
      </c>
      <c r="BV658" s="263">
        <v>657</v>
      </c>
      <c r="BW658" s="9">
        <v>28</v>
      </c>
      <c r="BX658" s="9">
        <v>9</v>
      </c>
      <c r="BY658" s="167">
        <f>'HourGH-AUG'!K40</f>
        <v>0.63</v>
      </c>
      <c r="BZ658" s="9">
        <v>657</v>
      </c>
      <c r="CA658" s="9">
        <v>28</v>
      </c>
      <c r="CB658" s="9">
        <v>9</v>
      </c>
      <c r="CC658" s="167">
        <f>'HourGH-SEP'!K40</f>
        <v>1.43</v>
      </c>
      <c r="CD658" s="263">
        <v>657</v>
      </c>
      <c r="CE658" s="9">
        <v>28</v>
      </c>
      <c r="CF658" s="9">
        <v>9</v>
      </c>
      <c r="CG658" s="167">
        <f>'HourGH-OCT'!K40</f>
        <v>1.1399999999999999</v>
      </c>
      <c r="CH658" s="9">
        <v>657</v>
      </c>
      <c r="CI658" s="9">
        <v>28</v>
      </c>
      <c r="CJ658" s="9">
        <v>9</v>
      </c>
      <c r="CK658" s="167">
        <f>'HourGH-NOV'!K40</f>
        <v>0.57999999999999996</v>
      </c>
      <c r="CL658" s="263">
        <v>657</v>
      </c>
      <c r="CM658" s="9">
        <v>28</v>
      </c>
      <c r="CN658" s="9">
        <v>9</v>
      </c>
      <c r="CO658" s="167">
        <f>'HourGH-DEC'!K40</f>
        <v>0.42</v>
      </c>
      <c r="CP658" s="263">
        <v>657</v>
      </c>
      <c r="CQ658" s="9">
        <v>28</v>
      </c>
      <c r="CR658" s="9">
        <v>9</v>
      </c>
      <c r="CS658" s="167">
        <f>'HourGH-JAN'!K40</f>
        <v>0.34</v>
      </c>
      <c r="CT658" s="9">
        <v>657</v>
      </c>
      <c r="CU658" s="9">
        <v>28</v>
      </c>
      <c r="CV658" s="9">
        <v>9</v>
      </c>
      <c r="CW658" s="167">
        <f>'HourGH-FEB'!K40</f>
        <v>0.27</v>
      </c>
      <c r="CX658" s="263">
        <v>657</v>
      </c>
      <c r="CY658" s="9">
        <v>28</v>
      </c>
      <c r="CZ658" s="9">
        <v>9</v>
      </c>
      <c r="DA658" s="167">
        <f>'HourGH-MAR'!K40</f>
        <v>0.22</v>
      </c>
    </row>
    <row r="659" spans="58:105">
      <c r="BF659" s="9">
        <v>658</v>
      </c>
      <c r="BG659" s="9">
        <v>28</v>
      </c>
      <c r="BH659" s="9">
        <v>10</v>
      </c>
      <c r="BI659" s="167">
        <f>'HourGH-APR'!L40</f>
        <v>0.56000000000000005</v>
      </c>
      <c r="BJ659" s="263">
        <v>658</v>
      </c>
      <c r="BK659" s="9">
        <v>28</v>
      </c>
      <c r="BL659" s="9">
        <v>10</v>
      </c>
      <c r="BM659" s="167">
        <f>'HourGH-MAY'!L40</f>
        <v>0.18</v>
      </c>
      <c r="BN659" s="9">
        <v>658</v>
      </c>
      <c r="BO659" s="9">
        <v>28</v>
      </c>
      <c r="BP659" s="9">
        <v>10</v>
      </c>
      <c r="BQ659" s="167">
        <f>'HourGH-JUN'!L40</f>
        <v>0.23</v>
      </c>
      <c r="BR659" s="263">
        <v>658</v>
      </c>
      <c r="BS659" s="9">
        <v>28</v>
      </c>
      <c r="BT659" s="9">
        <v>10</v>
      </c>
      <c r="BU659" s="167">
        <f>'HourGH-JUL'!L40</f>
        <v>0.38</v>
      </c>
      <c r="BV659" s="263">
        <v>658</v>
      </c>
      <c r="BW659" s="9">
        <v>28</v>
      </c>
      <c r="BX659" s="9">
        <v>10</v>
      </c>
      <c r="BY659" s="167">
        <f>'HourGH-AUG'!L40</f>
        <v>0.63</v>
      </c>
      <c r="BZ659" s="9">
        <v>658</v>
      </c>
      <c r="CA659" s="9">
        <v>28</v>
      </c>
      <c r="CB659" s="9">
        <v>10</v>
      </c>
      <c r="CC659" s="167">
        <f>'HourGH-SEP'!L40</f>
        <v>1.42</v>
      </c>
      <c r="CD659" s="263">
        <v>658</v>
      </c>
      <c r="CE659" s="9">
        <v>28</v>
      </c>
      <c r="CF659" s="9">
        <v>10</v>
      </c>
      <c r="CG659" s="167">
        <f>'HourGH-OCT'!L40</f>
        <v>1.1399999999999999</v>
      </c>
      <c r="CH659" s="9">
        <v>658</v>
      </c>
      <c r="CI659" s="9">
        <v>28</v>
      </c>
      <c r="CJ659" s="9">
        <v>10</v>
      </c>
      <c r="CK659" s="167">
        <f>'HourGH-NOV'!L40</f>
        <v>0.57999999999999996</v>
      </c>
      <c r="CL659" s="263">
        <v>658</v>
      </c>
      <c r="CM659" s="9">
        <v>28</v>
      </c>
      <c r="CN659" s="9">
        <v>10</v>
      </c>
      <c r="CO659" s="167">
        <f>'HourGH-DEC'!L40</f>
        <v>0.42</v>
      </c>
      <c r="CP659" s="263">
        <v>658</v>
      </c>
      <c r="CQ659" s="9">
        <v>28</v>
      </c>
      <c r="CR659" s="9">
        <v>10</v>
      </c>
      <c r="CS659" s="167">
        <f>'HourGH-JAN'!L40</f>
        <v>0.34</v>
      </c>
      <c r="CT659" s="9">
        <v>658</v>
      </c>
      <c r="CU659" s="9">
        <v>28</v>
      </c>
      <c r="CV659" s="9">
        <v>10</v>
      </c>
      <c r="CW659" s="167">
        <f>'HourGH-FEB'!L40</f>
        <v>0.28000000000000003</v>
      </c>
      <c r="CX659" s="263">
        <v>658</v>
      </c>
      <c r="CY659" s="9">
        <v>28</v>
      </c>
      <c r="CZ659" s="9">
        <v>10</v>
      </c>
      <c r="DA659" s="167">
        <f>'HourGH-MAR'!L40</f>
        <v>0.24</v>
      </c>
    </row>
    <row r="660" spans="58:105">
      <c r="BF660" s="9">
        <v>659</v>
      </c>
      <c r="BG660" s="9">
        <v>28</v>
      </c>
      <c r="BH660" s="9">
        <v>11</v>
      </c>
      <c r="BI660" s="167">
        <f>'HourGH-APR'!M40</f>
        <v>0.56000000000000005</v>
      </c>
      <c r="BJ660" s="263">
        <v>659</v>
      </c>
      <c r="BK660" s="9">
        <v>28</v>
      </c>
      <c r="BL660" s="9">
        <v>11</v>
      </c>
      <c r="BM660" s="167">
        <f>'HourGH-MAY'!M40</f>
        <v>0.18</v>
      </c>
      <c r="BN660" s="9">
        <v>659</v>
      </c>
      <c r="BO660" s="9">
        <v>28</v>
      </c>
      <c r="BP660" s="9">
        <v>11</v>
      </c>
      <c r="BQ660" s="167">
        <f>'HourGH-JUN'!M40</f>
        <v>0.23</v>
      </c>
      <c r="BR660" s="263">
        <v>659</v>
      </c>
      <c r="BS660" s="9">
        <v>28</v>
      </c>
      <c r="BT660" s="9">
        <v>11</v>
      </c>
      <c r="BU660" s="167">
        <f>'HourGH-JUL'!M40</f>
        <v>0.38</v>
      </c>
      <c r="BV660" s="263">
        <v>659</v>
      </c>
      <c r="BW660" s="9">
        <v>28</v>
      </c>
      <c r="BX660" s="9">
        <v>11</v>
      </c>
      <c r="BY660" s="167">
        <f>'HourGH-AUG'!M40</f>
        <v>0.63</v>
      </c>
      <c r="BZ660" s="9">
        <v>659</v>
      </c>
      <c r="CA660" s="9">
        <v>28</v>
      </c>
      <c r="CB660" s="9">
        <v>11</v>
      </c>
      <c r="CC660" s="167">
        <f>'HourGH-SEP'!M40</f>
        <v>1.41</v>
      </c>
      <c r="CD660" s="263">
        <v>659</v>
      </c>
      <c r="CE660" s="9">
        <v>28</v>
      </c>
      <c r="CF660" s="9">
        <v>11</v>
      </c>
      <c r="CG660" s="167">
        <f>'HourGH-OCT'!M40</f>
        <v>1.1399999999999999</v>
      </c>
      <c r="CH660" s="9">
        <v>659</v>
      </c>
      <c r="CI660" s="9">
        <v>28</v>
      </c>
      <c r="CJ660" s="9">
        <v>11</v>
      </c>
      <c r="CK660" s="167">
        <f>'HourGH-NOV'!M40</f>
        <v>0.57999999999999996</v>
      </c>
      <c r="CL660" s="263">
        <v>659</v>
      </c>
      <c r="CM660" s="9">
        <v>28</v>
      </c>
      <c r="CN660" s="9">
        <v>11</v>
      </c>
      <c r="CO660" s="167">
        <f>'HourGH-DEC'!M40</f>
        <v>0.42</v>
      </c>
      <c r="CP660" s="263">
        <v>659</v>
      </c>
      <c r="CQ660" s="9">
        <v>28</v>
      </c>
      <c r="CR660" s="9">
        <v>11</v>
      </c>
      <c r="CS660" s="167">
        <f>'HourGH-JAN'!M40</f>
        <v>0.34</v>
      </c>
      <c r="CT660" s="9">
        <v>659</v>
      </c>
      <c r="CU660" s="9">
        <v>28</v>
      </c>
      <c r="CV660" s="9">
        <v>11</v>
      </c>
      <c r="CW660" s="167">
        <f>'HourGH-FEB'!M40</f>
        <v>0.28999999999999998</v>
      </c>
      <c r="CX660" s="263">
        <v>659</v>
      </c>
      <c r="CY660" s="9">
        <v>28</v>
      </c>
      <c r="CZ660" s="9">
        <v>11</v>
      </c>
      <c r="DA660" s="167">
        <f>'HourGH-MAR'!M40</f>
        <v>0.26</v>
      </c>
    </row>
    <row r="661" spans="58:105">
      <c r="BF661" s="9">
        <v>660</v>
      </c>
      <c r="BG661" s="9">
        <v>28</v>
      </c>
      <c r="BH661" s="9">
        <v>12</v>
      </c>
      <c r="BI661" s="167">
        <f>'HourGH-APR'!N40</f>
        <v>0.56000000000000005</v>
      </c>
      <c r="BJ661" s="263">
        <v>660</v>
      </c>
      <c r="BK661" s="9">
        <v>28</v>
      </c>
      <c r="BL661" s="9">
        <v>12</v>
      </c>
      <c r="BM661" s="167">
        <f>'HourGH-MAY'!N40</f>
        <v>0.18</v>
      </c>
      <c r="BN661" s="9">
        <v>660</v>
      </c>
      <c r="BO661" s="9">
        <v>28</v>
      </c>
      <c r="BP661" s="9">
        <v>12</v>
      </c>
      <c r="BQ661" s="167">
        <f>'HourGH-JUN'!N40</f>
        <v>0.23</v>
      </c>
      <c r="BR661" s="263">
        <v>660</v>
      </c>
      <c r="BS661" s="9">
        <v>28</v>
      </c>
      <c r="BT661" s="9">
        <v>12</v>
      </c>
      <c r="BU661" s="167">
        <f>'HourGH-JUL'!N40</f>
        <v>0.38</v>
      </c>
      <c r="BV661" s="263">
        <v>660</v>
      </c>
      <c r="BW661" s="9">
        <v>28</v>
      </c>
      <c r="BX661" s="9">
        <v>12</v>
      </c>
      <c r="BY661" s="167">
        <f>'HourGH-AUG'!N40</f>
        <v>0.63</v>
      </c>
      <c r="BZ661" s="9">
        <v>660</v>
      </c>
      <c r="CA661" s="9">
        <v>28</v>
      </c>
      <c r="CB661" s="9">
        <v>12</v>
      </c>
      <c r="CC661" s="167">
        <f>'HourGH-SEP'!N40</f>
        <v>1.41</v>
      </c>
      <c r="CD661" s="263">
        <v>660</v>
      </c>
      <c r="CE661" s="9">
        <v>28</v>
      </c>
      <c r="CF661" s="9">
        <v>12</v>
      </c>
      <c r="CG661" s="167">
        <f>'HourGH-OCT'!N40</f>
        <v>1.1399999999999999</v>
      </c>
      <c r="CH661" s="9">
        <v>660</v>
      </c>
      <c r="CI661" s="9">
        <v>28</v>
      </c>
      <c r="CJ661" s="9">
        <v>12</v>
      </c>
      <c r="CK661" s="167">
        <f>'HourGH-NOV'!N40</f>
        <v>0.57999999999999996</v>
      </c>
      <c r="CL661" s="263">
        <v>660</v>
      </c>
      <c r="CM661" s="9">
        <v>28</v>
      </c>
      <c r="CN661" s="9">
        <v>12</v>
      </c>
      <c r="CO661" s="167">
        <f>'HourGH-DEC'!N40</f>
        <v>0.42</v>
      </c>
      <c r="CP661" s="263">
        <v>660</v>
      </c>
      <c r="CQ661" s="9">
        <v>28</v>
      </c>
      <c r="CR661" s="9">
        <v>12</v>
      </c>
      <c r="CS661" s="167">
        <f>'HourGH-JAN'!N40</f>
        <v>0.34</v>
      </c>
      <c r="CT661" s="9">
        <v>660</v>
      </c>
      <c r="CU661" s="9">
        <v>28</v>
      </c>
      <c r="CV661" s="9">
        <v>12</v>
      </c>
      <c r="CW661" s="167">
        <f>'HourGH-FEB'!N40</f>
        <v>0.3</v>
      </c>
      <c r="CX661" s="263">
        <v>660</v>
      </c>
      <c r="CY661" s="9">
        <v>28</v>
      </c>
      <c r="CZ661" s="9">
        <v>12</v>
      </c>
      <c r="DA661" s="167">
        <f>'HourGH-MAR'!N40</f>
        <v>0.28999999999999998</v>
      </c>
    </row>
    <row r="662" spans="58:105">
      <c r="BF662" s="9">
        <v>661</v>
      </c>
      <c r="BG662" s="9">
        <v>28</v>
      </c>
      <c r="BH662" s="9">
        <v>13</v>
      </c>
      <c r="BI662" s="167">
        <f>'HourGH-APR'!O40</f>
        <v>0.56000000000000005</v>
      </c>
      <c r="BJ662" s="263">
        <v>661</v>
      </c>
      <c r="BK662" s="9">
        <v>28</v>
      </c>
      <c r="BL662" s="9">
        <v>13</v>
      </c>
      <c r="BM662" s="167">
        <f>'HourGH-MAY'!O40</f>
        <v>0.18</v>
      </c>
      <c r="BN662" s="9">
        <v>661</v>
      </c>
      <c r="BO662" s="9">
        <v>28</v>
      </c>
      <c r="BP662" s="9">
        <v>13</v>
      </c>
      <c r="BQ662" s="167">
        <f>'HourGH-JUN'!O40</f>
        <v>0.23</v>
      </c>
      <c r="BR662" s="263">
        <v>661</v>
      </c>
      <c r="BS662" s="9">
        <v>28</v>
      </c>
      <c r="BT662" s="9">
        <v>13</v>
      </c>
      <c r="BU662" s="167">
        <f>'HourGH-JUL'!O40</f>
        <v>0.39</v>
      </c>
      <c r="BV662" s="263">
        <v>661</v>
      </c>
      <c r="BW662" s="9">
        <v>28</v>
      </c>
      <c r="BX662" s="9">
        <v>13</v>
      </c>
      <c r="BY662" s="167">
        <f>'HourGH-AUG'!O40</f>
        <v>0.62</v>
      </c>
      <c r="BZ662" s="9">
        <v>661</v>
      </c>
      <c r="CA662" s="9">
        <v>28</v>
      </c>
      <c r="CB662" s="9">
        <v>13</v>
      </c>
      <c r="CC662" s="167">
        <f>'HourGH-SEP'!O40</f>
        <v>1.41</v>
      </c>
      <c r="CD662" s="263">
        <v>661</v>
      </c>
      <c r="CE662" s="9">
        <v>28</v>
      </c>
      <c r="CF662" s="9">
        <v>13</v>
      </c>
      <c r="CG662" s="167">
        <f>'HourGH-OCT'!O40</f>
        <v>1.1399999999999999</v>
      </c>
      <c r="CH662" s="9">
        <v>661</v>
      </c>
      <c r="CI662" s="9">
        <v>28</v>
      </c>
      <c r="CJ662" s="9">
        <v>13</v>
      </c>
      <c r="CK662" s="167">
        <f>'HourGH-NOV'!O40</f>
        <v>0.57999999999999996</v>
      </c>
      <c r="CL662" s="263">
        <v>661</v>
      </c>
      <c r="CM662" s="9">
        <v>28</v>
      </c>
      <c r="CN662" s="9">
        <v>13</v>
      </c>
      <c r="CO662" s="167">
        <f>'HourGH-DEC'!O40</f>
        <v>0.43</v>
      </c>
      <c r="CP662" s="263">
        <v>661</v>
      </c>
      <c r="CQ662" s="9">
        <v>28</v>
      </c>
      <c r="CR662" s="9">
        <v>13</v>
      </c>
      <c r="CS662" s="167">
        <f>'HourGH-JAN'!O40</f>
        <v>0.33</v>
      </c>
      <c r="CT662" s="9">
        <v>661</v>
      </c>
      <c r="CU662" s="9">
        <v>28</v>
      </c>
      <c r="CV662" s="9">
        <v>13</v>
      </c>
      <c r="CW662" s="167">
        <f>'HourGH-FEB'!O40</f>
        <v>0.32</v>
      </c>
      <c r="CX662" s="263">
        <v>661</v>
      </c>
      <c r="CY662" s="9">
        <v>28</v>
      </c>
      <c r="CZ662" s="9">
        <v>13</v>
      </c>
      <c r="DA662" s="167">
        <f>'HourGH-MAR'!O40</f>
        <v>0.32</v>
      </c>
    </row>
    <row r="663" spans="58:105">
      <c r="BF663" s="9">
        <v>662</v>
      </c>
      <c r="BG663" s="9">
        <v>28</v>
      </c>
      <c r="BH663" s="9">
        <v>14</v>
      </c>
      <c r="BI663" s="167">
        <f>'HourGH-APR'!P40</f>
        <v>0.56000000000000005</v>
      </c>
      <c r="BJ663" s="263">
        <v>662</v>
      </c>
      <c r="BK663" s="9">
        <v>28</v>
      </c>
      <c r="BL663" s="9">
        <v>14</v>
      </c>
      <c r="BM663" s="167">
        <f>'HourGH-MAY'!P40</f>
        <v>0.18</v>
      </c>
      <c r="BN663" s="9">
        <v>662</v>
      </c>
      <c r="BO663" s="9">
        <v>28</v>
      </c>
      <c r="BP663" s="9">
        <v>14</v>
      </c>
      <c r="BQ663" s="167">
        <f>'HourGH-JUN'!P40</f>
        <v>0.23</v>
      </c>
      <c r="BR663" s="263">
        <v>662</v>
      </c>
      <c r="BS663" s="9">
        <v>28</v>
      </c>
      <c r="BT663" s="9">
        <v>14</v>
      </c>
      <c r="BU663" s="167">
        <f>'HourGH-JUL'!P40</f>
        <v>0.39</v>
      </c>
      <c r="BV663" s="263">
        <v>662</v>
      </c>
      <c r="BW663" s="9">
        <v>28</v>
      </c>
      <c r="BX663" s="9">
        <v>14</v>
      </c>
      <c r="BY663" s="167">
        <f>'HourGH-AUG'!P40</f>
        <v>0.62</v>
      </c>
      <c r="BZ663" s="9">
        <v>662</v>
      </c>
      <c r="CA663" s="9">
        <v>28</v>
      </c>
      <c r="CB663" s="9">
        <v>14</v>
      </c>
      <c r="CC663" s="167">
        <f>'HourGH-SEP'!P40</f>
        <v>1.42</v>
      </c>
      <c r="CD663" s="263">
        <v>662</v>
      </c>
      <c r="CE663" s="9">
        <v>28</v>
      </c>
      <c r="CF663" s="9">
        <v>14</v>
      </c>
      <c r="CG663" s="167">
        <f>'HourGH-OCT'!P40</f>
        <v>1.1399999999999999</v>
      </c>
      <c r="CH663" s="9">
        <v>662</v>
      </c>
      <c r="CI663" s="9">
        <v>28</v>
      </c>
      <c r="CJ663" s="9">
        <v>14</v>
      </c>
      <c r="CK663" s="167">
        <f>'HourGH-NOV'!P40</f>
        <v>0.57999999999999996</v>
      </c>
      <c r="CL663" s="263">
        <v>662</v>
      </c>
      <c r="CM663" s="9">
        <v>28</v>
      </c>
      <c r="CN663" s="9">
        <v>14</v>
      </c>
      <c r="CO663" s="167">
        <f>'HourGH-DEC'!P40</f>
        <v>0.43</v>
      </c>
      <c r="CP663" s="263">
        <v>662</v>
      </c>
      <c r="CQ663" s="9">
        <v>28</v>
      </c>
      <c r="CR663" s="9">
        <v>14</v>
      </c>
      <c r="CS663" s="167">
        <f>'HourGH-JAN'!P40</f>
        <v>0.33</v>
      </c>
      <c r="CT663" s="9">
        <v>662</v>
      </c>
      <c r="CU663" s="9">
        <v>28</v>
      </c>
      <c r="CV663" s="9">
        <v>14</v>
      </c>
      <c r="CW663" s="167">
        <f>'HourGH-FEB'!P40</f>
        <v>0.35</v>
      </c>
      <c r="CX663" s="263">
        <v>662</v>
      </c>
      <c r="CY663" s="9">
        <v>28</v>
      </c>
      <c r="CZ663" s="9">
        <v>14</v>
      </c>
      <c r="DA663" s="167">
        <f>'HourGH-MAR'!P40</f>
        <v>0.35</v>
      </c>
    </row>
    <row r="664" spans="58:105">
      <c r="BF664" s="9">
        <v>663</v>
      </c>
      <c r="BG664" s="9">
        <v>28</v>
      </c>
      <c r="BH664" s="9">
        <v>15</v>
      </c>
      <c r="BI664" s="167">
        <f>'HourGH-APR'!Q40</f>
        <v>0.56000000000000005</v>
      </c>
      <c r="BJ664" s="263">
        <v>663</v>
      </c>
      <c r="BK664" s="9">
        <v>28</v>
      </c>
      <c r="BL664" s="9">
        <v>15</v>
      </c>
      <c r="BM664" s="167">
        <f>'HourGH-MAY'!Q40</f>
        <v>0.18</v>
      </c>
      <c r="BN664" s="9">
        <v>663</v>
      </c>
      <c r="BO664" s="9">
        <v>28</v>
      </c>
      <c r="BP664" s="9">
        <v>15</v>
      </c>
      <c r="BQ664" s="167">
        <f>'HourGH-JUN'!Q40</f>
        <v>0.23</v>
      </c>
      <c r="BR664" s="263">
        <v>663</v>
      </c>
      <c r="BS664" s="9">
        <v>28</v>
      </c>
      <c r="BT664" s="9">
        <v>15</v>
      </c>
      <c r="BU664" s="167">
        <f>'HourGH-JUL'!Q40</f>
        <v>0.39</v>
      </c>
      <c r="BV664" s="263">
        <v>663</v>
      </c>
      <c r="BW664" s="9">
        <v>28</v>
      </c>
      <c r="BX664" s="9">
        <v>15</v>
      </c>
      <c r="BY664" s="167">
        <f>'HourGH-AUG'!Q40</f>
        <v>0.62</v>
      </c>
      <c r="BZ664" s="9">
        <v>663</v>
      </c>
      <c r="CA664" s="9">
        <v>28</v>
      </c>
      <c r="CB664" s="9">
        <v>15</v>
      </c>
      <c r="CC664" s="167">
        <f>'HourGH-SEP'!Q40</f>
        <v>1.43</v>
      </c>
      <c r="CD664" s="263">
        <v>663</v>
      </c>
      <c r="CE664" s="9">
        <v>28</v>
      </c>
      <c r="CF664" s="9">
        <v>15</v>
      </c>
      <c r="CG664" s="167">
        <f>'HourGH-OCT'!Q40</f>
        <v>1.1499999999999999</v>
      </c>
      <c r="CH664" s="9">
        <v>663</v>
      </c>
      <c r="CI664" s="9">
        <v>28</v>
      </c>
      <c r="CJ664" s="9">
        <v>15</v>
      </c>
      <c r="CK664" s="167">
        <f>'HourGH-NOV'!Q40</f>
        <v>0.57999999999999996</v>
      </c>
      <c r="CL664" s="263">
        <v>663</v>
      </c>
      <c r="CM664" s="9">
        <v>28</v>
      </c>
      <c r="CN664" s="9">
        <v>15</v>
      </c>
      <c r="CO664" s="167">
        <f>'HourGH-DEC'!Q40</f>
        <v>0.43</v>
      </c>
      <c r="CP664" s="263">
        <v>663</v>
      </c>
      <c r="CQ664" s="9">
        <v>28</v>
      </c>
      <c r="CR664" s="9">
        <v>15</v>
      </c>
      <c r="CS664" s="167">
        <f>'HourGH-JAN'!Q40</f>
        <v>0.33</v>
      </c>
      <c r="CT664" s="9">
        <v>663</v>
      </c>
      <c r="CU664" s="9">
        <v>28</v>
      </c>
      <c r="CV664" s="9">
        <v>15</v>
      </c>
      <c r="CW664" s="167">
        <f>'HourGH-FEB'!Q40</f>
        <v>0.37</v>
      </c>
      <c r="CX664" s="263">
        <v>663</v>
      </c>
      <c r="CY664" s="9">
        <v>28</v>
      </c>
      <c r="CZ664" s="9">
        <v>15</v>
      </c>
      <c r="DA664" s="167">
        <f>'HourGH-MAR'!Q40</f>
        <v>0.38</v>
      </c>
    </row>
    <row r="665" spans="58:105">
      <c r="BF665" s="9">
        <v>664</v>
      </c>
      <c r="BG665" s="9">
        <v>28</v>
      </c>
      <c r="BH665" s="9">
        <v>16</v>
      </c>
      <c r="BI665" s="167">
        <f>'HourGH-APR'!R40</f>
        <v>0.56000000000000005</v>
      </c>
      <c r="BJ665" s="263">
        <v>664</v>
      </c>
      <c r="BK665" s="9">
        <v>28</v>
      </c>
      <c r="BL665" s="9">
        <v>16</v>
      </c>
      <c r="BM665" s="167">
        <f>'HourGH-MAY'!R40</f>
        <v>0.18</v>
      </c>
      <c r="BN665" s="9">
        <v>664</v>
      </c>
      <c r="BO665" s="9">
        <v>28</v>
      </c>
      <c r="BP665" s="9">
        <v>16</v>
      </c>
      <c r="BQ665" s="167">
        <f>'HourGH-JUN'!R40</f>
        <v>0.23</v>
      </c>
      <c r="BR665" s="263">
        <v>664</v>
      </c>
      <c r="BS665" s="9">
        <v>28</v>
      </c>
      <c r="BT665" s="9">
        <v>16</v>
      </c>
      <c r="BU665" s="167">
        <f>'HourGH-JUL'!R40</f>
        <v>0.39</v>
      </c>
      <c r="BV665" s="263">
        <v>664</v>
      </c>
      <c r="BW665" s="9">
        <v>28</v>
      </c>
      <c r="BX665" s="9">
        <v>16</v>
      </c>
      <c r="BY665" s="167">
        <f>'HourGH-AUG'!R40</f>
        <v>0.62</v>
      </c>
      <c r="BZ665" s="9">
        <v>664</v>
      </c>
      <c r="CA665" s="9">
        <v>28</v>
      </c>
      <c r="CB665" s="9">
        <v>16</v>
      </c>
      <c r="CC665" s="167">
        <f>'HourGH-SEP'!R40</f>
        <v>1.44</v>
      </c>
      <c r="CD665" s="263">
        <v>664</v>
      </c>
      <c r="CE665" s="9">
        <v>28</v>
      </c>
      <c r="CF665" s="9">
        <v>16</v>
      </c>
      <c r="CG665" s="167">
        <f>'HourGH-OCT'!R40</f>
        <v>1.1499999999999999</v>
      </c>
      <c r="CH665" s="9">
        <v>664</v>
      </c>
      <c r="CI665" s="9">
        <v>28</v>
      </c>
      <c r="CJ665" s="9">
        <v>16</v>
      </c>
      <c r="CK665" s="167">
        <f>'HourGH-NOV'!R40</f>
        <v>0.57999999999999996</v>
      </c>
      <c r="CL665" s="263">
        <v>664</v>
      </c>
      <c r="CM665" s="9">
        <v>28</v>
      </c>
      <c r="CN665" s="9">
        <v>16</v>
      </c>
      <c r="CO665" s="167">
        <f>'HourGH-DEC'!R40</f>
        <v>0.43</v>
      </c>
      <c r="CP665" s="263">
        <v>664</v>
      </c>
      <c r="CQ665" s="9">
        <v>28</v>
      </c>
      <c r="CR665" s="9">
        <v>16</v>
      </c>
      <c r="CS665" s="167">
        <f>'HourGH-JAN'!R40</f>
        <v>0.33</v>
      </c>
      <c r="CT665" s="9">
        <v>664</v>
      </c>
      <c r="CU665" s="9">
        <v>28</v>
      </c>
      <c r="CV665" s="9">
        <v>16</v>
      </c>
      <c r="CW665" s="167">
        <f>'HourGH-FEB'!R40</f>
        <v>0.39</v>
      </c>
      <c r="CX665" s="263">
        <v>664</v>
      </c>
      <c r="CY665" s="9">
        <v>28</v>
      </c>
      <c r="CZ665" s="9">
        <v>16</v>
      </c>
      <c r="DA665" s="167">
        <f>'HourGH-MAR'!R40</f>
        <v>0.41</v>
      </c>
    </row>
    <row r="666" spans="58:105">
      <c r="BF666" s="9">
        <v>665</v>
      </c>
      <c r="BG666" s="9">
        <v>28</v>
      </c>
      <c r="BH666" s="9">
        <v>17</v>
      </c>
      <c r="BI666" s="167">
        <f>'HourGH-APR'!S40</f>
        <v>0.56000000000000005</v>
      </c>
      <c r="BJ666" s="263">
        <v>665</v>
      </c>
      <c r="BK666" s="9">
        <v>28</v>
      </c>
      <c r="BL666" s="9">
        <v>17</v>
      </c>
      <c r="BM666" s="167">
        <f>'HourGH-MAY'!S40</f>
        <v>0.18</v>
      </c>
      <c r="BN666" s="9">
        <v>665</v>
      </c>
      <c r="BO666" s="9">
        <v>28</v>
      </c>
      <c r="BP666" s="9">
        <v>17</v>
      </c>
      <c r="BQ666" s="167">
        <f>'HourGH-JUN'!S40</f>
        <v>0.23</v>
      </c>
      <c r="BR666" s="263">
        <v>665</v>
      </c>
      <c r="BS666" s="9">
        <v>28</v>
      </c>
      <c r="BT666" s="9">
        <v>17</v>
      </c>
      <c r="BU666" s="167">
        <f>'HourGH-JUL'!S40</f>
        <v>0.39</v>
      </c>
      <c r="BV666" s="263">
        <v>665</v>
      </c>
      <c r="BW666" s="9">
        <v>28</v>
      </c>
      <c r="BX666" s="9">
        <v>17</v>
      </c>
      <c r="BY666" s="167">
        <f>'HourGH-AUG'!S40</f>
        <v>0.62</v>
      </c>
      <c r="BZ666" s="9">
        <v>665</v>
      </c>
      <c r="CA666" s="9">
        <v>28</v>
      </c>
      <c r="CB666" s="9">
        <v>17</v>
      </c>
      <c r="CC666" s="167">
        <f>'HourGH-SEP'!S40</f>
        <v>1.46</v>
      </c>
      <c r="CD666" s="263">
        <v>665</v>
      </c>
      <c r="CE666" s="9">
        <v>28</v>
      </c>
      <c r="CF666" s="9">
        <v>17</v>
      </c>
      <c r="CG666" s="167">
        <f>'HourGH-OCT'!S40</f>
        <v>1.1599999999999999</v>
      </c>
      <c r="CH666" s="9">
        <v>665</v>
      </c>
      <c r="CI666" s="9">
        <v>28</v>
      </c>
      <c r="CJ666" s="9">
        <v>17</v>
      </c>
      <c r="CK666" s="167">
        <f>'HourGH-NOV'!S40</f>
        <v>0.57999999999999996</v>
      </c>
      <c r="CL666" s="263">
        <v>665</v>
      </c>
      <c r="CM666" s="9">
        <v>28</v>
      </c>
      <c r="CN666" s="9">
        <v>17</v>
      </c>
      <c r="CO666" s="167">
        <f>'HourGH-DEC'!S40</f>
        <v>0.43</v>
      </c>
      <c r="CP666" s="263">
        <v>665</v>
      </c>
      <c r="CQ666" s="9">
        <v>28</v>
      </c>
      <c r="CR666" s="9">
        <v>17</v>
      </c>
      <c r="CS666" s="167">
        <f>'HourGH-JAN'!S40</f>
        <v>0.33</v>
      </c>
      <c r="CT666" s="9">
        <v>665</v>
      </c>
      <c r="CU666" s="9">
        <v>28</v>
      </c>
      <c r="CV666" s="9">
        <v>17</v>
      </c>
      <c r="CW666" s="167">
        <f>'HourGH-FEB'!S40</f>
        <v>0.41</v>
      </c>
      <c r="CX666" s="263">
        <v>665</v>
      </c>
      <c r="CY666" s="9">
        <v>28</v>
      </c>
      <c r="CZ666" s="9">
        <v>17</v>
      </c>
      <c r="DA666" s="167">
        <f>'HourGH-MAR'!S40</f>
        <v>0.44</v>
      </c>
    </row>
    <row r="667" spans="58:105">
      <c r="BF667" s="9">
        <v>666</v>
      </c>
      <c r="BG667" s="9">
        <v>28</v>
      </c>
      <c r="BH667" s="9">
        <v>18</v>
      </c>
      <c r="BI667" s="167">
        <f>'HourGH-APR'!T40</f>
        <v>0.56000000000000005</v>
      </c>
      <c r="BJ667" s="263">
        <v>666</v>
      </c>
      <c r="BK667" s="9">
        <v>28</v>
      </c>
      <c r="BL667" s="9">
        <v>18</v>
      </c>
      <c r="BM667" s="167">
        <f>'HourGH-MAY'!T40</f>
        <v>0.18</v>
      </c>
      <c r="BN667" s="9">
        <v>666</v>
      </c>
      <c r="BO667" s="9">
        <v>28</v>
      </c>
      <c r="BP667" s="9">
        <v>18</v>
      </c>
      <c r="BQ667" s="167">
        <f>'HourGH-JUN'!T40</f>
        <v>0.23</v>
      </c>
      <c r="BR667" s="263">
        <v>666</v>
      </c>
      <c r="BS667" s="9">
        <v>28</v>
      </c>
      <c r="BT667" s="9">
        <v>18</v>
      </c>
      <c r="BU667" s="167">
        <f>'HourGH-JUL'!T40</f>
        <v>0.39</v>
      </c>
      <c r="BV667" s="263">
        <v>666</v>
      </c>
      <c r="BW667" s="9">
        <v>28</v>
      </c>
      <c r="BX667" s="9">
        <v>18</v>
      </c>
      <c r="BY667" s="167">
        <f>'HourGH-AUG'!T40</f>
        <v>0.62</v>
      </c>
      <c r="BZ667" s="9">
        <v>666</v>
      </c>
      <c r="CA667" s="9">
        <v>28</v>
      </c>
      <c r="CB667" s="9">
        <v>18</v>
      </c>
      <c r="CC667" s="167">
        <f>'HourGH-SEP'!T40</f>
        <v>1.48</v>
      </c>
      <c r="CD667" s="263">
        <v>666</v>
      </c>
      <c r="CE667" s="9">
        <v>28</v>
      </c>
      <c r="CF667" s="9">
        <v>18</v>
      </c>
      <c r="CG667" s="167">
        <f>'HourGH-OCT'!T40</f>
        <v>1.17</v>
      </c>
      <c r="CH667" s="9">
        <v>666</v>
      </c>
      <c r="CI667" s="9">
        <v>28</v>
      </c>
      <c r="CJ667" s="9">
        <v>18</v>
      </c>
      <c r="CK667" s="167">
        <f>'HourGH-NOV'!T40</f>
        <v>0.57999999999999996</v>
      </c>
      <c r="CL667" s="263">
        <v>666</v>
      </c>
      <c r="CM667" s="9">
        <v>28</v>
      </c>
      <c r="CN667" s="9">
        <v>18</v>
      </c>
      <c r="CO667" s="167">
        <f>'HourGH-DEC'!T40</f>
        <v>0.43</v>
      </c>
      <c r="CP667" s="263">
        <v>666</v>
      </c>
      <c r="CQ667" s="9">
        <v>28</v>
      </c>
      <c r="CR667" s="9">
        <v>18</v>
      </c>
      <c r="CS667" s="167">
        <f>'HourGH-JAN'!T40</f>
        <v>0.33</v>
      </c>
      <c r="CT667" s="9">
        <v>666</v>
      </c>
      <c r="CU667" s="9">
        <v>28</v>
      </c>
      <c r="CV667" s="9">
        <v>18</v>
      </c>
      <c r="CW667" s="167">
        <f>'HourGH-FEB'!T40</f>
        <v>0.44</v>
      </c>
      <c r="CX667" s="263">
        <v>666</v>
      </c>
      <c r="CY667" s="9">
        <v>28</v>
      </c>
      <c r="CZ667" s="9">
        <v>18</v>
      </c>
      <c r="DA667" s="167">
        <f>'HourGH-MAR'!T40</f>
        <v>0.48</v>
      </c>
    </row>
    <row r="668" spans="58:105">
      <c r="BF668" s="9">
        <v>667</v>
      </c>
      <c r="BG668" s="9">
        <v>28</v>
      </c>
      <c r="BH668" s="9">
        <v>19</v>
      </c>
      <c r="BI668" s="167">
        <f>'HourGH-APR'!U40</f>
        <v>0.56000000000000005</v>
      </c>
      <c r="BJ668" s="263">
        <v>667</v>
      </c>
      <c r="BK668" s="9">
        <v>28</v>
      </c>
      <c r="BL668" s="9">
        <v>19</v>
      </c>
      <c r="BM668" s="167">
        <f>'HourGH-MAY'!U40</f>
        <v>0.18</v>
      </c>
      <c r="BN668" s="9">
        <v>667</v>
      </c>
      <c r="BO668" s="9">
        <v>28</v>
      </c>
      <c r="BP668" s="9">
        <v>19</v>
      </c>
      <c r="BQ668" s="167">
        <f>'HourGH-JUN'!U40</f>
        <v>0.23</v>
      </c>
      <c r="BR668" s="263">
        <v>667</v>
      </c>
      <c r="BS668" s="9">
        <v>28</v>
      </c>
      <c r="BT668" s="9">
        <v>19</v>
      </c>
      <c r="BU668" s="167">
        <f>'HourGH-JUL'!U40</f>
        <v>0.39</v>
      </c>
      <c r="BV668" s="263">
        <v>667</v>
      </c>
      <c r="BW668" s="9">
        <v>28</v>
      </c>
      <c r="BX668" s="9">
        <v>19</v>
      </c>
      <c r="BY668" s="167">
        <f>'HourGH-AUG'!U40</f>
        <v>0.61</v>
      </c>
      <c r="BZ668" s="9">
        <v>667</v>
      </c>
      <c r="CA668" s="9">
        <v>28</v>
      </c>
      <c r="CB668" s="9">
        <v>19</v>
      </c>
      <c r="CC668" s="167">
        <f>'HourGH-SEP'!U40</f>
        <v>1.5</v>
      </c>
      <c r="CD668" s="263">
        <v>667</v>
      </c>
      <c r="CE668" s="9">
        <v>28</v>
      </c>
      <c r="CF668" s="9">
        <v>19</v>
      </c>
      <c r="CG668" s="167">
        <f>'HourGH-OCT'!U40</f>
        <v>1.18</v>
      </c>
      <c r="CH668" s="9">
        <v>667</v>
      </c>
      <c r="CI668" s="9">
        <v>28</v>
      </c>
      <c r="CJ668" s="9">
        <v>19</v>
      </c>
      <c r="CK668" s="167">
        <f>'HourGH-NOV'!U40</f>
        <v>0.57999999999999996</v>
      </c>
      <c r="CL668" s="263">
        <v>667</v>
      </c>
      <c r="CM668" s="9">
        <v>28</v>
      </c>
      <c r="CN668" s="9">
        <v>19</v>
      </c>
      <c r="CO668" s="167">
        <f>'HourGH-DEC'!U40</f>
        <v>0.43</v>
      </c>
      <c r="CP668" s="263">
        <v>667</v>
      </c>
      <c r="CQ668" s="9">
        <v>28</v>
      </c>
      <c r="CR668" s="9">
        <v>19</v>
      </c>
      <c r="CS668" s="167">
        <f>'HourGH-JAN'!U40</f>
        <v>0.33</v>
      </c>
      <c r="CT668" s="9">
        <v>667</v>
      </c>
      <c r="CU668" s="9">
        <v>28</v>
      </c>
      <c r="CV668" s="9">
        <v>19</v>
      </c>
      <c r="CW668" s="167">
        <f>'HourGH-FEB'!U40</f>
        <v>0.46</v>
      </c>
      <c r="CX668" s="263">
        <v>667</v>
      </c>
      <c r="CY668" s="9">
        <v>28</v>
      </c>
      <c r="CZ668" s="9">
        <v>19</v>
      </c>
      <c r="DA668" s="167">
        <f>'HourGH-MAR'!U40</f>
        <v>0.51</v>
      </c>
    </row>
    <row r="669" spans="58:105">
      <c r="BF669" s="9">
        <v>668</v>
      </c>
      <c r="BG669" s="9">
        <v>28</v>
      </c>
      <c r="BH669" s="9">
        <v>20</v>
      </c>
      <c r="BI669" s="167">
        <f>'HourGH-APR'!V40</f>
        <v>0.56000000000000005</v>
      </c>
      <c r="BJ669" s="263">
        <v>668</v>
      </c>
      <c r="BK669" s="9">
        <v>28</v>
      </c>
      <c r="BL669" s="9">
        <v>20</v>
      </c>
      <c r="BM669" s="167">
        <f>'HourGH-MAY'!V40</f>
        <v>0.18</v>
      </c>
      <c r="BN669" s="9">
        <v>668</v>
      </c>
      <c r="BO669" s="9">
        <v>28</v>
      </c>
      <c r="BP669" s="9">
        <v>20</v>
      </c>
      <c r="BQ669" s="167">
        <f>'HourGH-JUN'!V40</f>
        <v>0.23</v>
      </c>
      <c r="BR669" s="263">
        <v>668</v>
      </c>
      <c r="BS669" s="9">
        <v>28</v>
      </c>
      <c r="BT669" s="9">
        <v>20</v>
      </c>
      <c r="BU669" s="167">
        <f>'HourGH-JUL'!V40</f>
        <v>0.39</v>
      </c>
      <c r="BV669" s="263">
        <v>668</v>
      </c>
      <c r="BW669" s="9">
        <v>28</v>
      </c>
      <c r="BX669" s="9">
        <v>20</v>
      </c>
      <c r="BY669" s="167">
        <f>'HourGH-AUG'!V40</f>
        <v>0.61</v>
      </c>
      <c r="BZ669" s="9">
        <v>668</v>
      </c>
      <c r="CA669" s="9">
        <v>28</v>
      </c>
      <c r="CB669" s="9">
        <v>20</v>
      </c>
      <c r="CC669" s="167">
        <f>'HourGH-SEP'!V40</f>
        <v>1.54</v>
      </c>
      <c r="CD669" s="263">
        <v>668</v>
      </c>
      <c r="CE669" s="9">
        <v>28</v>
      </c>
      <c r="CF669" s="9">
        <v>20</v>
      </c>
      <c r="CG669" s="167">
        <f>'HourGH-OCT'!V40</f>
        <v>1.19</v>
      </c>
      <c r="CH669" s="9">
        <v>668</v>
      </c>
      <c r="CI669" s="9">
        <v>28</v>
      </c>
      <c r="CJ669" s="9">
        <v>20</v>
      </c>
      <c r="CK669" s="167">
        <f>'HourGH-NOV'!V40</f>
        <v>0.57999999999999996</v>
      </c>
      <c r="CL669" s="263">
        <v>668</v>
      </c>
      <c r="CM669" s="9">
        <v>28</v>
      </c>
      <c r="CN669" s="9">
        <v>20</v>
      </c>
      <c r="CO669" s="167">
        <f>'HourGH-DEC'!V40</f>
        <v>0.43</v>
      </c>
      <c r="CP669" s="263">
        <v>668</v>
      </c>
      <c r="CQ669" s="9">
        <v>28</v>
      </c>
      <c r="CR669" s="9">
        <v>20</v>
      </c>
      <c r="CS669" s="167">
        <f>'HourGH-JAN'!V40</f>
        <v>0.33</v>
      </c>
      <c r="CT669" s="9">
        <v>668</v>
      </c>
      <c r="CU669" s="9">
        <v>28</v>
      </c>
      <c r="CV669" s="9">
        <v>20</v>
      </c>
      <c r="CW669" s="167">
        <f>'HourGH-FEB'!V40</f>
        <v>0.49</v>
      </c>
      <c r="CX669" s="263">
        <v>668</v>
      </c>
      <c r="CY669" s="9">
        <v>28</v>
      </c>
      <c r="CZ669" s="9">
        <v>20</v>
      </c>
      <c r="DA669" s="167">
        <f>'HourGH-MAR'!V40</f>
        <v>0.53</v>
      </c>
    </row>
    <row r="670" spans="58:105">
      <c r="BF670" s="9">
        <v>669</v>
      </c>
      <c r="BG670" s="9">
        <v>28</v>
      </c>
      <c r="BH670" s="9">
        <v>21</v>
      </c>
      <c r="BI670" s="167">
        <f>'HourGH-APR'!W40</f>
        <v>0.56000000000000005</v>
      </c>
      <c r="BJ670" s="263">
        <v>669</v>
      </c>
      <c r="BK670" s="9">
        <v>28</v>
      </c>
      <c r="BL670" s="9">
        <v>21</v>
      </c>
      <c r="BM670" s="167">
        <f>'HourGH-MAY'!W40</f>
        <v>0.18</v>
      </c>
      <c r="BN670" s="9">
        <v>669</v>
      </c>
      <c r="BO670" s="9">
        <v>28</v>
      </c>
      <c r="BP670" s="9">
        <v>21</v>
      </c>
      <c r="BQ670" s="167">
        <f>'HourGH-JUN'!W40</f>
        <v>0.23</v>
      </c>
      <c r="BR670" s="263">
        <v>669</v>
      </c>
      <c r="BS670" s="9">
        <v>28</v>
      </c>
      <c r="BT670" s="9">
        <v>21</v>
      </c>
      <c r="BU670" s="167">
        <f>'HourGH-JUL'!W40</f>
        <v>0.39</v>
      </c>
      <c r="BV670" s="263">
        <v>669</v>
      </c>
      <c r="BW670" s="9">
        <v>28</v>
      </c>
      <c r="BX670" s="9">
        <v>21</v>
      </c>
      <c r="BY670" s="167">
        <f>'HourGH-AUG'!W40</f>
        <v>0.61</v>
      </c>
      <c r="BZ670" s="9">
        <v>669</v>
      </c>
      <c r="CA670" s="9">
        <v>28</v>
      </c>
      <c r="CB670" s="9">
        <v>21</v>
      </c>
      <c r="CC670" s="167">
        <f>'HourGH-SEP'!W40</f>
        <v>1.57</v>
      </c>
      <c r="CD670" s="263">
        <v>669</v>
      </c>
      <c r="CE670" s="9">
        <v>28</v>
      </c>
      <c r="CF670" s="9">
        <v>21</v>
      </c>
      <c r="CG670" s="167">
        <f>'HourGH-OCT'!W40</f>
        <v>1.2</v>
      </c>
      <c r="CH670" s="9">
        <v>669</v>
      </c>
      <c r="CI670" s="9">
        <v>28</v>
      </c>
      <c r="CJ670" s="9">
        <v>21</v>
      </c>
      <c r="CK670" s="167">
        <f>'HourGH-NOV'!W40</f>
        <v>0.57999999999999996</v>
      </c>
      <c r="CL670" s="263">
        <v>669</v>
      </c>
      <c r="CM670" s="9">
        <v>28</v>
      </c>
      <c r="CN670" s="9">
        <v>21</v>
      </c>
      <c r="CO670" s="167">
        <f>'HourGH-DEC'!W40</f>
        <v>0.43</v>
      </c>
      <c r="CP670" s="263">
        <v>669</v>
      </c>
      <c r="CQ670" s="9">
        <v>28</v>
      </c>
      <c r="CR670" s="9">
        <v>21</v>
      </c>
      <c r="CS670" s="167">
        <f>'HourGH-JAN'!W40</f>
        <v>0.33</v>
      </c>
      <c r="CT670" s="9">
        <v>669</v>
      </c>
      <c r="CU670" s="9">
        <v>28</v>
      </c>
      <c r="CV670" s="9">
        <v>21</v>
      </c>
      <c r="CW670" s="167">
        <f>'HourGH-FEB'!W40</f>
        <v>0.51</v>
      </c>
      <c r="CX670" s="263">
        <v>669</v>
      </c>
      <c r="CY670" s="9">
        <v>28</v>
      </c>
      <c r="CZ670" s="9">
        <v>21</v>
      </c>
      <c r="DA670" s="167">
        <f>'HourGH-MAR'!W40</f>
        <v>0.56000000000000005</v>
      </c>
    </row>
    <row r="671" spans="58:105">
      <c r="BF671" s="9">
        <v>670</v>
      </c>
      <c r="BG671" s="9">
        <v>28</v>
      </c>
      <c r="BH671" s="9">
        <v>22</v>
      </c>
      <c r="BI671" s="167">
        <f>'HourGH-APR'!X40</f>
        <v>0.56000000000000005</v>
      </c>
      <c r="BJ671" s="263">
        <v>670</v>
      </c>
      <c r="BK671" s="9">
        <v>28</v>
      </c>
      <c r="BL671" s="9">
        <v>22</v>
      </c>
      <c r="BM671" s="167">
        <f>'HourGH-MAY'!X40</f>
        <v>0.18</v>
      </c>
      <c r="BN671" s="9">
        <v>670</v>
      </c>
      <c r="BO671" s="9">
        <v>28</v>
      </c>
      <c r="BP671" s="9">
        <v>22</v>
      </c>
      <c r="BQ671" s="167">
        <f>'HourGH-JUN'!X40</f>
        <v>0.23</v>
      </c>
      <c r="BR671" s="263">
        <v>670</v>
      </c>
      <c r="BS671" s="9">
        <v>28</v>
      </c>
      <c r="BT671" s="9">
        <v>22</v>
      </c>
      <c r="BU671" s="167">
        <f>'HourGH-JUL'!X40</f>
        <v>0.39</v>
      </c>
      <c r="BV671" s="263">
        <v>670</v>
      </c>
      <c r="BW671" s="9">
        <v>28</v>
      </c>
      <c r="BX671" s="9">
        <v>22</v>
      </c>
      <c r="BY671" s="167">
        <f>'HourGH-AUG'!X40</f>
        <v>0.61</v>
      </c>
      <c r="BZ671" s="9">
        <v>670</v>
      </c>
      <c r="CA671" s="9">
        <v>28</v>
      </c>
      <c r="CB671" s="9">
        <v>22</v>
      </c>
      <c r="CC671" s="167">
        <f>'HourGH-SEP'!X40</f>
        <v>1.6</v>
      </c>
      <c r="CD671" s="263">
        <v>670</v>
      </c>
      <c r="CE671" s="9">
        <v>28</v>
      </c>
      <c r="CF671" s="9">
        <v>22</v>
      </c>
      <c r="CG671" s="167">
        <f>'HourGH-OCT'!X40</f>
        <v>1.22</v>
      </c>
      <c r="CH671" s="9">
        <v>670</v>
      </c>
      <c r="CI671" s="9">
        <v>28</v>
      </c>
      <c r="CJ671" s="9">
        <v>22</v>
      </c>
      <c r="CK671" s="167">
        <f>'HourGH-NOV'!X40</f>
        <v>0.57999999999999996</v>
      </c>
      <c r="CL671" s="263">
        <v>670</v>
      </c>
      <c r="CM671" s="9">
        <v>28</v>
      </c>
      <c r="CN671" s="9">
        <v>22</v>
      </c>
      <c r="CO671" s="167">
        <f>'HourGH-DEC'!X40</f>
        <v>0.43</v>
      </c>
      <c r="CP671" s="263">
        <v>670</v>
      </c>
      <c r="CQ671" s="9">
        <v>28</v>
      </c>
      <c r="CR671" s="9">
        <v>22</v>
      </c>
      <c r="CS671" s="167">
        <f>'HourGH-JAN'!X40</f>
        <v>0.33</v>
      </c>
      <c r="CT671" s="9">
        <v>670</v>
      </c>
      <c r="CU671" s="9">
        <v>28</v>
      </c>
      <c r="CV671" s="9">
        <v>22</v>
      </c>
      <c r="CW671" s="167">
        <f>'HourGH-FEB'!X40</f>
        <v>0.53</v>
      </c>
      <c r="CX671" s="263">
        <v>670</v>
      </c>
      <c r="CY671" s="9">
        <v>28</v>
      </c>
      <c r="CZ671" s="9">
        <v>22</v>
      </c>
      <c r="DA671" s="167">
        <f>'HourGH-MAR'!X40</f>
        <v>0.57999999999999996</v>
      </c>
    </row>
    <row r="672" spans="58:105">
      <c r="BF672" s="9">
        <v>671</v>
      </c>
      <c r="BG672" s="9">
        <v>28</v>
      </c>
      <c r="BH672" s="9">
        <v>23</v>
      </c>
      <c r="BI672" s="167">
        <f>'HourGH-APR'!Y40</f>
        <v>0.56000000000000005</v>
      </c>
      <c r="BJ672" s="263">
        <v>671</v>
      </c>
      <c r="BK672" s="9">
        <v>28</v>
      </c>
      <c r="BL672" s="9">
        <v>23</v>
      </c>
      <c r="BM672" s="167">
        <f>'HourGH-MAY'!Y40</f>
        <v>0.18</v>
      </c>
      <c r="BN672" s="9">
        <v>671</v>
      </c>
      <c r="BO672" s="9">
        <v>28</v>
      </c>
      <c r="BP672" s="9">
        <v>23</v>
      </c>
      <c r="BQ672" s="167">
        <f>'HourGH-JUN'!Y40</f>
        <v>0.23</v>
      </c>
      <c r="BR672" s="263">
        <v>671</v>
      </c>
      <c r="BS672" s="9">
        <v>28</v>
      </c>
      <c r="BT672" s="9">
        <v>23</v>
      </c>
      <c r="BU672" s="167">
        <f>'HourGH-JUL'!Y40</f>
        <v>0.39</v>
      </c>
      <c r="BV672" s="263">
        <v>671</v>
      </c>
      <c r="BW672" s="9">
        <v>28</v>
      </c>
      <c r="BX672" s="9">
        <v>23</v>
      </c>
      <c r="BY672" s="167">
        <f>'HourGH-AUG'!Y40</f>
        <v>0.61</v>
      </c>
      <c r="BZ672" s="9">
        <v>671</v>
      </c>
      <c r="CA672" s="9">
        <v>28</v>
      </c>
      <c r="CB672" s="9">
        <v>23</v>
      </c>
      <c r="CC672" s="167">
        <f>'HourGH-SEP'!Y40</f>
        <v>1.64</v>
      </c>
      <c r="CD672" s="263">
        <v>671</v>
      </c>
      <c r="CE672" s="9">
        <v>28</v>
      </c>
      <c r="CF672" s="9">
        <v>23</v>
      </c>
      <c r="CG672" s="167">
        <f>'HourGH-OCT'!Y40</f>
        <v>1.23</v>
      </c>
      <c r="CH672" s="9">
        <v>671</v>
      </c>
      <c r="CI672" s="9">
        <v>28</v>
      </c>
      <c r="CJ672" s="9">
        <v>23</v>
      </c>
      <c r="CK672" s="167">
        <f>'HourGH-NOV'!Y40</f>
        <v>0.57999999999999996</v>
      </c>
      <c r="CL672" s="263">
        <v>671</v>
      </c>
      <c r="CM672" s="9">
        <v>28</v>
      </c>
      <c r="CN672" s="9">
        <v>23</v>
      </c>
      <c r="CO672" s="167">
        <f>'HourGH-DEC'!Y40</f>
        <v>0.43</v>
      </c>
      <c r="CP672" s="263">
        <v>671</v>
      </c>
      <c r="CQ672" s="9">
        <v>28</v>
      </c>
      <c r="CR672" s="9">
        <v>23</v>
      </c>
      <c r="CS672" s="167">
        <f>'HourGH-JAN'!Y40</f>
        <v>0.33</v>
      </c>
      <c r="CT672" s="9">
        <v>671</v>
      </c>
      <c r="CU672" s="9">
        <v>28</v>
      </c>
      <c r="CV672" s="9">
        <v>23</v>
      </c>
      <c r="CW672" s="167">
        <f>'HourGH-FEB'!Y40</f>
        <v>0.55000000000000004</v>
      </c>
      <c r="CX672" s="263">
        <v>671</v>
      </c>
      <c r="CY672" s="9">
        <v>28</v>
      </c>
      <c r="CZ672" s="9">
        <v>23</v>
      </c>
      <c r="DA672" s="167">
        <f>'HourGH-MAR'!Y40</f>
        <v>0.6</v>
      </c>
    </row>
    <row r="673" spans="58:105">
      <c r="BF673" s="9">
        <v>672</v>
      </c>
      <c r="BG673" s="9">
        <v>28</v>
      </c>
      <c r="BH673" s="9">
        <v>24</v>
      </c>
      <c r="BI673" s="167">
        <f>'HourGH-APR'!Z40</f>
        <v>0.56000000000000005</v>
      </c>
      <c r="BJ673" s="263">
        <v>672</v>
      </c>
      <c r="BK673" s="9">
        <v>28</v>
      </c>
      <c r="BL673" s="9">
        <v>24</v>
      </c>
      <c r="BM673" s="167">
        <f>'HourGH-MAY'!Z40</f>
        <v>0.18</v>
      </c>
      <c r="BN673" s="9">
        <v>672</v>
      </c>
      <c r="BO673" s="9">
        <v>28</v>
      </c>
      <c r="BP673" s="9">
        <v>24</v>
      </c>
      <c r="BQ673" s="167">
        <f>'HourGH-JUN'!Z40</f>
        <v>0.23</v>
      </c>
      <c r="BR673" s="263">
        <v>672</v>
      </c>
      <c r="BS673" s="9">
        <v>28</v>
      </c>
      <c r="BT673" s="9">
        <v>24</v>
      </c>
      <c r="BU673" s="167">
        <f>'HourGH-JUL'!Z40</f>
        <v>0.39</v>
      </c>
      <c r="BV673" s="263">
        <v>672</v>
      </c>
      <c r="BW673" s="9">
        <v>28</v>
      </c>
      <c r="BX673" s="9">
        <v>24</v>
      </c>
      <c r="BY673" s="167">
        <f>'HourGH-AUG'!Z40</f>
        <v>0.61</v>
      </c>
      <c r="BZ673" s="9">
        <v>672</v>
      </c>
      <c r="CA673" s="9">
        <v>28</v>
      </c>
      <c r="CB673" s="9">
        <v>24</v>
      </c>
      <c r="CC673" s="167">
        <f>'HourGH-SEP'!Z40</f>
        <v>1.68</v>
      </c>
      <c r="CD673" s="263">
        <v>672</v>
      </c>
      <c r="CE673" s="9">
        <v>28</v>
      </c>
      <c r="CF673" s="9">
        <v>24</v>
      </c>
      <c r="CG673" s="167">
        <f>'HourGH-OCT'!Z40</f>
        <v>1.25</v>
      </c>
      <c r="CH673" s="9">
        <v>672</v>
      </c>
      <c r="CI673" s="9">
        <v>28</v>
      </c>
      <c r="CJ673" s="9">
        <v>24</v>
      </c>
      <c r="CK673" s="167">
        <f>'HourGH-NOV'!Z40</f>
        <v>0.57999999999999996</v>
      </c>
      <c r="CL673" s="263">
        <v>672</v>
      </c>
      <c r="CM673" s="9">
        <v>28</v>
      </c>
      <c r="CN673" s="9">
        <v>24</v>
      </c>
      <c r="CO673" s="167">
        <f>'HourGH-DEC'!Z40</f>
        <v>0.43</v>
      </c>
      <c r="CP673" s="263">
        <v>672</v>
      </c>
      <c r="CQ673" s="9">
        <v>28</v>
      </c>
      <c r="CR673" s="9">
        <v>24</v>
      </c>
      <c r="CS673" s="167">
        <f>'HourGH-JAN'!Z40</f>
        <v>0.33</v>
      </c>
      <c r="CT673" s="9">
        <v>672</v>
      </c>
      <c r="CU673" s="9">
        <v>28</v>
      </c>
      <c r="CV673" s="9">
        <v>24</v>
      </c>
      <c r="CW673" s="167">
        <f>'HourGH-FEB'!Z40</f>
        <v>0.56999999999999995</v>
      </c>
      <c r="CX673" s="263">
        <v>672</v>
      </c>
      <c r="CY673" s="9">
        <v>28</v>
      </c>
      <c r="CZ673" s="9">
        <v>24</v>
      </c>
      <c r="DA673" s="167">
        <f>'HourGH-MAR'!Z40</f>
        <v>0.62</v>
      </c>
    </row>
    <row r="674" spans="58:105">
      <c r="BF674" s="9">
        <v>673</v>
      </c>
      <c r="BG674" s="9">
        <v>29</v>
      </c>
      <c r="BH674" s="9">
        <v>1</v>
      </c>
      <c r="BI674" s="167">
        <f>'HourGH-APR'!C41</f>
        <v>0.56000000000000005</v>
      </c>
      <c r="BJ674" s="263">
        <v>673</v>
      </c>
      <c r="BK674" s="9">
        <v>29</v>
      </c>
      <c r="BL674" s="9">
        <v>1</v>
      </c>
      <c r="BM674" s="167">
        <f>'HourGH-MAY'!C41</f>
        <v>0.18</v>
      </c>
      <c r="BN674" s="9">
        <v>673</v>
      </c>
      <c r="BO674" s="9">
        <v>29</v>
      </c>
      <c r="BP674" s="9">
        <v>1</v>
      </c>
      <c r="BQ674" s="167">
        <f>'HourGH-JUN'!C41</f>
        <v>0.23</v>
      </c>
      <c r="BR674" s="263">
        <v>673</v>
      </c>
      <c r="BS674" s="9">
        <v>29</v>
      </c>
      <c r="BT674" s="9">
        <v>1</v>
      </c>
      <c r="BU674" s="167">
        <f>'HourGH-JUL'!C41</f>
        <v>0.4</v>
      </c>
      <c r="BV674" s="263">
        <v>673</v>
      </c>
      <c r="BW674" s="9">
        <v>29</v>
      </c>
      <c r="BX674" s="9">
        <v>1</v>
      </c>
      <c r="BY674" s="167">
        <f>'HourGH-AUG'!C41</f>
        <v>0.6</v>
      </c>
      <c r="BZ674" s="9">
        <v>673</v>
      </c>
      <c r="CA674" s="9">
        <v>29</v>
      </c>
      <c r="CB674" s="9">
        <v>1</v>
      </c>
      <c r="CC674" s="167">
        <f>'HourGH-SEP'!C41</f>
        <v>1.72</v>
      </c>
      <c r="CD674" s="263">
        <v>673</v>
      </c>
      <c r="CE674" s="9">
        <v>29</v>
      </c>
      <c r="CF674" s="9">
        <v>1</v>
      </c>
      <c r="CG674" s="167">
        <f>'HourGH-OCT'!C41</f>
        <v>1.27</v>
      </c>
      <c r="CH674" s="9">
        <v>673</v>
      </c>
      <c r="CI674" s="9">
        <v>29</v>
      </c>
      <c r="CJ674" s="9">
        <v>1</v>
      </c>
      <c r="CK674" s="167">
        <f>'HourGH-NOV'!C41</f>
        <v>0.56999999999999995</v>
      </c>
      <c r="CL674" s="263">
        <v>673</v>
      </c>
      <c r="CM674" s="9">
        <v>29</v>
      </c>
      <c r="CN674" s="9">
        <v>1</v>
      </c>
      <c r="CO674" s="167">
        <f>'HourGH-DEC'!C41</f>
        <v>0.44</v>
      </c>
      <c r="CP674" s="263">
        <v>673</v>
      </c>
      <c r="CQ674" s="9">
        <v>29</v>
      </c>
      <c r="CR674" s="9">
        <v>1</v>
      </c>
      <c r="CS674" s="167">
        <f>'HourGH-JAN'!C41</f>
        <v>0.32</v>
      </c>
      <c r="CT674" s="9">
        <v>673</v>
      </c>
      <c r="CU674" s="9">
        <v>29</v>
      </c>
      <c r="CV674" s="9">
        <v>1</v>
      </c>
      <c r="CW674" s="167">
        <f>'HourGH-FEB'!C41</f>
        <v>0</v>
      </c>
      <c r="CX674" s="263">
        <v>673</v>
      </c>
      <c r="CY674" s="9">
        <v>29</v>
      </c>
      <c r="CZ674" s="9">
        <v>1</v>
      </c>
      <c r="DA674" s="167">
        <f>'HourGH-MAR'!C41</f>
        <v>0.63</v>
      </c>
    </row>
    <row r="675" spans="58:105">
      <c r="BF675" s="9">
        <v>674</v>
      </c>
      <c r="BG675" s="9">
        <v>29</v>
      </c>
      <c r="BH675" s="9">
        <v>2</v>
      </c>
      <c r="BI675" s="167">
        <f>'HourGH-APR'!D41</f>
        <v>0.56000000000000005</v>
      </c>
      <c r="BJ675" s="263">
        <v>674</v>
      </c>
      <c r="BK675" s="9">
        <v>29</v>
      </c>
      <c r="BL675" s="9">
        <v>2</v>
      </c>
      <c r="BM675" s="167">
        <f>'HourGH-MAY'!D41</f>
        <v>0.18</v>
      </c>
      <c r="BN675" s="9">
        <v>674</v>
      </c>
      <c r="BO675" s="9">
        <v>29</v>
      </c>
      <c r="BP675" s="9">
        <v>2</v>
      </c>
      <c r="BQ675" s="167">
        <f>'HourGH-JUN'!D41</f>
        <v>0.23</v>
      </c>
      <c r="BR675" s="263">
        <v>674</v>
      </c>
      <c r="BS675" s="9">
        <v>29</v>
      </c>
      <c r="BT675" s="9">
        <v>2</v>
      </c>
      <c r="BU675" s="167">
        <f>'HourGH-JUL'!D41</f>
        <v>0.4</v>
      </c>
      <c r="BV675" s="263">
        <v>674</v>
      </c>
      <c r="BW675" s="9">
        <v>29</v>
      </c>
      <c r="BX675" s="9">
        <v>2</v>
      </c>
      <c r="BY675" s="167">
        <f>'HourGH-AUG'!D41</f>
        <v>0.6</v>
      </c>
      <c r="BZ675" s="9">
        <v>674</v>
      </c>
      <c r="CA675" s="9">
        <v>29</v>
      </c>
      <c r="CB675" s="9">
        <v>2</v>
      </c>
      <c r="CC675" s="167">
        <f>'HourGH-SEP'!D41</f>
        <v>1.77</v>
      </c>
      <c r="CD675" s="263">
        <v>674</v>
      </c>
      <c r="CE675" s="9">
        <v>29</v>
      </c>
      <c r="CF675" s="9">
        <v>2</v>
      </c>
      <c r="CG675" s="167">
        <f>'HourGH-OCT'!D41</f>
        <v>1.29</v>
      </c>
      <c r="CH675" s="9">
        <v>674</v>
      </c>
      <c r="CI675" s="9">
        <v>29</v>
      </c>
      <c r="CJ675" s="9">
        <v>2</v>
      </c>
      <c r="CK675" s="167">
        <f>'HourGH-NOV'!D41</f>
        <v>0.56999999999999995</v>
      </c>
      <c r="CL675" s="263">
        <v>674</v>
      </c>
      <c r="CM675" s="9">
        <v>29</v>
      </c>
      <c r="CN675" s="9">
        <v>2</v>
      </c>
      <c r="CO675" s="167">
        <f>'HourGH-DEC'!D41</f>
        <v>0.44</v>
      </c>
      <c r="CP675" s="263">
        <v>674</v>
      </c>
      <c r="CQ675" s="9">
        <v>29</v>
      </c>
      <c r="CR675" s="9">
        <v>2</v>
      </c>
      <c r="CS675" s="167">
        <f>'HourGH-JAN'!D41</f>
        <v>0.32</v>
      </c>
      <c r="CT675" s="9">
        <v>674</v>
      </c>
      <c r="CU675" s="9">
        <v>29</v>
      </c>
      <c r="CV675" s="9">
        <v>2</v>
      </c>
      <c r="CW675" s="167">
        <f>'HourGH-FEB'!D41</f>
        <v>0</v>
      </c>
      <c r="CX675" s="263">
        <v>674</v>
      </c>
      <c r="CY675" s="9">
        <v>29</v>
      </c>
      <c r="CZ675" s="9">
        <v>2</v>
      </c>
      <c r="DA675" s="167">
        <f>'HourGH-MAR'!D41</f>
        <v>0.64</v>
      </c>
    </row>
    <row r="676" spans="58:105">
      <c r="BF676" s="9">
        <v>675</v>
      </c>
      <c r="BG676" s="9">
        <v>29</v>
      </c>
      <c r="BH676" s="9">
        <v>3</v>
      </c>
      <c r="BI676" s="167">
        <f>'HourGH-APR'!E41</f>
        <v>0.56000000000000005</v>
      </c>
      <c r="BJ676" s="263">
        <v>675</v>
      </c>
      <c r="BK676" s="9">
        <v>29</v>
      </c>
      <c r="BL676" s="9">
        <v>3</v>
      </c>
      <c r="BM676" s="167">
        <f>'HourGH-MAY'!E41</f>
        <v>0.18</v>
      </c>
      <c r="BN676" s="9">
        <v>675</v>
      </c>
      <c r="BO676" s="9">
        <v>29</v>
      </c>
      <c r="BP676" s="9">
        <v>3</v>
      </c>
      <c r="BQ676" s="167">
        <f>'HourGH-JUN'!E41</f>
        <v>0.23</v>
      </c>
      <c r="BR676" s="263">
        <v>675</v>
      </c>
      <c r="BS676" s="9">
        <v>29</v>
      </c>
      <c r="BT676" s="9">
        <v>3</v>
      </c>
      <c r="BU676" s="167">
        <f>'HourGH-JUL'!E41</f>
        <v>0.4</v>
      </c>
      <c r="BV676" s="263">
        <v>675</v>
      </c>
      <c r="BW676" s="9">
        <v>29</v>
      </c>
      <c r="BX676" s="9">
        <v>3</v>
      </c>
      <c r="BY676" s="167">
        <f>'HourGH-AUG'!E41</f>
        <v>0.6</v>
      </c>
      <c r="BZ676" s="9">
        <v>675</v>
      </c>
      <c r="CA676" s="9">
        <v>29</v>
      </c>
      <c r="CB676" s="9">
        <v>3</v>
      </c>
      <c r="CC676" s="167">
        <f>'HourGH-SEP'!E41</f>
        <v>1.81</v>
      </c>
      <c r="CD676" s="263">
        <v>675</v>
      </c>
      <c r="CE676" s="9">
        <v>29</v>
      </c>
      <c r="CF676" s="9">
        <v>3</v>
      </c>
      <c r="CG676" s="167">
        <f>'HourGH-OCT'!E41</f>
        <v>1.31</v>
      </c>
      <c r="CH676" s="9">
        <v>675</v>
      </c>
      <c r="CI676" s="9">
        <v>29</v>
      </c>
      <c r="CJ676" s="9">
        <v>3</v>
      </c>
      <c r="CK676" s="167">
        <f>'HourGH-NOV'!E41</f>
        <v>0.56999999999999995</v>
      </c>
      <c r="CL676" s="263">
        <v>675</v>
      </c>
      <c r="CM676" s="9">
        <v>29</v>
      </c>
      <c r="CN676" s="9">
        <v>3</v>
      </c>
      <c r="CO676" s="167">
        <f>'HourGH-DEC'!E41</f>
        <v>0.44</v>
      </c>
      <c r="CP676" s="263">
        <v>675</v>
      </c>
      <c r="CQ676" s="9">
        <v>29</v>
      </c>
      <c r="CR676" s="9">
        <v>3</v>
      </c>
      <c r="CS676" s="167">
        <f>'HourGH-JAN'!E41</f>
        <v>0.32</v>
      </c>
      <c r="CT676" s="9">
        <v>675</v>
      </c>
      <c r="CU676" s="9">
        <v>29</v>
      </c>
      <c r="CV676" s="9">
        <v>3</v>
      </c>
      <c r="CW676" s="167">
        <f>'HourGH-FEB'!E41</f>
        <v>0</v>
      </c>
      <c r="CX676" s="263">
        <v>675</v>
      </c>
      <c r="CY676" s="9">
        <v>29</v>
      </c>
      <c r="CZ676" s="9">
        <v>3</v>
      </c>
      <c r="DA676" s="167">
        <f>'HourGH-MAR'!E41</f>
        <v>0.65</v>
      </c>
    </row>
    <row r="677" spans="58:105">
      <c r="BF677" s="9">
        <v>676</v>
      </c>
      <c r="BG677" s="9">
        <v>29</v>
      </c>
      <c r="BH677" s="9">
        <v>4</v>
      </c>
      <c r="BI677" s="167">
        <f>'HourGH-APR'!F41</f>
        <v>0.56000000000000005</v>
      </c>
      <c r="BJ677" s="263">
        <v>676</v>
      </c>
      <c r="BK677" s="9">
        <v>29</v>
      </c>
      <c r="BL677" s="9">
        <v>4</v>
      </c>
      <c r="BM677" s="167">
        <f>'HourGH-MAY'!F41</f>
        <v>0.18</v>
      </c>
      <c r="BN677" s="9">
        <v>676</v>
      </c>
      <c r="BO677" s="9">
        <v>29</v>
      </c>
      <c r="BP677" s="9">
        <v>4</v>
      </c>
      <c r="BQ677" s="167">
        <f>'HourGH-JUN'!F41</f>
        <v>0.23</v>
      </c>
      <c r="BR677" s="263">
        <v>676</v>
      </c>
      <c r="BS677" s="9">
        <v>29</v>
      </c>
      <c r="BT677" s="9">
        <v>4</v>
      </c>
      <c r="BU677" s="167">
        <f>'HourGH-JUL'!F41</f>
        <v>0.4</v>
      </c>
      <c r="BV677" s="263">
        <v>676</v>
      </c>
      <c r="BW677" s="9">
        <v>29</v>
      </c>
      <c r="BX677" s="9">
        <v>4</v>
      </c>
      <c r="BY677" s="167">
        <f>'HourGH-AUG'!F41</f>
        <v>0.59</v>
      </c>
      <c r="BZ677" s="9">
        <v>676</v>
      </c>
      <c r="CA677" s="9">
        <v>29</v>
      </c>
      <c r="CB677" s="9">
        <v>4</v>
      </c>
      <c r="CC677" s="167">
        <f>'HourGH-SEP'!F41</f>
        <v>1.83</v>
      </c>
      <c r="CD677" s="263">
        <v>676</v>
      </c>
      <c r="CE677" s="9">
        <v>29</v>
      </c>
      <c r="CF677" s="9">
        <v>4</v>
      </c>
      <c r="CG677" s="167">
        <f>'HourGH-OCT'!F41</f>
        <v>1.33</v>
      </c>
      <c r="CH677" s="9">
        <v>676</v>
      </c>
      <c r="CI677" s="9">
        <v>29</v>
      </c>
      <c r="CJ677" s="9">
        <v>4</v>
      </c>
      <c r="CK677" s="167">
        <f>'HourGH-NOV'!F41</f>
        <v>0.56999999999999995</v>
      </c>
      <c r="CL677" s="263">
        <v>676</v>
      </c>
      <c r="CM677" s="9">
        <v>29</v>
      </c>
      <c r="CN677" s="9">
        <v>4</v>
      </c>
      <c r="CO677" s="167">
        <f>'HourGH-DEC'!F41</f>
        <v>0.44</v>
      </c>
      <c r="CP677" s="263">
        <v>676</v>
      </c>
      <c r="CQ677" s="9">
        <v>29</v>
      </c>
      <c r="CR677" s="9">
        <v>4</v>
      </c>
      <c r="CS677" s="167">
        <f>'HourGH-JAN'!F41</f>
        <v>0.32</v>
      </c>
      <c r="CT677" s="9">
        <v>676</v>
      </c>
      <c r="CU677" s="9">
        <v>29</v>
      </c>
      <c r="CV677" s="9">
        <v>4</v>
      </c>
      <c r="CW677" s="167">
        <f>'HourGH-FEB'!F41</f>
        <v>0</v>
      </c>
      <c r="CX677" s="263">
        <v>676</v>
      </c>
      <c r="CY677" s="9">
        <v>29</v>
      </c>
      <c r="CZ677" s="9">
        <v>4</v>
      </c>
      <c r="DA677" s="167">
        <f>'HourGH-MAR'!F41</f>
        <v>0.66</v>
      </c>
    </row>
    <row r="678" spans="58:105">
      <c r="BF678" s="9">
        <v>677</v>
      </c>
      <c r="BG678" s="9">
        <v>29</v>
      </c>
      <c r="BH678" s="9">
        <v>5</v>
      </c>
      <c r="BI678" s="167">
        <f>'HourGH-APR'!G41</f>
        <v>0.56000000000000005</v>
      </c>
      <c r="BJ678" s="263">
        <v>677</v>
      </c>
      <c r="BK678" s="9">
        <v>29</v>
      </c>
      <c r="BL678" s="9">
        <v>5</v>
      </c>
      <c r="BM678" s="167">
        <f>'HourGH-MAY'!G41</f>
        <v>0.18</v>
      </c>
      <c r="BN678" s="9">
        <v>677</v>
      </c>
      <c r="BO678" s="9">
        <v>29</v>
      </c>
      <c r="BP678" s="9">
        <v>5</v>
      </c>
      <c r="BQ678" s="167">
        <f>'HourGH-JUN'!G41</f>
        <v>0.23</v>
      </c>
      <c r="BR678" s="263">
        <v>677</v>
      </c>
      <c r="BS678" s="9">
        <v>29</v>
      </c>
      <c r="BT678" s="9">
        <v>5</v>
      </c>
      <c r="BU678" s="167">
        <f>'HourGH-JUL'!G41</f>
        <v>0.4</v>
      </c>
      <c r="BV678" s="263">
        <v>677</v>
      </c>
      <c r="BW678" s="9">
        <v>29</v>
      </c>
      <c r="BX678" s="9">
        <v>5</v>
      </c>
      <c r="BY678" s="167">
        <f>'HourGH-AUG'!G41</f>
        <v>0.59</v>
      </c>
      <c r="BZ678" s="9">
        <v>677</v>
      </c>
      <c r="CA678" s="9">
        <v>29</v>
      </c>
      <c r="CB678" s="9">
        <v>5</v>
      </c>
      <c r="CC678" s="167">
        <f>'HourGH-SEP'!G41</f>
        <v>1.85</v>
      </c>
      <c r="CD678" s="263">
        <v>677</v>
      </c>
      <c r="CE678" s="9">
        <v>29</v>
      </c>
      <c r="CF678" s="9">
        <v>5</v>
      </c>
      <c r="CG678" s="167">
        <f>'HourGH-OCT'!G41</f>
        <v>1.36</v>
      </c>
      <c r="CH678" s="9">
        <v>677</v>
      </c>
      <c r="CI678" s="9">
        <v>29</v>
      </c>
      <c r="CJ678" s="9">
        <v>5</v>
      </c>
      <c r="CK678" s="167">
        <f>'HourGH-NOV'!G41</f>
        <v>0.56999999999999995</v>
      </c>
      <c r="CL678" s="263">
        <v>677</v>
      </c>
      <c r="CM678" s="9">
        <v>29</v>
      </c>
      <c r="CN678" s="9">
        <v>5</v>
      </c>
      <c r="CO678" s="167">
        <f>'HourGH-DEC'!G41</f>
        <v>0.44</v>
      </c>
      <c r="CP678" s="263">
        <v>677</v>
      </c>
      <c r="CQ678" s="9">
        <v>29</v>
      </c>
      <c r="CR678" s="9">
        <v>5</v>
      </c>
      <c r="CS678" s="167">
        <f>'HourGH-JAN'!G41</f>
        <v>0.32</v>
      </c>
      <c r="CT678" s="9">
        <v>677</v>
      </c>
      <c r="CU678" s="9">
        <v>29</v>
      </c>
      <c r="CV678" s="9">
        <v>5</v>
      </c>
      <c r="CW678" s="167">
        <f>'HourGH-FEB'!G41</f>
        <v>0</v>
      </c>
      <c r="CX678" s="263">
        <v>677</v>
      </c>
      <c r="CY678" s="9">
        <v>29</v>
      </c>
      <c r="CZ678" s="9">
        <v>5</v>
      </c>
      <c r="DA678" s="167">
        <f>'HourGH-MAR'!G41</f>
        <v>0.68</v>
      </c>
    </row>
    <row r="679" spans="58:105">
      <c r="BF679" s="9">
        <v>678</v>
      </c>
      <c r="BG679" s="9">
        <v>29</v>
      </c>
      <c r="BH679" s="9">
        <v>6</v>
      </c>
      <c r="BI679" s="167">
        <f>'HourGH-APR'!H41</f>
        <v>0.56000000000000005</v>
      </c>
      <c r="BJ679" s="263">
        <v>678</v>
      </c>
      <c r="BK679" s="9">
        <v>29</v>
      </c>
      <c r="BL679" s="9">
        <v>6</v>
      </c>
      <c r="BM679" s="167">
        <f>'HourGH-MAY'!H41</f>
        <v>0.18</v>
      </c>
      <c r="BN679" s="9">
        <v>678</v>
      </c>
      <c r="BO679" s="9">
        <v>29</v>
      </c>
      <c r="BP679" s="9">
        <v>6</v>
      </c>
      <c r="BQ679" s="167">
        <f>'HourGH-JUN'!H41</f>
        <v>0.23</v>
      </c>
      <c r="BR679" s="263">
        <v>678</v>
      </c>
      <c r="BS679" s="9">
        <v>29</v>
      </c>
      <c r="BT679" s="9">
        <v>6</v>
      </c>
      <c r="BU679" s="167">
        <f>'HourGH-JUL'!H41</f>
        <v>0.4</v>
      </c>
      <c r="BV679" s="263">
        <v>678</v>
      </c>
      <c r="BW679" s="9">
        <v>29</v>
      </c>
      <c r="BX679" s="9">
        <v>6</v>
      </c>
      <c r="BY679" s="167">
        <f>'HourGH-AUG'!H41</f>
        <v>0.57999999999999996</v>
      </c>
      <c r="BZ679" s="9">
        <v>678</v>
      </c>
      <c r="CA679" s="9">
        <v>29</v>
      </c>
      <c r="CB679" s="9">
        <v>6</v>
      </c>
      <c r="CC679" s="167">
        <f>'HourGH-SEP'!H41</f>
        <v>1.88</v>
      </c>
      <c r="CD679" s="263">
        <v>678</v>
      </c>
      <c r="CE679" s="9">
        <v>29</v>
      </c>
      <c r="CF679" s="9">
        <v>6</v>
      </c>
      <c r="CG679" s="167">
        <f>'HourGH-OCT'!H41</f>
        <v>1.38</v>
      </c>
      <c r="CH679" s="9">
        <v>678</v>
      </c>
      <c r="CI679" s="9">
        <v>29</v>
      </c>
      <c r="CJ679" s="9">
        <v>6</v>
      </c>
      <c r="CK679" s="167">
        <f>'HourGH-NOV'!H41</f>
        <v>0.56999999999999995</v>
      </c>
      <c r="CL679" s="263">
        <v>678</v>
      </c>
      <c r="CM679" s="9">
        <v>29</v>
      </c>
      <c r="CN679" s="9">
        <v>6</v>
      </c>
      <c r="CO679" s="167">
        <f>'HourGH-DEC'!H41</f>
        <v>0.44</v>
      </c>
      <c r="CP679" s="263">
        <v>678</v>
      </c>
      <c r="CQ679" s="9">
        <v>29</v>
      </c>
      <c r="CR679" s="9">
        <v>6</v>
      </c>
      <c r="CS679" s="167">
        <f>'HourGH-JAN'!H41</f>
        <v>0.32</v>
      </c>
      <c r="CT679" s="9">
        <v>678</v>
      </c>
      <c r="CU679" s="9">
        <v>29</v>
      </c>
      <c r="CV679" s="9">
        <v>6</v>
      </c>
      <c r="CW679" s="167">
        <f>'HourGH-FEB'!H41</f>
        <v>0</v>
      </c>
      <c r="CX679" s="263">
        <v>678</v>
      </c>
      <c r="CY679" s="9">
        <v>29</v>
      </c>
      <c r="CZ679" s="9">
        <v>6</v>
      </c>
      <c r="DA679" s="167">
        <f>'HourGH-MAR'!H41</f>
        <v>0.69</v>
      </c>
    </row>
    <row r="680" spans="58:105">
      <c r="BF680" s="9">
        <v>679</v>
      </c>
      <c r="BG680" s="9">
        <v>29</v>
      </c>
      <c r="BH680" s="9">
        <v>7</v>
      </c>
      <c r="BI680" s="167">
        <f>'HourGH-APR'!I41</f>
        <v>0.56000000000000005</v>
      </c>
      <c r="BJ680" s="263">
        <v>679</v>
      </c>
      <c r="BK680" s="9">
        <v>29</v>
      </c>
      <c r="BL680" s="9">
        <v>7</v>
      </c>
      <c r="BM680" s="167">
        <f>'HourGH-MAY'!I41</f>
        <v>0.19</v>
      </c>
      <c r="BN680" s="9">
        <v>679</v>
      </c>
      <c r="BO680" s="9">
        <v>29</v>
      </c>
      <c r="BP680" s="9">
        <v>7</v>
      </c>
      <c r="BQ680" s="167">
        <f>'HourGH-JUN'!I41</f>
        <v>0.23</v>
      </c>
      <c r="BR680" s="263">
        <v>679</v>
      </c>
      <c r="BS680" s="9">
        <v>29</v>
      </c>
      <c r="BT680" s="9">
        <v>7</v>
      </c>
      <c r="BU680" s="167">
        <f>'HourGH-JUL'!I41</f>
        <v>0.41</v>
      </c>
      <c r="BV680" s="263">
        <v>679</v>
      </c>
      <c r="BW680" s="9">
        <v>29</v>
      </c>
      <c r="BX680" s="9">
        <v>7</v>
      </c>
      <c r="BY680" s="167">
        <f>'HourGH-AUG'!I41</f>
        <v>0.57999999999999996</v>
      </c>
      <c r="BZ680" s="9">
        <v>679</v>
      </c>
      <c r="CA680" s="9">
        <v>29</v>
      </c>
      <c r="CB680" s="9">
        <v>7</v>
      </c>
      <c r="CC680" s="167">
        <f>'HourGH-SEP'!I41</f>
        <v>1.9</v>
      </c>
      <c r="CD680" s="263">
        <v>679</v>
      </c>
      <c r="CE680" s="9">
        <v>29</v>
      </c>
      <c r="CF680" s="9">
        <v>7</v>
      </c>
      <c r="CG680" s="167">
        <f>'HourGH-OCT'!I41</f>
        <v>1.4</v>
      </c>
      <c r="CH680" s="9">
        <v>679</v>
      </c>
      <c r="CI680" s="9">
        <v>29</v>
      </c>
      <c r="CJ680" s="9">
        <v>7</v>
      </c>
      <c r="CK680" s="167">
        <f>'HourGH-NOV'!I41</f>
        <v>0.56999999999999995</v>
      </c>
      <c r="CL680" s="263">
        <v>679</v>
      </c>
      <c r="CM680" s="9">
        <v>29</v>
      </c>
      <c r="CN680" s="9">
        <v>7</v>
      </c>
      <c r="CO680" s="167">
        <f>'HourGH-DEC'!I41</f>
        <v>0.44</v>
      </c>
      <c r="CP680" s="263">
        <v>679</v>
      </c>
      <c r="CQ680" s="9">
        <v>29</v>
      </c>
      <c r="CR680" s="9">
        <v>7</v>
      </c>
      <c r="CS680" s="167">
        <f>'HourGH-JAN'!I41</f>
        <v>0.32</v>
      </c>
      <c r="CT680" s="9">
        <v>679</v>
      </c>
      <c r="CU680" s="9">
        <v>29</v>
      </c>
      <c r="CV680" s="9">
        <v>7</v>
      </c>
      <c r="CW680" s="167">
        <f>'HourGH-FEB'!I41</f>
        <v>0</v>
      </c>
      <c r="CX680" s="263">
        <v>679</v>
      </c>
      <c r="CY680" s="9">
        <v>29</v>
      </c>
      <c r="CZ680" s="9">
        <v>7</v>
      </c>
      <c r="DA680" s="167">
        <f>'HourGH-MAR'!I41</f>
        <v>0.69</v>
      </c>
    </row>
    <row r="681" spans="58:105">
      <c r="BF681" s="9">
        <v>680</v>
      </c>
      <c r="BG681" s="9">
        <v>29</v>
      </c>
      <c r="BH681" s="9">
        <v>8</v>
      </c>
      <c r="BI681" s="167">
        <f>'HourGH-APR'!J41</f>
        <v>0.56000000000000005</v>
      </c>
      <c r="BJ681" s="263">
        <v>680</v>
      </c>
      <c r="BK681" s="9">
        <v>29</v>
      </c>
      <c r="BL681" s="9">
        <v>8</v>
      </c>
      <c r="BM681" s="167">
        <f>'HourGH-MAY'!J41</f>
        <v>0.19</v>
      </c>
      <c r="BN681" s="9">
        <v>680</v>
      </c>
      <c r="BO681" s="9">
        <v>29</v>
      </c>
      <c r="BP681" s="9">
        <v>8</v>
      </c>
      <c r="BQ681" s="167">
        <f>'HourGH-JUN'!J41</f>
        <v>0.23</v>
      </c>
      <c r="BR681" s="263">
        <v>680</v>
      </c>
      <c r="BS681" s="9">
        <v>29</v>
      </c>
      <c r="BT681" s="9">
        <v>8</v>
      </c>
      <c r="BU681" s="167">
        <f>'HourGH-JUL'!J41</f>
        <v>0.41</v>
      </c>
      <c r="BV681" s="263">
        <v>680</v>
      </c>
      <c r="BW681" s="9">
        <v>29</v>
      </c>
      <c r="BX681" s="9">
        <v>8</v>
      </c>
      <c r="BY681" s="167">
        <f>'HourGH-AUG'!J41</f>
        <v>0.57999999999999996</v>
      </c>
      <c r="BZ681" s="9">
        <v>680</v>
      </c>
      <c r="CA681" s="9">
        <v>29</v>
      </c>
      <c r="CB681" s="9">
        <v>8</v>
      </c>
      <c r="CC681" s="167">
        <f>'HourGH-SEP'!J41</f>
        <v>1.92</v>
      </c>
      <c r="CD681" s="263">
        <v>680</v>
      </c>
      <c r="CE681" s="9">
        <v>29</v>
      </c>
      <c r="CF681" s="9">
        <v>8</v>
      </c>
      <c r="CG681" s="167">
        <f>'HourGH-OCT'!J41</f>
        <v>1.42</v>
      </c>
      <c r="CH681" s="9">
        <v>680</v>
      </c>
      <c r="CI681" s="9">
        <v>29</v>
      </c>
      <c r="CJ681" s="9">
        <v>8</v>
      </c>
      <c r="CK681" s="167">
        <f>'HourGH-NOV'!J41</f>
        <v>0.56999999999999995</v>
      </c>
      <c r="CL681" s="263">
        <v>680</v>
      </c>
      <c r="CM681" s="9">
        <v>29</v>
      </c>
      <c r="CN681" s="9">
        <v>8</v>
      </c>
      <c r="CO681" s="167">
        <f>'HourGH-DEC'!J41</f>
        <v>0.44</v>
      </c>
      <c r="CP681" s="263">
        <v>680</v>
      </c>
      <c r="CQ681" s="9">
        <v>29</v>
      </c>
      <c r="CR681" s="9">
        <v>8</v>
      </c>
      <c r="CS681" s="167">
        <f>'HourGH-JAN'!J41</f>
        <v>0.32</v>
      </c>
      <c r="CT681" s="9">
        <v>680</v>
      </c>
      <c r="CU681" s="9">
        <v>29</v>
      </c>
      <c r="CV681" s="9">
        <v>8</v>
      </c>
      <c r="CW681" s="167">
        <f>'HourGH-FEB'!J41</f>
        <v>0</v>
      </c>
      <c r="CX681" s="263">
        <v>680</v>
      </c>
      <c r="CY681" s="9">
        <v>29</v>
      </c>
      <c r="CZ681" s="9">
        <v>8</v>
      </c>
      <c r="DA681" s="167">
        <f>'HourGH-MAR'!J41</f>
        <v>0.7</v>
      </c>
    </row>
    <row r="682" spans="58:105">
      <c r="BF682" s="9">
        <v>681</v>
      </c>
      <c r="BG682" s="9">
        <v>29</v>
      </c>
      <c r="BH682" s="9">
        <v>9</v>
      </c>
      <c r="BI682" s="167">
        <f>'HourGH-APR'!K41</f>
        <v>0.56000000000000005</v>
      </c>
      <c r="BJ682" s="263">
        <v>681</v>
      </c>
      <c r="BK682" s="9">
        <v>29</v>
      </c>
      <c r="BL682" s="9">
        <v>9</v>
      </c>
      <c r="BM682" s="167">
        <f>'HourGH-MAY'!K41</f>
        <v>0.19</v>
      </c>
      <c r="BN682" s="9">
        <v>681</v>
      </c>
      <c r="BO682" s="9">
        <v>29</v>
      </c>
      <c r="BP682" s="9">
        <v>9</v>
      </c>
      <c r="BQ682" s="167">
        <f>'HourGH-JUN'!K41</f>
        <v>0.23</v>
      </c>
      <c r="BR682" s="263">
        <v>681</v>
      </c>
      <c r="BS682" s="9">
        <v>29</v>
      </c>
      <c r="BT682" s="9">
        <v>9</v>
      </c>
      <c r="BU682" s="167">
        <f>'HourGH-JUL'!K41</f>
        <v>0.42</v>
      </c>
      <c r="BV682" s="263">
        <v>681</v>
      </c>
      <c r="BW682" s="9">
        <v>29</v>
      </c>
      <c r="BX682" s="9">
        <v>9</v>
      </c>
      <c r="BY682" s="167">
        <f>'HourGH-AUG'!K41</f>
        <v>0.57999999999999996</v>
      </c>
      <c r="BZ682" s="9">
        <v>681</v>
      </c>
      <c r="CA682" s="9">
        <v>29</v>
      </c>
      <c r="CB682" s="9">
        <v>9</v>
      </c>
      <c r="CC682" s="167">
        <f>'HourGH-SEP'!K41</f>
        <v>1.93</v>
      </c>
      <c r="CD682" s="263">
        <v>681</v>
      </c>
      <c r="CE682" s="9">
        <v>29</v>
      </c>
      <c r="CF682" s="9">
        <v>9</v>
      </c>
      <c r="CG682" s="167">
        <f>'HourGH-OCT'!K41</f>
        <v>1.44</v>
      </c>
      <c r="CH682" s="9">
        <v>681</v>
      </c>
      <c r="CI682" s="9">
        <v>29</v>
      </c>
      <c r="CJ682" s="9">
        <v>9</v>
      </c>
      <c r="CK682" s="167">
        <f>'HourGH-NOV'!K41</f>
        <v>0.56999999999999995</v>
      </c>
      <c r="CL682" s="263">
        <v>681</v>
      </c>
      <c r="CM682" s="9">
        <v>29</v>
      </c>
      <c r="CN682" s="9">
        <v>9</v>
      </c>
      <c r="CO682" s="167">
        <f>'HourGH-DEC'!K41</f>
        <v>0.44</v>
      </c>
      <c r="CP682" s="263">
        <v>681</v>
      </c>
      <c r="CQ682" s="9">
        <v>29</v>
      </c>
      <c r="CR682" s="9">
        <v>9</v>
      </c>
      <c r="CS682" s="167">
        <f>'HourGH-JAN'!K41</f>
        <v>0.32</v>
      </c>
      <c r="CT682" s="9">
        <v>681</v>
      </c>
      <c r="CU682" s="9">
        <v>29</v>
      </c>
      <c r="CV682" s="9">
        <v>9</v>
      </c>
      <c r="CW682" s="167">
        <f>'HourGH-FEB'!K41</f>
        <v>0</v>
      </c>
      <c r="CX682" s="263">
        <v>681</v>
      </c>
      <c r="CY682" s="9">
        <v>29</v>
      </c>
      <c r="CZ682" s="9">
        <v>9</v>
      </c>
      <c r="DA682" s="167">
        <f>'HourGH-MAR'!K41</f>
        <v>0.7</v>
      </c>
    </row>
    <row r="683" spans="58:105">
      <c r="BF683" s="9">
        <v>682</v>
      </c>
      <c r="BG683" s="9">
        <v>29</v>
      </c>
      <c r="BH683" s="9">
        <v>10</v>
      </c>
      <c r="BI683" s="167">
        <f>'HourGH-APR'!L41</f>
        <v>0.56000000000000005</v>
      </c>
      <c r="BJ683" s="263">
        <v>682</v>
      </c>
      <c r="BK683" s="9">
        <v>29</v>
      </c>
      <c r="BL683" s="9">
        <v>10</v>
      </c>
      <c r="BM683" s="167">
        <f>'HourGH-MAY'!L41</f>
        <v>0.19</v>
      </c>
      <c r="BN683" s="9">
        <v>682</v>
      </c>
      <c r="BO683" s="9">
        <v>29</v>
      </c>
      <c r="BP683" s="9">
        <v>10</v>
      </c>
      <c r="BQ683" s="167">
        <f>'HourGH-JUN'!L41</f>
        <v>0.23</v>
      </c>
      <c r="BR683" s="263">
        <v>682</v>
      </c>
      <c r="BS683" s="9">
        <v>29</v>
      </c>
      <c r="BT683" s="9">
        <v>10</v>
      </c>
      <c r="BU683" s="167">
        <f>'HourGH-JUL'!L41</f>
        <v>0.42</v>
      </c>
      <c r="BV683" s="263">
        <v>682</v>
      </c>
      <c r="BW683" s="9">
        <v>29</v>
      </c>
      <c r="BX683" s="9">
        <v>10</v>
      </c>
      <c r="BY683" s="167">
        <f>'HourGH-AUG'!L41</f>
        <v>0.57999999999999996</v>
      </c>
      <c r="BZ683" s="9">
        <v>682</v>
      </c>
      <c r="CA683" s="9">
        <v>29</v>
      </c>
      <c r="CB683" s="9">
        <v>10</v>
      </c>
      <c r="CC683" s="167">
        <f>'HourGH-SEP'!L41</f>
        <v>1.93</v>
      </c>
      <c r="CD683" s="263">
        <v>682</v>
      </c>
      <c r="CE683" s="9">
        <v>29</v>
      </c>
      <c r="CF683" s="9">
        <v>10</v>
      </c>
      <c r="CG683" s="167">
        <f>'HourGH-OCT'!L41</f>
        <v>1.45</v>
      </c>
      <c r="CH683" s="9">
        <v>682</v>
      </c>
      <c r="CI683" s="9">
        <v>29</v>
      </c>
      <c r="CJ683" s="9">
        <v>10</v>
      </c>
      <c r="CK683" s="167">
        <f>'HourGH-NOV'!L41</f>
        <v>0.56999999999999995</v>
      </c>
      <c r="CL683" s="263">
        <v>682</v>
      </c>
      <c r="CM683" s="9">
        <v>29</v>
      </c>
      <c r="CN683" s="9">
        <v>10</v>
      </c>
      <c r="CO683" s="167">
        <f>'HourGH-DEC'!L41</f>
        <v>0.44</v>
      </c>
      <c r="CP683" s="263">
        <v>682</v>
      </c>
      <c r="CQ683" s="9">
        <v>29</v>
      </c>
      <c r="CR683" s="9">
        <v>10</v>
      </c>
      <c r="CS683" s="167">
        <f>'HourGH-JAN'!L41</f>
        <v>0.32</v>
      </c>
      <c r="CT683" s="9">
        <v>682</v>
      </c>
      <c r="CU683" s="9">
        <v>29</v>
      </c>
      <c r="CV683" s="9">
        <v>10</v>
      </c>
      <c r="CW683" s="167">
        <f>'HourGH-FEB'!L41</f>
        <v>0</v>
      </c>
      <c r="CX683" s="263">
        <v>682</v>
      </c>
      <c r="CY683" s="9">
        <v>29</v>
      </c>
      <c r="CZ683" s="9">
        <v>10</v>
      </c>
      <c r="DA683" s="167">
        <f>'HourGH-MAR'!L41</f>
        <v>0.71</v>
      </c>
    </row>
    <row r="684" spans="58:105">
      <c r="BF684" s="9">
        <v>683</v>
      </c>
      <c r="BG684" s="9">
        <v>29</v>
      </c>
      <c r="BH684" s="9">
        <v>11</v>
      </c>
      <c r="BI684" s="167">
        <f>'HourGH-APR'!M41</f>
        <v>0.56000000000000005</v>
      </c>
      <c r="BJ684" s="263">
        <v>683</v>
      </c>
      <c r="BK684" s="9">
        <v>29</v>
      </c>
      <c r="BL684" s="9">
        <v>11</v>
      </c>
      <c r="BM684" s="167">
        <f>'HourGH-MAY'!M41</f>
        <v>0.19</v>
      </c>
      <c r="BN684" s="9">
        <v>683</v>
      </c>
      <c r="BO684" s="9">
        <v>29</v>
      </c>
      <c r="BP684" s="9">
        <v>11</v>
      </c>
      <c r="BQ684" s="167">
        <f>'HourGH-JUN'!M41</f>
        <v>0.23</v>
      </c>
      <c r="BR684" s="263">
        <v>683</v>
      </c>
      <c r="BS684" s="9">
        <v>29</v>
      </c>
      <c r="BT684" s="9">
        <v>11</v>
      </c>
      <c r="BU684" s="167">
        <f>'HourGH-JUL'!M41</f>
        <v>0.43</v>
      </c>
      <c r="BV684" s="263">
        <v>683</v>
      </c>
      <c r="BW684" s="9">
        <v>29</v>
      </c>
      <c r="BX684" s="9">
        <v>11</v>
      </c>
      <c r="BY684" s="167">
        <f>'HourGH-AUG'!M41</f>
        <v>0.57999999999999996</v>
      </c>
      <c r="BZ684" s="9">
        <v>683</v>
      </c>
      <c r="CA684" s="9">
        <v>29</v>
      </c>
      <c r="CB684" s="9">
        <v>11</v>
      </c>
      <c r="CC684" s="167">
        <f>'HourGH-SEP'!M41</f>
        <v>1.93</v>
      </c>
      <c r="CD684" s="263">
        <v>683</v>
      </c>
      <c r="CE684" s="9">
        <v>29</v>
      </c>
      <c r="CF684" s="9">
        <v>11</v>
      </c>
      <c r="CG684" s="167">
        <f>'HourGH-OCT'!M41</f>
        <v>1.46</v>
      </c>
      <c r="CH684" s="9">
        <v>683</v>
      </c>
      <c r="CI684" s="9">
        <v>29</v>
      </c>
      <c r="CJ684" s="9">
        <v>11</v>
      </c>
      <c r="CK684" s="167">
        <f>'HourGH-NOV'!M41</f>
        <v>0.56999999999999995</v>
      </c>
      <c r="CL684" s="263">
        <v>683</v>
      </c>
      <c r="CM684" s="9">
        <v>29</v>
      </c>
      <c r="CN684" s="9">
        <v>11</v>
      </c>
      <c r="CO684" s="167">
        <f>'HourGH-DEC'!M41</f>
        <v>0.44</v>
      </c>
      <c r="CP684" s="263">
        <v>683</v>
      </c>
      <c r="CQ684" s="9">
        <v>29</v>
      </c>
      <c r="CR684" s="9">
        <v>11</v>
      </c>
      <c r="CS684" s="167">
        <f>'HourGH-JAN'!M41</f>
        <v>0.32</v>
      </c>
      <c r="CT684" s="9">
        <v>683</v>
      </c>
      <c r="CU684" s="9">
        <v>29</v>
      </c>
      <c r="CV684" s="9">
        <v>11</v>
      </c>
      <c r="CW684" s="167">
        <f>'HourGH-FEB'!M41</f>
        <v>0</v>
      </c>
      <c r="CX684" s="263">
        <v>683</v>
      </c>
      <c r="CY684" s="9">
        <v>29</v>
      </c>
      <c r="CZ684" s="9">
        <v>11</v>
      </c>
      <c r="DA684" s="167">
        <f>'HourGH-MAR'!M41</f>
        <v>0.71</v>
      </c>
    </row>
    <row r="685" spans="58:105">
      <c r="BF685" s="9">
        <v>684</v>
      </c>
      <c r="BG685" s="9">
        <v>29</v>
      </c>
      <c r="BH685" s="9">
        <v>12</v>
      </c>
      <c r="BI685" s="167">
        <f>'HourGH-APR'!N41</f>
        <v>0.56000000000000005</v>
      </c>
      <c r="BJ685" s="263">
        <v>684</v>
      </c>
      <c r="BK685" s="9">
        <v>29</v>
      </c>
      <c r="BL685" s="9">
        <v>12</v>
      </c>
      <c r="BM685" s="167">
        <f>'HourGH-MAY'!N41</f>
        <v>0.19</v>
      </c>
      <c r="BN685" s="9">
        <v>684</v>
      </c>
      <c r="BO685" s="9">
        <v>29</v>
      </c>
      <c r="BP685" s="9">
        <v>12</v>
      </c>
      <c r="BQ685" s="167">
        <f>'HourGH-JUN'!N41</f>
        <v>0.23</v>
      </c>
      <c r="BR685" s="263">
        <v>684</v>
      </c>
      <c r="BS685" s="9">
        <v>29</v>
      </c>
      <c r="BT685" s="9">
        <v>12</v>
      </c>
      <c r="BU685" s="167">
        <f>'HourGH-JUL'!N41</f>
        <v>0.43</v>
      </c>
      <c r="BV685" s="263">
        <v>684</v>
      </c>
      <c r="BW685" s="9">
        <v>29</v>
      </c>
      <c r="BX685" s="9">
        <v>12</v>
      </c>
      <c r="BY685" s="167">
        <f>'HourGH-AUG'!N41</f>
        <v>0.57999999999999996</v>
      </c>
      <c r="BZ685" s="9">
        <v>684</v>
      </c>
      <c r="CA685" s="9">
        <v>29</v>
      </c>
      <c r="CB685" s="9">
        <v>12</v>
      </c>
      <c r="CC685" s="167">
        <f>'HourGH-SEP'!N41</f>
        <v>1.92</v>
      </c>
      <c r="CD685" s="263">
        <v>684</v>
      </c>
      <c r="CE685" s="9">
        <v>29</v>
      </c>
      <c r="CF685" s="9">
        <v>12</v>
      </c>
      <c r="CG685" s="167">
        <f>'HourGH-OCT'!N41</f>
        <v>1.47</v>
      </c>
      <c r="CH685" s="9">
        <v>684</v>
      </c>
      <c r="CI685" s="9">
        <v>29</v>
      </c>
      <c r="CJ685" s="9">
        <v>12</v>
      </c>
      <c r="CK685" s="167">
        <f>'HourGH-NOV'!N41</f>
        <v>0.56999999999999995</v>
      </c>
      <c r="CL685" s="263">
        <v>684</v>
      </c>
      <c r="CM685" s="9">
        <v>29</v>
      </c>
      <c r="CN685" s="9">
        <v>12</v>
      </c>
      <c r="CO685" s="167">
        <f>'HourGH-DEC'!N41</f>
        <v>0.44</v>
      </c>
      <c r="CP685" s="263">
        <v>684</v>
      </c>
      <c r="CQ685" s="9">
        <v>29</v>
      </c>
      <c r="CR685" s="9">
        <v>12</v>
      </c>
      <c r="CS685" s="167">
        <f>'HourGH-JAN'!N41</f>
        <v>0.32</v>
      </c>
      <c r="CT685" s="9">
        <v>684</v>
      </c>
      <c r="CU685" s="9">
        <v>29</v>
      </c>
      <c r="CV685" s="9">
        <v>12</v>
      </c>
      <c r="CW685" s="167">
        <f>'HourGH-FEB'!N41</f>
        <v>0</v>
      </c>
      <c r="CX685" s="263">
        <v>684</v>
      </c>
      <c r="CY685" s="9">
        <v>29</v>
      </c>
      <c r="CZ685" s="9">
        <v>12</v>
      </c>
      <c r="DA685" s="167">
        <f>'HourGH-MAR'!N41</f>
        <v>0.71</v>
      </c>
    </row>
    <row r="686" spans="58:105">
      <c r="BF686" s="9">
        <v>685</v>
      </c>
      <c r="BG686" s="9">
        <v>29</v>
      </c>
      <c r="BH686" s="9">
        <v>13</v>
      </c>
      <c r="BI686" s="167">
        <f>'HourGH-APR'!O41</f>
        <v>0.56000000000000005</v>
      </c>
      <c r="BJ686" s="263">
        <v>685</v>
      </c>
      <c r="BK686" s="9">
        <v>29</v>
      </c>
      <c r="BL686" s="9">
        <v>13</v>
      </c>
      <c r="BM686" s="167">
        <f>'HourGH-MAY'!O41</f>
        <v>0.19</v>
      </c>
      <c r="BN686" s="9">
        <v>685</v>
      </c>
      <c r="BO686" s="9">
        <v>29</v>
      </c>
      <c r="BP686" s="9">
        <v>13</v>
      </c>
      <c r="BQ686" s="167">
        <f>'HourGH-JUN'!O41</f>
        <v>0.24</v>
      </c>
      <c r="BR686" s="263">
        <v>685</v>
      </c>
      <c r="BS686" s="9">
        <v>29</v>
      </c>
      <c r="BT686" s="9">
        <v>13</v>
      </c>
      <c r="BU686" s="167">
        <f>'HourGH-JUL'!O41</f>
        <v>0.43</v>
      </c>
      <c r="BV686" s="263">
        <v>685</v>
      </c>
      <c r="BW686" s="9">
        <v>29</v>
      </c>
      <c r="BX686" s="9">
        <v>13</v>
      </c>
      <c r="BY686" s="167">
        <f>'HourGH-AUG'!O41</f>
        <v>0.56999999999999995</v>
      </c>
      <c r="BZ686" s="9">
        <v>685</v>
      </c>
      <c r="CA686" s="9">
        <v>29</v>
      </c>
      <c r="CB686" s="9">
        <v>13</v>
      </c>
      <c r="CC686" s="167">
        <f>'HourGH-SEP'!O41</f>
        <v>1.91</v>
      </c>
      <c r="CD686" s="263">
        <v>685</v>
      </c>
      <c r="CE686" s="9">
        <v>29</v>
      </c>
      <c r="CF686" s="9">
        <v>13</v>
      </c>
      <c r="CG686" s="167">
        <f>'HourGH-OCT'!O41</f>
        <v>1.48</v>
      </c>
      <c r="CH686" s="9">
        <v>685</v>
      </c>
      <c r="CI686" s="9">
        <v>29</v>
      </c>
      <c r="CJ686" s="9">
        <v>13</v>
      </c>
      <c r="CK686" s="167">
        <f>'HourGH-NOV'!O41</f>
        <v>0.56999999999999995</v>
      </c>
      <c r="CL686" s="263">
        <v>685</v>
      </c>
      <c r="CM686" s="9">
        <v>29</v>
      </c>
      <c r="CN686" s="9">
        <v>13</v>
      </c>
      <c r="CO686" s="167">
        <f>'HourGH-DEC'!O41</f>
        <v>0.44</v>
      </c>
      <c r="CP686" s="263">
        <v>685</v>
      </c>
      <c r="CQ686" s="9">
        <v>29</v>
      </c>
      <c r="CR686" s="9">
        <v>13</v>
      </c>
      <c r="CS686" s="167">
        <f>'HourGH-JAN'!O41</f>
        <v>0.32</v>
      </c>
      <c r="CT686" s="9">
        <v>685</v>
      </c>
      <c r="CU686" s="9">
        <v>29</v>
      </c>
      <c r="CV686" s="9">
        <v>13</v>
      </c>
      <c r="CW686" s="167">
        <f>'HourGH-FEB'!O41</f>
        <v>0</v>
      </c>
      <c r="CX686" s="263">
        <v>685</v>
      </c>
      <c r="CY686" s="9">
        <v>29</v>
      </c>
      <c r="CZ686" s="9">
        <v>13</v>
      </c>
      <c r="DA686" s="167">
        <f>'HourGH-MAR'!O41</f>
        <v>0.7</v>
      </c>
    </row>
    <row r="687" spans="58:105">
      <c r="BF687" s="9">
        <v>686</v>
      </c>
      <c r="BG687" s="9">
        <v>29</v>
      </c>
      <c r="BH687" s="9">
        <v>14</v>
      </c>
      <c r="BI687" s="167">
        <f>'HourGH-APR'!P41</f>
        <v>0.56000000000000005</v>
      </c>
      <c r="BJ687" s="263">
        <v>686</v>
      </c>
      <c r="BK687" s="9">
        <v>29</v>
      </c>
      <c r="BL687" s="9">
        <v>14</v>
      </c>
      <c r="BM687" s="167">
        <f>'HourGH-MAY'!P41</f>
        <v>0.19</v>
      </c>
      <c r="BN687" s="9">
        <v>686</v>
      </c>
      <c r="BO687" s="9">
        <v>29</v>
      </c>
      <c r="BP687" s="9">
        <v>14</v>
      </c>
      <c r="BQ687" s="167">
        <f>'HourGH-JUN'!P41</f>
        <v>0.24</v>
      </c>
      <c r="BR687" s="263">
        <v>686</v>
      </c>
      <c r="BS687" s="9">
        <v>29</v>
      </c>
      <c r="BT687" s="9">
        <v>14</v>
      </c>
      <c r="BU687" s="167">
        <f>'HourGH-JUL'!P41</f>
        <v>0.44</v>
      </c>
      <c r="BV687" s="263">
        <v>686</v>
      </c>
      <c r="BW687" s="9">
        <v>29</v>
      </c>
      <c r="BX687" s="9">
        <v>14</v>
      </c>
      <c r="BY687" s="167">
        <f>'HourGH-AUG'!P41</f>
        <v>0.56999999999999995</v>
      </c>
      <c r="BZ687" s="9">
        <v>686</v>
      </c>
      <c r="CA687" s="9">
        <v>29</v>
      </c>
      <c r="CB687" s="9">
        <v>14</v>
      </c>
      <c r="CC687" s="167">
        <f>'HourGH-SEP'!P41</f>
        <v>1.89</v>
      </c>
      <c r="CD687" s="263">
        <v>686</v>
      </c>
      <c r="CE687" s="9">
        <v>29</v>
      </c>
      <c r="CF687" s="9">
        <v>14</v>
      </c>
      <c r="CG687" s="167">
        <f>'HourGH-OCT'!P41</f>
        <v>1.48</v>
      </c>
      <c r="CH687" s="9">
        <v>686</v>
      </c>
      <c r="CI687" s="9">
        <v>29</v>
      </c>
      <c r="CJ687" s="9">
        <v>14</v>
      </c>
      <c r="CK687" s="167">
        <f>'HourGH-NOV'!P41</f>
        <v>0.56999999999999995</v>
      </c>
      <c r="CL687" s="263">
        <v>686</v>
      </c>
      <c r="CM687" s="9">
        <v>29</v>
      </c>
      <c r="CN687" s="9">
        <v>14</v>
      </c>
      <c r="CO687" s="167">
        <f>'HourGH-DEC'!P41</f>
        <v>0.44</v>
      </c>
      <c r="CP687" s="263">
        <v>686</v>
      </c>
      <c r="CQ687" s="9">
        <v>29</v>
      </c>
      <c r="CR687" s="9">
        <v>14</v>
      </c>
      <c r="CS687" s="167">
        <f>'HourGH-JAN'!P41</f>
        <v>0.32</v>
      </c>
      <c r="CT687" s="9">
        <v>686</v>
      </c>
      <c r="CU687" s="9">
        <v>29</v>
      </c>
      <c r="CV687" s="9">
        <v>14</v>
      </c>
      <c r="CW687" s="167">
        <f>'HourGH-FEB'!P41</f>
        <v>0</v>
      </c>
      <c r="CX687" s="263">
        <v>686</v>
      </c>
      <c r="CY687" s="9">
        <v>29</v>
      </c>
      <c r="CZ687" s="9">
        <v>14</v>
      </c>
      <c r="DA687" s="167">
        <f>'HourGH-MAR'!P41</f>
        <v>0.7</v>
      </c>
    </row>
    <row r="688" spans="58:105">
      <c r="BF688" s="9">
        <v>687</v>
      </c>
      <c r="BG688" s="9">
        <v>29</v>
      </c>
      <c r="BH688" s="9">
        <v>15</v>
      </c>
      <c r="BI688" s="167">
        <f>'HourGH-APR'!Q41</f>
        <v>0.56000000000000005</v>
      </c>
      <c r="BJ688" s="263">
        <v>687</v>
      </c>
      <c r="BK688" s="9">
        <v>29</v>
      </c>
      <c r="BL688" s="9">
        <v>15</v>
      </c>
      <c r="BM688" s="167">
        <f>'HourGH-MAY'!Q41</f>
        <v>0.19</v>
      </c>
      <c r="BN688" s="9">
        <v>687</v>
      </c>
      <c r="BO688" s="9">
        <v>29</v>
      </c>
      <c r="BP688" s="9">
        <v>15</v>
      </c>
      <c r="BQ688" s="167">
        <f>'HourGH-JUN'!Q41</f>
        <v>0.24</v>
      </c>
      <c r="BR688" s="263">
        <v>687</v>
      </c>
      <c r="BS688" s="9">
        <v>29</v>
      </c>
      <c r="BT688" s="9">
        <v>15</v>
      </c>
      <c r="BU688" s="167">
        <f>'HourGH-JUL'!Q41</f>
        <v>0.44</v>
      </c>
      <c r="BV688" s="263">
        <v>687</v>
      </c>
      <c r="BW688" s="9">
        <v>29</v>
      </c>
      <c r="BX688" s="9">
        <v>15</v>
      </c>
      <c r="BY688" s="167">
        <f>'HourGH-AUG'!Q41</f>
        <v>0.56999999999999995</v>
      </c>
      <c r="BZ688" s="9">
        <v>687</v>
      </c>
      <c r="CA688" s="9">
        <v>29</v>
      </c>
      <c r="CB688" s="9">
        <v>15</v>
      </c>
      <c r="CC688" s="167">
        <f>'HourGH-SEP'!Q41</f>
        <v>1.86</v>
      </c>
      <c r="CD688" s="263">
        <v>687</v>
      </c>
      <c r="CE688" s="9">
        <v>29</v>
      </c>
      <c r="CF688" s="9">
        <v>15</v>
      </c>
      <c r="CG688" s="167">
        <f>'HourGH-OCT'!Q41</f>
        <v>1.48</v>
      </c>
      <c r="CH688" s="9">
        <v>687</v>
      </c>
      <c r="CI688" s="9">
        <v>29</v>
      </c>
      <c r="CJ688" s="9">
        <v>15</v>
      </c>
      <c r="CK688" s="167">
        <f>'HourGH-NOV'!Q41</f>
        <v>0.56999999999999995</v>
      </c>
      <c r="CL688" s="263">
        <v>687</v>
      </c>
      <c r="CM688" s="9">
        <v>29</v>
      </c>
      <c r="CN688" s="9">
        <v>15</v>
      </c>
      <c r="CO688" s="167">
        <f>'HourGH-DEC'!Q41</f>
        <v>0.44</v>
      </c>
      <c r="CP688" s="263">
        <v>687</v>
      </c>
      <c r="CQ688" s="9">
        <v>29</v>
      </c>
      <c r="CR688" s="9">
        <v>15</v>
      </c>
      <c r="CS688" s="167">
        <f>'HourGH-JAN'!Q41</f>
        <v>0.32</v>
      </c>
      <c r="CT688" s="9">
        <v>687</v>
      </c>
      <c r="CU688" s="9">
        <v>29</v>
      </c>
      <c r="CV688" s="9">
        <v>15</v>
      </c>
      <c r="CW688" s="167">
        <f>'HourGH-FEB'!Q41</f>
        <v>0</v>
      </c>
      <c r="CX688" s="263">
        <v>687</v>
      </c>
      <c r="CY688" s="9">
        <v>29</v>
      </c>
      <c r="CZ688" s="9">
        <v>15</v>
      </c>
      <c r="DA688" s="167">
        <f>'HourGH-MAR'!Q41</f>
        <v>0.7</v>
      </c>
    </row>
    <row r="689" spans="58:105">
      <c r="BF689" s="9">
        <v>688</v>
      </c>
      <c r="BG689" s="9">
        <v>29</v>
      </c>
      <c r="BH689" s="9">
        <v>16</v>
      </c>
      <c r="BI689" s="167">
        <f>'HourGH-APR'!R41</f>
        <v>0.56000000000000005</v>
      </c>
      <c r="BJ689" s="263">
        <v>688</v>
      </c>
      <c r="BK689" s="9">
        <v>29</v>
      </c>
      <c r="BL689" s="9">
        <v>16</v>
      </c>
      <c r="BM689" s="167">
        <f>'HourGH-MAY'!R41</f>
        <v>0.19</v>
      </c>
      <c r="BN689" s="9">
        <v>688</v>
      </c>
      <c r="BO689" s="9">
        <v>29</v>
      </c>
      <c r="BP689" s="9">
        <v>16</v>
      </c>
      <c r="BQ689" s="167">
        <f>'HourGH-JUN'!R41</f>
        <v>0.24</v>
      </c>
      <c r="BR689" s="263">
        <v>688</v>
      </c>
      <c r="BS689" s="9">
        <v>29</v>
      </c>
      <c r="BT689" s="9">
        <v>16</v>
      </c>
      <c r="BU689" s="167">
        <f>'HourGH-JUL'!R41</f>
        <v>0.45</v>
      </c>
      <c r="BV689" s="263">
        <v>688</v>
      </c>
      <c r="BW689" s="9">
        <v>29</v>
      </c>
      <c r="BX689" s="9">
        <v>16</v>
      </c>
      <c r="BY689" s="167">
        <f>'HourGH-AUG'!R41</f>
        <v>0.56999999999999995</v>
      </c>
      <c r="BZ689" s="9">
        <v>688</v>
      </c>
      <c r="CA689" s="9">
        <v>29</v>
      </c>
      <c r="CB689" s="9">
        <v>16</v>
      </c>
      <c r="CC689" s="167">
        <f>'HourGH-SEP'!R41</f>
        <v>1.82</v>
      </c>
      <c r="CD689" s="263">
        <v>688</v>
      </c>
      <c r="CE689" s="9">
        <v>29</v>
      </c>
      <c r="CF689" s="9">
        <v>16</v>
      </c>
      <c r="CG689" s="167">
        <f>'HourGH-OCT'!R41</f>
        <v>1.48</v>
      </c>
      <c r="CH689" s="9">
        <v>688</v>
      </c>
      <c r="CI689" s="9">
        <v>29</v>
      </c>
      <c r="CJ689" s="9">
        <v>16</v>
      </c>
      <c r="CK689" s="167">
        <f>'HourGH-NOV'!R41</f>
        <v>0.56999999999999995</v>
      </c>
      <c r="CL689" s="263">
        <v>688</v>
      </c>
      <c r="CM689" s="9">
        <v>29</v>
      </c>
      <c r="CN689" s="9">
        <v>16</v>
      </c>
      <c r="CO689" s="167">
        <f>'HourGH-DEC'!R41</f>
        <v>0.44</v>
      </c>
      <c r="CP689" s="263">
        <v>688</v>
      </c>
      <c r="CQ689" s="9">
        <v>29</v>
      </c>
      <c r="CR689" s="9">
        <v>16</v>
      </c>
      <c r="CS689" s="167">
        <f>'HourGH-JAN'!R41</f>
        <v>0.32</v>
      </c>
      <c r="CT689" s="9">
        <v>688</v>
      </c>
      <c r="CU689" s="9">
        <v>29</v>
      </c>
      <c r="CV689" s="9">
        <v>16</v>
      </c>
      <c r="CW689" s="167">
        <f>'HourGH-FEB'!R41</f>
        <v>0</v>
      </c>
      <c r="CX689" s="263">
        <v>688</v>
      </c>
      <c r="CY689" s="9">
        <v>29</v>
      </c>
      <c r="CZ689" s="9">
        <v>16</v>
      </c>
      <c r="DA689" s="167">
        <f>'HourGH-MAR'!R41</f>
        <v>0.7</v>
      </c>
    </row>
    <row r="690" spans="58:105">
      <c r="BF690" s="9">
        <v>689</v>
      </c>
      <c r="BG690" s="9">
        <v>29</v>
      </c>
      <c r="BH690" s="9">
        <v>17</v>
      </c>
      <c r="BI690" s="167">
        <f>'HourGH-APR'!S41</f>
        <v>0.56000000000000005</v>
      </c>
      <c r="BJ690" s="263">
        <v>689</v>
      </c>
      <c r="BK690" s="9">
        <v>29</v>
      </c>
      <c r="BL690" s="9">
        <v>17</v>
      </c>
      <c r="BM690" s="167">
        <f>'HourGH-MAY'!S41</f>
        <v>0.19</v>
      </c>
      <c r="BN690" s="9">
        <v>689</v>
      </c>
      <c r="BO690" s="9">
        <v>29</v>
      </c>
      <c r="BP690" s="9">
        <v>17</v>
      </c>
      <c r="BQ690" s="167">
        <f>'HourGH-JUN'!S41</f>
        <v>0.24</v>
      </c>
      <c r="BR690" s="263">
        <v>689</v>
      </c>
      <c r="BS690" s="9">
        <v>29</v>
      </c>
      <c r="BT690" s="9">
        <v>17</v>
      </c>
      <c r="BU690" s="167">
        <f>'HourGH-JUL'!S41</f>
        <v>0.45</v>
      </c>
      <c r="BV690" s="263">
        <v>689</v>
      </c>
      <c r="BW690" s="9">
        <v>29</v>
      </c>
      <c r="BX690" s="9">
        <v>17</v>
      </c>
      <c r="BY690" s="167">
        <f>'HourGH-AUG'!S41</f>
        <v>0.56999999999999995</v>
      </c>
      <c r="BZ690" s="9">
        <v>689</v>
      </c>
      <c r="CA690" s="9">
        <v>29</v>
      </c>
      <c r="CB690" s="9">
        <v>17</v>
      </c>
      <c r="CC690" s="167">
        <f>'HourGH-SEP'!S41</f>
        <v>1.77</v>
      </c>
      <c r="CD690" s="263">
        <v>689</v>
      </c>
      <c r="CE690" s="9">
        <v>29</v>
      </c>
      <c r="CF690" s="9">
        <v>17</v>
      </c>
      <c r="CG690" s="167">
        <f>'HourGH-OCT'!S41</f>
        <v>1.47</v>
      </c>
      <c r="CH690" s="9">
        <v>689</v>
      </c>
      <c r="CI690" s="9">
        <v>29</v>
      </c>
      <c r="CJ690" s="9">
        <v>17</v>
      </c>
      <c r="CK690" s="167">
        <f>'HourGH-NOV'!S41</f>
        <v>0.56999999999999995</v>
      </c>
      <c r="CL690" s="263">
        <v>689</v>
      </c>
      <c r="CM690" s="9">
        <v>29</v>
      </c>
      <c r="CN690" s="9">
        <v>17</v>
      </c>
      <c r="CO690" s="167">
        <f>'HourGH-DEC'!S41</f>
        <v>0.44</v>
      </c>
      <c r="CP690" s="263">
        <v>689</v>
      </c>
      <c r="CQ690" s="9">
        <v>29</v>
      </c>
      <c r="CR690" s="9">
        <v>17</v>
      </c>
      <c r="CS690" s="167">
        <f>'HourGH-JAN'!S41</f>
        <v>0.32</v>
      </c>
      <c r="CT690" s="9">
        <v>689</v>
      </c>
      <c r="CU690" s="9">
        <v>29</v>
      </c>
      <c r="CV690" s="9">
        <v>17</v>
      </c>
      <c r="CW690" s="167">
        <f>'HourGH-FEB'!S41</f>
        <v>0</v>
      </c>
      <c r="CX690" s="263">
        <v>689</v>
      </c>
      <c r="CY690" s="9">
        <v>29</v>
      </c>
      <c r="CZ690" s="9">
        <v>17</v>
      </c>
      <c r="DA690" s="167">
        <f>'HourGH-MAR'!S41</f>
        <v>0.7</v>
      </c>
    </row>
    <row r="691" spans="58:105">
      <c r="BF691" s="9">
        <v>690</v>
      </c>
      <c r="BG691" s="9">
        <v>29</v>
      </c>
      <c r="BH691" s="9">
        <v>18</v>
      </c>
      <c r="BI691" s="167">
        <f>'HourGH-APR'!T41</f>
        <v>0.56000000000000005</v>
      </c>
      <c r="BJ691" s="263">
        <v>690</v>
      </c>
      <c r="BK691" s="9">
        <v>29</v>
      </c>
      <c r="BL691" s="9">
        <v>18</v>
      </c>
      <c r="BM691" s="167">
        <f>'HourGH-MAY'!T41</f>
        <v>0.19</v>
      </c>
      <c r="BN691" s="9">
        <v>690</v>
      </c>
      <c r="BO691" s="9">
        <v>29</v>
      </c>
      <c r="BP691" s="9">
        <v>18</v>
      </c>
      <c r="BQ691" s="167">
        <f>'HourGH-JUN'!T41</f>
        <v>0.24</v>
      </c>
      <c r="BR691" s="263">
        <v>690</v>
      </c>
      <c r="BS691" s="9">
        <v>29</v>
      </c>
      <c r="BT691" s="9">
        <v>18</v>
      </c>
      <c r="BU691" s="167">
        <f>'HourGH-JUL'!T41</f>
        <v>0.46</v>
      </c>
      <c r="BV691" s="263">
        <v>690</v>
      </c>
      <c r="BW691" s="9">
        <v>29</v>
      </c>
      <c r="BX691" s="9">
        <v>18</v>
      </c>
      <c r="BY691" s="167">
        <f>'HourGH-AUG'!T41</f>
        <v>0.56999999999999995</v>
      </c>
      <c r="BZ691" s="9">
        <v>690</v>
      </c>
      <c r="CA691" s="9">
        <v>29</v>
      </c>
      <c r="CB691" s="9">
        <v>18</v>
      </c>
      <c r="CC691" s="167">
        <f>'HourGH-SEP'!T41</f>
        <v>1.71</v>
      </c>
      <c r="CD691" s="263">
        <v>690</v>
      </c>
      <c r="CE691" s="9">
        <v>29</v>
      </c>
      <c r="CF691" s="9">
        <v>18</v>
      </c>
      <c r="CG691" s="167">
        <f>'HourGH-OCT'!T41</f>
        <v>1.46</v>
      </c>
      <c r="CH691" s="9">
        <v>690</v>
      </c>
      <c r="CI691" s="9">
        <v>29</v>
      </c>
      <c r="CJ691" s="9">
        <v>18</v>
      </c>
      <c r="CK691" s="167">
        <f>'HourGH-NOV'!T41</f>
        <v>0.56999999999999995</v>
      </c>
      <c r="CL691" s="263">
        <v>690</v>
      </c>
      <c r="CM691" s="9">
        <v>29</v>
      </c>
      <c r="CN691" s="9">
        <v>18</v>
      </c>
      <c r="CO691" s="167">
        <f>'HourGH-DEC'!T41</f>
        <v>0.44</v>
      </c>
      <c r="CP691" s="263">
        <v>690</v>
      </c>
      <c r="CQ691" s="9">
        <v>29</v>
      </c>
      <c r="CR691" s="9">
        <v>18</v>
      </c>
      <c r="CS691" s="167">
        <f>'HourGH-JAN'!T41</f>
        <v>0.32</v>
      </c>
      <c r="CT691" s="9">
        <v>690</v>
      </c>
      <c r="CU691" s="9">
        <v>29</v>
      </c>
      <c r="CV691" s="9">
        <v>18</v>
      </c>
      <c r="CW691" s="167">
        <f>'HourGH-FEB'!T41</f>
        <v>0</v>
      </c>
      <c r="CX691" s="263">
        <v>690</v>
      </c>
      <c r="CY691" s="9">
        <v>29</v>
      </c>
      <c r="CZ691" s="9">
        <v>18</v>
      </c>
      <c r="DA691" s="167">
        <f>'HourGH-MAR'!T41</f>
        <v>0.7</v>
      </c>
    </row>
    <row r="692" spans="58:105">
      <c r="BF692" s="9">
        <v>691</v>
      </c>
      <c r="BG692" s="9">
        <v>29</v>
      </c>
      <c r="BH692" s="9">
        <v>19</v>
      </c>
      <c r="BI692" s="167">
        <f>'HourGH-APR'!U41</f>
        <v>0.56000000000000005</v>
      </c>
      <c r="BJ692" s="263">
        <v>691</v>
      </c>
      <c r="BK692" s="9">
        <v>29</v>
      </c>
      <c r="BL692" s="9">
        <v>19</v>
      </c>
      <c r="BM692" s="167">
        <f>'HourGH-MAY'!U41</f>
        <v>0.2</v>
      </c>
      <c r="BN692" s="9">
        <v>691</v>
      </c>
      <c r="BO692" s="9">
        <v>29</v>
      </c>
      <c r="BP692" s="9">
        <v>19</v>
      </c>
      <c r="BQ692" s="167">
        <f>'HourGH-JUN'!U41</f>
        <v>0.24</v>
      </c>
      <c r="BR692" s="263">
        <v>691</v>
      </c>
      <c r="BS692" s="9">
        <v>29</v>
      </c>
      <c r="BT692" s="9">
        <v>19</v>
      </c>
      <c r="BU692" s="167">
        <f>'HourGH-JUL'!U41</f>
        <v>0.46</v>
      </c>
      <c r="BV692" s="263">
        <v>691</v>
      </c>
      <c r="BW692" s="9">
        <v>29</v>
      </c>
      <c r="BX692" s="9">
        <v>19</v>
      </c>
      <c r="BY692" s="167">
        <f>'HourGH-AUG'!U41</f>
        <v>0.56000000000000005</v>
      </c>
      <c r="BZ692" s="9">
        <v>691</v>
      </c>
      <c r="CA692" s="9">
        <v>29</v>
      </c>
      <c r="CB692" s="9">
        <v>19</v>
      </c>
      <c r="CC692" s="167">
        <f>'HourGH-SEP'!U41</f>
        <v>1.65</v>
      </c>
      <c r="CD692" s="263">
        <v>691</v>
      </c>
      <c r="CE692" s="9">
        <v>29</v>
      </c>
      <c r="CF692" s="9">
        <v>19</v>
      </c>
      <c r="CG692" s="167">
        <f>'HourGH-OCT'!U41</f>
        <v>1.45</v>
      </c>
      <c r="CH692" s="9">
        <v>691</v>
      </c>
      <c r="CI692" s="9">
        <v>29</v>
      </c>
      <c r="CJ692" s="9">
        <v>19</v>
      </c>
      <c r="CK692" s="167">
        <f>'HourGH-NOV'!U41</f>
        <v>0.56999999999999995</v>
      </c>
      <c r="CL692" s="263">
        <v>691</v>
      </c>
      <c r="CM692" s="9">
        <v>29</v>
      </c>
      <c r="CN692" s="9">
        <v>19</v>
      </c>
      <c r="CO692" s="167">
        <f>'HourGH-DEC'!U41</f>
        <v>0.44</v>
      </c>
      <c r="CP692" s="263">
        <v>691</v>
      </c>
      <c r="CQ692" s="9">
        <v>29</v>
      </c>
      <c r="CR692" s="9">
        <v>19</v>
      </c>
      <c r="CS692" s="167">
        <f>'HourGH-JAN'!U41</f>
        <v>0.32</v>
      </c>
      <c r="CT692" s="9">
        <v>691</v>
      </c>
      <c r="CU692" s="9">
        <v>29</v>
      </c>
      <c r="CV692" s="9">
        <v>19</v>
      </c>
      <c r="CW692" s="167">
        <f>'HourGH-FEB'!U41</f>
        <v>0</v>
      </c>
      <c r="CX692" s="263">
        <v>691</v>
      </c>
      <c r="CY692" s="9">
        <v>29</v>
      </c>
      <c r="CZ692" s="9">
        <v>19</v>
      </c>
      <c r="DA692" s="167">
        <f>'HourGH-MAR'!U41</f>
        <v>0.69</v>
      </c>
    </row>
    <row r="693" spans="58:105">
      <c r="BF693" s="9">
        <v>692</v>
      </c>
      <c r="BG693" s="9">
        <v>29</v>
      </c>
      <c r="BH693" s="9">
        <v>20</v>
      </c>
      <c r="BI693" s="167">
        <f>'HourGH-APR'!V41</f>
        <v>0.56000000000000005</v>
      </c>
      <c r="BJ693" s="263">
        <v>692</v>
      </c>
      <c r="BK693" s="9">
        <v>29</v>
      </c>
      <c r="BL693" s="9">
        <v>20</v>
      </c>
      <c r="BM693" s="167">
        <f>'HourGH-MAY'!V41</f>
        <v>0.2</v>
      </c>
      <c r="BN693" s="9">
        <v>692</v>
      </c>
      <c r="BO693" s="9">
        <v>29</v>
      </c>
      <c r="BP693" s="9">
        <v>20</v>
      </c>
      <c r="BQ693" s="167">
        <f>'HourGH-JUN'!V41</f>
        <v>0.24</v>
      </c>
      <c r="BR693" s="263">
        <v>692</v>
      </c>
      <c r="BS693" s="9">
        <v>29</v>
      </c>
      <c r="BT693" s="9">
        <v>20</v>
      </c>
      <c r="BU693" s="167">
        <f>'HourGH-JUL'!V41</f>
        <v>0.47</v>
      </c>
      <c r="BV693" s="263">
        <v>692</v>
      </c>
      <c r="BW693" s="9">
        <v>29</v>
      </c>
      <c r="BX693" s="9">
        <v>20</v>
      </c>
      <c r="BY693" s="167">
        <f>'HourGH-AUG'!V41</f>
        <v>0.56000000000000005</v>
      </c>
      <c r="BZ693" s="9">
        <v>692</v>
      </c>
      <c r="CA693" s="9">
        <v>29</v>
      </c>
      <c r="CB693" s="9">
        <v>20</v>
      </c>
      <c r="CC693" s="167">
        <f>'HourGH-SEP'!V41</f>
        <v>1.59</v>
      </c>
      <c r="CD693" s="263">
        <v>692</v>
      </c>
      <c r="CE693" s="9">
        <v>29</v>
      </c>
      <c r="CF693" s="9">
        <v>20</v>
      </c>
      <c r="CG693" s="167">
        <f>'HourGH-OCT'!V41</f>
        <v>1.43</v>
      </c>
      <c r="CH693" s="9">
        <v>692</v>
      </c>
      <c r="CI693" s="9">
        <v>29</v>
      </c>
      <c r="CJ693" s="9">
        <v>20</v>
      </c>
      <c r="CK693" s="167">
        <f>'HourGH-NOV'!V41</f>
        <v>0.56999999999999995</v>
      </c>
      <c r="CL693" s="263">
        <v>692</v>
      </c>
      <c r="CM693" s="9">
        <v>29</v>
      </c>
      <c r="CN693" s="9">
        <v>20</v>
      </c>
      <c r="CO693" s="167">
        <f>'HourGH-DEC'!V41</f>
        <v>0.44</v>
      </c>
      <c r="CP693" s="263">
        <v>692</v>
      </c>
      <c r="CQ693" s="9">
        <v>29</v>
      </c>
      <c r="CR693" s="9">
        <v>20</v>
      </c>
      <c r="CS693" s="167">
        <f>'HourGH-JAN'!V41</f>
        <v>0.32</v>
      </c>
      <c r="CT693" s="9">
        <v>692</v>
      </c>
      <c r="CU693" s="9">
        <v>29</v>
      </c>
      <c r="CV693" s="9">
        <v>20</v>
      </c>
      <c r="CW693" s="167">
        <f>'HourGH-FEB'!V41</f>
        <v>0</v>
      </c>
      <c r="CX693" s="263">
        <v>692</v>
      </c>
      <c r="CY693" s="9">
        <v>29</v>
      </c>
      <c r="CZ693" s="9">
        <v>20</v>
      </c>
      <c r="DA693" s="167">
        <f>'HourGH-MAR'!V41</f>
        <v>0.69</v>
      </c>
    </row>
    <row r="694" spans="58:105">
      <c r="BF694" s="9">
        <v>693</v>
      </c>
      <c r="BG694" s="9">
        <v>29</v>
      </c>
      <c r="BH694" s="9">
        <v>21</v>
      </c>
      <c r="BI694" s="167">
        <f>'HourGH-APR'!W41</f>
        <v>0.56000000000000005</v>
      </c>
      <c r="BJ694" s="263">
        <v>693</v>
      </c>
      <c r="BK694" s="9">
        <v>29</v>
      </c>
      <c r="BL694" s="9">
        <v>21</v>
      </c>
      <c r="BM694" s="167">
        <f>'HourGH-MAY'!W41</f>
        <v>0.2</v>
      </c>
      <c r="BN694" s="9">
        <v>693</v>
      </c>
      <c r="BO694" s="9">
        <v>29</v>
      </c>
      <c r="BP694" s="9">
        <v>21</v>
      </c>
      <c r="BQ694" s="167">
        <f>'HourGH-JUN'!W41</f>
        <v>0.24</v>
      </c>
      <c r="BR694" s="263">
        <v>693</v>
      </c>
      <c r="BS694" s="9">
        <v>29</v>
      </c>
      <c r="BT694" s="9">
        <v>21</v>
      </c>
      <c r="BU694" s="167">
        <f>'HourGH-JUL'!W41</f>
        <v>0.47</v>
      </c>
      <c r="BV694" s="263">
        <v>693</v>
      </c>
      <c r="BW694" s="9">
        <v>29</v>
      </c>
      <c r="BX694" s="9">
        <v>21</v>
      </c>
      <c r="BY694" s="167">
        <f>'HourGH-AUG'!W41</f>
        <v>0.56000000000000005</v>
      </c>
      <c r="BZ694" s="9">
        <v>693</v>
      </c>
      <c r="CA694" s="9">
        <v>29</v>
      </c>
      <c r="CB694" s="9">
        <v>21</v>
      </c>
      <c r="CC694" s="167">
        <f>'HourGH-SEP'!W41</f>
        <v>1.53</v>
      </c>
      <c r="CD694" s="263">
        <v>693</v>
      </c>
      <c r="CE694" s="9">
        <v>29</v>
      </c>
      <c r="CF694" s="9">
        <v>21</v>
      </c>
      <c r="CG694" s="167">
        <f>'HourGH-OCT'!W41</f>
        <v>1.41</v>
      </c>
      <c r="CH694" s="9">
        <v>693</v>
      </c>
      <c r="CI694" s="9">
        <v>29</v>
      </c>
      <c r="CJ694" s="9">
        <v>21</v>
      </c>
      <c r="CK694" s="167">
        <f>'HourGH-NOV'!W41</f>
        <v>0.56999999999999995</v>
      </c>
      <c r="CL694" s="263">
        <v>693</v>
      </c>
      <c r="CM694" s="9">
        <v>29</v>
      </c>
      <c r="CN694" s="9">
        <v>21</v>
      </c>
      <c r="CO694" s="167">
        <f>'HourGH-DEC'!W41</f>
        <v>0.44</v>
      </c>
      <c r="CP694" s="263">
        <v>693</v>
      </c>
      <c r="CQ694" s="9">
        <v>29</v>
      </c>
      <c r="CR694" s="9">
        <v>21</v>
      </c>
      <c r="CS694" s="167">
        <f>'HourGH-JAN'!W41</f>
        <v>0.32</v>
      </c>
      <c r="CT694" s="9">
        <v>693</v>
      </c>
      <c r="CU694" s="9">
        <v>29</v>
      </c>
      <c r="CV694" s="9">
        <v>21</v>
      </c>
      <c r="CW694" s="167">
        <f>'HourGH-FEB'!W41</f>
        <v>0</v>
      </c>
      <c r="CX694" s="263">
        <v>693</v>
      </c>
      <c r="CY694" s="9">
        <v>29</v>
      </c>
      <c r="CZ694" s="9">
        <v>21</v>
      </c>
      <c r="DA694" s="167">
        <f>'HourGH-MAR'!W41</f>
        <v>0.68</v>
      </c>
    </row>
    <row r="695" spans="58:105">
      <c r="BF695" s="9">
        <v>694</v>
      </c>
      <c r="BG695" s="9">
        <v>29</v>
      </c>
      <c r="BH695" s="9">
        <v>22</v>
      </c>
      <c r="BI695" s="167">
        <f>'HourGH-APR'!X41</f>
        <v>0.56000000000000005</v>
      </c>
      <c r="BJ695" s="263">
        <v>694</v>
      </c>
      <c r="BK695" s="9">
        <v>29</v>
      </c>
      <c r="BL695" s="9">
        <v>22</v>
      </c>
      <c r="BM695" s="167">
        <f>'HourGH-MAY'!X41</f>
        <v>0.2</v>
      </c>
      <c r="BN695" s="9">
        <v>694</v>
      </c>
      <c r="BO695" s="9">
        <v>29</v>
      </c>
      <c r="BP695" s="9">
        <v>22</v>
      </c>
      <c r="BQ695" s="167">
        <f>'HourGH-JUN'!X41</f>
        <v>0.24</v>
      </c>
      <c r="BR695" s="263">
        <v>694</v>
      </c>
      <c r="BS695" s="9">
        <v>29</v>
      </c>
      <c r="BT695" s="9">
        <v>22</v>
      </c>
      <c r="BU695" s="167">
        <f>'HourGH-JUL'!X41</f>
        <v>0.48</v>
      </c>
      <c r="BV695" s="263">
        <v>694</v>
      </c>
      <c r="BW695" s="9">
        <v>29</v>
      </c>
      <c r="BX695" s="9">
        <v>22</v>
      </c>
      <c r="BY695" s="167">
        <f>'HourGH-AUG'!X41</f>
        <v>0.56000000000000005</v>
      </c>
      <c r="BZ695" s="9">
        <v>694</v>
      </c>
      <c r="CA695" s="9">
        <v>29</v>
      </c>
      <c r="CB695" s="9">
        <v>22</v>
      </c>
      <c r="CC695" s="167">
        <f>'HourGH-SEP'!X41</f>
        <v>1.49</v>
      </c>
      <c r="CD695" s="263">
        <v>694</v>
      </c>
      <c r="CE695" s="9">
        <v>29</v>
      </c>
      <c r="CF695" s="9">
        <v>22</v>
      </c>
      <c r="CG695" s="167">
        <f>'HourGH-OCT'!X41</f>
        <v>1.39</v>
      </c>
      <c r="CH695" s="9">
        <v>694</v>
      </c>
      <c r="CI695" s="9">
        <v>29</v>
      </c>
      <c r="CJ695" s="9">
        <v>22</v>
      </c>
      <c r="CK695" s="167">
        <f>'HourGH-NOV'!X41</f>
        <v>0.56999999999999995</v>
      </c>
      <c r="CL695" s="263">
        <v>694</v>
      </c>
      <c r="CM695" s="9">
        <v>29</v>
      </c>
      <c r="CN695" s="9">
        <v>22</v>
      </c>
      <c r="CO695" s="167">
        <f>'HourGH-DEC'!X41</f>
        <v>0.44</v>
      </c>
      <c r="CP695" s="263">
        <v>694</v>
      </c>
      <c r="CQ695" s="9">
        <v>29</v>
      </c>
      <c r="CR695" s="9">
        <v>22</v>
      </c>
      <c r="CS695" s="167">
        <f>'HourGH-JAN'!X41</f>
        <v>0.32</v>
      </c>
      <c r="CT695" s="9">
        <v>694</v>
      </c>
      <c r="CU695" s="9">
        <v>29</v>
      </c>
      <c r="CV695" s="9">
        <v>22</v>
      </c>
      <c r="CW695" s="167">
        <f>'HourGH-FEB'!X41</f>
        <v>0</v>
      </c>
      <c r="CX695" s="263">
        <v>694</v>
      </c>
      <c r="CY695" s="9">
        <v>29</v>
      </c>
      <c r="CZ695" s="9">
        <v>22</v>
      </c>
      <c r="DA695" s="167">
        <f>'HourGH-MAR'!X41</f>
        <v>0.68</v>
      </c>
    </row>
    <row r="696" spans="58:105">
      <c r="BF696" s="9">
        <v>695</v>
      </c>
      <c r="BG696" s="9">
        <v>29</v>
      </c>
      <c r="BH696" s="9">
        <v>23</v>
      </c>
      <c r="BI696" s="167">
        <f>'HourGH-APR'!Y41</f>
        <v>0.56000000000000005</v>
      </c>
      <c r="BJ696" s="263">
        <v>695</v>
      </c>
      <c r="BK696" s="9">
        <v>29</v>
      </c>
      <c r="BL696" s="9">
        <v>23</v>
      </c>
      <c r="BM696" s="167">
        <f>'HourGH-MAY'!Y41</f>
        <v>0.2</v>
      </c>
      <c r="BN696" s="9">
        <v>695</v>
      </c>
      <c r="BO696" s="9">
        <v>29</v>
      </c>
      <c r="BP696" s="9">
        <v>23</v>
      </c>
      <c r="BQ696" s="167">
        <f>'HourGH-JUN'!Y41</f>
        <v>0.24</v>
      </c>
      <c r="BR696" s="263">
        <v>695</v>
      </c>
      <c r="BS696" s="9">
        <v>29</v>
      </c>
      <c r="BT696" s="9">
        <v>23</v>
      </c>
      <c r="BU696" s="167">
        <f>'HourGH-JUL'!Y41</f>
        <v>0.49</v>
      </c>
      <c r="BV696" s="263">
        <v>695</v>
      </c>
      <c r="BW696" s="9">
        <v>29</v>
      </c>
      <c r="BX696" s="9">
        <v>23</v>
      </c>
      <c r="BY696" s="167">
        <f>'HourGH-AUG'!Y41</f>
        <v>0.56000000000000005</v>
      </c>
      <c r="BZ696" s="9">
        <v>695</v>
      </c>
      <c r="CA696" s="9">
        <v>29</v>
      </c>
      <c r="CB696" s="9">
        <v>23</v>
      </c>
      <c r="CC696" s="167">
        <f>'HourGH-SEP'!Y41</f>
        <v>1.45</v>
      </c>
      <c r="CD696" s="263">
        <v>695</v>
      </c>
      <c r="CE696" s="9">
        <v>29</v>
      </c>
      <c r="CF696" s="9">
        <v>23</v>
      </c>
      <c r="CG696" s="167">
        <f>'HourGH-OCT'!Y41</f>
        <v>1.36</v>
      </c>
      <c r="CH696" s="9">
        <v>695</v>
      </c>
      <c r="CI696" s="9">
        <v>29</v>
      </c>
      <c r="CJ696" s="9">
        <v>23</v>
      </c>
      <c r="CK696" s="167">
        <f>'HourGH-NOV'!Y41</f>
        <v>0.56999999999999995</v>
      </c>
      <c r="CL696" s="263">
        <v>695</v>
      </c>
      <c r="CM696" s="9">
        <v>29</v>
      </c>
      <c r="CN696" s="9">
        <v>23</v>
      </c>
      <c r="CO696" s="167">
        <f>'HourGH-DEC'!Y41</f>
        <v>0.44</v>
      </c>
      <c r="CP696" s="263">
        <v>695</v>
      </c>
      <c r="CQ696" s="9">
        <v>29</v>
      </c>
      <c r="CR696" s="9">
        <v>23</v>
      </c>
      <c r="CS696" s="167">
        <f>'HourGH-JAN'!Y41</f>
        <v>0.32</v>
      </c>
      <c r="CT696" s="9">
        <v>695</v>
      </c>
      <c r="CU696" s="9">
        <v>29</v>
      </c>
      <c r="CV696" s="9">
        <v>23</v>
      </c>
      <c r="CW696" s="167">
        <f>'HourGH-FEB'!Y41</f>
        <v>0</v>
      </c>
      <c r="CX696" s="263">
        <v>695</v>
      </c>
      <c r="CY696" s="9">
        <v>29</v>
      </c>
      <c r="CZ696" s="9">
        <v>23</v>
      </c>
      <c r="DA696" s="167">
        <f>'HourGH-MAR'!Y41</f>
        <v>0.67</v>
      </c>
    </row>
    <row r="697" spans="58:105">
      <c r="BF697" s="9">
        <v>696</v>
      </c>
      <c r="BG697" s="9">
        <v>29</v>
      </c>
      <c r="BH697" s="9">
        <v>24</v>
      </c>
      <c r="BI697" s="167">
        <f>'HourGH-APR'!Z41</f>
        <v>0.56000000000000005</v>
      </c>
      <c r="BJ697" s="263">
        <v>696</v>
      </c>
      <c r="BK697" s="9">
        <v>29</v>
      </c>
      <c r="BL697" s="9">
        <v>24</v>
      </c>
      <c r="BM697" s="167">
        <f>'HourGH-MAY'!Z41</f>
        <v>0.2</v>
      </c>
      <c r="BN697" s="9">
        <v>696</v>
      </c>
      <c r="BO697" s="9">
        <v>29</v>
      </c>
      <c r="BP697" s="9">
        <v>24</v>
      </c>
      <c r="BQ697" s="167">
        <f>'HourGH-JUN'!Z41</f>
        <v>0.24</v>
      </c>
      <c r="BR697" s="263">
        <v>696</v>
      </c>
      <c r="BS697" s="9">
        <v>29</v>
      </c>
      <c r="BT697" s="9">
        <v>24</v>
      </c>
      <c r="BU697" s="167">
        <f>'HourGH-JUL'!Z41</f>
        <v>0.49</v>
      </c>
      <c r="BV697" s="263">
        <v>696</v>
      </c>
      <c r="BW697" s="9">
        <v>29</v>
      </c>
      <c r="BX697" s="9">
        <v>24</v>
      </c>
      <c r="BY697" s="167">
        <f>'HourGH-AUG'!Z41</f>
        <v>0.56000000000000005</v>
      </c>
      <c r="BZ697" s="9">
        <v>696</v>
      </c>
      <c r="CA697" s="9">
        <v>29</v>
      </c>
      <c r="CB697" s="9">
        <v>24</v>
      </c>
      <c r="CC697" s="167">
        <f>'HourGH-SEP'!Z41</f>
        <v>1.41</v>
      </c>
      <c r="CD697" s="263">
        <v>696</v>
      </c>
      <c r="CE697" s="9">
        <v>29</v>
      </c>
      <c r="CF697" s="9">
        <v>24</v>
      </c>
      <c r="CG697" s="167">
        <f>'HourGH-OCT'!Z41</f>
        <v>1.33</v>
      </c>
      <c r="CH697" s="9">
        <v>696</v>
      </c>
      <c r="CI697" s="9">
        <v>29</v>
      </c>
      <c r="CJ697" s="9">
        <v>24</v>
      </c>
      <c r="CK697" s="167">
        <f>'HourGH-NOV'!Z41</f>
        <v>0.56999999999999995</v>
      </c>
      <c r="CL697" s="263">
        <v>696</v>
      </c>
      <c r="CM697" s="9">
        <v>29</v>
      </c>
      <c r="CN697" s="9">
        <v>24</v>
      </c>
      <c r="CO697" s="167">
        <f>'HourGH-DEC'!Z41</f>
        <v>0.44</v>
      </c>
      <c r="CP697" s="263">
        <v>696</v>
      </c>
      <c r="CQ697" s="9">
        <v>29</v>
      </c>
      <c r="CR697" s="9">
        <v>24</v>
      </c>
      <c r="CS697" s="167">
        <f>'HourGH-JAN'!Z41</f>
        <v>0.32</v>
      </c>
      <c r="CT697" s="9">
        <v>696</v>
      </c>
      <c r="CU697" s="9">
        <v>29</v>
      </c>
      <c r="CV697" s="9">
        <v>24</v>
      </c>
      <c r="CW697" s="167">
        <f>'HourGH-FEB'!Z41</f>
        <v>0</v>
      </c>
      <c r="CX697" s="263">
        <v>696</v>
      </c>
      <c r="CY697" s="9">
        <v>29</v>
      </c>
      <c r="CZ697" s="9">
        <v>24</v>
      </c>
      <c r="DA697" s="167">
        <f>'HourGH-MAR'!Z41</f>
        <v>0.67</v>
      </c>
    </row>
    <row r="698" spans="58:105">
      <c r="BF698" s="9">
        <v>697</v>
      </c>
      <c r="BG698" s="9">
        <v>30</v>
      </c>
      <c r="BH698" s="9">
        <v>1</v>
      </c>
      <c r="BI698" s="167">
        <f>'HourGH-APR'!C42</f>
        <v>0.56000000000000005</v>
      </c>
      <c r="BJ698" s="263">
        <v>697</v>
      </c>
      <c r="BK698" s="9">
        <v>30</v>
      </c>
      <c r="BL698" s="9">
        <v>1</v>
      </c>
      <c r="BM698" s="167">
        <f>'HourGH-MAY'!C42</f>
        <v>0.2</v>
      </c>
      <c r="BN698" s="9">
        <v>697</v>
      </c>
      <c r="BO698" s="9">
        <v>30</v>
      </c>
      <c r="BP698" s="9">
        <v>1</v>
      </c>
      <c r="BQ698" s="167">
        <f>'HourGH-JUN'!C42</f>
        <v>0.25</v>
      </c>
      <c r="BR698" s="263">
        <v>697</v>
      </c>
      <c r="BS698" s="9">
        <v>30</v>
      </c>
      <c r="BT698" s="9">
        <v>1</v>
      </c>
      <c r="BU698" s="167">
        <f>'HourGH-JUL'!C42</f>
        <v>0.5</v>
      </c>
      <c r="BV698" s="263">
        <v>697</v>
      </c>
      <c r="BW698" s="9">
        <v>30</v>
      </c>
      <c r="BX698" s="9">
        <v>1</v>
      </c>
      <c r="BY698" s="167">
        <f>'HourGH-AUG'!C42</f>
        <v>0.55000000000000004</v>
      </c>
      <c r="BZ698" s="9">
        <v>697</v>
      </c>
      <c r="CA698" s="9">
        <v>30</v>
      </c>
      <c r="CB698" s="9">
        <v>1</v>
      </c>
      <c r="CC698" s="167">
        <f>'HourGH-SEP'!C42</f>
        <v>1.38</v>
      </c>
      <c r="CD698" s="263">
        <v>697</v>
      </c>
      <c r="CE698" s="9">
        <v>30</v>
      </c>
      <c r="CF698" s="9">
        <v>1</v>
      </c>
      <c r="CG698" s="167">
        <f>'HourGH-OCT'!C42</f>
        <v>1.3</v>
      </c>
      <c r="CH698" s="9">
        <v>697</v>
      </c>
      <c r="CI698" s="9">
        <v>30</v>
      </c>
      <c r="CJ698" s="9">
        <v>1</v>
      </c>
      <c r="CK698" s="167">
        <f>'HourGH-NOV'!C42</f>
        <v>0.57999999999999996</v>
      </c>
      <c r="CL698" s="263">
        <v>697</v>
      </c>
      <c r="CM698" s="9">
        <v>30</v>
      </c>
      <c r="CN698" s="9">
        <v>1</v>
      </c>
      <c r="CO698" s="167">
        <f>'HourGH-DEC'!C42</f>
        <v>0.44</v>
      </c>
      <c r="CP698" s="263">
        <v>697</v>
      </c>
      <c r="CQ698" s="9">
        <v>30</v>
      </c>
      <c r="CR698" s="9">
        <v>1</v>
      </c>
      <c r="CS698" s="167">
        <f>'HourGH-JAN'!C42</f>
        <v>0.33</v>
      </c>
      <c r="CX698" s="263">
        <v>697</v>
      </c>
      <c r="CY698" s="9">
        <v>30</v>
      </c>
      <c r="CZ698" s="9">
        <v>1</v>
      </c>
      <c r="DA698" s="167">
        <f>'HourGH-MAR'!C42</f>
        <v>0.66</v>
      </c>
    </row>
    <row r="699" spans="58:105">
      <c r="BF699" s="9">
        <v>698</v>
      </c>
      <c r="BG699" s="9">
        <v>30</v>
      </c>
      <c r="BH699" s="9">
        <v>2</v>
      </c>
      <c r="BI699" s="167">
        <f>'HourGH-APR'!D42</f>
        <v>0.56000000000000005</v>
      </c>
      <c r="BJ699" s="263">
        <v>698</v>
      </c>
      <c r="BK699" s="9">
        <v>30</v>
      </c>
      <c r="BL699" s="9">
        <v>2</v>
      </c>
      <c r="BM699" s="167">
        <f>'HourGH-MAY'!D42</f>
        <v>0.2</v>
      </c>
      <c r="BN699" s="9">
        <v>698</v>
      </c>
      <c r="BO699" s="9">
        <v>30</v>
      </c>
      <c r="BP699" s="9">
        <v>2</v>
      </c>
      <c r="BQ699" s="167">
        <f>'HourGH-JUN'!D42</f>
        <v>0.25</v>
      </c>
      <c r="BR699" s="263">
        <v>698</v>
      </c>
      <c r="BS699" s="9">
        <v>30</v>
      </c>
      <c r="BT699" s="9">
        <v>2</v>
      </c>
      <c r="BU699" s="167">
        <f>'HourGH-JUL'!D42</f>
        <v>0.51</v>
      </c>
      <c r="BV699" s="263">
        <v>698</v>
      </c>
      <c r="BW699" s="9">
        <v>30</v>
      </c>
      <c r="BX699" s="9">
        <v>2</v>
      </c>
      <c r="BY699" s="167">
        <f>'HourGH-AUG'!D42</f>
        <v>0.55000000000000004</v>
      </c>
      <c r="BZ699" s="9">
        <v>698</v>
      </c>
      <c r="CA699" s="9">
        <v>30</v>
      </c>
      <c r="CB699" s="9">
        <v>2</v>
      </c>
      <c r="CC699" s="167">
        <f>'HourGH-SEP'!D42</f>
        <v>1.35</v>
      </c>
      <c r="CD699" s="263">
        <v>698</v>
      </c>
      <c r="CE699" s="9">
        <v>30</v>
      </c>
      <c r="CF699" s="9">
        <v>2</v>
      </c>
      <c r="CG699" s="167">
        <f>'HourGH-OCT'!D42</f>
        <v>1.28</v>
      </c>
      <c r="CH699" s="9">
        <v>698</v>
      </c>
      <c r="CI699" s="9">
        <v>30</v>
      </c>
      <c r="CJ699" s="9">
        <v>2</v>
      </c>
      <c r="CK699" s="167">
        <f>'HourGH-NOV'!D42</f>
        <v>0.57999999999999996</v>
      </c>
      <c r="CL699" s="263">
        <v>698</v>
      </c>
      <c r="CM699" s="9">
        <v>30</v>
      </c>
      <c r="CN699" s="9">
        <v>2</v>
      </c>
      <c r="CO699" s="167">
        <f>'HourGH-DEC'!D42</f>
        <v>0.44</v>
      </c>
      <c r="CP699" s="263">
        <v>698</v>
      </c>
      <c r="CQ699" s="9">
        <v>30</v>
      </c>
      <c r="CR699" s="9">
        <v>2</v>
      </c>
      <c r="CS699" s="167">
        <f>'HourGH-JAN'!D42</f>
        <v>0.33</v>
      </c>
      <c r="CX699" s="263">
        <v>698</v>
      </c>
      <c r="CY699" s="9">
        <v>30</v>
      </c>
      <c r="CZ699" s="9">
        <v>2</v>
      </c>
      <c r="DA699" s="167">
        <f>'HourGH-MAR'!D42</f>
        <v>0.66</v>
      </c>
    </row>
    <row r="700" spans="58:105">
      <c r="BF700" s="9">
        <v>699</v>
      </c>
      <c r="BG700" s="9">
        <v>30</v>
      </c>
      <c r="BH700" s="9">
        <v>3</v>
      </c>
      <c r="BI700" s="167">
        <f>'HourGH-APR'!E42</f>
        <v>0.56000000000000005</v>
      </c>
      <c r="BJ700" s="263">
        <v>699</v>
      </c>
      <c r="BK700" s="9">
        <v>30</v>
      </c>
      <c r="BL700" s="9">
        <v>3</v>
      </c>
      <c r="BM700" s="167">
        <f>'HourGH-MAY'!E42</f>
        <v>0.2</v>
      </c>
      <c r="BN700" s="9">
        <v>699</v>
      </c>
      <c r="BO700" s="9">
        <v>30</v>
      </c>
      <c r="BP700" s="9">
        <v>3</v>
      </c>
      <c r="BQ700" s="167">
        <f>'HourGH-JUN'!E42</f>
        <v>0.25</v>
      </c>
      <c r="BR700" s="263">
        <v>699</v>
      </c>
      <c r="BS700" s="9">
        <v>30</v>
      </c>
      <c r="BT700" s="9">
        <v>3</v>
      </c>
      <c r="BU700" s="167">
        <f>'HourGH-JUL'!E42</f>
        <v>0.52</v>
      </c>
      <c r="BV700" s="263">
        <v>699</v>
      </c>
      <c r="BW700" s="9">
        <v>30</v>
      </c>
      <c r="BX700" s="9">
        <v>3</v>
      </c>
      <c r="BY700" s="167">
        <f>'HourGH-AUG'!E42</f>
        <v>0.55000000000000004</v>
      </c>
      <c r="BZ700" s="9">
        <v>699</v>
      </c>
      <c r="CA700" s="9">
        <v>30</v>
      </c>
      <c r="CB700" s="9">
        <v>3</v>
      </c>
      <c r="CC700" s="167">
        <f>'HourGH-SEP'!E42</f>
        <v>1.33</v>
      </c>
      <c r="CD700" s="263">
        <v>699</v>
      </c>
      <c r="CE700" s="9">
        <v>30</v>
      </c>
      <c r="CF700" s="9">
        <v>3</v>
      </c>
      <c r="CG700" s="167">
        <f>'HourGH-OCT'!E42</f>
        <v>1.25</v>
      </c>
      <c r="CH700" s="9">
        <v>699</v>
      </c>
      <c r="CI700" s="9">
        <v>30</v>
      </c>
      <c r="CJ700" s="9">
        <v>3</v>
      </c>
      <c r="CK700" s="167">
        <f>'HourGH-NOV'!E42</f>
        <v>0.57999999999999996</v>
      </c>
      <c r="CL700" s="263">
        <v>699</v>
      </c>
      <c r="CM700" s="9">
        <v>30</v>
      </c>
      <c r="CN700" s="9">
        <v>3</v>
      </c>
      <c r="CO700" s="167">
        <f>'HourGH-DEC'!E42</f>
        <v>0.44</v>
      </c>
      <c r="CP700" s="263">
        <v>699</v>
      </c>
      <c r="CQ700" s="9">
        <v>30</v>
      </c>
      <c r="CR700" s="9">
        <v>3</v>
      </c>
      <c r="CS700" s="167">
        <f>'HourGH-JAN'!E42</f>
        <v>0.33</v>
      </c>
      <c r="CX700" s="263">
        <v>699</v>
      </c>
      <c r="CY700" s="9">
        <v>30</v>
      </c>
      <c r="CZ700" s="9">
        <v>3</v>
      </c>
      <c r="DA700" s="167">
        <f>'HourGH-MAR'!E42</f>
        <v>0.65</v>
      </c>
    </row>
    <row r="701" spans="58:105">
      <c r="BF701" s="9">
        <v>700</v>
      </c>
      <c r="BG701" s="9">
        <v>30</v>
      </c>
      <c r="BH701" s="9">
        <v>4</v>
      </c>
      <c r="BI701" s="167">
        <f>'HourGH-APR'!F42</f>
        <v>0.56000000000000005</v>
      </c>
      <c r="BJ701" s="263">
        <v>700</v>
      </c>
      <c r="BK701" s="9">
        <v>30</v>
      </c>
      <c r="BL701" s="9">
        <v>4</v>
      </c>
      <c r="BM701" s="167">
        <f>'HourGH-MAY'!F42</f>
        <v>0.2</v>
      </c>
      <c r="BN701" s="9">
        <v>700</v>
      </c>
      <c r="BO701" s="9">
        <v>30</v>
      </c>
      <c r="BP701" s="9">
        <v>4</v>
      </c>
      <c r="BQ701" s="167">
        <f>'HourGH-JUN'!F42</f>
        <v>0.25</v>
      </c>
      <c r="BR701" s="263">
        <v>700</v>
      </c>
      <c r="BS701" s="9">
        <v>30</v>
      </c>
      <c r="BT701" s="9">
        <v>4</v>
      </c>
      <c r="BU701" s="167">
        <f>'HourGH-JUL'!F42</f>
        <v>0.53</v>
      </c>
      <c r="BV701" s="263">
        <v>700</v>
      </c>
      <c r="BW701" s="9">
        <v>30</v>
      </c>
      <c r="BX701" s="9">
        <v>4</v>
      </c>
      <c r="BY701" s="167">
        <f>'HourGH-AUG'!F42</f>
        <v>0.55000000000000004</v>
      </c>
      <c r="BZ701" s="9">
        <v>700</v>
      </c>
      <c r="CA701" s="9">
        <v>30</v>
      </c>
      <c r="CB701" s="9">
        <v>4</v>
      </c>
      <c r="CC701" s="167">
        <f>'HourGH-SEP'!F42</f>
        <v>1.31</v>
      </c>
      <c r="CD701" s="263">
        <v>700</v>
      </c>
      <c r="CE701" s="9">
        <v>30</v>
      </c>
      <c r="CF701" s="9">
        <v>4</v>
      </c>
      <c r="CG701" s="167">
        <f>'HourGH-OCT'!F42</f>
        <v>1.22</v>
      </c>
      <c r="CH701" s="9">
        <v>700</v>
      </c>
      <c r="CI701" s="9">
        <v>30</v>
      </c>
      <c r="CJ701" s="9">
        <v>4</v>
      </c>
      <c r="CK701" s="167">
        <f>'HourGH-NOV'!F42</f>
        <v>0.57999999999999996</v>
      </c>
      <c r="CL701" s="263">
        <v>700</v>
      </c>
      <c r="CM701" s="9">
        <v>30</v>
      </c>
      <c r="CN701" s="9">
        <v>4</v>
      </c>
      <c r="CO701" s="167">
        <f>'HourGH-DEC'!F42</f>
        <v>0.44</v>
      </c>
      <c r="CP701" s="263">
        <v>700</v>
      </c>
      <c r="CQ701" s="9">
        <v>30</v>
      </c>
      <c r="CR701" s="9">
        <v>4</v>
      </c>
      <c r="CS701" s="167">
        <f>'HourGH-JAN'!F42</f>
        <v>0.33</v>
      </c>
      <c r="CX701" s="263">
        <v>700</v>
      </c>
      <c r="CY701" s="9">
        <v>30</v>
      </c>
      <c r="CZ701" s="9">
        <v>4</v>
      </c>
      <c r="DA701" s="167">
        <f>'HourGH-MAR'!F42</f>
        <v>0.65</v>
      </c>
    </row>
    <row r="702" spans="58:105">
      <c r="BF702" s="9">
        <v>701</v>
      </c>
      <c r="BG702" s="9">
        <v>30</v>
      </c>
      <c r="BH702" s="9">
        <v>5</v>
      </c>
      <c r="BI702" s="167">
        <f>'HourGH-APR'!G42</f>
        <v>0.56000000000000005</v>
      </c>
      <c r="BJ702" s="263">
        <v>701</v>
      </c>
      <c r="BK702" s="9">
        <v>30</v>
      </c>
      <c r="BL702" s="9">
        <v>5</v>
      </c>
      <c r="BM702" s="167">
        <f>'HourGH-MAY'!G42</f>
        <v>0.2</v>
      </c>
      <c r="BN702" s="9">
        <v>701</v>
      </c>
      <c r="BO702" s="9">
        <v>30</v>
      </c>
      <c r="BP702" s="9">
        <v>5</v>
      </c>
      <c r="BQ702" s="167">
        <f>'HourGH-JUN'!G42</f>
        <v>0.25</v>
      </c>
      <c r="BR702" s="263">
        <v>701</v>
      </c>
      <c r="BS702" s="9">
        <v>30</v>
      </c>
      <c r="BT702" s="9">
        <v>5</v>
      </c>
      <c r="BU702" s="167">
        <f>'HourGH-JUL'!G42</f>
        <v>0.53</v>
      </c>
      <c r="BV702" s="263">
        <v>701</v>
      </c>
      <c r="BW702" s="9">
        <v>30</v>
      </c>
      <c r="BX702" s="9">
        <v>5</v>
      </c>
      <c r="BY702" s="167">
        <f>'HourGH-AUG'!G42</f>
        <v>0.55000000000000004</v>
      </c>
      <c r="BZ702" s="9">
        <v>701</v>
      </c>
      <c r="CA702" s="9">
        <v>30</v>
      </c>
      <c r="CB702" s="9">
        <v>5</v>
      </c>
      <c r="CC702" s="167">
        <f>'HourGH-SEP'!G42</f>
        <v>1.29</v>
      </c>
      <c r="CD702" s="263">
        <v>701</v>
      </c>
      <c r="CE702" s="9">
        <v>30</v>
      </c>
      <c r="CF702" s="9">
        <v>5</v>
      </c>
      <c r="CG702" s="167">
        <f>'HourGH-OCT'!G42</f>
        <v>1.2</v>
      </c>
      <c r="CH702" s="9">
        <v>701</v>
      </c>
      <c r="CI702" s="9">
        <v>30</v>
      </c>
      <c r="CJ702" s="9">
        <v>5</v>
      </c>
      <c r="CK702" s="167">
        <f>'HourGH-NOV'!G42</f>
        <v>0.57999999999999996</v>
      </c>
      <c r="CL702" s="263">
        <v>701</v>
      </c>
      <c r="CM702" s="9">
        <v>30</v>
      </c>
      <c r="CN702" s="9">
        <v>5</v>
      </c>
      <c r="CO702" s="167">
        <f>'HourGH-DEC'!G42</f>
        <v>0.44</v>
      </c>
      <c r="CP702" s="263">
        <v>701</v>
      </c>
      <c r="CQ702" s="9">
        <v>30</v>
      </c>
      <c r="CR702" s="9">
        <v>5</v>
      </c>
      <c r="CS702" s="167">
        <f>'HourGH-JAN'!G42</f>
        <v>0.33</v>
      </c>
      <c r="CX702" s="263">
        <v>701</v>
      </c>
      <c r="CY702" s="9">
        <v>30</v>
      </c>
      <c r="CZ702" s="9">
        <v>5</v>
      </c>
      <c r="DA702" s="167">
        <f>'HourGH-MAR'!G42</f>
        <v>0.65</v>
      </c>
    </row>
    <row r="703" spans="58:105">
      <c r="BF703" s="9">
        <v>702</v>
      </c>
      <c r="BG703" s="9">
        <v>30</v>
      </c>
      <c r="BH703" s="9">
        <v>6</v>
      </c>
      <c r="BI703" s="167">
        <f>'HourGH-APR'!H42</f>
        <v>0.56000000000000005</v>
      </c>
      <c r="BJ703" s="263">
        <v>702</v>
      </c>
      <c r="BK703" s="9">
        <v>30</v>
      </c>
      <c r="BL703" s="9">
        <v>6</v>
      </c>
      <c r="BM703" s="167">
        <f>'HourGH-MAY'!H42</f>
        <v>0.2</v>
      </c>
      <c r="BN703" s="9">
        <v>702</v>
      </c>
      <c r="BO703" s="9">
        <v>30</v>
      </c>
      <c r="BP703" s="9">
        <v>6</v>
      </c>
      <c r="BQ703" s="167">
        <f>'HourGH-JUN'!H42</f>
        <v>0.25</v>
      </c>
      <c r="BR703" s="263">
        <v>702</v>
      </c>
      <c r="BS703" s="9">
        <v>30</v>
      </c>
      <c r="BT703" s="9">
        <v>6</v>
      </c>
      <c r="BU703" s="167">
        <f>'HourGH-JUL'!H42</f>
        <v>0.54</v>
      </c>
      <c r="BV703" s="263">
        <v>702</v>
      </c>
      <c r="BW703" s="9">
        <v>30</v>
      </c>
      <c r="BX703" s="9">
        <v>6</v>
      </c>
      <c r="BY703" s="167">
        <f>'HourGH-AUG'!H42</f>
        <v>0.54</v>
      </c>
      <c r="BZ703" s="9">
        <v>702</v>
      </c>
      <c r="CA703" s="9">
        <v>30</v>
      </c>
      <c r="CB703" s="9">
        <v>6</v>
      </c>
      <c r="CC703" s="167">
        <f>'HourGH-SEP'!H42</f>
        <v>1.27</v>
      </c>
      <c r="CD703" s="263">
        <v>702</v>
      </c>
      <c r="CE703" s="9">
        <v>30</v>
      </c>
      <c r="CF703" s="9">
        <v>6</v>
      </c>
      <c r="CG703" s="167">
        <f>'HourGH-OCT'!H42</f>
        <v>1.17</v>
      </c>
      <c r="CH703" s="9">
        <v>702</v>
      </c>
      <c r="CI703" s="9">
        <v>30</v>
      </c>
      <c r="CJ703" s="9">
        <v>6</v>
      </c>
      <c r="CK703" s="167">
        <f>'HourGH-NOV'!H42</f>
        <v>0.57999999999999996</v>
      </c>
      <c r="CL703" s="263">
        <v>702</v>
      </c>
      <c r="CM703" s="9">
        <v>30</v>
      </c>
      <c r="CN703" s="9">
        <v>6</v>
      </c>
      <c r="CO703" s="167">
        <f>'HourGH-DEC'!H42</f>
        <v>0.44</v>
      </c>
      <c r="CP703" s="263">
        <v>702</v>
      </c>
      <c r="CQ703" s="9">
        <v>30</v>
      </c>
      <c r="CR703" s="9">
        <v>6</v>
      </c>
      <c r="CS703" s="167">
        <f>'HourGH-JAN'!H42</f>
        <v>0.33</v>
      </c>
      <c r="CX703" s="263">
        <v>702</v>
      </c>
      <c r="CY703" s="9">
        <v>30</v>
      </c>
      <c r="CZ703" s="9">
        <v>6</v>
      </c>
      <c r="DA703" s="167">
        <f>'HourGH-MAR'!H42</f>
        <v>0.64</v>
      </c>
    </row>
    <row r="704" spans="58:105">
      <c r="BF704" s="9">
        <v>703</v>
      </c>
      <c r="BG704" s="9">
        <v>30</v>
      </c>
      <c r="BH704" s="9">
        <v>7</v>
      </c>
      <c r="BI704" s="167">
        <f>'HourGH-APR'!I42</f>
        <v>0.56000000000000005</v>
      </c>
      <c r="BJ704" s="263">
        <v>703</v>
      </c>
      <c r="BK704" s="9">
        <v>30</v>
      </c>
      <c r="BL704" s="9">
        <v>7</v>
      </c>
      <c r="BM704" s="167">
        <f>'HourGH-MAY'!I42</f>
        <v>0.21</v>
      </c>
      <c r="BN704" s="9">
        <v>703</v>
      </c>
      <c r="BO704" s="9">
        <v>30</v>
      </c>
      <c r="BP704" s="9">
        <v>7</v>
      </c>
      <c r="BQ704" s="167">
        <f>'HourGH-JUN'!I42</f>
        <v>0.25</v>
      </c>
      <c r="BR704" s="263">
        <v>703</v>
      </c>
      <c r="BS704" s="9">
        <v>30</v>
      </c>
      <c r="BT704" s="9">
        <v>7</v>
      </c>
      <c r="BU704" s="167">
        <f>'HourGH-JUL'!I42</f>
        <v>0.54</v>
      </c>
      <c r="BV704" s="263">
        <v>703</v>
      </c>
      <c r="BW704" s="9">
        <v>30</v>
      </c>
      <c r="BX704" s="9">
        <v>7</v>
      </c>
      <c r="BY704" s="167">
        <f>'HourGH-AUG'!I42</f>
        <v>0.54</v>
      </c>
      <c r="BZ704" s="9">
        <v>703</v>
      </c>
      <c r="CA704" s="9">
        <v>30</v>
      </c>
      <c r="CB704" s="9">
        <v>7</v>
      </c>
      <c r="CC704" s="167">
        <f>'HourGH-SEP'!I42</f>
        <v>1.25</v>
      </c>
      <c r="CD704" s="263">
        <v>703</v>
      </c>
      <c r="CE704" s="9">
        <v>30</v>
      </c>
      <c r="CF704" s="9">
        <v>7</v>
      </c>
      <c r="CG704" s="167">
        <f>'HourGH-OCT'!I42</f>
        <v>1.1599999999999999</v>
      </c>
      <c r="CH704" s="9">
        <v>703</v>
      </c>
      <c r="CI704" s="9">
        <v>30</v>
      </c>
      <c r="CJ704" s="9">
        <v>7</v>
      </c>
      <c r="CK704" s="167">
        <f>'HourGH-NOV'!I42</f>
        <v>0.57999999999999996</v>
      </c>
      <c r="CL704" s="263">
        <v>703</v>
      </c>
      <c r="CM704" s="9">
        <v>30</v>
      </c>
      <c r="CN704" s="9">
        <v>7</v>
      </c>
      <c r="CO704" s="167">
        <f>'HourGH-DEC'!I42</f>
        <v>0.44</v>
      </c>
      <c r="CP704" s="263">
        <v>703</v>
      </c>
      <c r="CQ704" s="9">
        <v>30</v>
      </c>
      <c r="CR704" s="9">
        <v>7</v>
      </c>
      <c r="CS704" s="167">
        <f>'HourGH-JAN'!I42</f>
        <v>0.33</v>
      </c>
      <c r="CX704" s="263">
        <v>703</v>
      </c>
      <c r="CY704" s="9">
        <v>30</v>
      </c>
      <c r="CZ704" s="9">
        <v>7</v>
      </c>
      <c r="DA704" s="167">
        <f>'HourGH-MAR'!I42</f>
        <v>0.64</v>
      </c>
    </row>
    <row r="705" spans="58:105">
      <c r="BF705" s="9">
        <v>704</v>
      </c>
      <c r="BG705" s="9">
        <v>30</v>
      </c>
      <c r="BH705" s="9">
        <v>8</v>
      </c>
      <c r="BI705" s="167">
        <f>'HourGH-APR'!J42</f>
        <v>0.56000000000000005</v>
      </c>
      <c r="BJ705" s="263">
        <v>704</v>
      </c>
      <c r="BK705" s="9">
        <v>30</v>
      </c>
      <c r="BL705" s="9">
        <v>8</v>
      </c>
      <c r="BM705" s="167">
        <f>'HourGH-MAY'!J42</f>
        <v>0.21</v>
      </c>
      <c r="BN705" s="9">
        <v>704</v>
      </c>
      <c r="BO705" s="9">
        <v>30</v>
      </c>
      <c r="BP705" s="9">
        <v>8</v>
      </c>
      <c r="BQ705" s="167">
        <f>'HourGH-JUN'!J42</f>
        <v>0.25</v>
      </c>
      <c r="BR705" s="263">
        <v>704</v>
      </c>
      <c r="BS705" s="9">
        <v>30</v>
      </c>
      <c r="BT705" s="9">
        <v>8</v>
      </c>
      <c r="BU705" s="167">
        <f>'HourGH-JUL'!J42</f>
        <v>0.55000000000000004</v>
      </c>
      <c r="BV705" s="263">
        <v>704</v>
      </c>
      <c r="BW705" s="9">
        <v>30</v>
      </c>
      <c r="BX705" s="9">
        <v>8</v>
      </c>
      <c r="BY705" s="167">
        <f>'HourGH-AUG'!J42</f>
        <v>0.54</v>
      </c>
      <c r="BZ705" s="9">
        <v>704</v>
      </c>
      <c r="CA705" s="9">
        <v>30</v>
      </c>
      <c r="CB705" s="9">
        <v>8</v>
      </c>
      <c r="CC705" s="167">
        <f>'HourGH-SEP'!J42</f>
        <v>1.24</v>
      </c>
      <c r="CD705" s="263">
        <v>704</v>
      </c>
      <c r="CE705" s="9">
        <v>30</v>
      </c>
      <c r="CF705" s="9">
        <v>8</v>
      </c>
      <c r="CG705" s="167">
        <f>'HourGH-OCT'!J42</f>
        <v>1.1499999999999999</v>
      </c>
      <c r="CH705" s="9">
        <v>704</v>
      </c>
      <c r="CI705" s="9">
        <v>30</v>
      </c>
      <c r="CJ705" s="9">
        <v>8</v>
      </c>
      <c r="CK705" s="167">
        <f>'HourGH-NOV'!J42</f>
        <v>0.57999999999999996</v>
      </c>
      <c r="CL705" s="263">
        <v>704</v>
      </c>
      <c r="CM705" s="9">
        <v>30</v>
      </c>
      <c r="CN705" s="9">
        <v>8</v>
      </c>
      <c r="CO705" s="167">
        <f>'HourGH-DEC'!J42</f>
        <v>0.44</v>
      </c>
      <c r="CP705" s="263">
        <v>704</v>
      </c>
      <c r="CQ705" s="9">
        <v>30</v>
      </c>
      <c r="CR705" s="9">
        <v>8</v>
      </c>
      <c r="CS705" s="167">
        <f>'HourGH-JAN'!J42</f>
        <v>0.33</v>
      </c>
      <c r="CX705" s="263">
        <v>704</v>
      </c>
      <c r="CY705" s="9">
        <v>30</v>
      </c>
      <c r="CZ705" s="9">
        <v>8</v>
      </c>
      <c r="DA705" s="167">
        <f>'HourGH-MAR'!J42</f>
        <v>0.64</v>
      </c>
    </row>
    <row r="706" spans="58:105">
      <c r="BF706" s="9">
        <v>705</v>
      </c>
      <c r="BG706" s="9">
        <v>30</v>
      </c>
      <c r="BH706" s="9">
        <v>9</v>
      </c>
      <c r="BI706" s="167">
        <f>'HourGH-APR'!K42</f>
        <v>0.56000000000000005</v>
      </c>
      <c r="BJ706" s="263">
        <v>705</v>
      </c>
      <c r="BK706" s="9">
        <v>30</v>
      </c>
      <c r="BL706" s="9">
        <v>9</v>
      </c>
      <c r="BM706" s="167">
        <f>'HourGH-MAY'!K42</f>
        <v>0.21</v>
      </c>
      <c r="BN706" s="9">
        <v>705</v>
      </c>
      <c r="BO706" s="9">
        <v>30</v>
      </c>
      <c r="BP706" s="9">
        <v>9</v>
      </c>
      <c r="BQ706" s="167">
        <f>'HourGH-JUN'!K42</f>
        <v>0.25</v>
      </c>
      <c r="BR706" s="263">
        <v>705</v>
      </c>
      <c r="BS706" s="9">
        <v>30</v>
      </c>
      <c r="BT706" s="9">
        <v>9</v>
      </c>
      <c r="BU706" s="167">
        <f>'HourGH-JUL'!K42</f>
        <v>0.55000000000000004</v>
      </c>
      <c r="BV706" s="263">
        <v>705</v>
      </c>
      <c r="BW706" s="9">
        <v>30</v>
      </c>
      <c r="BX706" s="9">
        <v>9</v>
      </c>
      <c r="BY706" s="167">
        <f>'HourGH-AUG'!K42</f>
        <v>0.54</v>
      </c>
      <c r="BZ706" s="9">
        <v>705</v>
      </c>
      <c r="CA706" s="9">
        <v>30</v>
      </c>
      <c r="CB706" s="9">
        <v>9</v>
      </c>
      <c r="CC706" s="167">
        <f>'HourGH-SEP'!K42</f>
        <v>1.23</v>
      </c>
      <c r="CD706" s="263">
        <v>705</v>
      </c>
      <c r="CE706" s="9">
        <v>30</v>
      </c>
      <c r="CF706" s="9">
        <v>9</v>
      </c>
      <c r="CG706" s="167">
        <f>'HourGH-OCT'!K42</f>
        <v>1.1399999999999999</v>
      </c>
      <c r="CH706" s="9">
        <v>705</v>
      </c>
      <c r="CI706" s="9">
        <v>30</v>
      </c>
      <c r="CJ706" s="9">
        <v>9</v>
      </c>
      <c r="CK706" s="167">
        <f>'HourGH-NOV'!K42</f>
        <v>0.57999999999999996</v>
      </c>
      <c r="CL706" s="263">
        <v>705</v>
      </c>
      <c r="CM706" s="9">
        <v>30</v>
      </c>
      <c r="CN706" s="9">
        <v>9</v>
      </c>
      <c r="CO706" s="167">
        <f>'HourGH-DEC'!K42</f>
        <v>0.44</v>
      </c>
      <c r="CP706" s="263">
        <v>705</v>
      </c>
      <c r="CQ706" s="9">
        <v>30</v>
      </c>
      <c r="CR706" s="9">
        <v>9</v>
      </c>
      <c r="CS706" s="167">
        <f>'HourGH-JAN'!K42</f>
        <v>0.33</v>
      </c>
      <c r="CX706" s="263">
        <v>705</v>
      </c>
      <c r="CY706" s="9">
        <v>30</v>
      </c>
      <c r="CZ706" s="9">
        <v>9</v>
      </c>
      <c r="DA706" s="167">
        <f>'HourGH-MAR'!K42</f>
        <v>0.64</v>
      </c>
    </row>
    <row r="707" spans="58:105">
      <c r="BF707" s="9">
        <v>706</v>
      </c>
      <c r="BG707" s="9">
        <v>30</v>
      </c>
      <c r="BH707" s="9">
        <v>10</v>
      </c>
      <c r="BI707" s="167">
        <f>'HourGH-APR'!L42</f>
        <v>0.56000000000000005</v>
      </c>
      <c r="BJ707" s="263">
        <v>706</v>
      </c>
      <c r="BK707" s="9">
        <v>30</v>
      </c>
      <c r="BL707" s="9">
        <v>10</v>
      </c>
      <c r="BM707" s="167">
        <f>'HourGH-MAY'!L42</f>
        <v>0.21</v>
      </c>
      <c r="BN707" s="9">
        <v>706</v>
      </c>
      <c r="BO707" s="9">
        <v>30</v>
      </c>
      <c r="BP707" s="9">
        <v>10</v>
      </c>
      <c r="BQ707" s="167">
        <f>'HourGH-JUN'!L42</f>
        <v>0.25</v>
      </c>
      <c r="BR707" s="263">
        <v>706</v>
      </c>
      <c r="BS707" s="9">
        <v>30</v>
      </c>
      <c r="BT707" s="9">
        <v>10</v>
      </c>
      <c r="BU707" s="167">
        <f>'HourGH-JUL'!L42</f>
        <v>0.55000000000000004</v>
      </c>
      <c r="BV707" s="263">
        <v>706</v>
      </c>
      <c r="BW707" s="9">
        <v>30</v>
      </c>
      <c r="BX707" s="9">
        <v>10</v>
      </c>
      <c r="BY707" s="167">
        <f>'HourGH-AUG'!L42</f>
        <v>0.54</v>
      </c>
      <c r="BZ707" s="9">
        <v>706</v>
      </c>
      <c r="CA707" s="9">
        <v>30</v>
      </c>
      <c r="CB707" s="9">
        <v>10</v>
      </c>
      <c r="CC707" s="167">
        <f>'HourGH-SEP'!L42</f>
        <v>1.21</v>
      </c>
      <c r="CD707" s="263">
        <v>706</v>
      </c>
      <c r="CE707" s="9">
        <v>30</v>
      </c>
      <c r="CF707" s="9">
        <v>10</v>
      </c>
      <c r="CG707" s="167">
        <f>'HourGH-OCT'!L42</f>
        <v>1.1299999999999999</v>
      </c>
      <c r="CH707" s="9">
        <v>706</v>
      </c>
      <c r="CI707" s="9">
        <v>30</v>
      </c>
      <c r="CJ707" s="9">
        <v>10</v>
      </c>
      <c r="CK707" s="167">
        <f>'HourGH-NOV'!L42</f>
        <v>0.57999999999999996</v>
      </c>
      <c r="CL707" s="263">
        <v>706</v>
      </c>
      <c r="CM707" s="9">
        <v>30</v>
      </c>
      <c r="CN707" s="9">
        <v>10</v>
      </c>
      <c r="CO707" s="167">
        <f>'HourGH-DEC'!L42</f>
        <v>0.44</v>
      </c>
      <c r="CP707" s="263">
        <v>706</v>
      </c>
      <c r="CQ707" s="9">
        <v>30</v>
      </c>
      <c r="CR707" s="9">
        <v>10</v>
      </c>
      <c r="CS707" s="167">
        <f>'HourGH-JAN'!L42</f>
        <v>0.33</v>
      </c>
      <c r="CX707" s="263">
        <v>706</v>
      </c>
      <c r="CY707" s="9">
        <v>30</v>
      </c>
      <c r="CZ707" s="9">
        <v>10</v>
      </c>
      <c r="DA707" s="167">
        <f>'HourGH-MAR'!L42</f>
        <v>0.64</v>
      </c>
    </row>
    <row r="708" spans="58:105">
      <c r="BF708" s="9">
        <v>707</v>
      </c>
      <c r="BG708" s="9">
        <v>30</v>
      </c>
      <c r="BH708" s="9">
        <v>11</v>
      </c>
      <c r="BI708" s="167">
        <f>'HourGH-APR'!M42</f>
        <v>0.56000000000000005</v>
      </c>
      <c r="BJ708" s="263">
        <v>707</v>
      </c>
      <c r="BK708" s="9">
        <v>30</v>
      </c>
      <c r="BL708" s="9">
        <v>11</v>
      </c>
      <c r="BM708" s="167">
        <f>'HourGH-MAY'!M42</f>
        <v>0.21</v>
      </c>
      <c r="BN708" s="9">
        <v>707</v>
      </c>
      <c r="BO708" s="9">
        <v>30</v>
      </c>
      <c r="BP708" s="9">
        <v>11</v>
      </c>
      <c r="BQ708" s="167">
        <f>'HourGH-JUN'!M42</f>
        <v>0.25</v>
      </c>
      <c r="BR708" s="263">
        <v>707</v>
      </c>
      <c r="BS708" s="9">
        <v>30</v>
      </c>
      <c r="BT708" s="9">
        <v>11</v>
      </c>
      <c r="BU708" s="167">
        <f>'HourGH-JUL'!M42</f>
        <v>0.56000000000000005</v>
      </c>
      <c r="BV708" s="263">
        <v>707</v>
      </c>
      <c r="BW708" s="9">
        <v>30</v>
      </c>
      <c r="BX708" s="9">
        <v>11</v>
      </c>
      <c r="BY708" s="167">
        <f>'HourGH-AUG'!M42</f>
        <v>0.55000000000000004</v>
      </c>
      <c r="BZ708" s="9">
        <v>707</v>
      </c>
      <c r="CA708" s="9">
        <v>30</v>
      </c>
      <c r="CB708" s="9">
        <v>11</v>
      </c>
      <c r="CC708" s="167">
        <f>'HourGH-SEP'!M42</f>
        <v>1.19</v>
      </c>
      <c r="CD708" s="263">
        <v>707</v>
      </c>
      <c r="CE708" s="9">
        <v>30</v>
      </c>
      <c r="CF708" s="9">
        <v>11</v>
      </c>
      <c r="CG708" s="167">
        <f>'HourGH-OCT'!M42</f>
        <v>1.1299999999999999</v>
      </c>
      <c r="CH708" s="9">
        <v>707</v>
      </c>
      <c r="CI708" s="9">
        <v>30</v>
      </c>
      <c r="CJ708" s="9">
        <v>11</v>
      </c>
      <c r="CK708" s="167">
        <f>'HourGH-NOV'!M42</f>
        <v>0.57999999999999996</v>
      </c>
      <c r="CL708" s="263">
        <v>707</v>
      </c>
      <c r="CM708" s="9">
        <v>30</v>
      </c>
      <c r="CN708" s="9">
        <v>11</v>
      </c>
      <c r="CO708" s="167">
        <f>'HourGH-DEC'!M42</f>
        <v>0.44</v>
      </c>
      <c r="CP708" s="263">
        <v>707</v>
      </c>
      <c r="CQ708" s="9">
        <v>30</v>
      </c>
      <c r="CR708" s="9">
        <v>11</v>
      </c>
      <c r="CS708" s="167">
        <f>'HourGH-JAN'!M42</f>
        <v>0.33</v>
      </c>
      <c r="CX708" s="263">
        <v>707</v>
      </c>
      <c r="CY708" s="9">
        <v>30</v>
      </c>
      <c r="CZ708" s="9">
        <v>11</v>
      </c>
      <c r="DA708" s="167">
        <f>'HourGH-MAR'!M42</f>
        <v>0.64</v>
      </c>
    </row>
    <row r="709" spans="58:105">
      <c r="BF709" s="9">
        <v>708</v>
      </c>
      <c r="BG709" s="9">
        <v>30</v>
      </c>
      <c r="BH709" s="9">
        <v>12</v>
      </c>
      <c r="BI709" s="167">
        <f>'HourGH-APR'!N42</f>
        <v>0.56000000000000005</v>
      </c>
      <c r="BJ709" s="263">
        <v>708</v>
      </c>
      <c r="BK709" s="9">
        <v>30</v>
      </c>
      <c r="BL709" s="9">
        <v>12</v>
      </c>
      <c r="BM709" s="167">
        <f>'HourGH-MAY'!N42</f>
        <v>0.21</v>
      </c>
      <c r="BN709" s="9">
        <v>708</v>
      </c>
      <c r="BO709" s="9">
        <v>30</v>
      </c>
      <c r="BP709" s="9">
        <v>12</v>
      </c>
      <c r="BQ709" s="167">
        <f>'HourGH-JUN'!N42</f>
        <v>0.25</v>
      </c>
      <c r="BR709" s="263">
        <v>708</v>
      </c>
      <c r="BS709" s="9">
        <v>30</v>
      </c>
      <c r="BT709" s="9">
        <v>12</v>
      </c>
      <c r="BU709" s="167">
        <f>'HourGH-JUL'!N42</f>
        <v>0.56000000000000005</v>
      </c>
      <c r="BV709" s="263">
        <v>708</v>
      </c>
      <c r="BW709" s="9">
        <v>30</v>
      </c>
      <c r="BX709" s="9">
        <v>12</v>
      </c>
      <c r="BY709" s="167">
        <f>'HourGH-AUG'!N42</f>
        <v>0.55000000000000004</v>
      </c>
      <c r="BZ709" s="9">
        <v>708</v>
      </c>
      <c r="CA709" s="9">
        <v>30</v>
      </c>
      <c r="CB709" s="9">
        <v>12</v>
      </c>
      <c r="CC709" s="167">
        <f>'HourGH-SEP'!N42</f>
        <v>1.18</v>
      </c>
      <c r="CD709" s="263">
        <v>708</v>
      </c>
      <c r="CE709" s="9">
        <v>30</v>
      </c>
      <c r="CF709" s="9">
        <v>12</v>
      </c>
      <c r="CG709" s="167">
        <f>'HourGH-OCT'!N42</f>
        <v>1.1200000000000001</v>
      </c>
      <c r="CH709" s="9">
        <v>708</v>
      </c>
      <c r="CI709" s="9">
        <v>30</v>
      </c>
      <c r="CJ709" s="9">
        <v>12</v>
      </c>
      <c r="CK709" s="167">
        <f>'HourGH-NOV'!N42</f>
        <v>0.57999999999999996</v>
      </c>
      <c r="CL709" s="263">
        <v>708</v>
      </c>
      <c r="CM709" s="9">
        <v>30</v>
      </c>
      <c r="CN709" s="9">
        <v>12</v>
      </c>
      <c r="CO709" s="167">
        <f>'HourGH-DEC'!N42</f>
        <v>0.44</v>
      </c>
      <c r="CP709" s="263">
        <v>708</v>
      </c>
      <c r="CQ709" s="9">
        <v>30</v>
      </c>
      <c r="CR709" s="9">
        <v>12</v>
      </c>
      <c r="CS709" s="167">
        <f>'HourGH-JAN'!N42</f>
        <v>0.33</v>
      </c>
      <c r="CX709" s="263">
        <v>708</v>
      </c>
      <c r="CY709" s="9">
        <v>30</v>
      </c>
      <c r="CZ709" s="9">
        <v>12</v>
      </c>
      <c r="DA709" s="167">
        <f>'HourGH-MAR'!N42</f>
        <v>0.64</v>
      </c>
    </row>
    <row r="710" spans="58:105">
      <c r="BF710" s="9">
        <v>709</v>
      </c>
      <c r="BG710" s="9">
        <v>30</v>
      </c>
      <c r="BH710" s="9">
        <v>13</v>
      </c>
      <c r="BI710" s="167">
        <f>'HourGH-APR'!O42</f>
        <v>0.56000000000000005</v>
      </c>
      <c r="BJ710" s="263">
        <v>709</v>
      </c>
      <c r="BK710" s="9">
        <v>30</v>
      </c>
      <c r="BL710" s="9">
        <v>13</v>
      </c>
      <c r="BM710" s="167">
        <f>'HourGH-MAY'!O42</f>
        <v>0.21</v>
      </c>
      <c r="BN710" s="9">
        <v>709</v>
      </c>
      <c r="BO710" s="9">
        <v>30</v>
      </c>
      <c r="BP710" s="9">
        <v>13</v>
      </c>
      <c r="BQ710" s="167">
        <f>'HourGH-JUN'!O42</f>
        <v>0.24</v>
      </c>
      <c r="BR710" s="263">
        <v>709</v>
      </c>
      <c r="BS710" s="9">
        <v>30</v>
      </c>
      <c r="BT710" s="9">
        <v>13</v>
      </c>
      <c r="BU710" s="167">
        <f>'HourGH-JUL'!O42</f>
        <v>0.56000000000000005</v>
      </c>
      <c r="BV710" s="263">
        <v>709</v>
      </c>
      <c r="BW710" s="9">
        <v>30</v>
      </c>
      <c r="BX710" s="9">
        <v>13</v>
      </c>
      <c r="BY710" s="167">
        <f>'HourGH-AUG'!O42</f>
        <v>0.56000000000000005</v>
      </c>
      <c r="BZ710" s="9">
        <v>709</v>
      </c>
      <c r="CA710" s="9">
        <v>30</v>
      </c>
      <c r="CB710" s="9">
        <v>13</v>
      </c>
      <c r="CC710" s="167">
        <f>'HourGH-SEP'!O42</f>
        <v>1.17</v>
      </c>
      <c r="CD710" s="263">
        <v>709</v>
      </c>
      <c r="CE710" s="9">
        <v>30</v>
      </c>
      <c r="CF710" s="9">
        <v>13</v>
      </c>
      <c r="CG710" s="167">
        <f>'HourGH-OCT'!O42</f>
        <v>1.1200000000000001</v>
      </c>
      <c r="CH710" s="9">
        <v>709</v>
      </c>
      <c r="CI710" s="9">
        <v>30</v>
      </c>
      <c r="CJ710" s="9">
        <v>13</v>
      </c>
      <c r="CK710" s="167">
        <f>'HourGH-NOV'!O42</f>
        <v>0.56999999999999995</v>
      </c>
      <c r="CL710" s="263">
        <v>709</v>
      </c>
      <c r="CM710" s="9">
        <v>30</v>
      </c>
      <c r="CN710" s="9">
        <v>13</v>
      </c>
      <c r="CO710" s="167">
        <f>'HourGH-DEC'!O42</f>
        <v>0.44</v>
      </c>
      <c r="CP710" s="263">
        <v>709</v>
      </c>
      <c r="CQ710" s="9">
        <v>30</v>
      </c>
      <c r="CR710" s="9">
        <v>13</v>
      </c>
      <c r="CS710" s="167">
        <f>'HourGH-JAN'!O42</f>
        <v>0.33</v>
      </c>
      <c r="CX710" s="263">
        <v>709</v>
      </c>
      <c r="CY710" s="9">
        <v>30</v>
      </c>
      <c r="CZ710" s="9">
        <v>13</v>
      </c>
      <c r="DA710" s="167">
        <f>'HourGH-MAR'!O42</f>
        <v>0.63</v>
      </c>
    </row>
    <row r="711" spans="58:105">
      <c r="BF711" s="9">
        <v>710</v>
      </c>
      <c r="BG711" s="9">
        <v>30</v>
      </c>
      <c r="BH711" s="9">
        <v>14</v>
      </c>
      <c r="BI711" s="167">
        <f>'HourGH-APR'!P42</f>
        <v>0.56000000000000005</v>
      </c>
      <c r="BJ711" s="263">
        <v>710</v>
      </c>
      <c r="BK711" s="9">
        <v>30</v>
      </c>
      <c r="BL711" s="9">
        <v>14</v>
      </c>
      <c r="BM711" s="167">
        <f>'HourGH-MAY'!P42</f>
        <v>0.21</v>
      </c>
      <c r="BN711" s="9">
        <v>710</v>
      </c>
      <c r="BO711" s="9">
        <v>30</v>
      </c>
      <c r="BP711" s="9">
        <v>14</v>
      </c>
      <c r="BQ711" s="167">
        <f>'HourGH-JUN'!P42</f>
        <v>0.24</v>
      </c>
      <c r="BR711" s="263">
        <v>710</v>
      </c>
      <c r="BS711" s="9">
        <v>30</v>
      </c>
      <c r="BT711" s="9">
        <v>14</v>
      </c>
      <c r="BU711" s="167">
        <f>'HourGH-JUL'!P42</f>
        <v>0.56999999999999995</v>
      </c>
      <c r="BV711" s="263">
        <v>710</v>
      </c>
      <c r="BW711" s="9">
        <v>30</v>
      </c>
      <c r="BX711" s="9">
        <v>14</v>
      </c>
      <c r="BY711" s="167">
        <f>'HourGH-AUG'!P42</f>
        <v>0.56000000000000005</v>
      </c>
      <c r="BZ711" s="9">
        <v>710</v>
      </c>
      <c r="CA711" s="9">
        <v>30</v>
      </c>
      <c r="CB711" s="9">
        <v>14</v>
      </c>
      <c r="CC711" s="167">
        <f>'HourGH-SEP'!P42</f>
        <v>1.1599999999999999</v>
      </c>
      <c r="CD711" s="263">
        <v>710</v>
      </c>
      <c r="CE711" s="9">
        <v>30</v>
      </c>
      <c r="CF711" s="9">
        <v>14</v>
      </c>
      <c r="CG711" s="167">
        <f>'HourGH-OCT'!P42</f>
        <v>1.1200000000000001</v>
      </c>
      <c r="CH711" s="9">
        <v>710</v>
      </c>
      <c r="CI711" s="9">
        <v>30</v>
      </c>
      <c r="CJ711" s="9">
        <v>14</v>
      </c>
      <c r="CK711" s="167">
        <f>'HourGH-NOV'!P42</f>
        <v>0.56999999999999995</v>
      </c>
      <c r="CL711" s="263">
        <v>710</v>
      </c>
      <c r="CM711" s="9">
        <v>30</v>
      </c>
      <c r="CN711" s="9">
        <v>14</v>
      </c>
      <c r="CO711" s="167">
        <f>'HourGH-DEC'!P42</f>
        <v>0.44</v>
      </c>
      <c r="CP711" s="263">
        <v>710</v>
      </c>
      <c r="CQ711" s="9">
        <v>30</v>
      </c>
      <c r="CR711" s="9">
        <v>14</v>
      </c>
      <c r="CS711" s="167">
        <f>'HourGH-JAN'!P42</f>
        <v>0.33</v>
      </c>
      <c r="CX711" s="263">
        <v>710</v>
      </c>
      <c r="CY711" s="9">
        <v>30</v>
      </c>
      <c r="CZ711" s="9">
        <v>14</v>
      </c>
      <c r="DA711" s="167">
        <f>'HourGH-MAR'!P42</f>
        <v>0.63</v>
      </c>
    </row>
    <row r="712" spans="58:105">
      <c r="BF712" s="9">
        <v>711</v>
      </c>
      <c r="BG712" s="9">
        <v>30</v>
      </c>
      <c r="BH712" s="9">
        <v>15</v>
      </c>
      <c r="BI712" s="167">
        <f>'HourGH-APR'!Q42</f>
        <v>0.56000000000000005</v>
      </c>
      <c r="BJ712" s="263">
        <v>711</v>
      </c>
      <c r="BK712" s="9">
        <v>30</v>
      </c>
      <c r="BL712" s="9">
        <v>15</v>
      </c>
      <c r="BM712" s="167">
        <f>'HourGH-MAY'!Q42</f>
        <v>0.21</v>
      </c>
      <c r="BN712" s="9">
        <v>711</v>
      </c>
      <c r="BO712" s="9">
        <v>30</v>
      </c>
      <c r="BP712" s="9">
        <v>15</v>
      </c>
      <c r="BQ712" s="167">
        <f>'HourGH-JUN'!Q42</f>
        <v>0.24</v>
      </c>
      <c r="BR712" s="263">
        <v>711</v>
      </c>
      <c r="BS712" s="9">
        <v>30</v>
      </c>
      <c r="BT712" s="9">
        <v>15</v>
      </c>
      <c r="BU712" s="167">
        <f>'HourGH-JUL'!Q42</f>
        <v>0.56999999999999995</v>
      </c>
      <c r="BV712" s="263">
        <v>711</v>
      </c>
      <c r="BW712" s="9">
        <v>30</v>
      </c>
      <c r="BX712" s="9">
        <v>15</v>
      </c>
      <c r="BY712" s="167">
        <f>'HourGH-AUG'!Q42</f>
        <v>0.56000000000000005</v>
      </c>
      <c r="BZ712" s="9">
        <v>711</v>
      </c>
      <c r="CA712" s="9">
        <v>30</v>
      </c>
      <c r="CB712" s="9">
        <v>15</v>
      </c>
      <c r="CC712" s="167">
        <f>'HourGH-SEP'!Q42</f>
        <v>1.1499999999999999</v>
      </c>
      <c r="CD712" s="263">
        <v>711</v>
      </c>
      <c r="CE712" s="9">
        <v>30</v>
      </c>
      <c r="CF712" s="9">
        <v>15</v>
      </c>
      <c r="CG712" s="167">
        <f>'HourGH-OCT'!Q42</f>
        <v>1.1100000000000001</v>
      </c>
      <c r="CH712" s="9">
        <v>711</v>
      </c>
      <c r="CI712" s="9">
        <v>30</v>
      </c>
      <c r="CJ712" s="9">
        <v>15</v>
      </c>
      <c r="CK712" s="167">
        <f>'HourGH-NOV'!Q42</f>
        <v>0.56999999999999995</v>
      </c>
      <c r="CL712" s="263">
        <v>711</v>
      </c>
      <c r="CM712" s="9">
        <v>30</v>
      </c>
      <c r="CN712" s="9">
        <v>15</v>
      </c>
      <c r="CO712" s="167">
        <f>'HourGH-DEC'!Q42</f>
        <v>0.44</v>
      </c>
      <c r="CP712" s="263">
        <v>711</v>
      </c>
      <c r="CQ712" s="9">
        <v>30</v>
      </c>
      <c r="CR712" s="9">
        <v>15</v>
      </c>
      <c r="CS712" s="167">
        <f>'HourGH-JAN'!Q42</f>
        <v>0.33</v>
      </c>
      <c r="CX712" s="263">
        <v>711</v>
      </c>
      <c r="CY712" s="9">
        <v>30</v>
      </c>
      <c r="CZ712" s="9">
        <v>15</v>
      </c>
      <c r="DA712" s="167">
        <f>'HourGH-MAR'!Q42</f>
        <v>0.63</v>
      </c>
    </row>
    <row r="713" spans="58:105">
      <c r="BF713" s="9">
        <v>712</v>
      </c>
      <c r="BG713" s="9">
        <v>30</v>
      </c>
      <c r="BH713" s="9">
        <v>16</v>
      </c>
      <c r="BI713" s="167">
        <f>'HourGH-APR'!R42</f>
        <v>0.56000000000000005</v>
      </c>
      <c r="BJ713" s="263">
        <v>712</v>
      </c>
      <c r="BK713" s="9">
        <v>30</v>
      </c>
      <c r="BL713" s="9">
        <v>16</v>
      </c>
      <c r="BM713" s="167">
        <f>'HourGH-MAY'!R42</f>
        <v>0.21</v>
      </c>
      <c r="BN713" s="9">
        <v>712</v>
      </c>
      <c r="BO713" s="9">
        <v>30</v>
      </c>
      <c r="BP713" s="9">
        <v>16</v>
      </c>
      <c r="BQ713" s="167">
        <f>'HourGH-JUN'!R42</f>
        <v>0.24</v>
      </c>
      <c r="BR713" s="263">
        <v>712</v>
      </c>
      <c r="BS713" s="9">
        <v>30</v>
      </c>
      <c r="BT713" s="9">
        <v>16</v>
      </c>
      <c r="BU713" s="167">
        <f>'HourGH-JUL'!R42</f>
        <v>0.56999999999999995</v>
      </c>
      <c r="BV713" s="263">
        <v>712</v>
      </c>
      <c r="BW713" s="9">
        <v>30</v>
      </c>
      <c r="BX713" s="9">
        <v>16</v>
      </c>
      <c r="BY713" s="167">
        <f>'HourGH-AUG'!R42</f>
        <v>0.56000000000000005</v>
      </c>
      <c r="BZ713" s="9">
        <v>712</v>
      </c>
      <c r="CA713" s="9">
        <v>30</v>
      </c>
      <c r="CB713" s="9">
        <v>16</v>
      </c>
      <c r="CC713" s="167">
        <f>'HourGH-SEP'!R42</f>
        <v>1.1299999999999999</v>
      </c>
      <c r="CD713" s="263">
        <v>712</v>
      </c>
      <c r="CE713" s="9">
        <v>30</v>
      </c>
      <c r="CF713" s="9">
        <v>16</v>
      </c>
      <c r="CG713" s="167">
        <f>'HourGH-OCT'!R42</f>
        <v>1.1100000000000001</v>
      </c>
      <c r="CH713" s="9">
        <v>712</v>
      </c>
      <c r="CI713" s="9">
        <v>30</v>
      </c>
      <c r="CJ713" s="9">
        <v>16</v>
      </c>
      <c r="CK713" s="167">
        <f>'HourGH-NOV'!R42</f>
        <v>0.56999999999999995</v>
      </c>
      <c r="CL713" s="263">
        <v>712</v>
      </c>
      <c r="CM713" s="9">
        <v>30</v>
      </c>
      <c r="CN713" s="9">
        <v>16</v>
      </c>
      <c r="CO713" s="167">
        <f>'HourGH-DEC'!R42</f>
        <v>0.44</v>
      </c>
      <c r="CP713" s="263">
        <v>712</v>
      </c>
      <c r="CQ713" s="9">
        <v>30</v>
      </c>
      <c r="CR713" s="9">
        <v>16</v>
      </c>
      <c r="CS713" s="167">
        <f>'HourGH-JAN'!R42</f>
        <v>0.33</v>
      </c>
      <c r="CX713" s="263">
        <v>712</v>
      </c>
      <c r="CY713" s="9">
        <v>30</v>
      </c>
      <c r="CZ713" s="9">
        <v>16</v>
      </c>
      <c r="DA713" s="167">
        <f>'HourGH-MAR'!R42</f>
        <v>0.63</v>
      </c>
    </row>
    <row r="714" spans="58:105">
      <c r="BF714" s="9">
        <v>713</v>
      </c>
      <c r="BG714" s="9">
        <v>30</v>
      </c>
      <c r="BH714" s="9">
        <v>17</v>
      </c>
      <c r="BI714" s="167">
        <f>'HourGH-APR'!S42</f>
        <v>0.56000000000000005</v>
      </c>
      <c r="BJ714" s="263">
        <v>713</v>
      </c>
      <c r="BK714" s="9">
        <v>30</v>
      </c>
      <c r="BL714" s="9">
        <v>17</v>
      </c>
      <c r="BM714" s="167">
        <f>'HourGH-MAY'!S42</f>
        <v>0.21</v>
      </c>
      <c r="BN714" s="9">
        <v>713</v>
      </c>
      <c r="BO714" s="9">
        <v>30</v>
      </c>
      <c r="BP714" s="9">
        <v>17</v>
      </c>
      <c r="BQ714" s="167">
        <f>'HourGH-JUN'!S42</f>
        <v>0.24</v>
      </c>
      <c r="BR714" s="263">
        <v>713</v>
      </c>
      <c r="BS714" s="9">
        <v>30</v>
      </c>
      <c r="BT714" s="9">
        <v>17</v>
      </c>
      <c r="BU714" s="167">
        <f>'HourGH-JUL'!S42</f>
        <v>0.57999999999999996</v>
      </c>
      <c r="BV714" s="263">
        <v>713</v>
      </c>
      <c r="BW714" s="9">
        <v>30</v>
      </c>
      <c r="BX714" s="9">
        <v>17</v>
      </c>
      <c r="BY714" s="167">
        <f>'HourGH-AUG'!S42</f>
        <v>0.56000000000000005</v>
      </c>
      <c r="BZ714" s="9">
        <v>713</v>
      </c>
      <c r="CA714" s="9">
        <v>30</v>
      </c>
      <c r="CB714" s="9">
        <v>17</v>
      </c>
      <c r="CC714" s="167">
        <f>'HourGH-SEP'!S42</f>
        <v>1.1200000000000001</v>
      </c>
      <c r="CD714" s="263">
        <v>713</v>
      </c>
      <c r="CE714" s="9">
        <v>30</v>
      </c>
      <c r="CF714" s="9">
        <v>17</v>
      </c>
      <c r="CG714" s="167">
        <f>'HourGH-OCT'!S42</f>
        <v>1.1100000000000001</v>
      </c>
      <c r="CH714" s="9">
        <v>713</v>
      </c>
      <c r="CI714" s="9">
        <v>30</v>
      </c>
      <c r="CJ714" s="9">
        <v>17</v>
      </c>
      <c r="CK714" s="167">
        <f>'HourGH-NOV'!S42</f>
        <v>0.56999999999999995</v>
      </c>
      <c r="CL714" s="263">
        <v>713</v>
      </c>
      <c r="CM714" s="9">
        <v>30</v>
      </c>
      <c r="CN714" s="9">
        <v>17</v>
      </c>
      <c r="CO714" s="167">
        <f>'HourGH-DEC'!S42</f>
        <v>0.44</v>
      </c>
      <c r="CP714" s="263">
        <v>713</v>
      </c>
      <c r="CQ714" s="9">
        <v>30</v>
      </c>
      <c r="CR714" s="9">
        <v>17</v>
      </c>
      <c r="CS714" s="167">
        <f>'HourGH-JAN'!S42</f>
        <v>0.33</v>
      </c>
      <c r="CX714" s="263">
        <v>713</v>
      </c>
      <c r="CY714" s="9">
        <v>30</v>
      </c>
      <c r="CZ714" s="9">
        <v>17</v>
      </c>
      <c r="DA714" s="167">
        <f>'HourGH-MAR'!S42</f>
        <v>0.63</v>
      </c>
    </row>
    <row r="715" spans="58:105">
      <c r="BF715" s="9">
        <v>714</v>
      </c>
      <c r="BG715" s="9">
        <v>30</v>
      </c>
      <c r="BH715" s="9">
        <v>18</v>
      </c>
      <c r="BI715" s="167">
        <f>'HourGH-APR'!T42</f>
        <v>0.56000000000000005</v>
      </c>
      <c r="BJ715" s="263">
        <v>714</v>
      </c>
      <c r="BK715" s="9">
        <v>30</v>
      </c>
      <c r="BL715" s="9">
        <v>18</v>
      </c>
      <c r="BM715" s="167">
        <f>'HourGH-MAY'!T42</f>
        <v>0.21</v>
      </c>
      <c r="BN715" s="9">
        <v>714</v>
      </c>
      <c r="BO715" s="9">
        <v>30</v>
      </c>
      <c r="BP715" s="9">
        <v>18</v>
      </c>
      <c r="BQ715" s="167">
        <f>'HourGH-JUN'!T42</f>
        <v>0.24</v>
      </c>
      <c r="BR715" s="263">
        <v>714</v>
      </c>
      <c r="BS715" s="9">
        <v>30</v>
      </c>
      <c r="BT715" s="9">
        <v>18</v>
      </c>
      <c r="BU715" s="167">
        <f>'HourGH-JUL'!T42</f>
        <v>0.57999999999999996</v>
      </c>
      <c r="BV715" s="263">
        <v>714</v>
      </c>
      <c r="BW715" s="9">
        <v>30</v>
      </c>
      <c r="BX715" s="9">
        <v>18</v>
      </c>
      <c r="BY715" s="167">
        <f>'HourGH-AUG'!T42</f>
        <v>0.56000000000000005</v>
      </c>
      <c r="BZ715" s="9">
        <v>714</v>
      </c>
      <c r="CA715" s="9">
        <v>30</v>
      </c>
      <c r="CB715" s="9">
        <v>18</v>
      </c>
      <c r="CC715" s="167">
        <f>'HourGH-SEP'!T42</f>
        <v>1.1100000000000001</v>
      </c>
      <c r="CD715" s="263">
        <v>714</v>
      </c>
      <c r="CE715" s="9">
        <v>30</v>
      </c>
      <c r="CF715" s="9">
        <v>18</v>
      </c>
      <c r="CG715" s="167">
        <f>'HourGH-OCT'!T42</f>
        <v>1.1100000000000001</v>
      </c>
      <c r="CH715" s="9">
        <v>714</v>
      </c>
      <c r="CI715" s="9">
        <v>30</v>
      </c>
      <c r="CJ715" s="9">
        <v>18</v>
      </c>
      <c r="CK715" s="167">
        <f>'HourGH-NOV'!T42</f>
        <v>0.56999999999999995</v>
      </c>
      <c r="CL715" s="263">
        <v>714</v>
      </c>
      <c r="CM715" s="9">
        <v>30</v>
      </c>
      <c r="CN715" s="9">
        <v>18</v>
      </c>
      <c r="CO715" s="167">
        <f>'HourGH-DEC'!T42</f>
        <v>0.44</v>
      </c>
      <c r="CP715" s="263">
        <v>714</v>
      </c>
      <c r="CQ715" s="9">
        <v>30</v>
      </c>
      <c r="CR715" s="9">
        <v>18</v>
      </c>
      <c r="CS715" s="167">
        <f>'HourGH-JAN'!T42</f>
        <v>0.33</v>
      </c>
      <c r="CX715" s="263">
        <v>714</v>
      </c>
      <c r="CY715" s="9">
        <v>30</v>
      </c>
      <c r="CZ715" s="9">
        <v>18</v>
      </c>
      <c r="DA715" s="167">
        <f>'HourGH-MAR'!T42</f>
        <v>0.63</v>
      </c>
    </row>
    <row r="716" spans="58:105">
      <c r="BF716" s="9">
        <v>715</v>
      </c>
      <c r="BG716" s="9">
        <v>30</v>
      </c>
      <c r="BH716" s="9">
        <v>19</v>
      </c>
      <c r="BI716" s="167">
        <f>'HourGH-APR'!U42</f>
        <v>0.56000000000000005</v>
      </c>
      <c r="BJ716" s="263">
        <v>715</v>
      </c>
      <c r="BK716" s="9">
        <v>30</v>
      </c>
      <c r="BL716" s="9">
        <v>19</v>
      </c>
      <c r="BM716" s="167">
        <f>'HourGH-MAY'!U42</f>
        <v>0.22</v>
      </c>
      <c r="BN716" s="9">
        <v>715</v>
      </c>
      <c r="BO716" s="9">
        <v>30</v>
      </c>
      <c r="BP716" s="9">
        <v>19</v>
      </c>
      <c r="BQ716" s="167">
        <f>'HourGH-JUN'!U42</f>
        <v>0.24</v>
      </c>
      <c r="BR716" s="263">
        <v>715</v>
      </c>
      <c r="BS716" s="9">
        <v>30</v>
      </c>
      <c r="BT716" s="9">
        <v>19</v>
      </c>
      <c r="BU716" s="167">
        <f>'HourGH-JUL'!U42</f>
        <v>0.57999999999999996</v>
      </c>
      <c r="BV716" s="263">
        <v>715</v>
      </c>
      <c r="BW716" s="9">
        <v>30</v>
      </c>
      <c r="BX716" s="9">
        <v>19</v>
      </c>
      <c r="BY716" s="167">
        <f>'HourGH-AUG'!U42</f>
        <v>0.55000000000000004</v>
      </c>
      <c r="BZ716" s="9">
        <v>715</v>
      </c>
      <c r="CA716" s="9">
        <v>30</v>
      </c>
      <c r="CB716" s="9">
        <v>19</v>
      </c>
      <c r="CC716" s="167">
        <f>'HourGH-SEP'!U42</f>
        <v>1.1000000000000001</v>
      </c>
      <c r="CD716" s="263">
        <v>715</v>
      </c>
      <c r="CE716" s="9">
        <v>30</v>
      </c>
      <c r="CF716" s="9">
        <v>19</v>
      </c>
      <c r="CG716" s="167">
        <f>'HourGH-OCT'!U42</f>
        <v>1.1000000000000001</v>
      </c>
      <c r="CH716" s="9">
        <v>715</v>
      </c>
      <c r="CI716" s="9">
        <v>30</v>
      </c>
      <c r="CJ716" s="9">
        <v>19</v>
      </c>
      <c r="CK716" s="167">
        <f>'HourGH-NOV'!U42</f>
        <v>0.56999999999999995</v>
      </c>
      <c r="CL716" s="263">
        <v>715</v>
      </c>
      <c r="CM716" s="9">
        <v>30</v>
      </c>
      <c r="CN716" s="9">
        <v>19</v>
      </c>
      <c r="CO716" s="167">
        <f>'HourGH-DEC'!U42</f>
        <v>0.44</v>
      </c>
      <c r="CP716" s="263">
        <v>715</v>
      </c>
      <c r="CQ716" s="9">
        <v>30</v>
      </c>
      <c r="CR716" s="9">
        <v>19</v>
      </c>
      <c r="CS716" s="167">
        <f>'HourGH-JAN'!U42</f>
        <v>0.33</v>
      </c>
      <c r="CX716" s="263">
        <v>715</v>
      </c>
      <c r="CY716" s="9">
        <v>30</v>
      </c>
      <c r="CZ716" s="9">
        <v>19</v>
      </c>
      <c r="DA716" s="167">
        <f>'HourGH-MAR'!U42</f>
        <v>0.63</v>
      </c>
    </row>
    <row r="717" spans="58:105">
      <c r="BF717" s="9">
        <v>716</v>
      </c>
      <c r="BG717" s="9">
        <v>30</v>
      </c>
      <c r="BH717" s="9">
        <v>20</v>
      </c>
      <c r="BI717" s="167">
        <f>'HourGH-APR'!V42</f>
        <v>0.56000000000000005</v>
      </c>
      <c r="BJ717" s="263">
        <v>716</v>
      </c>
      <c r="BK717" s="9">
        <v>30</v>
      </c>
      <c r="BL717" s="9">
        <v>20</v>
      </c>
      <c r="BM717" s="167">
        <f>'HourGH-MAY'!V42</f>
        <v>0.22</v>
      </c>
      <c r="BN717" s="9">
        <v>716</v>
      </c>
      <c r="BO717" s="9">
        <v>30</v>
      </c>
      <c r="BP717" s="9">
        <v>20</v>
      </c>
      <c r="BQ717" s="167">
        <f>'HourGH-JUN'!V42</f>
        <v>0.24</v>
      </c>
      <c r="BR717" s="263">
        <v>716</v>
      </c>
      <c r="BS717" s="9">
        <v>30</v>
      </c>
      <c r="BT717" s="9">
        <v>20</v>
      </c>
      <c r="BU717" s="167">
        <f>'HourGH-JUL'!V42</f>
        <v>0.59</v>
      </c>
      <c r="BV717" s="263">
        <v>716</v>
      </c>
      <c r="BW717" s="9">
        <v>30</v>
      </c>
      <c r="BX717" s="9">
        <v>20</v>
      </c>
      <c r="BY717" s="167">
        <f>'HourGH-AUG'!V42</f>
        <v>0.55000000000000004</v>
      </c>
      <c r="BZ717" s="9">
        <v>716</v>
      </c>
      <c r="CA717" s="9">
        <v>30</v>
      </c>
      <c r="CB717" s="9">
        <v>20</v>
      </c>
      <c r="CC717" s="167">
        <f>'HourGH-SEP'!V42</f>
        <v>1.0900000000000001</v>
      </c>
      <c r="CD717" s="263">
        <v>716</v>
      </c>
      <c r="CE717" s="9">
        <v>30</v>
      </c>
      <c r="CF717" s="9">
        <v>20</v>
      </c>
      <c r="CG717" s="167">
        <f>'HourGH-OCT'!V42</f>
        <v>1.1000000000000001</v>
      </c>
      <c r="CH717" s="9">
        <v>716</v>
      </c>
      <c r="CI717" s="9">
        <v>30</v>
      </c>
      <c r="CJ717" s="9">
        <v>20</v>
      </c>
      <c r="CK717" s="167">
        <f>'HourGH-NOV'!V42</f>
        <v>0.56999999999999995</v>
      </c>
      <c r="CL717" s="263">
        <v>716</v>
      </c>
      <c r="CM717" s="9">
        <v>30</v>
      </c>
      <c r="CN717" s="9">
        <v>20</v>
      </c>
      <c r="CO717" s="167">
        <f>'HourGH-DEC'!V42</f>
        <v>0.44</v>
      </c>
      <c r="CP717" s="263">
        <v>716</v>
      </c>
      <c r="CQ717" s="9">
        <v>30</v>
      </c>
      <c r="CR717" s="9">
        <v>20</v>
      </c>
      <c r="CS717" s="167">
        <f>'HourGH-JAN'!V42</f>
        <v>0.33</v>
      </c>
      <c r="CX717" s="263">
        <v>716</v>
      </c>
      <c r="CY717" s="9">
        <v>30</v>
      </c>
      <c r="CZ717" s="9">
        <v>20</v>
      </c>
      <c r="DA717" s="167">
        <f>'HourGH-MAR'!V42</f>
        <v>0.63</v>
      </c>
    </row>
    <row r="718" spans="58:105">
      <c r="BF718" s="9">
        <v>717</v>
      </c>
      <c r="BG718" s="9">
        <v>30</v>
      </c>
      <c r="BH718" s="9">
        <v>21</v>
      </c>
      <c r="BI718" s="167">
        <f>'HourGH-APR'!W42</f>
        <v>0.56000000000000005</v>
      </c>
      <c r="BJ718" s="263">
        <v>717</v>
      </c>
      <c r="BK718" s="9">
        <v>30</v>
      </c>
      <c r="BL718" s="9">
        <v>21</v>
      </c>
      <c r="BM718" s="167">
        <f>'HourGH-MAY'!W42</f>
        <v>0.22</v>
      </c>
      <c r="BN718" s="9">
        <v>717</v>
      </c>
      <c r="BO718" s="9">
        <v>30</v>
      </c>
      <c r="BP718" s="9">
        <v>21</v>
      </c>
      <c r="BQ718" s="167">
        <f>'HourGH-JUN'!W42</f>
        <v>0.24</v>
      </c>
      <c r="BR718" s="263">
        <v>717</v>
      </c>
      <c r="BS718" s="9">
        <v>30</v>
      </c>
      <c r="BT718" s="9">
        <v>21</v>
      </c>
      <c r="BU718" s="167">
        <f>'HourGH-JUL'!W42</f>
        <v>0.59</v>
      </c>
      <c r="BV718" s="263">
        <v>717</v>
      </c>
      <c r="BW718" s="9">
        <v>30</v>
      </c>
      <c r="BX718" s="9">
        <v>21</v>
      </c>
      <c r="BY718" s="167">
        <f>'HourGH-AUG'!W42</f>
        <v>0.55000000000000004</v>
      </c>
      <c r="BZ718" s="9">
        <v>717</v>
      </c>
      <c r="CA718" s="9">
        <v>30</v>
      </c>
      <c r="CB718" s="9">
        <v>21</v>
      </c>
      <c r="CC718" s="167">
        <f>'HourGH-SEP'!W42</f>
        <v>1.08</v>
      </c>
      <c r="CD718" s="263">
        <v>717</v>
      </c>
      <c r="CE718" s="9">
        <v>30</v>
      </c>
      <c r="CF718" s="9">
        <v>21</v>
      </c>
      <c r="CG718" s="167">
        <f>'HourGH-OCT'!W42</f>
        <v>1.1000000000000001</v>
      </c>
      <c r="CH718" s="9">
        <v>717</v>
      </c>
      <c r="CI718" s="9">
        <v>30</v>
      </c>
      <c r="CJ718" s="9">
        <v>21</v>
      </c>
      <c r="CK718" s="167">
        <f>'HourGH-NOV'!W42</f>
        <v>0.56999999999999995</v>
      </c>
      <c r="CL718" s="263">
        <v>717</v>
      </c>
      <c r="CM718" s="9">
        <v>30</v>
      </c>
      <c r="CN718" s="9">
        <v>21</v>
      </c>
      <c r="CO718" s="167">
        <f>'HourGH-DEC'!W42</f>
        <v>0.44</v>
      </c>
      <c r="CP718" s="263">
        <v>717</v>
      </c>
      <c r="CQ718" s="9">
        <v>30</v>
      </c>
      <c r="CR718" s="9">
        <v>21</v>
      </c>
      <c r="CS718" s="167">
        <f>'HourGH-JAN'!W42</f>
        <v>0.33</v>
      </c>
      <c r="CX718" s="263">
        <v>717</v>
      </c>
      <c r="CY718" s="9">
        <v>30</v>
      </c>
      <c r="CZ718" s="9">
        <v>21</v>
      </c>
      <c r="DA718" s="167">
        <f>'HourGH-MAR'!W42</f>
        <v>0.63</v>
      </c>
    </row>
    <row r="719" spans="58:105">
      <c r="BF719" s="9">
        <v>718</v>
      </c>
      <c r="BG719" s="9">
        <v>30</v>
      </c>
      <c r="BH719" s="9">
        <v>22</v>
      </c>
      <c r="BI719" s="167">
        <f>'HourGH-APR'!X42</f>
        <v>0.56000000000000005</v>
      </c>
      <c r="BJ719" s="263">
        <v>718</v>
      </c>
      <c r="BK719" s="9">
        <v>30</v>
      </c>
      <c r="BL719" s="9">
        <v>22</v>
      </c>
      <c r="BM719" s="167">
        <f>'HourGH-MAY'!X42</f>
        <v>0.22</v>
      </c>
      <c r="BN719" s="9">
        <v>718</v>
      </c>
      <c r="BO719" s="9">
        <v>30</v>
      </c>
      <c r="BP719" s="9">
        <v>22</v>
      </c>
      <c r="BQ719" s="167">
        <f>'HourGH-JUN'!X42</f>
        <v>0.24</v>
      </c>
      <c r="BR719" s="263">
        <v>718</v>
      </c>
      <c r="BS719" s="9">
        <v>30</v>
      </c>
      <c r="BT719" s="9">
        <v>22</v>
      </c>
      <c r="BU719" s="167">
        <f>'HourGH-JUL'!X42</f>
        <v>0.59</v>
      </c>
      <c r="BV719" s="263">
        <v>718</v>
      </c>
      <c r="BW719" s="9">
        <v>30</v>
      </c>
      <c r="BX719" s="9">
        <v>22</v>
      </c>
      <c r="BY719" s="167">
        <f>'HourGH-AUG'!X42</f>
        <v>0.55000000000000004</v>
      </c>
      <c r="BZ719" s="9">
        <v>718</v>
      </c>
      <c r="CA719" s="9">
        <v>30</v>
      </c>
      <c r="CB719" s="9">
        <v>22</v>
      </c>
      <c r="CC719" s="167">
        <f>'HourGH-SEP'!X42</f>
        <v>1.07</v>
      </c>
      <c r="CD719" s="263">
        <v>718</v>
      </c>
      <c r="CE719" s="9">
        <v>30</v>
      </c>
      <c r="CF719" s="9">
        <v>22</v>
      </c>
      <c r="CG719" s="167">
        <f>'HourGH-OCT'!X42</f>
        <v>1.1000000000000001</v>
      </c>
      <c r="CH719" s="9">
        <v>718</v>
      </c>
      <c r="CI719" s="9">
        <v>30</v>
      </c>
      <c r="CJ719" s="9">
        <v>22</v>
      </c>
      <c r="CK719" s="167">
        <f>'HourGH-NOV'!X42</f>
        <v>0.56999999999999995</v>
      </c>
      <c r="CL719" s="263">
        <v>718</v>
      </c>
      <c r="CM719" s="9">
        <v>30</v>
      </c>
      <c r="CN719" s="9">
        <v>22</v>
      </c>
      <c r="CO719" s="167">
        <f>'HourGH-DEC'!X42</f>
        <v>0.44</v>
      </c>
      <c r="CP719" s="263">
        <v>718</v>
      </c>
      <c r="CQ719" s="9">
        <v>30</v>
      </c>
      <c r="CR719" s="9">
        <v>22</v>
      </c>
      <c r="CS719" s="167">
        <f>'HourGH-JAN'!X42</f>
        <v>0.33</v>
      </c>
      <c r="CX719" s="263">
        <v>718</v>
      </c>
      <c r="CY719" s="9">
        <v>30</v>
      </c>
      <c r="CZ719" s="9">
        <v>22</v>
      </c>
      <c r="DA719" s="167">
        <f>'HourGH-MAR'!X42</f>
        <v>0.63</v>
      </c>
    </row>
    <row r="720" spans="58:105">
      <c r="BF720" s="9">
        <v>719</v>
      </c>
      <c r="BG720" s="9">
        <v>30</v>
      </c>
      <c r="BH720" s="9">
        <v>23</v>
      </c>
      <c r="BI720" s="167">
        <f>'HourGH-APR'!Y42</f>
        <v>0.56000000000000005</v>
      </c>
      <c r="BJ720" s="263">
        <v>719</v>
      </c>
      <c r="BK720" s="9">
        <v>30</v>
      </c>
      <c r="BL720" s="9">
        <v>23</v>
      </c>
      <c r="BM720" s="167">
        <f>'HourGH-MAY'!Y42</f>
        <v>0.22</v>
      </c>
      <c r="BN720" s="9">
        <v>719</v>
      </c>
      <c r="BO720" s="9">
        <v>30</v>
      </c>
      <c r="BP720" s="9">
        <v>23</v>
      </c>
      <c r="BQ720" s="167">
        <f>'HourGH-JUN'!Y42</f>
        <v>0.24</v>
      </c>
      <c r="BR720" s="263">
        <v>719</v>
      </c>
      <c r="BS720" s="9">
        <v>30</v>
      </c>
      <c r="BT720" s="9">
        <v>23</v>
      </c>
      <c r="BU720" s="167">
        <f>'HourGH-JUL'!Y42</f>
        <v>0.59</v>
      </c>
      <c r="BV720" s="263">
        <v>719</v>
      </c>
      <c r="BW720" s="9">
        <v>30</v>
      </c>
      <c r="BX720" s="9">
        <v>23</v>
      </c>
      <c r="BY720" s="167">
        <f>'HourGH-AUG'!Y42</f>
        <v>0.55000000000000004</v>
      </c>
      <c r="BZ720" s="9">
        <v>719</v>
      </c>
      <c r="CA720" s="9">
        <v>30</v>
      </c>
      <c r="CB720" s="9">
        <v>23</v>
      </c>
      <c r="CC720" s="167">
        <f>'HourGH-SEP'!Y42</f>
        <v>1.06</v>
      </c>
      <c r="CD720" s="263">
        <v>719</v>
      </c>
      <c r="CE720" s="9">
        <v>30</v>
      </c>
      <c r="CF720" s="9">
        <v>23</v>
      </c>
      <c r="CG720" s="167">
        <f>'HourGH-OCT'!Y42</f>
        <v>1.1000000000000001</v>
      </c>
      <c r="CH720" s="9">
        <v>719</v>
      </c>
      <c r="CI720" s="9">
        <v>30</v>
      </c>
      <c r="CJ720" s="9">
        <v>23</v>
      </c>
      <c r="CK720" s="167">
        <f>'HourGH-NOV'!Y42</f>
        <v>0.56999999999999995</v>
      </c>
      <c r="CL720" s="263">
        <v>719</v>
      </c>
      <c r="CM720" s="9">
        <v>30</v>
      </c>
      <c r="CN720" s="9">
        <v>23</v>
      </c>
      <c r="CO720" s="167">
        <f>'HourGH-DEC'!Y42</f>
        <v>0.44</v>
      </c>
      <c r="CP720" s="263">
        <v>719</v>
      </c>
      <c r="CQ720" s="9">
        <v>30</v>
      </c>
      <c r="CR720" s="9">
        <v>23</v>
      </c>
      <c r="CS720" s="167">
        <f>'HourGH-JAN'!Y42</f>
        <v>0.33</v>
      </c>
      <c r="CX720" s="263">
        <v>719</v>
      </c>
      <c r="CY720" s="9">
        <v>30</v>
      </c>
      <c r="CZ720" s="9">
        <v>23</v>
      </c>
      <c r="DA720" s="167">
        <f>'HourGH-MAR'!Y42</f>
        <v>0.63</v>
      </c>
    </row>
    <row r="721" spans="58:105">
      <c r="BF721" s="9">
        <v>720</v>
      </c>
      <c r="BG721" s="9">
        <v>30</v>
      </c>
      <c r="BH721" s="9">
        <v>24</v>
      </c>
      <c r="BI721" s="167">
        <f>'HourGH-APR'!Z42</f>
        <v>0.56000000000000005</v>
      </c>
      <c r="BJ721" s="263">
        <v>720</v>
      </c>
      <c r="BK721" s="9">
        <v>30</v>
      </c>
      <c r="BL721" s="9">
        <v>24</v>
      </c>
      <c r="BM721" s="167">
        <f>'HourGH-MAY'!Z42</f>
        <v>0.22</v>
      </c>
      <c r="BN721" s="9">
        <v>720</v>
      </c>
      <c r="BO721" s="9">
        <v>30</v>
      </c>
      <c r="BP721" s="9">
        <v>24</v>
      </c>
      <c r="BQ721" s="167">
        <f>'HourGH-JUN'!Z42</f>
        <v>0.24</v>
      </c>
      <c r="BR721" s="263">
        <v>720</v>
      </c>
      <c r="BS721" s="9">
        <v>30</v>
      </c>
      <c r="BT721" s="9">
        <v>24</v>
      </c>
      <c r="BU721" s="167">
        <f>'HourGH-JUL'!Z42</f>
        <v>0.59</v>
      </c>
      <c r="BV721" s="263">
        <v>720</v>
      </c>
      <c r="BW721" s="9">
        <v>30</v>
      </c>
      <c r="BX721" s="9">
        <v>24</v>
      </c>
      <c r="BY721" s="167">
        <f>'HourGH-AUG'!Z42</f>
        <v>0.55000000000000004</v>
      </c>
      <c r="BZ721" s="9">
        <v>720</v>
      </c>
      <c r="CA721" s="9">
        <v>30</v>
      </c>
      <c r="CB721" s="9">
        <v>24</v>
      </c>
      <c r="CC721" s="167">
        <f>'HourGH-SEP'!Z42</f>
        <v>1.05</v>
      </c>
      <c r="CD721" s="263">
        <v>720</v>
      </c>
      <c r="CE721" s="9">
        <v>30</v>
      </c>
      <c r="CF721" s="9">
        <v>24</v>
      </c>
      <c r="CG721" s="167">
        <f>'HourGH-OCT'!Z42</f>
        <v>1.1000000000000001</v>
      </c>
      <c r="CH721" s="9">
        <v>720</v>
      </c>
      <c r="CI721" s="9">
        <v>30</v>
      </c>
      <c r="CJ721" s="9">
        <v>24</v>
      </c>
      <c r="CK721" s="167">
        <f>'HourGH-NOV'!Z42</f>
        <v>0.56999999999999995</v>
      </c>
      <c r="CL721" s="263">
        <v>720</v>
      </c>
      <c r="CM721" s="9">
        <v>30</v>
      </c>
      <c r="CN721" s="9">
        <v>24</v>
      </c>
      <c r="CO721" s="167">
        <f>'HourGH-DEC'!Z42</f>
        <v>0.44</v>
      </c>
      <c r="CP721" s="263">
        <v>720</v>
      </c>
      <c r="CQ721" s="9">
        <v>30</v>
      </c>
      <c r="CR721" s="9">
        <v>24</v>
      </c>
      <c r="CS721" s="167">
        <f>'HourGH-JAN'!Z42</f>
        <v>0.33</v>
      </c>
      <c r="CX721" s="263">
        <v>720</v>
      </c>
      <c r="CY721" s="9">
        <v>30</v>
      </c>
      <c r="CZ721" s="9">
        <v>24</v>
      </c>
      <c r="DA721" s="167">
        <f>'HourGH-MAR'!Z42</f>
        <v>0.63</v>
      </c>
    </row>
    <row r="722" spans="58:105">
      <c r="BJ722" s="263">
        <v>721</v>
      </c>
      <c r="BK722" s="263">
        <v>31</v>
      </c>
      <c r="BL722" s="9">
        <v>1</v>
      </c>
      <c r="BM722" s="167">
        <f>'HourGH-MAY'!C43</f>
        <v>0.23</v>
      </c>
      <c r="BR722" s="263">
        <v>721</v>
      </c>
      <c r="BS722" s="263">
        <v>31</v>
      </c>
      <c r="BT722" s="9">
        <v>1</v>
      </c>
      <c r="BU722" s="167">
        <f>'HourGH-JUL'!C43</f>
        <v>0.59</v>
      </c>
      <c r="BV722" s="263">
        <v>721</v>
      </c>
      <c r="BW722" s="263">
        <v>31</v>
      </c>
      <c r="BX722" s="9">
        <v>1</v>
      </c>
      <c r="BY722" s="167">
        <f>'HourGH-AUG'!C43</f>
        <v>0.54</v>
      </c>
      <c r="CD722" s="263">
        <v>721</v>
      </c>
      <c r="CE722" s="263">
        <v>31</v>
      </c>
      <c r="CF722" s="9">
        <v>1</v>
      </c>
      <c r="CG722" s="167">
        <f>'HourGH-OCT'!C43</f>
        <v>1.1000000000000001</v>
      </c>
      <c r="CL722" s="263">
        <v>721</v>
      </c>
      <c r="CM722" s="263">
        <v>31</v>
      </c>
      <c r="CN722" s="9">
        <v>1</v>
      </c>
      <c r="CO722" s="167">
        <f>'HourGH-DEC'!C43</f>
        <v>0.44</v>
      </c>
      <c r="CP722" s="263">
        <v>721</v>
      </c>
      <c r="CQ722" s="263">
        <v>31</v>
      </c>
      <c r="CR722" s="9">
        <v>1</v>
      </c>
      <c r="CS722" s="167">
        <f>'HourGH-JAN'!C43</f>
        <v>0.33</v>
      </c>
      <c r="CX722" s="263">
        <v>721</v>
      </c>
      <c r="CY722" s="263">
        <v>31</v>
      </c>
      <c r="CZ722" s="9">
        <v>1</v>
      </c>
      <c r="DA722" s="167">
        <f>'HourGH-MAR'!C41</f>
        <v>0.63</v>
      </c>
    </row>
    <row r="723" spans="58:105">
      <c r="BJ723" s="263">
        <v>722</v>
      </c>
      <c r="BK723" s="263">
        <v>31</v>
      </c>
      <c r="BL723" s="9">
        <v>2</v>
      </c>
      <c r="BM723" s="167">
        <f>'HourGH-MAY'!D43</f>
        <v>0.23</v>
      </c>
      <c r="BR723" s="263">
        <v>722</v>
      </c>
      <c r="BS723" s="263">
        <v>31</v>
      </c>
      <c r="BT723" s="9">
        <v>2</v>
      </c>
      <c r="BU723" s="167">
        <f>'HourGH-JUL'!D43</f>
        <v>0.59</v>
      </c>
      <c r="BV723" s="263">
        <v>722</v>
      </c>
      <c r="BW723" s="263">
        <v>31</v>
      </c>
      <c r="BX723" s="9">
        <v>2</v>
      </c>
      <c r="BY723" s="167">
        <f>'HourGH-AUG'!D43</f>
        <v>0.54</v>
      </c>
      <c r="CD723" s="263">
        <v>722</v>
      </c>
      <c r="CE723" s="263">
        <v>31</v>
      </c>
      <c r="CF723" s="9">
        <v>2</v>
      </c>
      <c r="CG723" s="167">
        <f>'HourGH-OCT'!D43</f>
        <v>1.1000000000000001</v>
      </c>
      <c r="CL723" s="263">
        <v>722</v>
      </c>
      <c r="CM723" s="263">
        <v>31</v>
      </c>
      <c r="CN723" s="9">
        <v>2</v>
      </c>
      <c r="CO723" s="167">
        <f>'HourGH-DEC'!D43</f>
        <v>0.44</v>
      </c>
      <c r="CP723" s="263">
        <v>722</v>
      </c>
      <c r="CQ723" s="263">
        <v>31</v>
      </c>
      <c r="CR723" s="9">
        <v>2</v>
      </c>
      <c r="CS723" s="167">
        <f>'HourGH-JAN'!D43</f>
        <v>0.33</v>
      </c>
      <c r="CX723" s="263">
        <v>722</v>
      </c>
      <c r="CY723" s="263">
        <v>31</v>
      </c>
      <c r="CZ723" s="9">
        <v>2</v>
      </c>
      <c r="DA723" s="167">
        <f>'HourGH-MAR'!D41</f>
        <v>0.64</v>
      </c>
    </row>
    <row r="724" spans="58:105">
      <c r="BJ724" s="263">
        <v>723</v>
      </c>
      <c r="BK724" s="263">
        <v>31</v>
      </c>
      <c r="BL724" s="9">
        <v>3</v>
      </c>
      <c r="BM724" s="167">
        <f>'HourGH-MAY'!E43</f>
        <v>0.23</v>
      </c>
      <c r="BR724" s="263">
        <v>723</v>
      </c>
      <c r="BS724" s="263">
        <v>31</v>
      </c>
      <c r="BT724" s="9">
        <v>3</v>
      </c>
      <c r="BU724" s="167">
        <f>'HourGH-JUL'!E43</f>
        <v>0.59</v>
      </c>
      <c r="BV724" s="263">
        <v>723</v>
      </c>
      <c r="BW724" s="263">
        <v>31</v>
      </c>
      <c r="BX724" s="9">
        <v>3</v>
      </c>
      <c r="BY724" s="167">
        <f>'HourGH-AUG'!E43</f>
        <v>0.54</v>
      </c>
      <c r="CD724" s="263">
        <v>723</v>
      </c>
      <c r="CE724" s="263">
        <v>31</v>
      </c>
      <c r="CF724" s="9">
        <v>3</v>
      </c>
      <c r="CG724" s="167">
        <f>'HourGH-OCT'!E43</f>
        <v>1.1000000000000001</v>
      </c>
      <c r="CL724" s="263">
        <v>723</v>
      </c>
      <c r="CM724" s="263">
        <v>31</v>
      </c>
      <c r="CN724" s="9">
        <v>3</v>
      </c>
      <c r="CO724" s="167">
        <f>'HourGH-DEC'!E43</f>
        <v>0.44</v>
      </c>
      <c r="CP724" s="263">
        <v>723</v>
      </c>
      <c r="CQ724" s="263">
        <v>31</v>
      </c>
      <c r="CR724" s="9">
        <v>3</v>
      </c>
      <c r="CS724" s="167">
        <f>'HourGH-JAN'!E43</f>
        <v>0.33</v>
      </c>
      <c r="CX724" s="263">
        <v>723</v>
      </c>
      <c r="CY724" s="263">
        <v>31</v>
      </c>
      <c r="CZ724" s="9">
        <v>3</v>
      </c>
      <c r="DA724" s="167">
        <f>'HourGH-MAR'!E41</f>
        <v>0.65</v>
      </c>
    </row>
    <row r="725" spans="58:105">
      <c r="BJ725" s="263">
        <v>724</v>
      </c>
      <c r="BK725" s="263">
        <v>31</v>
      </c>
      <c r="BL725" s="9">
        <v>4</v>
      </c>
      <c r="BM725" s="167">
        <f>'HourGH-MAY'!F43</f>
        <v>0.23</v>
      </c>
      <c r="BR725" s="263">
        <v>724</v>
      </c>
      <c r="BS725" s="263">
        <v>31</v>
      </c>
      <c r="BT725" s="9">
        <v>4</v>
      </c>
      <c r="BU725" s="167">
        <f>'HourGH-JUL'!F43</f>
        <v>0.59</v>
      </c>
      <c r="BV725" s="263">
        <v>724</v>
      </c>
      <c r="BW725" s="263">
        <v>31</v>
      </c>
      <c r="BX725" s="9">
        <v>4</v>
      </c>
      <c r="BY725" s="167">
        <f>'HourGH-AUG'!F43</f>
        <v>0.54</v>
      </c>
      <c r="CD725" s="263">
        <v>724</v>
      </c>
      <c r="CE725" s="263">
        <v>31</v>
      </c>
      <c r="CF725" s="9">
        <v>4</v>
      </c>
      <c r="CG725" s="167">
        <f>'HourGH-OCT'!F43</f>
        <v>1.1000000000000001</v>
      </c>
      <c r="CL725" s="263">
        <v>724</v>
      </c>
      <c r="CM725" s="263">
        <v>31</v>
      </c>
      <c r="CN725" s="9">
        <v>4</v>
      </c>
      <c r="CO725" s="167">
        <f>'HourGH-DEC'!F43</f>
        <v>0.44</v>
      </c>
      <c r="CP725" s="263">
        <v>724</v>
      </c>
      <c r="CQ725" s="263">
        <v>31</v>
      </c>
      <c r="CR725" s="9">
        <v>4</v>
      </c>
      <c r="CS725" s="167">
        <f>'HourGH-JAN'!F43</f>
        <v>0.33</v>
      </c>
      <c r="CX725" s="263">
        <v>724</v>
      </c>
      <c r="CY725" s="263">
        <v>31</v>
      </c>
      <c r="CZ725" s="9">
        <v>4</v>
      </c>
      <c r="DA725" s="167">
        <f>'HourGH-MAR'!F41</f>
        <v>0.66</v>
      </c>
    </row>
    <row r="726" spans="58:105">
      <c r="BJ726" s="263">
        <v>725</v>
      </c>
      <c r="BK726" s="263">
        <v>31</v>
      </c>
      <c r="BL726" s="9">
        <v>5</v>
      </c>
      <c r="BM726" s="167">
        <f>'HourGH-MAY'!G43</f>
        <v>0.23</v>
      </c>
      <c r="BR726" s="263">
        <v>725</v>
      </c>
      <c r="BS726" s="263">
        <v>31</v>
      </c>
      <c r="BT726" s="9">
        <v>5</v>
      </c>
      <c r="BU726" s="167">
        <f>'HourGH-JUL'!G43</f>
        <v>0.59</v>
      </c>
      <c r="BV726" s="263">
        <v>725</v>
      </c>
      <c r="BW726" s="263">
        <v>31</v>
      </c>
      <c r="BX726" s="9">
        <v>5</v>
      </c>
      <c r="BY726" s="167">
        <f>'HourGH-AUG'!G43</f>
        <v>0.54</v>
      </c>
      <c r="CD726" s="263">
        <v>725</v>
      </c>
      <c r="CE726" s="263">
        <v>31</v>
      </c>
      <c r="CF726" s="9">
        <v>5</v>
      </c>
      <c r="CG726" s="167">
        <f>'HourGH-OCT'!G43</f>
        <v>1.1000000000000001</v>
      </c>
      <c r="CL726" s="263">
        <v>725</v>
      </c>
      <c r="CM726" s="263">
        <v>31</v>
      </c>
      <c r="CN726" s="9">
        <v>5</v>
      </c>
      <c r="CO726" s="167">
        <f>'HourGH-DEC'!G43</f>
        <v>0.44</v>
      </c>
      <c r="CP726" s="263">
        <v>725</v>
      </c>
      <c r="CQ726" s="263">
        <v>31</v>
      </c>
      <c r="CR726" s="9">
        <v>5</v>
      </c>
      <c r="CS726" s="167">
        <f>'HourGH-JAN'!G43</f>
        <v>0.33</v>
      </c>
      <c r="CX726" s="263">
        <v>725</v>
      </c>
      <c r="CY726" s="263">
        <v>31</v>
      </c>
      <c r="CZ726" s="9">
        <v>5</v>
      </c>
      <c r="DA726" s="167">
        <f>'HourGH-MAR'!G41</f>
        <v>0.68</v>
      </c>
    </row>
    <row r="727" spans="58:105">
      <c r="BJ727" s="263">
        <v>726</v>
      </c>
      <c r="BK727" s="263">
        <v>31</v>
      </c>
      <c r="BL727" s="9">
        <v>6</v>
      </c>
      <c r="BM727" s="167">
        <f>'HourGH-MAY'!H43</f>
        <v>0.23</v>
      </c>
      <c r="BR727" s="263">
        <v>726</v>
      </c>
      <c r="BS727" s="263">
        <v>31</v>
      </c>
      <c r="BT727" s="9">
        <v>6</v>
      </c>
      <c r="BU727" s="167">
        <f>'HourGH-JUL'!H43</f>
        <v>0.6</v>
      </c>
      <c r="BV727" s="263">
        <v>726</v>
      </c>
      <c r="BW727" s="263">
        <v>31</v>
      </c>
      <c r="BX727" s="9">
        <v>6</v>
      </c>
      <c r="BY727" s="167">
        <f>'HourGH-AUG'!H43</f>
        <v>0.54</v>
      </c>
      <c r="CD727" s="263">
        <v>726</v>
      </c>
      <c r="CE727" s="263">
        <v>31</v>
      </c>
      <c r="CF727" s="9">
        <v>6</v>
      </c>
      <c r="CG727" s="167">
        <f>'HourGH-OCT'!H43</f>
        <v>1.1000000000000001</v>
      </c>
      <c r="CL727" s="263">
        <v>726</v>
      </c>
      <c r="CM727" s="263">
        <v>31</v>
      </c>
      <c r="CN727" s="9">
        <v>6</v>
      </c>
      <c r="CO727" s="167">
        <f>'HourGH-DEC'!H43</f>
        <v>0.44</v>
      </c>
      <c r="CP727" s="263">
        <v>726</v>
      </c>
      <c r="CQ727" s="263">
        <v>31</v>
      </c>
      <c r="CR727" s="9">
        <v>6</v>
      </c>
      <c r="CS727" s="167">
        <f>'HourGH-JAN'!H43</f>
        <v>0.33</v>
      </c>
      <c r="CX727" s="263">
        <v>726</v>
      </c>
      <c r="CY727" s="263">
        <v>31</v>
      </c>
      <c r="CZ727" s="9">
        <v>6</v>
      </c>
      <c r="DA727" s="167">
        <f>'HourGH-MAR'!H41</f>
        <v>0.69</v>
      </c>
    </row>
    <row r="728" spans="58:105">
      <c r="BJ728" s="263">
        <v>727</v>
      </c>
      <c r="BK728" s="263">
        <v>31</v>
      </c>
      <c r="BL728" s="9">
        <v>7</v>
      </c>
      <c r="BM728" s="167">
        <f>'HourGH-MAY'!I43</f>
        <v>0.23</v>
      </c>
      <c r="BR728" s="263">
        <v>727</v>
      </c>
      <c r="BS728" s="263">
        <v>31</v>
      </c>
      <c r="BT728" s="9">
        <v>7</v>
      </c>
      <c r="BU728" s="167">
        <f>'HourGH-JUL'!I43</f>
        <v>0.6</v>
      </c>
      <c r="BV728" s="263">
        <v>727</v>
      </c>
      <c r="BW728" s="263">
        <v>31</v>
      </c>
      <c r="BX728" s="9">
        <v>7</v>
      </c>
      <c r="BY728" s="167">
        <f>'HourGH-AUG'!I43</f>
        <v>0.54</v>
      </c>
      <c r="CD728" s="263">
        <v>727</v>
      </c>
      <c r="CE728" s="263">
        <v>31</v>
      </c>
      <c r="CF728" s="9">
        <v>7</v>
      </c>
      <c r="CG728" s="167">
        <f>'HourGH-OCT'!I43</f>
        <v>1.0900000000000001</v>
      </c>
      <c r="CL728" s="263">
        <v>727</v>
      </c>
      <c r="CM728" s="263">
        <v>31</v>
      </c>
      <c r="CN728" s="9">
        <v>7</v>
      </c>
      <c r="CO728" s="167">
        <f>'HourGH-DEC'!I43</f>
        <v>0.44</v>
      </c>
      <c r="CP728" s="263">
        <v>727</v>
      </c>
      <c r="CQ728" s="263">
        <v>31</v>
      </c>
      <c r="CR728" s="9">
        <v>7</v>
      </c>
      <c r="CS728" s="167">
        <f>'HourGH-JAN'!I43</f>
        <v>0.34</v>
      </c>
      <c r="CX728" s="263">
        <v>727</v>
      </c>
      <c r="CY728" s="263">
        <v>31</v>
      </c>
      <c r="CZ728" s="9">
        <v>7</v>
      </c>
      <c r="DA728" s="167">
        <f>'HourGH-MAR'!I41</f>
        <v>0.69</v>
      </c>
    </row>
    <row r="729" spans="58:105">
      <c r="BJ729" s="263">
        <v>728</v>
      </c>
      <c r="BK729" s="263">
        <v>31</v>
      </c>
      <c r="BL729" s="9">
        <v>8</v>
      </c>
      <c r="BM729" s="167">
        <f>'HourGH-MAY'!J43</f>
        <v>0.23</v>
      </c>
      <c r="BR729" s="263">
        <v>728</v>
      </c>
      <c r="BS729" s="263">
        <v>31</v>
      </c>
      <c r="BT729" s="9">
        <v>8</v>
      </c>
      <c r="BU729" s="167">
        <f>'HourGH-JUL'!J43</f>
        <v>0.6</v>
      </c>
      <c r="BV729" s="263">
        <v>728</v>
      </c>
      <c r="BW729" s="263">
        <v>31</v>
      </c>
      <c r="BX729" s="9">
        <v>8</v>
      </c>
      <c r="BY729" s="167">
        <f>'HourGH-AUG'!J43</f>
        <v>0.54</v>
      </c>
      <c r="CD729" s="263">
        <v>728</v>
      </c>
      <c r="CE729" s="263">
        <v>31</v>
      </c>
      <c r="CF729" s="9">
        <v>8</v>
      </c>
      <c r="CG729" s="167">
        <f>'HourGH-OCT'!J43</f>
        <v>1.0900000000000001</v>
      </c>
      <c r="CL729" s="263">
        <v>728</v>
      </c>
      <c r="CM729" s="263">
        <v>31</v>
      </c>
      <c r="CN729" s="9">
        <v>8</v>
      </c>
      <c r="CO729" s="167">
        <f>'HourGH-DEC'!J43</f>
        <v>0.44</v>
      </c>
      <c r="CP729" s="263">
        <v>728</v>
      </c>
      <c r="CQ729" s="263">
        <v>31</v>
      </c>
      <c r="CR729" s="9">
        <v>8</v>
      </c>
      <c r="CS729" s="167">
        <f>'HourGH-JAN'!J43</f>
        <v>0.34</v>
      </c>
      <c r="CX729" s="263">
        <v>728</v>
      </c>
      <c r="CY729" s="263">
        <v>31</v>
      </c>
      <c r="CZ729" s="9">
        <v>8</v>
      </c>
      <c r="DA729" s="167">
        <f>'HourGH-MAR'!J41</f>
        <v>0.7</v>
      </c>
    </row>
    <row r="730" spans="58:105">
      <c r="BJ730" s="263">
        <v>729</v>
      </c>
      <c r="BK730" s="263">
        <v>31</v>
      </c>
      <c r="BL730" s="9">
        <v>9</v>
      </c>
      <c r="BM730" s="167">
        <f>'HourGH-MAY'!K43</f>
        <v>0.23</v>
      </c>
      <c r="BR730" s="263">
        <v>729</v>
      </c>
      <c r="BS730" s="263">
        <v>31</v>
      </c>
      <c r="BT730" s="9">
        <v>9</v>
      </c>
      <c r="BU730" s="167">
        <f>'HourGH-JUL'!K43</f>
        <v>0.6</v>
      </c>
      <c r="BV730" s="263">
        <v>729</v>
      </c>
      <c r="BW730" s="263">
        <v>31</v>
      </c>
      <c r="BX730" s="9">
        <v>9</v>
      </c>
      <c r="BY730" s="167">
        <f>'HourGH-AUG'!K43</f>
        <v>0.54</v>
      </c>
      <c r="CD730" s="263">
        <v>729</v>
      </c>
      <c r="CE730" s="263">
        <v>31</v>
      </c>
      <c r="CF730" s="9">
        <v>9</v>
      </c>
      <c r="CG730" s="167">
        <f>'HourGH-OCT'!K43</f>
        <v>1.0900000000000001</v>
      </c>
      <c r="CL730" s="263">
        <v>729</v>
      </c>
      <c r="CM730" s="263">
        <v>31</v>
      </c>
      <c r="CN730" s="9">
        <v>9</v>
      </c>
      <c r="CO730" s="167">
        <f>'HourGH-DEC'!K43</f>
        <v>0.44</v>
      </c>
      <c r="CP730" s="263">
        <v>729</v>
      </c>
      <c r="CQ730" s="263">
        <v>31</v>
      </c>
      <c r="CR730" s="9">
        <v>9</v>
      </c>
      <c r="CS730" s="167">
        <f>'HourGH-JAN'!K43</f>
        <v>0.35</v>
      </c>
      <c r="CX730" s="263">
        <v>729</v>
      </c>
      <c r="CY730" s="263">
        <v>31</v>
      </c>
      <c r="CZ730" s="9">
        <v>9</v>
      </c>
      <c r="DA730" s="167">
        <f>'HourGH-MAR'!K41</f>
        <v>0.7</v>
      </c>
    </row>
    <row r="731" spans="58:105">
      <c r="BJ731" s="263">
        <v>730</v>
      </c>
      <c r="BK731" s="263">
        <v>31</v>
      </c>
      <c r="BL731" s="9">
        <v>10</v>
      </c>
      <c r="BM731" s="167">
        <f>'HourGH-MAY'!L43</f>
        <v>0.23</v>
      </c>
      <c r="BR731" s="263">
        <v>730</v>
      </c>
      <c r="BS731" s="263">
        <v>31</v>
      </c>
      <c r="BT731" s="9">
        <v>10</v>
      </c>
      <c r="BU731" s="167">
        <f>'HourGH-JUL'!L43</f>
        <v>0.6</v>
      </c>
      <c r="BV731" s="263">
        <v>730</v>
      </c>
      <c r="BW731" s="263">
        <v>31</v>
      </c>
      <c r="BX731" s="9">
        <v>10</v>
      </c>
      <c r="BY731" s="167">
        <f>'HourGH-AUG'!L43</f>
        <v>0.54</v>
      </c>
      <c r="CD731" s="263">
        <v>730</v>
      </c>
      <c r="CE731" s="263">
        <v>31</v>
      </c>
      <c r="CF731" s="9">
        <v>10</v>
      </c>
      <c r="CG731" s="167">
        <f>'HourGH-OCT'!L43</f>
        <v>1.0900000000000001</v>
      </c>
      <c r="CL731" s="263">
        <v>730</v>
      </c>
      <c r="CM731" s="263">
        <v>31</v>
      </c>
      <c r="CN731" s="9">
        <v>10</v>
      </c>
      <c r="CO731" s="167">
        <f>'HourGH-DEC'!L43</f>
        <v>0.44</v>
      </c>
      <c r="CP731" s="263">
        <v>730</v>
      </c>
      <c r="CQ731" s="263">
        <v>31</v>
      </c>
      <c r="CR731" s="9">
        <v>10</v>
      </c>
      <c r="CS731" s="167">
        <f>'HourGH-JAN'!L43</f>
        <v>0.36</v>
      </c>
      <c r="CX731" s="263">
        <v>730</v>
      </c>
      <c r="CY731" s="263">
        <v>31</v>
      </c>
      <c r="CZ731" s="9">
        <v>10</v>
      </c>
      <c r="DA731" s="167">
        <f>'HourGH-MAR'!L41</f>
        <v>0.71</v>
      </c>
    </row>
    <row r="732" spans="58:105">
      <c r="BJ732" s="263">
        <v>731</v>
      </c>
      <c r="BK732" s="263">
        <v>31</v>
      </c>
      <c r="BL732" s="9">
        <v>11</v>
      </c>
      <c r="BM732" s="167">
        <f>'HourGH-MAY'!M43</f>
        <v>0.23</v>
      </c>
      <c r="BR732" s="263">
        <v>731</v>
      </c>
      <c r="BS732" s="263">
        <v>31</v>
      </c>
      <c r="BT732" s="9">
        <v>11</v>
      </c>
      <c r="BU732" s="167">
        <f>'HourGH-JUL'!M43</f>
        <v>0.6</v>
      </c>
      <c r="BV732" s="263">
        <v>731</v>
      </c>
      <c r="BW732" s="263">
        <v>31</v>
      </c>
      <c r="BX732" s="9">
        <v>11</v>
      </c>
      <c r="BY732" s="167">
        <f>'HourGH-AUG'!M43</f>
        <v>0.54</v>
      </c>
      <c r="CD732" s="263">
        <v>731</v>
      </c>
      <c r="CE732" s="263">
        <v>31</v>
      </c>
      <c r="CF732" s="9">
        <v>11</v>
      </c>
      <c r="CG732" s="167">
        <f>'HourGH-OCT'!M43</f>
        <v>1.0900000000000001</v>
      </c>
      <c r="CL732" s="263">
        <v>731</v>
      </c>
      <c r="CM732" s="263">
        <v>31</v>
      </c>
      <c r="CN732" s="9">
        <v>11</v>
      </c>
      <c r="CO732" s="167">
        <f>'HourGH-DEC'!M43</f>
        <v>0.44</v>
      </c>
      <c r="CP732" s="263">
        <v>731</v>
      </c>
      <c r="CQ732" s="263">
        <v>31</v>
      </c>
      <c r="CR732" s="9">
        <v>11</v>
      </c>
      <c r="CS732" s="167">
        <f>'HourGH-JAN'!M43</f>
        <v>0.37</v>
      </c>
      <c r="CX732" s="263">
        <v>731</v>
      </c>
      <c r="CY732" s="263">
        <v>31</v>
      </c>
      <c r="CZ732" s="9">
        <v>11</v>
      </c>
      <c r="DA732" s="167">
        <f>'HourGH-MAR'!M41</f>
        <v>0.71</v>
      </c>
    </row>
    <row r="733" spans="58:105">
      <c r="BJ733" s="263">
        <v>732</v>
      </c>
      <c r="BK733" s="263">
        <v>31</v>
      </c>
      <c r="BL733" s="9">
        <v>12</v>
      </c>
      <c r="BM733" s="167">
        <f>'HourGH-MAY'!N43</f>
        <v>0.23</v>
      </c>
      <c r="BR733" s="263">
        <v>732</v>
      </c>
      <c r="BS733" s="263">
        <v>31</v>
      </c>
      <c r="BT733" s="9">
        <v>12</v>
      </c>
      <c r="BU733" s="167">
        <f>'HourGH-JUL'!N43</f>
        <v>0.6</v>
      </c>
      <c r="BV733" s="263">
        <v>732</v>
      </c>
      <c r="BW733" s="263">
        <v>31</v>
      </c>
      <c r="BX733" s="9">
        <v>12</v>
      </c>
      <c r="BY733" s="167">
        <f>'HourGH-AUG'!N43</f>
        <v>0.55000000000000004</v>
      </c>
      <c r="CD733" s="263">
        <v>732</v>
      </c>
      <c r="CE733" s="263">
        <v>31</v>
      </c>
      <c r="CF733" s="9">
        <v>12</v>
      </c>
      <c r="CG733" s="167">
        <f>'HourGH-OCT'!N43</f>
        <v>1.08</v>
      </c>
      <c r="CL733" s="263">
        <v>732</v>
      </c>
      <c r="CM733" s="263">
        <v>31</v>
      </c>
      <c r="CN733" s="9">
        <v>12</v>
      </c>
      <c r="CO733" s="167">
        <f>'HourGH-DEC'!N43</f>
        <v>0.44</v>
      </c>
      <c r="CP733" s="263">
        <v>732</v>
      </c>
      <c r="CQ733" s="263">
        <v>31</v>
      </c>
      <c r="CR733" s="9">
        <v>12</v>
      </c>
      <c r="CS733" s="167">
        <f>'HourGH-JAN'!N43</f>
        <v>0.38</v>
      </c>
      <c r="CX733" s="263">
        <v>732</v>
      </c>
      <c r="CY733" s="263">
        <v>31</v>
      </c>
      <c r="CZ733" s="9">
        <v>12</v>
      </c>
      <c r="DA733" s="167">
        <f>'HourGH-MAR'!N41</f>
        <v>0.71</v>
      </c>
    </row>
    <row r="734" spans="58:105">
      <c r="BJ734" s="263">
        <v>733</v>
      </c>
      <c r="BK734" s="263">
        <v>31</v>
      </c>
      <c r="BL734" s="9">
        <v>13</v>
      </c>
      <c r="BM734" s="167">
        <f>'HourGH-MAY'!O43</f>
        <v>0.23</v>
      </c>
      <c r="BR734" s="263">
        <v>733</v>
      </c>
      <c r="BS734" s="263">
        <v>31</v>
      </c>
      <c r="BT734" s="9">
        <v>13</v>
      </c>
      <c r="BU734" s="167">
        <f>'HourGH-JUL'!O43</f>
        <v>0.6</v>
      </c>
      <c r="BV734" s="263">
        <v>733</v>
      </c>
      <c r="BW734" s="263">
        <v>31</v>
      </c>
      <c r="BX734" s="9">
        <v>13</v>
      </c>
      <c r="BY734" s="167">
        <f>'HourGH-AUG'!O43</f>
        <v>0.56000000000000005</v>
      </c>
      <c r="CD734" s="263">
        <v>733</v>
      </c>
      <c r="CE734" s="263">
        <v>31</v>
      </c>
      <c r="CF734" s="9">
        <v>13</v>
      </c>
      <c r="CG734" s="167">
        <f>'HourGH-OCT'!O43</f>
        <v>1.08</v>
      </c>
      <c r="CL734" s="263">
        <v>733</v>
      </c>
      <c r="CM734" s="263">
        <v>31</v>
      </c>
      <c r="CN734" s="9">
        <v>13</v>
      </c>
      <c r="CO734" s="167">
        <f>'HourGH-DEC'!O43</f>
        <v>0.44</v>
      </c>
      <c r="CP734" s="263">
        <v>733</v>
      </c>
      <c r="CQ734" s="263">
        <v>31</v>
      </c>
      <c r="CR734" s="9">
        <v>13</v>
      </c>
      <c r="CS734" s="167">
        <f>'HourGH-JAN'!O43</f>
        <v>0.39</v>
      </c>
      <c r="CX734" s="263">
        <v>733</v>
      </c>
      <c r="CY734" s="263">
        <v>31</v>
      </c>
      <c r="CZ734" s="9">
        <v>13</v>
      </c>
      <c r="DA734" s="167">
        <f>'HourGH-MAR'!O41</f>
        <v>0.7</v>
      </c>
    </row>
    <row r="735" spans="58:105">
      <c r="BJ735" s="263">
        <v>734</v>
      </c>
      <c r="BK735" s="263">
        <v>31</v>
      </c>
      <c r="BL735" s="9">
        <v>14</v>
      </c>
      <c r="BM735" s="167">
        <f>'HourGH-MAY'!P43</f>
        <v>0.23</v>
      </c>
      <c r="BR735" s="263">
        <v>734</v>
      </c>
      <c r="BS735" s="263">
        <v>31</v>
      </c>
      <c r="BT735" s="9">
        <v>14</v>
      </c>
      <c r="BU735" s="167">
        <f>'HourGH-JUL'!P43</f>
        <v>0.6</v>
      </c>
      <c r="BV735" s="263">
        <v>734</v>
      </c>
      <c r="BW735" s="263">
        <v>31</v>
      </c>
      <c r="BX735" s="9">
        <v>14</v>
      </c>
      <c r="BY735" s="167">
        <f>'HourGH-AUG'!P43</f>
        <v>0.56999999999999995</v>
      </c>
      <c r="CD735" s="263">
        <v>734</v>
      </c>
      <c r="CE735" s="263">
        <v>31</v>
      </c>
      <c r="CF735" s="9">
        <v>14</v>
      </c>
      <c r="CG735" s="167">
        <f>'HourGH-OCT'!P43</f>
        <v>1.08</v>
      </c>
      <c r="CL735" s="263">
        <v>734</v>
      </c>
      <c r="CM735" s="263">
        <v>31</v>
      </c>
      <c r="CN735" s="9">
        <v>14</v>
      </c>
      <c r="CO735" s="167">
        <f>'HourGH-DEC'!P43</f>
        <v>0.44</v>
      </c>
      <c r="CP735" s="263">
        <v>734</v>
      </c>
      <c r="CQ735" s="263">
        <v>31</v>
      </c>
      <c r="CR735" s="9">
        <v>14</v>
      </c>
      <c r="CS735" s="167">
        <f>'HourGH-JAN'!P43</f>
        <v>0.4</v>
      </c>
      <c r="CX735" s="263">
        <v>734</v>
      </c>
      <c r="CY735" s="263">
        <v>31</v>
      </c>
      <c r="CZ735" s="9">
        <v>14</v>
      </c>
      <c r="DA735" s="167">
        <f>'HourGH-MAR'!P41</f>
        <v>0.7</v>
      </c>
    </row>
    <row r="736" spans="58:105">
      <c r="BJ736" s="263">
        <v>735</v>
      </c>
      <c r="BK736" s="263">
        <v>31</v>
      </c>
      <c r="BL736" s="9">
        <v>15</v>
      </c>
      <c r="BM736" s="167">
        <f>'HourGH-MAY'!Q43</f>
        <v>0.23</v>
      </c>
      <c r="BR736" s="263">
        <v>735</v>
      </c>
      <c r="BS736" s="263">
        <v>31</v>
      </c>
      <c r="BT736" s="9">
        <v>15</v>
      </c>
      <c r="BU736" s="167">
        <f>'HourGH-JUL'!Q43</f>
        <v>0.6</v>
      </c>
      <c r="BV736" s="263">
        <v>735</v>
      </c>
      <c r="BW736" s="263">
        <v>31</v>
      </c>
      <c r="BX736" s="9">
        <v>15</v>
      </c>
      <c r="BY736" s="167">
        <f>'HourGH-AUG'!Q43</f>
        <v>0.57999999999999996</v>
      </c>
      <c r="CD736" s="263">
        <v>735</v>
      </c>
      <c r="CE736" s="263">
        <v>31</v>
      </c>
      <c r="CF736" s="9">
        <v>15</v>
      </c>
      <c r="CG736" s="167">
        <f>'HourGH-OCT'!Q43</f>
        <v>1.08</v>
      </c>
      <c r="CL736" s="263">
        <v>735</v>
      </c>
      <c r="CM736" s="263">
        <v>31</v>
      </c>
      <c r="CN736" s="9">
        <v>15</v>
      </c>
      <c r="CO736" s="167">
        <f>'HourGH-DEC'!Q43</f>
        <v>0.44</v>
      </c>
      <c r="CP736" s="263">
        <v>735</v>
      </c>
      <c r="CQ736" s="263">
        <v>31</v>
      </c>
      <c r="CR736" s="9">
        <v>15</v>
      </c>
      <c r="CS736" s="167">
        <f>'HourGH-JAN'!Q43</f>
        <v>0.41</v>
      </c>
      <c r="CX736" s="263">
        <v>735</v>
      </c>
      <c r="CY736" s="263">
        <v>31</v>
      </c>
      <c r="CZ736" s="9">
        <v>15</v>
      </c>
      <c r="DA736" s="167">
        <f>'HourGH-MAR'!Q41</f>
        <v>0.7</v>
      </c>
    </row>
    <row r="737" spans="62:105">
      <c r="BJ737" s="263">
        <v>736</v>
      </c>
      <c r="BK737" s="263">
        <v>31</v>
      </c>
      <c r="BL737" s="9">
        <v>16</v>
      </c>
      <c r="BM737" s="167">
        <f>'HourGH-MAY'!R43</f>
        <v>0.23</v>
      </c>
      <c r="BR737" s="263">
        <v>736</v>
      </c>
      <c r="BS737" s="263">
        <v>31</v>
      </c>
      <c r="BT737" s="9">
        <v>16</v>
      </c>
      <c r="BU737" s="167">
        <f>'HourGH-JUL'!R43</f>
        <v>0.6</v>
      </c>
      <c r="BV737" s="263">
        <v>736</v>
      </c>
      <c r="BW737" s="263">
        <v>31</v>
      </c>
      <c r="BX737" s="9">
        <v>16</v>
      </c>
      <c r="BY737" s="167">
        <f>'HourGH-AUG'!R43</f>
        <v>0.6</v>
      </c>
      <c r="CD737" s="263">
        <v>736</v>
      </c>
      <c r="CE737" s="263">
        <v>31</v>
      </c>
      <c r="CF737" s="9">
        <v>16</v>
      </c>
      <c r="CG737" s="167">
        <f>'HourGH-OCT'!R43</f>
        <v>1.08</v>
      </c>
      <c r="CL737" s="263">
        <v>736</v>
      </c>
      <c r="CM737" s="263">
        <v>31</v>
      </c>
      <c r="CN737" s="9">
        <v>16</v>
      </c>
      <c r="CO737" s="167">
        <f>'HourGH-DEC'!R43</f>
        <v>0.44</v>
      </c>
      <c r="CP737" s="263">
        <v>736</v>
      </c>
      <c r="CQ737" s="263">
        <v>31</v>
      </c>
      <c r="CR737" s="9">
        <v>16</v>
      </c>
      <c r="CS737" s="167">
        <f>'HourGH-JAN'!R43</f>
        <v>0.42</v>
      </c>
      <c r="CX737" s="263">
        <v>736</v>
      </c>
      <c r="CY737" s="263">
        <v>31</v>
      </c>
      <c r="CZ737" s="9">
        <v>16</v>
      </c>
      <c r="DA737" s="167">
        <f>'HourGH-MAR'!R41</f>
        <v>0.7</v>
      </c>
    </row>
    <row r="738" spans="62:105">
      <c r="BJ738" s="263">
        <v>737</v>
      </c>
      <c r="BK738" s="263">
        <v>31</v>
      </c>
      <c r="BL738" s="9">
        <v>17</v>
      </c>
      <c r="BM738" s="167">
        <f>'HourGH-MAY'!S43</f>
        <v>0.23</v>
      </c>
      <c r="BR738" s="263">
        <v>737</v>
      </c>
      <c r="BS738" s="263">
        <v>31</v>
      </c>
      <c r="BT738" s="9">
        <v>17</v>
      </c>
      <c r="BU738" s="167">
        <f>'HourGH-JUL'!S43</f>
        <v>0.6</v>
      </c>
      <c r="BV738" s="263">
        <v>737</v>
      </c>
      <c r="BW738" s="263">
        <v>31</v>
      </c>
      <c r="BX738" s="9">
        <v>17</v>
      </c>
      <c r="BY738" s="167">
        <f>'HourGH-AUG'!S43</f>
        <v>0.62</v>
      </c>
      <c r="CD738" s="263">
        <v>737</v>
      </c>
      <c r="CE738" s="263">
        <v>31</v>
      </c>
      <c r="CF738" s="9">
        <v>17</v>
      </c>
      <c r="CG738" s="167">
        <f>'HourGH-OCT'!S43</f>
        <v>1.08</v>
      </c>
      <c r="CL738" s="263">
        <v>737</v>
      </c>
      <c r="CM738" s="263">
        <v>31</v>
      </c>
      <c r="CN738" s="9">
        <v>17</v>
      </c>
      <c r="CO738" s="167">
        <f>'HourGH-DEC'!S43</f>
        <v>0.44</v>
      </c>
      <c r="CP738" s="263">
        <v>737</v>
      </c>
      <c r="CQ738" s="263">
        <v>31</v>
      </c>
      <c r="CR738" s="9">
        <v>17</v>
      </c>
      <c r="CS738" s="167">
        <f>'HourGH-JAN'!S43</f>
        <v>0.44</v>
      </c>
      <c r="CX738" s="263">
        <v>737</v>
      </c>
      <c r="CY738" s="263">
        <v>31</v>
      </c>
      <c r="CZ738" s="9">
        <v>17</v>
      </c>
      <c r="DA738" s="167">
        <f>'HourGH-MAR'!S41</f>
        <v>0.7</v>
      </c>
    </row>
    <row r="739" spans="62:105">
      <c r="BJ739" s="263">
        <v>738</v>
      </c>
      <c r="BK739" s="263">
        <v>31</v>
      </c>
      <c r="BL739" s="9">
        <v>18</v>
      </c>
      <c r="BM739" s="167">
        <f>'HourGH-MAY'!T43</f>
        <v>0.23</v>
      </c>
      <c r="BR739" s="263">
        <v>738</v>
      </c>
      <c r="BS739" s="263">
        <v>31</v>
      </c>
      <c r="BT739" s="9">
        <v>18</v>
      </c>
      <c r="BU739" s="167">
        <f>'HourGH-JUL'!T43</f>
        <v>0.6</v>
      </c>
      <c r="BV739" s="263">
        <v>738</v>
      </c>
      <c r="BW739" s="263">
        <v>31</v>
      </c>
      <c r="BX739" s="9">
        <v>18</v>
      </c>
      <c r="BY739" s="167">
        <f>'HourGH-AUG'!T43</f>
        <v>0.64</v>
      </c>
      <c r="CD739" s="263">
        <v>738</v>
      </c>
      <c r="CE739" s="263">
        <v>31</v>
      </c>
      <c r="CF739" s="9">
        <v>18</v>
      </c>
      <c r="CG739" s="167">
        <f>'HourGH-OCT'!T43</f>
        <v>1.07</v>
      </c>
      <c r="CL739" s="263">
        <v>738</v>
      </c>
      <c r="CM739" s="263">
        <v>31</v>
      </c>
      <c r="CN739" s="9">
        <v>18</v>
      </c>
      <c r="CO739" s="167">
        <f>'HourGH-DEC'!T43</f>
        <v>0.44</v>
      </c>
      <c r="CP739" s="263">
        <v>738</v>
      </c>
      <c r="CQ739" s="263">
        <v>31</v>
      </c>
      <c r="CR739" s="9">
        <v>18</v>
      </c>
      <c r="CS739" s="167">
        <f>'HourGH-JAN'!T43</f>
        <v>0.46</v>
      </c>
      <c r="CX739" s="263">
        <v>738</v>
      </c>
      <c r="CY739" s="263">
        <v>31</v>
      </c>
      <c r="CZ739" s="9">
        <v>18</v>
      </c>
      <c r="DA739" s="167">
        <f>'HourGH-MAR'!T41</f>
        <v>0.7</v>
      </c>
    </row>
    <row r="740" spans="62:105">
      <c r="BJ740" s="263">
        <v>739</v>
      </c>
      <c r="BK740" s="263">
        <v>31</v>
      </c>
      <c r="BL740" s="9">
        <v>19</v>
      </c>
      <c r="BM740" s="167">
        <f>'HourGH-MAY'!U43</f>
        <v>0.23</v>
      </c>
      <c r="BR740" s="263">
        <v>739</v>
      </c>
      <c r="BS740" s="263">
        <v>31</v>
      </c>
      <c r="BT740" s="9">
        <v>19</v>
      </c>
      <c r="BU740" s="167">
        <f>'HourGH-JUL'!U43</f>
        <v>0.59</v>
      </c>
      <c r="BV740" s="263">
        <v>739</v>
      </c>
      <c r="BW740" s="263">
        <v>31</v>
      </c>
      <c r="BX740" s="9">
        <v>19</v>
      </c>
      <c r="BY740" s="167">
        <f>'HourGH-AUG'!U43</f>
        <v>0.67</v>
      </c>
      <c r="CD740" s="263">
        <v>739</v>
      </c>
      <c r="CE740" s="263">
        <v>31</v>
      </c>
      <c r="CF740" s="9">
        <v>19</v>
      </c>
      <c r="CG740" s="167">
        <f>'HourGH-OCT'!U43</f>
        <v>1.07</v>
      </c>
      <c r="CL740" s="263">
        <v>739</v>
      </c>
      <c r="CM740" s="263">
        <v>31</v>
      </c>
      <c r="CN740" s="9">
        <v>19</v>
      </c>
      <c r="CO740" s="167">
        <f>'HourGH-DEC'!U43</f>
        <v>0.44</v>
      </c>
      <c r="CP740" s="263">
        <v>739</v>
      </c>
      <c r="CQ740" s="263">
        <v>31</v>
      </c>
      <c r="CR740" s="9">
        <v>19</v>
      </c>
      <c r="CS740" s="167">
        <f>'HourGH-JAN'!U43</f>
        <v>0.48</v>
      </c>
      <c r="CX740" s="263">
        <v>739</v>
      </c>
      <c r="CY740" s="263">
        <v>31</v>
      </c>
      <c r="CZ740" s="9">
        <v>19</v>
      </c>
      <c r="DA740" s="167">
        <f>'HourGH-MAR'!U41</f>
        <v>0.69</v>
      </c>
    </row>
    <row r="741" spans="62:105">
      <c r="BJ741" s="263">
        <v>740</v>
      </c>
      <c r="BK741" s="263">
        <v>31</v>
      </c>
      <c r="BL741" s="9">
        <v>20</v>
      </c>
      <c r="BM741" s="167">
        <f>'HourGH-MAY'!V43</f>
        <v>0.23</v>
      </c>
      <c r="BR741" s="263">
        <v>740</v>
      </c>
      <c r="BS741" s="263">
        <v>31</v>
      </c>
      <c r="BT741" s="9">
        <v>20</v>
      </c>
      <c r="BU741" s="167">
        <f>'HourGH-JUL'!V43</f>
        <v>0.59</v>
      </c>
      <c r="BV741" s="263">
        <v>740</v>
      </c>
      <c r="BW741" s="263">
        <v>31</v>
      </c>
      <c r="BX741" s="9">
        <v>20</v>
      </c>
      <c r="BY741" s="167">
        <f>'HourGH-AUG'!V43</f>
        <v>0.7</v>
      </c>
      <c r="CD741" s="263">
        <v>740</v>
      </c>
      <c r="CE741" s="263">
        <v>31</v>
      </c>
      <c r="CF741" s="9">
        <v>20</v>
      </c>
      <c r="CG741" s="167">
        <f>'HourGH-OCT'!V43</f>
        <v>1.07</v>
      </c>
      <c r="CL741" s="263">
        <v>740</v>
      </c>
      <c r="CM741" s="263">
        <v>31</v>
      </c>
      <c r="CN741" s="9">
        <v>20</v>
      </c>
      <c r="CO741" s="167">
        <f>'HourGH-DEC'!V43</f>
        <v>0.44</v>
      </c>
      <c r="CP741" s="263">
        <v>740</v>
      </c>
      <c r="CQ741" s="263">
        <v>31</v>
      </c>
      <c r="CR741" s="9">
        <v>20</v>
      </c>
      <c r="CS741" s="167">
        <f>'HourGH-JAN'!V43</f>
        <v>0.5</v>
      </c>
      <c r="CX741" s="263">
        <v>740</v>
      </c>
      <c r="CY741" s="263">
        <v>31</v>
      </c>
      <c r="CZ741" s="9">
        <v>20</v>
      </c>
      <c r="DA741" s="167">
        <f>'HourGH-MAR'!V41</f>
        <v>0.69</v>
      </c>
    </row>
    <row r="742" spans="62:105">
      <c r="BJ742" s="263">
        <v>741</v>
      </c>
      <c r="BK742" s="263">
        <v>31</v>
      </c>
      <c r="BL742" s="9">
        <v>21</v>
      </c>
      <c r="BM742" s="167">
        <f>'HourGH-MAY'!W43</f>
        <v>0.23</v>
      </c>
      <c r="BR742" s="263">
        <v>741</v>
      </c>
      <c r="BS742" s="263">
        <v>31</v>
      </c>
      <c r="BT742" s="9">
        <v>21</v>
      </c>
      <c r="BU742" s="167">
        <f>'HourGH-JUL'!W43</f>
        <v>0.59</v>
      </c>
      <c r="BV742" s="263">
        <v>741</v>
      </c>
      <c r="BW742" s="263">
        <v>31</v>
      </c>
      <c r="BX742" s="9">
        <v>21</v>
      </c>
      <c r="BY742" s="167">
        <f>'HourGH-AUG'!W43</f>
        <v>0.73</v>
      </c>
      <c r="CD742" s="263">
        <v>741</v>
      </c>
      <c r="CE742" s="263">
        <v>31</v>
      </c>
      <c r="CF742" s="9">
        <v>21</v>
      </c>
      <c r="CG742" s="167">
        <f>'HourGH-OCT'!W43</f>
        <v>1.06</v>
      </c>
      <c r="CL742" s="263">
        <v>741</v>
      </c>
      <c r="CM742" s="263">
        <v>31</v>
      </c>
      <c r="CN742" s="9">
        <v>21</v>
      </c>
      <c r="CO742" s="167">
        <f>'HourGH-DEC'!W43</f>
        <v>0.44</v>
      </c>
      <c r="CP742" s="263">
        <v>741</v>
      </c>
      <c r="CQ742" s="263">
        <v>31</v>
      </c>
      <c r="CR742" s="9">
        <v>21</v>
      </c>
      <c r="CS742" s="167">
        <f>'HourGH-JAN'!W43</f>
        <v>0.52</v>
      </c>
      <c r="CX742" s="263">
        <v>741</v>
      </c>
      <c r="CY742" s="263">
        <v>31</v>
      </c>
      <c r="CZ742" s="9">
        <v>21</v>
      </c>
      <c r="DA742" s="167">
        <f>'HourGH-MAR'!W41</f>
        <v>0.68</v>
      </c>
    </row>
    <row r="743" spans="62:105">
      <c r="BJ743" s="263">
        <v>742</v>
      </c>
      <c r="BK743" s="263">
        <v>31</v>
      </c>
      <c r="BL743" s="9">
        <v>22</v>
      </c>
      <c r="BM743" s="167">
        <f>'HourGH-MAY'!X43</f>
        <v>0.23</v>
      </c>
      <c r="BR743" s="263">
        <v>742</v>
      </c>
      <c r="BS743" s="263">
        <v>31</v>
      </c>
      <c r="BT743" s="9">
        <v>22</v>
      </c>
      <c r="BU743" s="167">
        <f>'HourGH-JUL'!X43</f>
        <v>0.59</v>
      </c>
      <c r="BV743" s="263">
        <v>742</v>
      </c>
      <c r="BW743" s="263">
        <v>31</v>
      </c>
      <c r="BX743" s="9">
        <v>22</v>
      </c>
      <c r="BY743" s="167">
        <f>'HourGH-AUG'!X43</f>
        <v>0.76</v>
      </c>
      <c r="CD743" s="263">
        <v>742</v>
      </c>
      <c r="CE743" s="263">
        <v>31</v>
      </c>
      <c r="CF743" s="9">
        <v>22</v>
      </c>
      <c r="CG743" s="167">
        <f>'HourGH-OCT'!X43</f>
        <v>1.06</v>
      </c>
      <c r="CL743" s="263">
        <v>742</v>
      </c>
      <c r="CM743" s="263">
        <v>31</v>
      </c>
      <c r="CN743" s="9">
        <v>22</v>
      </c>
      <c r="CO743" s="167">
        <f>'HourGH-DEC'!X43</f>
        <v>0.44</v>
      </c>
      <c r="CP743" s="263">
        <v>742</v>
      </c>
      <c r="CQ743" s="263">
        <v>31</v>
      </c>
      <c r="CR743" s="9">
        <v>22</v>
      </c>
      <c r="CS743" s="167">
        <f>'HourGH-JAN'!X43</f>
        <v>0.54</v>
      </c>
      <c r="CX743" s="263">
        <v>742</v>
      </c>
      <c r="CY743" s="263">
        <v>31</v>
      </c>
      <c r="CZ743" s="9">
        <v>22</v>
      </c>
      <c r="DA743" s="167">
        <f>'HourGH-MAR'!X41</f>
        <v>0.68</v>
      </c>
    </row>
    <row r="744" spans="62:105">
      <c r="BJ744" s="263">
        <v>743</v>
      </c>
      <c r="BK744" s="263">
        <v>31</v>
      </c>
      <c r="BL744" s="9">
        <v>23</v>
      </c>
      <c r="BM744" s="167">
        <f>'HourGH-MAY'!Y43</f>
        <v>0.23</v>
      </c>
      <c r="BR744" s="263">
        <v>743</v>
      </c>
      <c r="BS744" s="263">
        <v>31</v>
      </c>
      <c r="BT744" s="9">
        <v>23</v>
      </c>
      <c r="BU744" s="167">
        <f>'HourGH-JUL'!Y43</f>
        <v>0.59</v>
      </c>
      <c r="BV744" s="263">
        <v>743</v>
      </c>
      <c r="BW744" s="263">
        <v>31</v>
      </c>
      <c r="BX744" s="9">
        <v>23</v>
      </c>
      <c r="BY744" s="167">
        <f>'HourGH-AUG'!Y43</f>
        <v>0.8</v>
      </c>
      <c r="CD744" s="263">
        <v>743</v>
      </c>
      <c r="CE744" s="263">
        <v>31</v>
      </c>
      <c r="CF744" s="9">
        <v>23</v>
      </c>
      <c r="CG744" s="167">
        <f>'HourGH-OCT'!Y43</f>
        <v>1.06</v>
      </c>
      <c r="CL744" s="263">
        <v>743</v>
      </c>
      <c r="CM744" s="263">
        <v>31</v>
      </c>
      <c r="CN744" s="9">
        <v>23</v>
      </c>
      <c r="CO744" s="167">
        <f>'HourGH-DEC'!Y43</f>
        <v>0.44</v>
      </c>
      <c r="CP744" s="263">
        <v>743</v>
      </c>
      <c r="CQ744" s="263">
        <v>31</v>
      </c>
      <c r="CR744" s="9">
        <v>23</v>
      </c>
      <c r="CS744" s="167">
        <f>'HourGH-JAN'!Y43</f>
        <v>0.56000000000000005</v>
      </c>
      <c r="CX744" s="263">
        <v>743</v>
      </c>
      <c r="CY744" s="263">
        <v>31</v>
      </c>
      <c r="CZ744" s="9">
        <v>23</v>
      </c>
      <c r="DA744" s="167">
        <f>'HourGH-MAR'!Y41</f>
        <v>0.67</v>
      </c>
    </row>
    <row r="745" spans="62:105">
      <c r="BJ745" s="263">
        <v>744</v>
      </c>
      <c r="BK745" s="263">
        <v>31</v>
      </c>
      <c r="BL745" s="9">
        <v>24</v>
      </c>
      <c r="BM745" s="167">
        <f>'HourGH-MAY'!Z43</f>
        <v>0.23</v>
      </c>
      <c r="BR745" s="263">
        <v>744</v>
      </c>
      <c r="BS745" s="263">
        <v>31</v>
      </c>
      <c r="BT745" s="9">
        <v>24</v>
      </c>
      <c r="BU745" s="167">
        <f>'HourGH-JUL'!Z43</f>
        <v>0.59</v>
      </c>
      <c r="BV745" s="263">
        <v>744</v>
      </c>
      <c r="BW745" s="263">
        <v>31</v>
      </c>
      <c r="BX745" s="9">
        <v>24</v>
      </c>
      <c r="BY745" s="167">
        <f>'HourGH-AUG'!Z43</f>
        <v>0.84</v>
      </c>
      <c r="CD745" s="263">
        <v>744</v>
      </c>
      <c r="CE745" s="263">
        <v>31</v>
      </c>
      <c r="CF745" s="9">
        <v>24</v>
      </c>
      <c r="CG745" s="167">
        <f>'HourGH-OCT'!Z43</f>
        <v>1.05</v>
      </c>
      <c r="CL745" s="263">
        <v>744</v>
      </c>
      <c r="CM745" s="263">
        <v>31</v>
      </c>
      <c r="CN745" s="9">
        <v>24</v>
      </c>
      <c r="CO745" s="167">
        <f>'HourGH-DEC'!Z43</f>
        <v>0.44</v>
      </c>
      <c r="CP745" s="263">
        <v>744</v>
      </c>
      <c r="CQ745" s="263">
        <v>31</v>
      </c>
      <c r="CR745" s="9">
        <v>24</v>
      </c>
      <c r="CS745" s="167">
        <f>'HourGH-JAN'!Z43</f>
        <v>0.57999999999999996</v>
      </c>
      <c r="CX745" s="263">
        <v>744</v>
      </c>
      <c r="CY745" s="263">
        <v>31</v>
      </c>
      <c r="CZ745" s="9">
        <v>24</v>
      </c>
      <c r="DA745" s="167">
        <f>'HourGH-MAR'!Z41</f>
        <v>0.67</v>
      </c>
    </row>
  </sheetData>
  <phoneticPr fontId="71" type="noConversion"/>
  <pageMargins left="0.75" right="0.75" top="1" bottom="1" header="0.5" footer="0.5"/>
  <pageSetup paperSize="9" scale="10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BK370"/>
  <sheetViews>
    <sheetView showGridLines="0" topLeftCell="A127" workbookViewId="0">
      <selection activeCell="AV298" sqref="AV298"/>
    </sheetView>
  </sheetViews>
  <sheetFormatPr defaultRowHeight="12.75"/>
  <cols>
    <col min="17" max="17" width="68.85546875" customWidth="1"/>
    <col min="18" max="21" width="9.140625" style="135"/>
    <col min="22" max="22" width="45.28515625" style="135" customWidth="1"/>
    <col min="23" max="23" width="14.140625" style="134" customWidth="1"/>
    <col min="24" max="24" width="4.28515625" customWidth="1"/>
    <col min="25" max="27" width="0" hidden="1" customWidth="1"/>
    <col min="28" max="28" width="4.140625" customWidth="1"/>
    <col min="29" max="29" width="4.85546875" customWidth="1"/>
    <col min="30" max="30" width="4.42578125" customWidth="1"/>
    <col min="31" max="31" width="7.28515625" customWidth="1"/>
    <col min="32" max="33" width="6.28515625" customWidth="1"/>
    <col min="34" max="34" width="4.140625" customWidth="1"/>
    <col min="35" max="35" width="4.85546875" customWidth="1"/>
    <col min="36" max="36" width="4.42578125" customWidth="1"/>
    <col min="37" max="37" width="9.5703125" customWidth="1"/>
    <col min="38" max="39" width="6.28515625" customWidth="1"/>
    <col min="40" max="40" width="4.140625" customWidth="1"/>
    <col min="41" max="41" width="4.85546875" customWidth="1"/>
    <col min="42" max="42" width="4.42578125" customWidth="1"/>
    <col min="43" max="43" width="9.5703125" customWidth="1"/>
    <col min="44" max="44" width="6.7109375" customWidth="1"/>
    <col min="45" max="45" width="6" customWidth="1"/>
    <col min="46" max="46" width="4.140625" customWidth="1"/>
    <col min="47" max="47" width="4.85546875" customWidth="1"/>
    <col min="48" max="48" width="4.42578125" customWidth="1"/>
    <col min="49" max="49" width="9.5703125" customWidth="1"/>
    <col min="50" max="51" width="6.7109375" customWidth="1"/>
    <col min="52" max="52" width="6.7109375" hidden="1" customWidth="1"/>
    <col min="53" max="55" width="6.85546875" hidden="1" customWidth="1"/>
    <col min="56" max="61" width="6.85546875" customWidth="1"/>
    <col min="62" max="62" width="6.5703125" customWidth="1"/>
  </cols>
  <sheetData>
    <row r="1" spans="1:63" ht="21.75" customHeight="1">
      <c r="A1" s="283" t="s">
        <v>314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15"/>
      <c r="Q1" s="215"/>
    </row>
    <row r="2" spans="1:63" ht="24.75" customHeight="1">
      <c r="A2" s="284" t="s">
        <v>313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16"/>
      <c r="Q2" s="216"/>
    </row>
    <row r="3" spans="1:63">
      <c r="AC3" s="286" t="s">
        <v>225</v>
      </c>
      <c r="AD3" s="286"/>
      <c r="AE3" s="286"/>
      <c r="AI3" s="285" t="s">
        <v>226</v>
      </c>
      <c r="AJ3" s="285"/>
      <c r="AK3" s="285"/>
      <c r="AO3" s="285" t="s">
        <v>227</v>
      </c>
      <c r="AP3" s="285"/>
      <c r="AQ3" s="285"/>
      <c r="AU3" s="285" t="s">
        <v>312</v>
      </c>
      <c r="AV3" s="285"/>
      <c r="AW3" s="285"/>
    </row>
    <row r="5" spans="1:63">
      <c r="AB5">
        <v>1</v>
      </c>
      <c r="AC5">
        <v>1</v>
      </c>
      <c r="AD5">
        <v>1</v>
      </c>
      <c r="AE5" s="117">
        <f>DailyMeanGH!C9</f>
        <v>338.05</v>
      </c>
      <c r="AH5">
        <v>1</v>
      </c>
      <c r="AI5">
        <v>1</v>
      </c>
      <c r="AJ5">
        <v>1</v>
      </c>
      <c r="AK5">
        <f>'HourGH-APR'!AC11</f>
        <v>338.16</v>
      </c>
      <c r="AN5">
        <v>1</v>
      </c>
      <c r="AO5">
        <v>1</v>
      </c>
      <c r="AP5">
        <v>1</v>
      </c>
      <c r="AQ5">
        <f>'HourGH-APR'!AE11</f>
        <v>337.94</v>
      </c>
      <c r="AT5">
        <v>1</v>
      </c>
      <c r="AU5">
        <v>1</v>
      </c>
      <c r="AV5">
        <v>1</v>
      </c>
      <c r="AW5" s="117">
        <f>Discharge!C9</f>
        <v>8.1300000000000008</v>
      </c>
    </row>
    <row r="6" spans="1:63">
      <c r="AB6">
        <v>1</v>
      </c>
      <c r="AC6">
        <v>2</v>
      </c>
      <c r="AD6">
        <v>2</v>
      </c>
      <c r="AE6" s="117">
        <f>DailyMeanGH!C10</f>
        <v>338.32</v>
      </c>
      <c r="AF6" s="117"/>
      <c r="AG6" s="117"/>
      <c r="AH6">
        <v>1</v>
      </c>
      <c r="AI6">
        <v>2</v>
      </c>
      <c r="AJ6">
        <v>2</v>
      </c>
      <c r="AK6">
        <f>'HourGH-APR'!AC12</f>
        <v>338.37</v>
      </c>
      <c r="AL6" s="117"/>
      <c r="AM6" s="117"/>
      <c r="AN6">
        <v>1</v>
      </c>
      <c r="AO6">
        <v>2</v>
      </c>
      <c r="AP6">
        <v>2</v>
      </c>
      <c r="AQ6">
        <f>'HourGH-APR'!AE12</f>
        <v>338.18</v>
      </c>
      <c r="AR6" s="117"/>
      <c r="AS6" s="117"/>
      <c r="AT6">
        <v>1</v>
      </c>
      <c r="AU6">
        <v>2</v>
      </c>
      <c r="AV6">
        <v>2</v>
      </c>
      <c r="AW6" s="117">
        <f>Discharge!C10</f>
        <v>18.399999999999999</v>
      </c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</row>
    <row r="7" spans="1:63">
      <c r="AB7">
        <v>1</v>
      </c>
      <c r="AC7">
        <v>3</v>
      </c>
      <c r="AD7">
        <v>3</v>
      </c>
      <c r="AE7" s="117">
        <f>DailyMeanGH!C11</f>
        <v>338.21</v>
      </c>
      <c r="AF7" s="117"/>
      <c r="AG7" s="117"/>
      <c r="AH7">
        <v>1</v>
      </c>
      <c r="AI7">
        <v>3</v>
      </c>
      <c r="AJ7">
        <v>3</v>
      </c>
      <c r="AK7">
        <f>'HourGH-APR'!AC13</f>
        <v>338.33000000000004</v>
      </c>
      <c r="AL7" s="117"/>
      <c r="AM7" s="117"/>
      <c r="AN7">
        <v>1</v>
      </c>
      <c r="AO7">
        <v>3</v>
      </c>
      <c r="AP7">
        <v>3</v>
      </c>
      <c r="AQ7">
        <f>'HourGH-APR'!AE13</f>
        <v>338.11</v>
      </c>
      <c r="AR7" s="117"/>
      <c r="AS7" s="117"/>
      <c r="AT7">
        <v>1</v>
      </c>
      <c r="AU7">
        <v>3</v>
      </c>
      <c r="AV7">
        <v>3</v>
      </c>
      <c r="AW7" s="117">
        <f>Discharge!C11</f>
        <v>13.45</v>
      </c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</row>
    <row r="8" spans="1:63">
      <c r="AB8">
        <v>1</v>
      </c>
      <c r="AC8">
        <v>4</v>
      </c>
      <c r="AD8">
        <v>4</v>
      </c>
      <c r="AE8" s="117">
        <f>DailyMeanGH!C12</f>
        <v>338.15</v>
      </c>
      <c r="AF8" s="117"/>
      <c r="AG8" s="117"/>
      <c r="AH8">
        <v>1</v>
      </c>
      <c r="AI8">
        <v>4</v>
      </c>
      <c r="AJ8">
        <v>4</v>
      </c>
      <c r="AK8">
        <f>'HourGH-APR'!AC14</f>
        <v>338.20000000000005</v>
      </c>
      <c r="AL8" s="117"/>
      <c r="AM8" s="117"/>
      <c r="AN8">
        <v>1</v>
      </c>
      <c r="AO8">
        <v>4</v>
      </c>
      <c r="AP8">
        <v>4</v>
      </c>
      <c r="AQ8">
        <f>'HourGH-APR'!AE14</f>
        <v>338.1</v>
      </c>
      <c r="AR8" s="117"/>
      <c r="AS8" s="117"/>
      <c r="AT8">
        <v>1</v>
      </c>
      <c r="AU8">
        <v>4</v>
      </c>
      <c r="AV8">
        <v>4</v>
      </c>
      <c r="AW8" s="117">
        <f>Discharge!C12</f>
        <v>11.37</v>
      </c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</row>
    <row r="9" spans="1:63">
      <c r="AB9">
        <v>1</v>
      </c>
      <c r="AC9">
        <v>5</v>
      </c>
      <c r="AD9">
        <v>5</v>
      </c>
      <c r="AE9" s="117">
        <f>DailyMeanGH!C13</f>
        <v>338.18</v>
      </c>
      <c r="AF9" s="117"/>
      <c r="AG9" s="117"/>
      <c r="AH9">
        <v>1</v>
      </c>
      <c r="AI9">
        <v>5</v>
      </c>
      <c r="AJ9">
        <v>5</v>
      </c>
      <c r="AK9">
        <f>'HourGH-APR'!AC15</f>
        <v>338.20000000000005</v>
      </c>
      <c r="AL9" s="117"/>
      <c r="AM9" s="117"/>
      <c r="AN9">
        <v>1</v>
      </c>
      <c r="AO9">
        <v>5</v>
      </c>
      <c r="AP9">
        <v>5</v>
      </c>
      <c r="AQ9">
        <f>'HourGH-APR'!AE15</f>
        <v>338.16</v>
      </c>
      <c r="AR9" s="117"/>
      <c r="AS9" s="117"/>
      <c r="AT9">
        <v>1</v>
      </c>
      <c r="AU9">
        <v>5</v>
      </c>
      <c r="AV9">
        <v>5</v>
      </c>
      <c r="AW9" s="117">
        <f>Discharge!C13</f>
        <v>12.35</v>
      </c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</row>
    <row r="10" spans="1:63">
      <c r="AB10">
        <v>1</v>
      </c>
      <c r="AC10">
        <v>6</v>
      </c>
      <c r="AD10">
        <v>6</v>
      </c>
      <c r="AE10" s="117">
        <f>DailyMeanGH!C14</f>
        <v>338.2</v>
      </c>
      <c r="AF10" s="117"/>
      <c r="AG10" s="117"/>
      <c r="AH10">
        <v>1</v>
      </c>
      <c r="AI10">
        <v>6</v>
      </c>
      <c r="AJ10">
        <v>6</v>
      </c>
      <c r="AK10">
        <f>'HourGH-APR'!AC16</f>
        <v>338.26000000000005</v>
      </c>
      <c r="AL10" s="117"/>
      <c r="AM10" s="117"/>
      <c r="AN10">
        <v>1</v>
      </c>
      <c r="AO10">
        <v>6</v>
      </c>
      <c r="AP10">
        <v>6</v>
      </c>
      <c r="AQ10">
        <f>'HourGH-APR'!AE16</f>
        <v>338.16</v>
      </c>
      <c r="AR10" s="117"/>
      <c r="AS10" s="117"/>
      <c r="AT10">
        <v>1</v>
      </c>
      <c r="AU10">
        <v>6</v>
      </c>
      <c r="AV10">
        <v>6</v>
      </c>
      <c r="AW10" s="117">
        <f>Discharge!C14</f>
        <v>13</v>
      </c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</row>
    <row r="11" spans="1:63">
      <c r="AB11">
        <v>1</v>
      </c>
      <c r="AC11">
        <v>7</v>
      </c>
      <c r="AD11">
        <v>7</v>
      </c>
      <c r="AE11" s="117">
        <f>DailyMeanGH!C15</f>
        <v>338.29</v>
      </c>
      <c r="AF11" s="117"/>
      <c r="AG11" s="117"/>
      <c r="AH11">
        <v>1</v>
      </c>
      <c r="AI11">
        <v>7</v>
      </c>
      <c r="AJ11">
        <v>7</v>
      </c>
      <c r="AK11">
        <f>'HourGH-APR'!AC17</f>
        <v>338.31</v>
      </c>
      <c r="AL11" s="117"/>
      <c r="AM11" s="117"/>
      <c r="AN11">
        <v>1</v>
      </c>
      <c r="AO11">
        <v>7</v>
      </c>
      <c r="AP11">
        <v>7</v>
      </c>
      <c r="AQ11">
        <f>'HourGH-APR'!AE17</f>
        <v>338.26000000000005</v>
      </c>
      <c r="AR11" s="117"/>
      <c r="AS11" s="117"/>
      <c r="AT11">
        <v>1</v>
      </c>
      <c r="AU11">
        <v>7</v>
      </c>
      <c r="AV11">
        <v>7</v>
      </c>
      <c r="AW11" s="117">
        <f>Discharge!C15</f>
        <v>17.05</v>
      </c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</row>
    <row r="12" spans="1:63">
      <c r="AB12">
        <v>1</v>
      </c>
      <c r="AC12">
        <v>8</v>
      </c>
      <c r="AD12">
        <v>8</v>
      </c>
      <c r="AE12" s="117">
        <f>DailyMeanGH!C16</f>
        <v>338.23</v>
      </c>
      <c r="AF12" s="117"/>
      <c r="AG12" s="117"/>
      <c r="AH12">
        <v>1</v>
      </c>
      <c r="AI12">
        <v>8</v>
      </c>
      <c r="AJ12">
        <v>8</v>
      </c>
      <c r="AK12">
        <f>'HourGH-APR'!AC18</f>
        <v>338.27000000000004</v>
      </c>
      <c r="AL12" s="117"/>
      <c r="AM12" s="117"/>
      <c r="AN12">
        <v>1</v>
      </c>
      <c r="AO12">
        <v>8</v>
      </c>
      <c r="AP12">
        <v>8</v>
      </c>
      <c r="AQ12">
        <f>'HourGH-APR'!AE18</f>
        <v>338.21000000000004</v>
      </c>
      <c r="AR12" s="117"/>
      <c r="AS12" s="117"/>
      <c r="AT12">
        <v>1</v>
      </c>
      <c r="AU12">
        <v>8</v>
      </c>
      <c r="AV12">
        <v>8</v>
      </c>
      <c r="AW12" s="117">
        <f>Discharge!C16</f>
        <v>14.35</v>
      </c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</row>
    <row r="13" spans="1:63">
      <c r="AB13">
        <v>1</v>
      </c>
      <c r="AC13">
        <v>9</v>
      </c>
      <c r="AD13">
        <v>9</v>
      </c>
      <c r="AE13" s="117">
        <f>DailyMeanGH!C17</f>
        <v>338.2</v>
      </c>
      <c r="AF13" s="117"/>
      <c r="AG13" s="117"/>
      <c r="AH13">
        <v>1</v>
      </c>
      <c r="AI13">
        <v>9</v>
      </c>
      <c r="AJ13">
        <v>9</v>
      </c>
      <c r="AK13">
        <f>'HourGH-APR'!AC19</f>
        <v>338.20000000000005</v>
      </c>
      <c r="AL13" s="117"/>
      <c r="AM13" s="117"/>
      <c r="AN13">
        <v>1</v>
      </c>
      <c r="AO13">
        <v>9</v>
      </c>
      <c r="AP13">
        <v>9</v>
      </c>
      <c r="AQ13">
        <f>'HourGH-APR'!AE19</f>
        <v>338.20000000000005</v>
      </c>
      <c r="AR13" s="117"/>
      <c r="AS13" s="117"/>
      <c r="AT13">
        <v>1</v>
      </c>
      <c r="AU13">
        <v>9</v>
      </c>
      <c r="AV13">
        <v>9</v>
      </c>
      <c r="AW13" s="117">
        <f>Discharge!C17</f>
        <v>13</v>
      </c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</row>
    <row r="14" spans="1:63">
      <c r="AB14">
        <v>1</v>
      </c>
      <c r="AC14">
        <v>10</v>
      </c>
      <c r="AD14">
        <v>10</v>
      </c>
      <c r="AE14" s="117">
        <f>DailyMeanGH!C18</f>
        <v>338.21</v>
      </c>
      <c r="AF14" s="117"/>
      <c r="AG14" s="117"/>
      <c r="AH14">
        <v>1</v>
      </c>
      <c r="AI14">
        <v>10</v>
      </c>
      <c r="AJ14">
        <v>10</v>
      </c>
      <c r="AK14">
        <f>'HourGH-APR'!AC20</f>
        <v>338.21000000000004</v>
      </c>
      <c r="AL14" s="117"/>
      <c r="AM14" s="117"/>
      <c r="AN14">
        <v>1</v>
      </c>
      <c r="AO14">
        <v>10</v>
      </c>
      <c r="AP14">
        <v>10</v>
      </c>
      <c r="AQ14">
        <f>'HourGH-APR'!AE20</f>
        <v>338.20000000000005</v>
      </c>
      <c r="AR14" s="117"/>
      <c r="AS14" s="117"/>
      <c r="AT14">
        <v>1</v>
      </c>
      <c r="AU14">
        <v>10</v>
      </c>
      <c r="AV14">
        <v>10</v>
      </c>
      <c r="AW14" s="117">
        <f>Discharge!C18</f>
        <v>13.45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</row>
    <row r="15" spans="1:63">
      <c r="AB15">
        <v>1</v>
      </c>
      <c r="AC15">
        <v>11</v>
      </c>
      <c r="AD15">
        <v>11</v>
      </c>
      <c r="AE15" s="117">
        <f>DailyMeanGH!C20</f>
        <v>338.22</v>
      </c>
      <c r="AF15" s="117"/>
      <c r="AG15" s="117"/>
      <c r="AH15">
        <v>1</v>
      </c>
      <c r="AI15">
        <v>11</v>
      </c>
      <c r="AJ15">
        <v>11</v>
      </c>
      <c r="AK15">
        <f>'HourGH-APR'!AC22</f>
        <v>338.22</v>
      </c>
      <c r="AL15" s="117"/>
      <c r="AM15" s="117"/>
      <c r="AN15">
        <v>1</v>
      </c>
      <c r="AO15">
        <v>11</v>
      </c>
      <c r="AP15">
        <v>11</v>
      </c>
      <c r="AQ15">
        <f>'HourGH-APR'!AE22</f>
        <v>338.21000000000004</v>
      </c>
      <c r="AR15" s="117"/>
      <c r="AS15" s="117"/>
      <c r="AT15">
        <v>1</v>
      </c>
      <c r="AU15">
        <v>11</v>
      </c>
      <c r="AV15">
        <v>11</v>
      </c>
      <c r="AW15" s="117">
        <f>Discharge!C20</f>
        <v>13.9</v>
      </c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</row>
    <row r="16" spans="1:63">
      <c r="AB16">
        <v>1</v>
      </c>
      <c r="AC16">
        <v>12</v>
      </c>
      <c r="AD16">
        <v>12</v>
      </c>
      <c r="AE16" s="117">
        <f>DailyMeanGH!C21</f>
        <v>338.18</v>
      </c>
      <c r="AF16" s="117"/>
      <c r="AG16" s="117"/>
      <c r="AH16">
        <v>1</v>
      </c>
      <c r="AI16">
        <v>12</v>
      </c>
      <c r="AJ16">
        <v>12</v>
      </c>
      <c r="AK16">
        <f>'HourGH-APR'!AC23</f>
        <v>338.20000000000005</v>
      </c>
      <c r="AL16" s="117"/>
      <c r="AM16" s="117"/>
      <c r="AN16">
        <v>1</v>
      </c>
      <c r="AO16">
        <v>12</v>
      </c>
      <c r="AP16">
        <v>12</v>
      </c>
      <c r="AQ16">
        <f>'HourGH-APR'!AE23</f>
        <v>338.15000000000003</v>
      </c>
      <c r="AR16" s="117"/>
      <c r="AS16" s="117"/>
      <c r="AT16">
        <v>1</v>
      </c>
      <c r="AU16">
        <v>12</v>
      </c>
      <c r="AV16">
        <v>12</v>
      </c>
      <c r="AW16" s="117">
        <f>Discharge!C21</f>
        <v>12.35</v>
      </c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</row>
    <row r="17" spans="28:62">
      <c r="AB17">
        <v>1</v>
      </c>
      <c r="AC17">
        <v>13</v>
      </c>
      <c r="AD17">
        <v>13</v>
      </c>
      <c r="AE17" s="117">
        <f>DailyMeanGH!C22</f>
        <v>338.16</v>
      </c>
      <c r="AF17" s="117"/>
      <c r="AG17" s="117"/>
      <c r="AH17">
        <v>1</v>
      </c>
      <c r="AI17">
        <v>13</v>
      </c>
      <c r="AJ17">
        <v>13</v>
      </c>
      <c r="AK17">
        <f>'HourGH-APR'!AC24</f>
        <v>338.19</v>
      </c>
      <c r="AL17" s="117"/>
      <c r="AM17" s="117"/>
      <c r="AN17">
        <v>1</v>
      </c>
      <c r="AO17">
        <v>13</v>
      </c>
      <c r="AP17">
        <v>13</v>
      </c>
      <c r="AQ17">
        <f>'HourGH-APR'!AE24</f>
        <v>338.14000000000004</v>
      </c>
      <c r="AR17" s="117"/>
      <c r="AS17" s="117"/>
      <c r="AT17">
        <v>1</v>
      </c>
      <c r="AU17">
        <v>13</v>
      </c>
      <c r="AV17">
        <v>13</v>
      </c>
      <c r="AW17" s="117">
        <f>Discharge!C22</f>
        <v>11.7</v>
      </c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</row>
    <row r="18" spans="28:62">
      <c r="AB18">
        <v>1</v>
      </c>
      <c r="AC18">
        <v>14</v>
      </c>
      <c r="AD18">
        <v>14</v>
      </c>
      <c r="AE18" s="117">
        <f>DailyMeanGH!C23</f>
        <v>338.2</v>
      </c>
      <c r="AH18">
        <v>1</v>
      </c>
      <c r="AI18">
        <v>14</v>
      </c>
      <c r="AJ18">
        <v>14</v>
      </c>
      <c r="AK18">
        <f>'HourGH-APR'!AC25</f>
        <v>338.20000000000005</v>
      </c>
      <c r="AN18">
        <v>1</v>
      </c>
      <c r="AO18">
        <v>14</v>
      </c>
      <c r="AP18">
        <v>14</v>
      </c>
      <c r="AQ18">
        <f>'HourGH-APR'!AE25</f>
        <v>338.20000000000005</v>
      </c>
      <c r="AT18">
        <v>1</v>
      </c>
      <c r="AU18">
        <v>14</v>
      </c>
      <c r="AV18">
        <v>14</v>
      </c>
      <c r="AW18" s="117">
        <f>Discharge!C23</f>
        <v>13</v>
      </c>
    </row>
    <row r="19" spans="28:62">
      <c r="AB19">
        <v>1</v>
      </c>
      <c r="AC19">
        <v>15</v>
      </c>
      <c r="AD19">
        <v>15</v>
      </c>
      <c r="AE19" s="117">
        <f>DailyMeanGH!C24</f>
        <v>338.2</v>
      </c>
      <c r="AH19">
        <v>1</v>
      </c>
      <c r="AI19">
        <v>15</v>
      </c>
      <c r="AJ19">
        <v>15</v>
      </c>
      <c r="AK19">
        <f>'HourGH-APR'!AC26</f>
        <v>338.20000000000005</v>
      </c>
      <c r="AN19">
        <v>1</v>
      </c>
      <c r="AO19">
        <v>15</v>
      </c>
      <c r="AP19">
        <v>15</v>
      </c>
      <c r="AQ19">
        <f>'HourGH-APR'!AE26</f>
        <v>338.20000000000005</v>
      </c>
      <c r="AT19">
        <v>1</v>
      </c>
      <c r="AU19">
        <v>15</v>
      </c>
      <c r="AV19">
        <v>15</v>
      </c>
      <c r="AW19" s="117">
        <f>Discharge!C24</f>
        <v>13</v>
      </c>
    </row>
    <row r="20" spans="28:62">
      <c r="AB20">
        <v>1</v>
      </c>
      <c r="AC20">
        <v>16</v>
      </c>
      <c r="AD20">
        <v>16</v>
      </c>
      <c r="AE20" s="117">
        <f>DailyMeanGH!C25</f>
        <v>338.2</v>
      </c>
      <c r="AH20">
        <v>1</v>
      </c>
      <c r="AI20">
        <v>16</v>
      </c>
      <c r="AJ20">
        <v>16</v>
      </c>
      <c r="AK20">
        <f>'HourGH-APR'!AC27</f>
        <v>338.20000000000005</v>
      </c>
      <c r="AN20">
        <v>1</v>
      </c>
      <c r="AO20">
        <v>16</v>
      </c>
      <c r="AP20">
        <v>16</v>
      </c>
      <c r="AQ20">
        <f>'HourGH-APR'!AE27</f>
        <v>338.20000000000005</v>
      </c>
      <c r="AT20">
        <v>1</v>
      </c>
      <c r="AU20">
        <v>16</v>
      </c>
      <c r="AV20">
        <v>16</v>
      </c>
      <c r="AW20" s="117">
        <f>Discharge!C25</f>
        <v>13</v>
      </c>
    </row>
    <row r="21" spans="28:62">
      <c r="AB21">
        <v>1</v>
      </c>
      <c r="AC21">
        <v>17</v>
      </c>
      <c r="AD21">
        <v>17</v>
      </c>
      <c r="AE21" s="117">
        <f>DailyMeanGH!C26</f>
        <v>338.2</v>
      </c>
      <c r="AH21">
        <v>1</v>
      </c>
      <c r="AI21">
        <v>17</v>
      </c>
      <c r="AJ21">
        <v>17</v>
      </c>
      <c r="AK21">
        <f>'HourGH-APR'!AC28</f>
        <v>338.20000000000005</v>
      </c>
      <c r="AN21">
        <v>1</v>
      </c>
      <c r="AO21">
        <v>17</v>
      </c>
      <c r="AP21">
        <v>17</v>
      </c>
      <c r="AQ21">
        <f>'HourGH-APR'!AE28</f>
        <v>338.20000000000005</v>
      </c>
      <c r="AT21">
        <v>1</v>
      </c>
      <c r="AU21">
        <v>17</v>
      </c>
      <c r="AV21">
        <v>17</v>
      </c>
      <c r="AW21" s="117">
        <f>Discharge!C26</f>
        <v>13</v>
      </c>
    </row>
    <row r="22" spans="28:62">
      <c r="AB22">
        <v>1</v>
      </c>
      <c r="AC22">
        <v>18</v>
      </c>
      <c r="AD22">
        <v>18</v>
      </c>
      <c r="AE22" s="117">
        <f>DailyMeanGH!C27</f>
        <v>338.2</v>
      </c>
      <c r="AH22">
        <v>1</v>
      </c>
      <c r="AI22">
        <v>18</v>
      </c>
      <c r="AJ22">
        <v>18</v>
      </c>
      <c r="AK22">
        <f>'HourGH-APR'!AC29</f>
        <v>338.20000000000005</v>
      </c>
      <c r="AN22">
        <v>1</v>
      </c>
      <c r="AO22">
        <v>18</v>
      </c>
      <c r="AP22">
        <v>18</v>
      </c>
      <c r="AQ22">
        <f>'HourGH-APR'!AE29</f>
        <v>338.20000000000005</v>
      </c>
      <c r="AT22">
        <v>1</v>
      </c>
      <c r="AU22">
        <v>18</v>
      </c>
      <c r="AV22">
        <v>18</v>
      </c>
      <c r="AW22" s="117">
        <f>Discharge!C27</f>
        <v>13</v>
      </c>
    </row>
    <row r="23" spans="28:62">
      <c r="AB23">
        <v>1</v>
      </c>
      <c r="AC23">
        <v>19</v>
      </c>
      <c r="AD23">
        <v>19</v>
      </c>
      <c r="AE23" s="117">
        <f>DailyMeanGH!C28</f>
        <v>338.19</v>
      </c>
      <c r="AH23">
        <v>1</v>
      </c>
      <c r="AI23">
        <v>19</v>
      </c>
      <c r="AJ23">
        <v>19</v>
      </c>
      <c r="AK23">
        <f>'HourGH-APR'!AC30</f>
        <v>338.20000000000005</v>
      </c>
      <c r="AN23">
        <v>1</v>
      </c>
      <c r="AO23">
        <v>19</v>
      </c>
      <c r="AP23">
        <v>19</v>
      </c>
      <c r="AQ23">
        <f>'HourGH-APR'!AE30</f>
        <v>338.18</v>
      </c>
      <c r="AT23">
        <v>1</v>
      </c>
      <c r="AU23">
        <v>19</v>
      </c>
      <c r="AV23">
        <v>19</v>
      </c>
      <c r="AW23" s="117">
        <f>Discharge!C28</f>
        <v>12.68</v>
      </c>
    </row>
    <row r="24" spans="28:62">
      <c r="AB24">
        <v>1</v>
      </c>
      <c r="AC24">
        <v>20</v>
      </c>
      <c r="AD24">
        <v>20</v>
      </c>
      <c r="AE24" s="117">
        <f>DailyMeanGH!C29</f>
        <v>338.17</v>
      </c>
      <c r="AH24">
        <v>1</v>
      </c>
      <c r="AI24">
        <v>20</v>
      </c>
      <c r="AJ24">
        <v>20</v>
      </c>
      <c r="AK24">
        <f>'HourGH-APR'!AC31</f>
        <v>338.17</v>
      </c>
      <c r="AN24">
        <v>1</v>
      </c>
      <c r="AO24">
        <v>20</v>
      </c>
      <c r="AP24">
        <v>20</v>
      </c>
      <c r="AQ24">
        <f>'HourGH-APR'!AE31</f>
        <v>338.17</v>
      </c>
      <c r="AT24">
        <v>1</v>
      </c>
      <c r="AU24">
        <v>20</v>
      </c>
      <c r="AV24">
        <v>20</v>
      </c>
      <c r="AW24" s="117">
        <f>Discharge!C29</f>
        <v>12.03</v>
      </c>
    </row>
    <row r="25" spans="28:62">
      <c r="AB25">
        <v>1</v>
      </c>
      <c r="AC25">
        <v>21</v>
      </c>
      <c r="AD25">
        <v>21</v>
      </c>
      <c r="AE25" s="117">
        <f>DailyMeanGH!C31</f>
        <v>338.17</v>
      </c>
      <c r="AH25">
        <v>1</v>
      </c>
      <c r="AI25">
        <v>21</v>
      </c>
      <c r="AJ25">
        <v>21</v>
      </c>
      <c r="AK25">
        <f>'HourGH-APR'!AC33</f>
        <v>338.17</v>
      </c>
      <c r="AN25">
        <v>1</v>
      </c>
      <c r="AO25">
        <v>21</v>
      </c>
      <c r="AP25">
        <v>21</v>
      </c>
      <c r="AQ25">
        <f>'HourGH-APR'!AE33</f>
        <v>338.17</v>
      </c>
      <c r="AT25">
        <v>1</v>
      </c>
      <c r="AU25">
        <v>21</v>
      </c>
      <c r="AV25">
        <v>21</v>
      </c>
      <c r="AW25" s="117">
        <f>Discharge!C31</f>
        <v>12.03</v>
      </c>
    </row>
    <row r="26" spans="28:62">
      <c r="AB26">
        <v>1</v>
      </c>
      <c r="AC26">
        <v>22</v>
      </c>
      <c r="AD26">
        <v>22</v>
      </c>
      <c r="AE26" s="117">
        <f>DailyMeanGH!C32</f>
        <v>338.18</v>
      </c>
      <c r="AH26">
        <v>1</v>
      </c>
      <c r="AI26">
        <v>22</v>
      </c>
      <c r="AJ26">
        <v>22</v>
      </c>
      <c r="AK26">
        <f>'HourGH-APR'!AC34</f>
        <v>338.19</v>
      </c>
      <c r="AN26">
        <v>1</v>
      </c>
      <c r="AO26">
        <v>22</v>
      </c>
      <c r="AP26">
        <v>22</v>
      </c>
      <c r="AQ26">
        <f>'HourGH-APR'!AE34</f>
        <v>338.17</v>
      </c>
      <c r="AT26">
        <v>1</v>
      </c>
      <c r="AU26">
        <v>22</v>
      </c>
      <c r="AV26">
        <v>22</v>
      </c>
      <c r="AW26" s="117">
        <f>Discharge!C32</f>
        <v>12.35</v>
      </c>
    </row>
    <row r="27" spans="28:62">
      <c r="AB27">
        <v>1</v>
      </c>
      <c r="AC27">
        <v>23</v>
      </c>
      <c r="AD27">
        <v>23</v>
      </c>
      <c r="AE27" s="117">
        <f>DailyMeanGH!C33</f>
        <v>338.17</v>
      </c>
      <c r="AH27">
        <v>1</v>
      </c>
      <c r="AI27">
        <v>23</v>
      </c>
      <c r="AJ27">
        <v>23</v>
      </c>
      <c r="AK27">
        <f>'HourGH-APR'!AC35</f>
        <v>338.18</v>
      </c>
      <c r="AN27">
        <v>1</v>
      </c>
      <c r="AO27">
        <v>23</v>
      </c>
      <c r="AP27">
        <v>23</v>
      </c>
      <c r="AQ27">
        <f>'HourGH-APR'!AE35</f>
        <v>338.17</v>
      </c>
      <c r="AT27">
        <v>1</v>
      </c>
      <c r="AU27">
        <v>23</v>
      </c>
      <c r="AV27">
        <v>23</v>
      </c>
      <c r="AW27" s="117">
        <f>Discharge!C33</f>
        <v>12.03</v>
      </c>
    </row>
    <row r="28" spans="28:62">
      <c r="AB28">
        <v>1</v>
      </c>
      <c r="AC28">
        <v>24</v>
      </c>
      <c r="AD28">
        <v>24</v>
      </c>
      <c r="AE28" s="117">
        <f>DailyMeanGH!C34</f>
        <v>338.17</v>
      </c>
      <c r="AH28">
        <v>1</v>
      </c>
      <c r="AI28">
        <v>24</v>
      </c>
      <c r="AJ28">
        <v>24</v>
      </c>
      <c r="AK28">
        <f>'HourGH-APR'!AC36</f>
        <v>338.17</v>
      </c>
      <c r="AN28">
        <v>1</v>
      </c>
      <c r="AO28">
        <v>24</v>
      </c>
      <c r="AP28">
        <v>24</v>
      </c>
      <c r="AQ28">
        <f>'HourGH-APR'!AE36</f>
        <v>338.17</v>
      </c>
      <c r="AT28">
        <v>1</v>
      </c>
      <c r="AU28">
        <v>24</v>
      </c>
      <c r="AV28">
        <v>24</v>
      </c>
      <c r="AW28" s="117">
        <f>Discharge!C34</f>
        <v>12.03</v>
      </c>
    </row>
    <row r="29" spans="28:62">
      <c r="AB29">
        <v>1</v>
      </c>
      <c r="AC29">
        <v>25</v>
      </c>
      <c r="AD29">
        <v>25</v>
      </c>
      <c r="AE29" s="117">
        <f>DailyMeanGH!C35</f>
        <v>338.17</v>
      </c>
      <c r="AH29">
        <v>1</v>
      </c>
      <c r="AI29">
        <v>25</v>
      </c>
      <c r="AJ29">
        <v>25</v>
      </c>
      <c r="AK29">
        <f>'HourGH-APR'!AC37</f>
        <v>338.17</v>
      </c>
      <c r="AN29">
        <v>1</v>
      </c>
      <c r="AO29">
        <v>25</v>
      </c>
      <c r="AP29">
        <v>25</v>
      </c>
      <c r="AQ29">
        <f>'HourGH-APR'!AE37</f>
        <v>338.17</v>
      </c>
      <c r="AT29">
        <v>1</v>
      </c>
      <c r="AU29">
        <v>25</v>
      </c>
      <c r="AV29">
        <v>25</v>
      </c>
      <c r="AW29" s="117">
        <f>Discharge!C35</f>
        <v>12.03</v>
      </c>
    </row>
    <row r="30" spans="28:62">
      <c r="AB30">
        <v>1</v>
      </c>
      <c r="AC30">
        <v>26</v>
      </c>
      <c r="AD30">
        <v>26</v>
      </c>
      <c r="AE30" s="117">
        <f>DailyMeanGH!C36</f>
        <v>338.16</v>
      </c>
      <c r="AH30">
        <v>1</v>
      </c>
      <c r="AI30">
        <v>26</v>
      </c>
      <c r="AJ30">
        <v>26</v>
      </c>
      <c r="AK30">
        <f>'HourGH-APR'!AC38</f>
        <v>338.16</v>
      </c>
      <c r="AN30">
        <v>1</v>
      </c>
      <c r="AO30">
        <v>26</v>
      </c>
      <c r="AP30">
        <v>26</v>
      </c>
      <c r="AQ30">
        <f>'HourGH-APR'!AE38</f>
        <v>338.16</v>
      </c>
      <c r="AT30">
        <v>1</v>
      </c>
      <c r="AU30">
        <v>26</v>
      </c>
      <c r="AV30">
        <v>26</v>
      </c>
      <c r="AW30" s="117">
        <f>Discharge!C36</f>
        <v>11.7</v>
      </c>
    </row>
    <row r="31" spans="28:62">
      <c r="AB31">
        <v>1</v>
      </c>
      <c r="AC31">
        <v>27</v>
      </c>
      <c r="AD31">
        <v>27</v>
      </c>
      <c r="AE31" s="117">
        <f>DailyMeanGH!C37</f>
        <v>338.16</v>
      </c>
      <c r="AH31">
        <v>1</v>
      </c>
      <c r="AI31">
        <v>27</v>
      </c>
      <c r="AJ31">
        <v>27</v>
      </c>
      <c r="AK31">
        <f>'HourGH-APR'!AC39</f>
        <v>338.16</v>
      </c>
      <c r="AN31">
        <v>1</v>
      </c>
      <c r="AO31">
        <v>27</v>
      </c>
      <c r="AP31">
        <v>27</v>
      </c>
      <c r="AQ31">
        <f>'HourGH-APR'!AE39</f>
        <v>338.16</v>
      </c>
      <c r="AT31">
        <v>1</v>
      </c>
      <c r="AU31">
        <v>27</v>
      </c>
      <c r="AV31">
        <v>27</v>
      </c>
      <c r="AW31" s="117">
        <f>Discharge!C37</f>
        <v>11.7</v>
      </c>
    </row>
    <row r="32" spans="28:62">
      <c r="AB32">
        <v>1</v>
      </c>
      <c r="AC32">
        <v>28</v>
      </c>
      <c r="AD32">
        <v>28</v>
      </c>
      <c r="AE32" s="117">
        <f>DailyMeanGH!C38</f>
        <v>338.16</v>
      </c>
      <c r="AH32">
        <v>1</v>
      </c>
      <c r="AI32">
        <v>28</v>
      </c>
      <c r="AJ32">
        <v>28</v>
      </c>
      <c r="AK32">
        <f>'HourGH-APR'!AC40</f>
        <v>338.16</v>
      </c>
      <c r="AN32">
        <v>1</v>
      </c>
      <c r="AO32">
        <v>28</v>
      </c>
      <c r="AP32">
        <v>28</v>
      </c>
      <c r="AQ32">
        <f>'HourGH-APR'!AE40</f>
        <v>338.16</v>
      </c>
      <c r="AT32">
        <v>1</v>
      </c>
      <c r="AU32">
        <v>28</v>
      </c>
      <c r="AV32">
        <v>28</v>
      </c>
      <c r="AW32" s="117">
        <f>Discharge!C38</f>
        <v>11.7</v>
      </c>
    </row>
    <row r="33" spans="28:49">
      <c r="AB33">
        <v>1</v>
      </c>
      <c r="AC33">
        <v>29</v>
      </c>
      <c r="AD33">
        <v>29</v>
      </c>
      <c r="AE33" s="117">
        <f>DailyMeanGH!C39</f>
        <v>338.16</v>
      </c>
      <c r="AH33">
        <v>1</v>
      </c>
      <c r="AI33">
        <v>29</v>
      </c>
      <c r="AJ33">
        <v>29</v>
      </c>
      <c r="AK33">
        <f>'HourGH-APR'!AC41</f>
        <v>338.16</v>
      </c>
      <c r="AN33">
        <v>1</v>
      </c>
      <c r="AO33">
        <v>29</v>
      </c>
      <c r="AP33">
        <v>29</v>
      </c>
      <c r="AQ33">
        <f>'HourGH-APR'!AE41</f>
        <v>338.16</v>
      </c>
      <c r="AT33">
        <v>1</v>
      </c>
      <c r="AU33">
        <v>29</v>
      </c>
      <c r="AV33">
        <v>29</v>
      </c>
      <c r="AW33" s="117">
        <f>Discharge!C39</f>
        <v>11.7</v>
      </c>
    </row>
    <row r="34" spans="28:49">
      <c r="AB34">
        <v>1</v>
      </c>
      <c r="AC34">
        <v>30</v>
      </c>
      <c r="AD34">
        <v>30</v>
      </c>
      <c r="AE34" s="117">
        <f>DailyMeanGH!C40</f>
        <v>338.16</v>
      </c>
      <c r="AH34">
        <v>1</v>
      </c>
      <c r="AI34">
        <v>30</v>
      </c>
      <c r="AJ34">
        <v>30</v>
      </c>
      <c r="AK34">
        <f>'HourGH-APR'!AC42</f>
        <v>338.16</v>
      </c>
      <c r="AN34">
        <v>1</v>
      </c>
      <c r="AO34">
        <v>30</v>
      </c>
      <c r="AP34">
        <v>30</v>
      </c>
      <c r="AQ34">
        <f>'HourGH-APR'!AE42</f>
        <v>338.16</v>
      </c>
      <c r="AT34">
        <v>1</v>
      </c>
      <c r="AU34">
        <v>30</v>
      </c>
      <c r="AV34">
        <v>30</v>
      </c>
      <c r="AW34" s="117">
        <f>Discharge!C40</f>
        <v>11.7</v>
      </c>
    </row>
    <row r="35" spans="28:49">
      <c r="AB35">
        <v>2</v>
      </c>
      <c r="AC35">
        <v>1</v>
      </c>
      <c r="AD35">
        <v>31</v>
      </c>
      <c r="AE35" s="117">
        <f>DailyMeanGH!D9</f>
        <v>338.17</v>
      </c>
      <c r="AH35">
        <v>2</v>
      </c>
      <c r="AI35">
        <v>1</v>
      </c>
      <c r="AJ35">
        <v>31</v>
      </c>
      <c r="AK35">
        <f>'HourGH-MAY'!AC11</f>
        <v>338.17</v>
      </c>
      <c r="AN35">
        <v>2</v>
      </c>
      <c r="AO35">
        <v>1</v>
      </c>
      <c r="AP35">
        <v>31</v>
      </c>
      <c r="AQ35">
        <f>'HourGH-MAY'!AE11</f>
        <v>338.17</v>
      </c>
      <c r="AT35">
        <v>2</v>
      </c>
      <c r="AU35">
        <v>1</v>
      </c>
      <c r="AV35">
        <v>31</v>
      </c>
      <c r="AW35" s="117">
        <f>Discharge!D9</f>
        <v>12.03</v>
      </c>
    </row>
    <row r="36" spans="28:49">
      <c r="AB36">
        <v>2</v>
      </c>
      <c r="AC36">
        <v>2</v>
      </c>
      <c r="AD36">
        <v>32</v>
      </c>
      <c r="AE36" s="117">
        <f>DailyMeanGH!D10</f>
        <v>338.17</v>
      </c>
      <c r="AH36">
        <v>2</v>
      </c>
      <c r="AI36">
        <v>2</v>
      </c>
      <c r="AJ36">
        <v>32</v>
      </c>
      <c r="AK36">
        <f>'HourGH-MAY'!AC12</f>
        <v>338.17</v>
      </c>
      <c r="AN36">
        <v>2</v>
      </c>
      <c r="AO36">
        <v>2</v>
      </c>
      <c r="AP36">
        <v>32</v>
      </c>
      <c r="AQ36">
        <f>'HourGH-MAY'!AE12</f>
        <v>338.17</v>
      </c>
      <c r="AT36">
        <v>2</v>
      </c>
      <c r="AU36">
        <v>2</v>
      </c>
      <c r="AV36">
        <v>32</v>
      </c>
      <c r="AW36" s="117">
        <f>Discharge!D10</f>
        <v>12.03</v>
      </c>
    </row>
    <row r="37" spans="28:49">
      <c r="AB37">
        <v>2</v>
      </c>
      <c r="AC37">
        <v>3</v>
      </c>
      <c r="AD37">
        <v>33</v>
      </c>
      <c r="AE37" s="117">
        <f>DailyMeanGH!D11</f>
        <v>338.18</v>
      </c>
      <c r="AH37">
        <v>2</v>
      </c>
      <c r="AI37">
        <v>3</v>
      </c>
      <c r="AJ37">
        <v>33</v>
      </c>
      <c r="AK37">
        <f>'HourGH-MAY'!AC13</f>
        <v>338.18</v>
      </c>
      <c r="AN37">
        <v>2</v>
      </c>
      <c r="AO37">
        <v>3</v>
      </c>
      <c r="AP37">
        <v>33</v>
      </c>
      <c r="AQ37">
        <f>'HourGH-MAY'!AE13</f>
        <v>338.18</v>
      </c>
      <c r="AT37">
        <v>2</v>
      </c>
      <c r="AU37">
        <v>3</v>
      </c>
      <c r="AV37">
        <v>33</v>
      </c>
      <c r="AW37" s="117">
        <f>Discharge!D11</f>
        <v>12.35</v>
      </c>
    </row>
    <row r="38" spans="28:49">
      <c r="AB38">
        <v>2</v>
      </c>
      <c r="AC38">
        <v>4</v>
      </c>
      <c r="AD38">
        <v>34</v>
      </c>
      <c r="AE38" s="117">
        <f>DailyMeanGH!D12</f>
        <v>338.16</v>
      </c>
      <c r="AH38">
        <v>2</v>
      </c>
      <c r="AI38">
        <v>4</v>
      </c>
      <c r="AJ38">
        <v>34</v>
      </c>
      <c r="AK38">
        <f>'HourGH-MAY'!AC14</f>
        <v>338.16</v>
      </c>
      <c r="AN38">
        <v>2</v>
      </c>
      <c r="AO38">
        <v>4</v>
      </c>
      <c r="AP38">
        <v>34</v>
      </c>
      <c r="AQ38">
        <f>'HourGH-MAY'!AE14</f>
        <v>338.16</v>
      </c>
      <c r="AT38">
        <v>2</v>
      </c>
      <c r="AU38">
        <v>4</v>
      </c>
      <c r="AV38">
        <v>34</v>
      </c>
      <c r="AW38" s="117">
        <f>Discharge!D12</f>
        <v>11.7</v>
      </c>
    </row>
    <row r="39" spans="28:49">
      <c r="AB39">
        <v>2</v>
      </c>
      <c r="AC39">
        <v>5</v>
      </c>
      <c r="AD39">
        <v>35</v>
      </c>
      <c r="AE39" s="117">
        <f>DailyMeanGH!D13</f>
        <v>338.16</v>
      </c>
      <c r="AH39">
        <v>2</v>
      </c>
      <c r="AI39">
        <v>5</v>
      </c>
      <c r="AJ39">
        <v>35</v>
      </c>
      <c r="AK39">
        <f>'HourGH-MAY'!AC15</f>
        <v>338.17</v>
      </c>
      <c r="AN39">
        <v>2</v>
      </c>
      <c r="AO39">
        <v>5</v>
      </c>
      <c r="AP39">
        <v>35</v>
      </c>
      <c r="AQ39">
        <f>'HourGH-MAY'!AE15</f>
        <v>338.15000000000003</v>
      </c>
      <c r="AT39">
        <v>2</v>
      </c>
      <c r="AU39">
        <v>5</v>
      </c>
      <c r="AV39">
        <v>35</v>
      </c>
      <c r="AW39" s="117">
        <f>Discharge!D13</f>
        <v>11.7</v>
      </c>
    </row>
    <row r="40" spans="28:49">
      <c r="AB40">
        <v>2</v>
      </c>
      <c r="AC40">
        <v>6</v>
      </c>
      <c r="AD40">
        <v>36</v>
      </c>
      <c r="AE40" s="117">
        <f>DailyMeanGH!D14</f>
        <v>338.12</v>
      </c>
      <c r="AH40">
        <v>2</v>
      </c>
      <c r="AI40">
        <v>6</v>
      </c>
      <c r="AJ40">
        <v>36</v>
      </c>
      <c r="AK40">
        <f>'HourGH-MAY'!AC16</f>
        <v>338.14000000000004</v>
      </c>
      <c r="AN40">
        <v>2</v>
      </c>
      <c r="AO40">
        <v>6</v>
      </c>
      <c r="AP40">
        <v>36</v>
      </c>
      <c r="AQ40">
        <f>'HourGH-MAY'!AE16</f>
        <v>338.1</v>
      </c>
      <c r="AT40">
        <v>2</v>
      </c>
      <c r="AU40">
        <v>6</v>
      </c>
      <c r="AV40">
        <v>36</v>
      </c>
      <c r="AW40" s="117">
        <f>Discharge!D14</f>
        <v>10.4</v>
      </c>
    </row>
    <row r="41" spans="28:49">
      <c r="AB41">
        <v>2</v>
      </c>
      <c r="AC41">
        <v>7</v>
      </c>
      <c r="AD41">
        <v>37</v>
      </c>
      <c r="AE41" s="117">
        <f>DailyMeanGH!D15</f>
        <v>338.08</v>
      </c>
      <c r="AH41">
        <v>2</v>
      </c>
      <c r="AI41">
        <v>7</v>
      </c>
      <c r="AJ41">
        <v>37</v>
      </c>
      <c r="AK41">
        <f>'HourGH-MAY'!AC17</f>
        <v>338.09000000000003</v>
      </c>
      <c r="AN41">
        <v>2</v>
      </c>
      <c r="AO41">
        <v>7</v>
      </c>
      <c r="AP41">
        <v>37</v>
      </c>
      <c r="AQ41">
        <f>'HourGH-MAY'!AE17</f>
        <v>338.08000000000004</v>
      </c>
      <c r="AT41">
        <v>2</v>
      </c>
      <c r="AU41">
        <v>7</v>
      </c>
      <c r="AV41">
        <v>37</v>
      </c>
      <c r="AW41" s="117">
        <f>Discharge!D15</f>
        <v>9.1</v>
      </c>
    </row>
    <row r="42" spans="28:49">
      <c r="AB42">
        <v>2</v>
      </c>
      <c r="AC42">
        <v>8</v>
      </c>
      <c r="AD42">
        <v>38</v>
      </c>
      <c r="AE42" s="117">
        <f>DailyMeanGH!D16</f>
        <v>338.09</v>
      </c>
      <c r="AH42">
        <v>2</v>
      </c>
      <c r="AI42">
        <v>8</v>
      </c>
      <c r="AJ42">
        <v>38</v>
      </c>
      <c r="AK42">
        <f>'HourGH-MAY'!AC18</f>
        <v>338.09000000000003</v>
      </c>
      <c r="AN42">
        <v>2</v>
      </c>
      <c r="AO42">
        <v>8</v>
      </c>
      <c r="AP42">
        <v>38</v>
      </c>
      <c r="AQ42">
        <f>'HourGH-MAY'!AE18</f>
        <v>338.09000000000003</v>
      </c>
      <c r="AT42">
        <v>2</v>
      </c>
      <c r="AU42">
        <v>8</v>
      </c>
      <c r="AV42">
        <v>38</v>
      </c>
      <c r="AW42" s="117">
        <f>Discharge!D16</f>
        <v>9.42</v>
      </c>
    </row>
    <row r="43" spans="28:49">
      <c r="AB43">
        <v>2</v>
      </c>
      <c r="AC43">
        <v>9</v>
      </c>
      <c r="AD43">
        <v>39</v>
      </c>
      <c r="AE43" s="117">
        <f>DailyMeanGH!D17</f>
        <v>338.11</v>
      </c>
      <c r="AH43">
        <v>2</v>
      </c>
      <c r="AI43">
        <v>9</v>
      </c>
      <c r="AJ43">
        <v>39</v>
      </c>
      <c r="AK43">
        <f>'HourGH-MAY'!AC19</f>
        <v>338.15000000000003</v>
      </c>
      <c r="AN43">
        <v>2</v>
      </c>
      <c r="AO43">
        <v>9</v>
      </c>
      <c r="AP43">
        <v>39</v>
      </c>
      <c r="AQ43">
        <f>'HourGH-MAY'!AE19</f>
        <v>338.08000000000004</v>
      </c>
      <c r="AT43">
        <v>2</v>
      </c>
      <c r="AU43">
        <v>9</v>
      </c>
      <c r="AV43">
        <v>39</v>
      </c>
      <c r="AW43" s="117">
        <f>Discharge!D17</f>
        <v>10.08</v>
      </c>
    </row>
    <row r="44" spans="28:49">
      <c r="AB44">
        <v>2</v>
      </c>
      <c r="AC44">
        <v>10</v>
      </c>
      <c r="AD44">
        <v>40</v>
      </c>
      <c r="AE44" s="117">
        <f>DailyMeanGH!D18</f>
        <v>338.18</v>
      </c>
      <c r="AH44">
        <v>2</v>
      </c>
      <c r="AI44">
        <v>10</v>
      </c>
      <c r="AJ44">
        <v>40</v>
      </c>
      <c r="AK44">
        <f>'HourGH-MAY'!AC20</f>
        <v>338.19</v>
      </c>
      <c r="AN44">
        <v>2</v>
      </c>
      <c r="AO44">
        <v>10</v>
      </c>
      <c r="AP44">
        <v>40</v>
      </c>
      <c r="AQ44">
        <f>'HourGH-MAY'!AE20</f>
        <v>338.16</v>
      </c>
      <c r="AT44">
        <v>2</v>
      </c>
      <c r="AU44">
        <v>10</v>
      </c>
      <c r="AV44">
        <v>40</v>
      </c>
      <c r="AW44" s="117">
        <f>Discharge!D18</f>
        <v>12.35</v>
      </c>
    </row>
    <row r="45" spans="28:49">
      <c r="AB45">
        <v>2</v>
      </c>
      <c r="AC45">
        <v>11</v>
      </c>
      <c r="AD45">
        <v>41</v>
      </c>
      <c r="AE45" s="117">
        <f>DailyMeanGH!D20</f>
        <v>338.18</v>
      </c>
      <c r="AH45">
        <v>2</v>
      </c>
      <c r="AI45">
        <v>11</v>
      </c>
      <c r="AJ45">
        <v>41</v>
      </c>
      <c r="AK45">
        <f>'HourGH-MAY'!AC22</f>
        <v>338.18</v>
      </c>
      <c r="AN45">
        <v>2</v>
      </c>
      <c r="AO45">
        <v>11</v>
      </c>
      <c r="AP45">
        <v>41</v>
      </c>
      <c r="AQ45">
        <f>'HourGH-MAY'!AE22</f>
        <v>338.18</v>
      </c>
      <c r="AT45">
        <v>2</v>
      </c>
      <c r="AU45">
        <v>11</v>
      </c>
      <c r="AV45">
        <v>41</v>
      </c>
      <c r="AW45" s="117">
        <f>Discharge!D20</f>
        <v>12.35</v>
      </c>
    </row>
    <row r="46" spans="28:49">
      <c r="AB46">
        <v>2</v>
      </c>
      <c r="AC46">
        <v>12</v>
      </c>
      <c r="AD46">
        <v>42</v>
      </c>
      <c r="AE46" s="117">
        <f>DailyMeanGH!D21</f>
        <v>338.17</v>
      </c>
      <c r="AH46">
        <v>2</v>
      </c>
      <c r="AI46">
        <v>12</v>
      </c>
      <c r="AJ46">
        <v>42</v>
      </c>
      <c r="AK46">
        <f>'HourGH-MAY'!AC23</f>
        <v>338.17</v>
      </c>
      <c r="AN46">
        <v>2</v>
      </c>
      <c r="AO46">
        <v>12</v>
      </c>
      <c r="AP46">
        <v>42</v>
      </c>
      <c r="AQ46">
        <f>'HourGH-MAY'!AE23</f>
        <v>338.17</v>
      </c>
      <c r="AT46">
        <v>2</v>
      </c>
      <c r="AU46">
        <v>12</v>
      </c>
      <c r="AV46">
        <v>42</v>
      </c>
      <c r="AW46" s="117">
        <f>Discharge!D21</f>
        <v>12.03</v>
      </c>
    </row>
    <row r="47" spans="28:49">
      <c r="AB47">
        <v>2</v>
      </c>
      <c r="AC47">
        <v>13</v>
      </c>
      <c r="AD47">
        <v>43</v>
      </c>
      <c r="AE47" s="117">
        <f>DailyMeanGH!D22</f>
        <v>338.15</v>
      </c>
      <c r="AH47">
        <v>2</v>
      </c>
      <c r="AI47">
        <v>13</v>
      </c>
      <c r="AJ47">
        <v>43</v>
      </c>
      <c r="AK47">
        <f>'HourGH-MAY'!AC24</f>
        <v>338.17</v>
      </c>
      <c r="AN47">
        <v>2</v>
      </c>
      <c r="AO47">
        <v>13</v>
      </c>
      <c r="AP47">
        <v>43</v>
      </c>
      <c r="AQ47">
        <f>'HourGH-MAY'!AE24</f>
        <v>338.12</v>
      </c>
      <c r="AT47">
        <v>2</v>
      </c>
      <c r="AU47">
        <v>13</v>
      </c>
      <c r="AV47">
        <v>43</v>
      </c>
      <c r="AW47" s="117">
        <f>Discharge!D22</f>
        <v>11.37</v>
      </c>
    </row>
    <row r="48" spans="28:49">
      <c r="AB48">
        <v>2</v>
      </c>
      <c r="AC48">
        <v>14</v>
      </c>
      <c r="AD48">
        <v>44</v>
      </c>
      <c r="AE48" s="117">
        <f>DailyMeanGH!D23</f>
        <v>338.1</v>
      </c>
      <c r="AH48">
        <v>2</v>
      </c>
      <c r="AI48">
        <v>14</v>
      </c>
      <c r="AJ48">
        <v>44</v>
      </c>
      <c r="AK48">
        <f>'HourGH-MAY'!AC25</f>
        <v>338.12</v>
      </c>
      <c r="AN48">
        <v>2</v>
      </c>
      <c r="AO48">
        <v>14</v>
      </c>
      <c r="AP48">
        <v>44</v>
      </c>
      <c r="AQ48">
        <f>'HourGH-MAY'!AE25</f>
        <v>338.1</v>
      </c>
      <c r="AT48">
        <v>2</v>
      </c>
      <c r="AU48">
        <v>14</v>
      </c>
      <c r="AV48">
        <v>44</v>
      </c>
      <c r="AW48" s="117">
        <f>Discharge!D23</f>
        <v>9.75</v>
      </c>
    </row>
    <row r="49" spans="28:49">
      <c r="AB49">
        <v>2</v>
      </c>
      <c r="AC49">
        <v>15</v>
      </c>
      <c r="AD49">
        <v>45</v>
      </c>
      <c r="AE49" s="117">
        <f>DailyMeanGH!D24</f>
        <v>338.1</v>
      </c>
      <c r="AH49">
        <v>2</v>
      </c>
      <c r="AI49">
        <v>15</v>
      </c>
      <c r="AJ49">
        <v>45</v>
      </c>
      <c r="AK49">
        <f>'HourGH-MAY'!AC26</f>
        <v>338.1</v>
      </c>
      <c r="AN49">
        <v>2</v>
      </c>
      <c r="AO49">
        <v>15</v>
      </c>
      <c r="AP49">
        <v>45</v>
      </c>
      <c r="AQ49">
        <f>'HourGH-MAY'!AE26</f>
        <v>338.1</v>
      </c>
      <c r="AT49">
        <v>2</v>
      </c>
      <c r="AU49">
        <v>15</v>
      </c>
      <c r="AV49">
        <v>45</v>
      </c>
      <c r="AW49" s="117">
        <f>Discharge!D24</f>
        <v>9.75</v>
      </c>
    </row>
    <row r="50" spans="28:49">
      <c r="AB50">
        <v>2</v>
      </c>
      <c r="AC50">
        <v>16</v>
      </c>
      <c r="AD50">
        <v>46</v>
      </c>
      <c r="AE50" s="117">
        <f>DailyMeanGH!D25</f>
        <v>338.09</v>
      </c>
      <c r="AH50">
        <v>2</v>
      </c>
      <c r="AI50">
        <v>16</v>
      </c>
      <c r="AJ50">
        <v>46</v>
      </c>
      <c r="AK50">
        <f>'HourGH-MAY'!AC27</f>
        <v>338.09000000000003</v>
      </c>
      <c r="AN50">
        <v>2</v>
      </c>
      <c r="AO50">
        <v>16</v>
      </c>
      <c r="AP50">
        <v>46</v>
      </c>
      <c r="AQ50">
        <f>'HourGH-MAY'!AE27</f>
        <v>338.09000000000003</v>
      </c>
      <c r="AT50">
        <v>2</v>
      </c>
      <c r="AU50">
        <v>16</v>
      </c>
      <c r="AV50">
        <v>46</v>
      </c>
      <c r="AW50" s="117">
        <f>Discharge!D25</f>
        <v>9.42</v>
      </c>
    </row>
    <row r="51" spans="28:49">
      <c r="AB51">
        <v>2</v>
      </c>
      <c r="AC51">
        <v>17</v>
      </c>
      <c r="AD51">
        <v>47</v>
      </c>
      <c r="AE51" s="117">
        <f>DailyMeanGH!D26</f>
        <v>338.08</v>
      </c>
      <c r="AH51">
        <v>2</v>
      </c>
      <c r="AI51">
        <v>17</v>
      </c>
      <c r="AJ51">
        <v>47</v>
      </c>
      <c r="AK51">
        <f>'HourGH-MAY'!AC28</f>
        <v>338.08000000000004</v>
      </c>
      <c r="AN51">
        <v>2</v>
      </c>
      <c r="AO51">
        <v>17</v>
      </c>
      <c r="AP51">
        <v>47</v>
      </c>
      <c r="AQ51">
        <f>'HourGH-MAY'!AE28</f>
        <v>338.08000000000004</v>
      </c>
      <c r="AT51">
        <v>2</v>
      </c>
      <c r="AU51">
        <v>17</v>
      </c>
      <c r="AV51">
        <v>47</v>
      </c>
      <c r="AW51" s="117">
        <f>Discharge!D26</f>
        <v>9.1</v>
      </c>
    </row>
    <row r="52" spans="28:49">
      <c r="AB52">
        <v>2</v>
      </c>
      <c r="AC52">
        <v>18</v>
      </c>
      <c r="AD52">
        <v>48</v>
      </c>
      <c r="AE52" s="117">
        <f>DailyMeanGH!D27</f>
        <v>338.08</v>
      </c>
      <c r="AH52">
        <v>2</v>
      </c>
      <c r="AI52">
        <v>18</v>
      </c>
      <c r="AJ52">
        <v>48</v>
      </c>
      <c r="AK52">
        <f>'HourGH-MAY'!AC29</f>
        <v>338.08000000000004</v>
      </c>
      <c r="AN52">
        <v>2</v>
      </c>
      <c r="AO52">
        <v>18</v>
      </c>
      <c r="AP52">
        <v>48</v>
      </c>
      <c r="AQ52">
        <f>'HourGH-MAY'!AE29</f>
        <v>338.08000000000004</v>
      </c>
      <c r="AT52">
        <v>2</v>
      </c>
      <c r="AU52">
        <v>18</v>
      </c>
      <c r="AV52">
        <v>48</v>
      </c>
      <c r="AW52" s="117">
        <f>Discharge!D27</f>
        <v>9.1</v>
      </c>
    </row>
    <row r="53" spans="28:49">
      <c r="AB53">
        <v>2</v>
      </c>
      <c r="AC53">
        <v>19</v>
      </c>
      <c r="AD53">
        <v>49</v>
      </c>
      <c r="AE53" s="117">
        <f>DailyMeanGH!D28</f>
        <v>337.99</v>
      </c>
      <c r="AH53">
        <v>2</v>
      </c>
      <c r="AI53">
        <v>19</v>
      </c>
      <c r="AJ53">
        <v>49</v>
      </c>
      <c r="AK53">
        <f>'HourGH-MAY'!AC30</f>
        <v>338.08000000000004</v>
      </c>
      <c r="AN53">
        <v>2</v>
      </c>
      <c r="AO53">
        <v>19</v>
      </c>
      <c r="AP53">
        <v>49</v>
      </c>
      <c r="AQ53">
        <f>'HourGH-MAY'!AE30</f>
        <v>337.82000000000005</v>
      </c>
      <c r="AT53">
        <v>2</v>
      </c>
      <c r="AU53">
        <v>19</v>
      </c>
      <c r="AV53">
        <v>49</v>
      </c>
      <c r="AW53" s="117">
        <f>Discharge!D28</f>
        <v>6.25</v>
      </c>
    </row>
    <row r="54" spans="28:49">
      <c r="AB54">
        <v>2</v>
      </c>
      <c r="AC54">
        <v>20</v>
      </c>
      <c r="AD54">
        <v>50</v>
      </c>
      <c r="AE54" s="117">
        <f>DailyMeanGH!D29</f>
        <v>337.75</v>
      </c>
      <c r="AH54">
        <v>2</v>
      </c>
      <c r="AI54">
        <v>20</v>
      </c>
      <c r="AJ54">
        <v>50</v>
      </c>
      <c r="AK54">
        <f>'HourGH-MAY'!AC31</f>
        <v>337.81</v>
      </c>
      <c r="AN54">
        <v>2</v>
      </c>
      <c r="AO54">
        <v>20</v>
      </c>
      <c r="AP54">
        <v>50</v>
      </c>
      <c r="AQ54">
        <f>'HourGH-MAY'!AE31</f>
        <v>337.73</v>
      </c>
      <c r="AT54">
        <v>2</v>
      </c>
      <c r="AU54">
        <v>20</v>
      </c>
      <c r="AV54">
        <v>50</v>
      </c>
      <c r="AW54" s="117">
        <f>Discharge!D29</f>
        <v>1.25</v>
      </c>
    </row>
    <row r="55" spans="28:49">
      <c r="AB55">
        <v>2</v>
      </c>
      <c r="AC55">
        <v>21</v>
      </c>
      <c r="AD55">
        <v>51</v>
      </c>
      <c r="AE55" s="117">
        <f>DailyMeanGH!D31</f>
        <v>337.82</v>
      </c>
      <c r="AH55">
        <v>2</v>
      </c>
      <c r="AI55">
        <v>21</v>
      </c>
      <c r="AJ55">
        <v>51</v>
      </c>
      <c r="AK55">
        <f>'HourGH-MAY'!AC33</f>
        <v>337.85</v>
      </c>
      <c r="AN55">
        <v>2</v>
      </c>
      <c r="AO55">
        <v>21</v>
      </c>
      <c r="AP55">
        <v>51</v>
      </c>
      <c r="AQ55">
        <f>'HourGH-MAY'!AE33</f>
        <v>337.77000000000004</v>
      </c>
      <c r="AT55">
        <v>2</v>
      </c>
      <c r="AU55">
        <v>21</v>
      </c>
      <c r="AV55">
        <v>51</v>
      </c>
      <c r="AW55" s="117">
        <f>Discharge!D31</f>
        <v>2.4</v>
      </c>
    </row>
    <row r="56" spans="28:49">
      <c r="AB56">
        <v>2</v>
      </c>
      <c r="AC56">
        <v>22</v>
      </c>
      <c r="AD56">
        <v>52</v>
      </c>
      <c r="AE56" s="117">
        <f>DailyMeanGH!D32</f>
        <v>337.8</v>
      </c>
      <c r="AH56">
        <v>2</v>
      </c>
      <c r="AI56">
        <v>22</v>
      </c>
      <c r="AJ56">
        <v>52</v>
      </c>
      <c r="AK56">
        <f>'HourGH-MAY'!AC34</f>
        <v>337.83000000000004</v>
      </c>
      <c r="AN56">
        <v>2</v>
      </c>
      <c r="AO56">
        <v>22</v>
      </c>
      <c r="AP56">
        <v>52</v>
      </c>
      <c r="AQ56">
        <f>'HourGH-MAY'!AE34</f>
        <v>337.78000000000003</v>
      </c>
      <c r="AT56">
        <v>2</v>
      </c>
      <c r="AU56">
        <v>22</v>
      </c>
      <c r="AV56">
        <v>52</v>
      </c>
      <c r="AW56" s="117">
        <f>Discharge!D32</f>
        <v>2</v>
      </c>
    </row>
    <row r="57" spans="28:49">
      <c r="AB57">
        <v>2</v>
      </c>
      <c r="AC57">
        <v>23</v>
      </c>
      <c r="AD57">
        <v>53</v>
      </c>
      <c r="AE57" s="117">
        <f>DailyMeanGH!D33</f>
        <v>337.79</v>
      </c>
      <c r="AH57">
        <v>2</v>
      </c>
      <c r="AI57">
        <v>23</v>
      </c>
      <c r="AJ57">
        <v>53</v>
      </c>
      <c r="AK57">
        <f>'HourGH-MAY'!AC35</f>
        <v>337.8</v>
      </c>
      <c r="AN57">
        <v>2</v>
      </c>
      <c r="AO57">
        <v>23</v>
      </c>
      <c r="AP57">
        <v>53</v>
      </c>
      <c r="AQ57">
        <f>'HourGH-MAY'!AE35</f>
        <v>337.78000000000003</v>
      </c>
      <c r="AT57">
        <v>2</v>
      </c>
      <c r="AU57">
        <v>23</v>
      </c>
      <c r="AV57">
        <v>53</v>
      </c>
      <c r="AW57" s="117">
        <f>Discharge!D33</f>
        <v>1.85</v>
      </c>
    </row>
    <row r="58" spans="28:49">
      <c r="AB58">
        <v>2</v>
      </c>
      <c r="AC58">
        <v>24</v>
      </c>
      <c r="AD58">
        <v>54</v>
      </c>
      <c r="AE58" s="117">
        <f>DailyMeanGH!D34</f>
        <v>337.81</v>
      </c>
      <c r="AH58">
        <v>2</v>
      </c>
      <c r="AI58">
        <v>24</v>
      </c>
      <c r="AJ58">
        <v>54</v>
      </c>
      <c r="AK58">
        <f>'HourGH-MAY'!AC36</f>
        <v>337.82000000000005</v>
      </c>
      <c r="AN58">
        <v>2</v>
      </c>
      <c r="AO58">
        <v>24</v>
      </c>
      <c r="AP58">
        <v>54</v>
      </c>
      <c r="AQ58">
        <f>'HourGH-MAY'!AE36</f>
        <v>337.8</v>
      </c>
      <c r="AT58">
        <v>2</v>
      </c>
      <c r="AU58">
        <v>24</v>
      </c>
      <c r="AV58">
        <v>54</v>
      </c>
      <c r="AW58" s="117">
        <f>Discharge!D34</f>
        <v>2.2000000000000002</v>
      </c>
    </row>
    <row r="59" spans="28:49">
      <c r="AB59">
        <v>2</v>
      </c>
      <c r="AC59">
        <v>25</v>
      </c>
      <c r="AD59">
        <v>55</v>
      </c>
      <c r="AE59" s="117">
        <f>DailyMeanGH!D35</f>
        <v>337.78</v>
      </c>
      <c r="AH59">
        <v>2</v>
      </c>
      <c r="AI59">
        <v>25</v>
      </c>
      <c r="AJ59">
        <v>55</v>
      </c>
      <c r="AK59">
        <f>'HourGH-MAY'!AC37</f>
        <v>337.79</v>
      </c>
      <c r="AN59">
        <v>2</v>
      </c>
      <c r="AO59">
        <v>25</v>
      </c>
      <c r="AP59">
        <v>55</v>
      </c>
      <c r="AQ59">
        <f>'HourGH-MAY'!AE37</f>
        <v>337.76000000000005</v>
      </c>
      <c r="AT59">
        <v>2</v>
      </c>
      <c r="AU59">
        <v>25</v>
      </c>
      <c r="AV59">
        <v>55</v>
      </c>
      <c r="AW59" s="117">
        <f>Discharge!D35</f>
        <v>1.7</v>
      </c>
    </row>
    <row r="60" spans="28:49">
      <c r="AB60">
        <v>2</v>
      </c>
      <c r="AC60">
        <v>26</v>
      </c>
      <c r="AD60">
        <v>56</v>
      </c>
      <c r="AE60" s="117">
        <f>DailyMeanGH!D36</f>
        <v>337.75</v>
      </c>
      <c r="AH60">
        <v>2</v>
      </c>
      <c r="AI60">
        <v>26</v>
      </c>
      <c r="AJ60">
        <v>56</v>
      </c>
      <c r="AK60">
        <f>'HourGH-MAY'!AC38</f>
        <v>337.76000000000005</v>
      </c>
      <c r="AN60">
        <v>2</v>
      </c>
      <c r="AO60">
        <v>26</v>
      </c>
      <c r="AP60">
        <v>56</v>
      </c>
      <c r="AQ60">
        <f>'HourGH-MAY'!AE38</f>
        <v>337.74</v>
      </c>
      <c r="AT60">
        <v>2</v>
      </c>
      <c r="AU60">
        <v>26</v>
      </c>
      <c r="AV60">
        <v>56</v>
      </c>
      <c r="AW60" s="117">
        <f>Discharge!D36</f>
        <v>1.25</v>
      </c>
    </row>
    <row r="61" spans="28:49">
      <c r="AB61">
        <v>2</v>
      </c>
      <c r="AC61">
        <v>27</v>
      </c>
      <c r="AD61">
        <v>57</v>
      </c>
      <c r="AE61" s="117">
        <f>DailyMeanGH!D37</f>
        <v>337.78</v>
      </c>
      <c r="AH61">
        <v>2</v>
      </c>
      <c r="AI61">
        <v>27</v>
      </c>
      <c r="AJ61">
        <v>57</v>
      </c>
      <c r="AK61">
        <f>'HourGH-MAY'!AC39</f>
        <v>337.78000000000003</v>
      </c>
      <c r="AN61">
        <v>2</v>
      </c>
      <c r="AO61">
        <v>27</v>
      </c>
      <c r="AP61">
        <v>57</v>
      </c>
      <c r="AQ61">
        <f>'HourGH-MAY'!AE39</f>
        <v>337.77000000000004</v>
      </c>
      <c r="AT61">
        <v>2</v>
      </c>
      <c r="AU61">
        <v>27</v>
      </c>
      <c r="AV61">
        <v>57</v>
      </c>
      <c r="AW61" s="117">
        <f>Discharge!D37</f>
        <v>1.7</v>
      </c>
    </row>
    <row r="62" spans="28:49">
      <c r="AB62">
        <v>2</v>
      </c>
      <c r="AC62">
        <v>28</v>
      </c>
      <c r="AD62">
        <v>58</v>
      </c>
      <c r="AE62" s="117">
        <f>DailyMeanGH!D38</f>
        <v>337.78</v>
      </c>
      <c r="AH62">
        <v>2</v>
      </c>
      <c r="AI62">
        <v>28</v>
      </c>
      <c r="AJ62">
        <v>58</v>
      </c>
      <c r="AK62">
        <f>'HourGH-MAY'!AC40</f>
        <v>337.78000000000003</v>
      </c>
      <c r="AN62">
        <v>2</v>
      </c>
      <c r="AO62">
        <v>28</v>
      </c>
      <c r="AP62">
        <v>58</v>
      </c>
      <c r="AQ62">
        <f>'HourGH-MAY'!AE40</f>
        <v>337.78000000000003</v>
      </c>
      <c r="AT62">
        <v>2</v>
      </c>
      <c r="AU62">
        <v>28</v>
      </c>
      <c r="AV62">
        <v>58</v>
      </c>
      <c r="AW62" s="117">
        <f>Discharge!D38</f>
        <v>1.7</v>
      </c>
    </row>
    <row r="63" spans="28:49">
      <c r="AB63">
        <v>2</v>
      </c>
      <c r="AC63">
        <v>29</v>
      </c>
      <c r="AD63">
        <v>59</v>
      </c>
      <c r="AE63" s="117">
        <f>DailyMeanGH!D39</f>
        <v>337.79</v>
      </c>
      <c r="AH63">
        <v>2</v>
      </c>
      <c r="AI63">
        <v>29</v>
      </c>
      <c r="AJ63">
        <v>59</v>
      </c>
      <c r="AK63">
        <f>'HourGH-MAY'!AC41</f>
        <v>337.8</v>
      </c>
      <c r="AN63">
        <v>2</v>
      </c>
      <c r="AO63">
        <v>29</v>
      </c>
      <c r="AP63">
        <v>59</v>
      </c>
      <c r="AQ63">
        <f>'HourGH-MAY'!AE41</f>
        <v>337.78000000000003</v>
      </c>
      <c r="AT63">
        <v>2</v>
      </c>
      <c r="AU63">
        <v>29</v>
      </c>
      <c r="AV63">
        <v>59</v>
      </c>
      <c r="AW63" s="117">
        <f>Discharge!D39</f>
        <v>1.85</v>
      </c>
    </row>
    <row r="64" spans="28:49">
      <c r="AB64">
        <v>2</v>
      </c>
      <c r="AC64">
        <v>30</v>
      </c>
      <c r="AD64">
        <v>60</v>
      </c>
      <c r="AE64" s="117">
        <f>DailyMeanGH!D40</f>
        <v>337.81</v>
      </c>
      <c r="AH64">
        <v>2</v>
      </c>
      <c r="AI64">
        <v>30</v>
      </c>
      <c r="AJ64">
        <v>60</v>
      </c>
      <c r="AK64">
        <f>'HourGH-MAY'!AC42</f>
        <v>337.82000000000005</v>
      </c>
      <c r="AN64">
        <v>2</v>
      </c>
      <c r="AO64">
        <v>30</v>
      </c>
      <c r="AP64">
        <v>60</v>
      </c>
      <c r="AQ64">
        <f>'HourGH-MAY'!AE42</f>
        <v>337.8</v>
      </c>
      <c r="AT64">
        <v>2</v>
      </c>
      <c r="AU64">
        <v>30</v>
      </c>
      <c r="AV64">
        <v>60</v>
      </c>
      <c r="AW64" s="117">
        <f>Discharge!D40</f>
        <v>2.2000000000000002</v>
      </c>
    </row>
    <row r="65" spans="28:49">
      <c r="AB65">
        <v>2</v>
      </c>
      <c r="AC65">
        <v>31</v>
      </c>
      <c r="AD65">
        <v>61</v>
      </c>
      <c r="AE65" s="117">
        <f>DailyMeanGH!D41</f>
        <v>337.83</v>
      </c>
      <c r="AH65">
        <v>2</v>
      </c>
      <c r="AI65">
        <v>31</v>
      </c>
      <c r="AJ65">
        <v>61</v>
      </c>
      <c r="AK65">
        <f>'HourGH-MAY'!AC43</f>
        <v>337.83000000000004</v>
      </c>
      <c r="AN65">
        <v>2</v>
      </c>
      <c r="AO65">
        <v>31</v>
      </c>
      <c r="AP65">
        <v>61</v>
      </c>
      <c r="AQ65">
        <f>'HourGH-MAY'!AE43</f>
        <v>337.83000000000004</v>
      </c>
      <c r="AT65">
        <v>2</v>
      </c>
      <c r="AU65">
        <v>31</v>
      </c>
      <c r="AV65">
        <v>61</v>
      </c>
      <c r="AW65" s="117">
        <f>Discharge!D41</f>
        <v>2.6</v>
      </c>
    </row>
    <row r="66" spans="28:49">
      <c r="AB66">
        <v>3</v>
      </c>
      <c r="AC66">
        <v>1</v>
      </c>
      <c r="AD66">
        <v>62</v>
      </c>
      <c r="AE66" s="117">
        <f>DailyMeanGH!E9</f>
        <v>337.83</v>
      </c>
      <c r="AH66">
        <v>3</v>
      </c>
      <c r="AI66">
        <v>1</v>
      </c>
      <c r="AJ66">
        <v>62</v>
      </c>
      <c r="AK66">
        <f>'HourGH-JUN'!AC11</f>
        <v>337.83000000000004</v>
      </c>
      <c r="AN66">
        <v>3</v>
      </c>
      <c r="AO66">
        <v>1</v>
      </c>
      <c r="AP66">
        <v>62</v>
      </c>
      <c r="AQ66">
        <f>'HourGH-JUN'!AE11</f>
        <v>337.83000000000004</v>
      </c>
      <c r="AT66">
        <v>3</v>
      </c>
      <c r="AU66">
        <v>1</v>
      </c>
      <c r="AV66">
        <v>62</v>
      </c>
      <c r="AW66" s="117">
        <f>Discharge!E9</f>
        <v>2.6</v>
      </c>
    </row>
    <row r="67" spans="28:49">
      <c r="AB67">
        <v>3</v>
      </c>
      <c r="AC67">
        <v>2</v>
      </c>
      <c r="AD67">
        <v>63</v>
      </c>
      <c r="AE67" s="117">
        <f>DailyMeanGH!E10</f>
        <v>337.83</v>
      </c>
      <c r="AH67">
        <v>3</v>
      </c>
      <c r="AI67">
        <v>2</v>
      </c>
      <c r="AJ67">
        <v>63</v>
      </c>
      <c r="AK67">
        <f>'HourGH-JUN'!AC12</f>
        <v>337.83000000000004</v>
      </c>
      <c r="AN67">
        <v>3</v>
      </c>
      <c r="AO67">
        <v>2</v>
      </c>
      <c r="AP67">
        <v>63</v>
      </c>
      <c r="AQ67">
        <f>'HourGH-JUN'!AE12</f>
        <v>337.82000000000005</v>
      </c>
      <c r="AT67">
        <v>3</v>
      </c>
      <c r="AU67">
        <v>2</v>
      </c>
      <c r="AV67">
        <v>63</v>
      </c>
      <c r="AW67" s="117">
        <f>Discharge!E10</f>
        <v>2.6</v>
      </c>
    </row>
    <row r="68" spans="28:49">
      <c r="AB68">
        <v>3</v>
      </c>
      <c r="AC68">
        <v>3</v>
      </c>
      <c r="AD68">
        <v>64</v>
      </c>
      <c r="AE68" s="117">
        <f>DailyMeanGH!E11</f>
        <v>337.82</v>
      </c>
      <c r="AH68">
        <v>3</v>
      </c>
      <c r="AI68">
        <v>3</v>
      </c>
      <c r="AJ68">
        <v>64</v>
      </c>
      <c r="AK68">
        <f>'HourGH-JUN'!AC13</f>
        <v>337.84000000000003</v>
      </c>
      <c r="AN68">
        <v>3</v>
      </c>
      <c r="AO68">
        <v>3</v>
      </c>
      <c r="AP68">
        <v>64</v>
      </c>
      <c r="AQ68">
        <f>'HourGH-JUN'!AE13</f>
        <v>337.81</v>
      </c>
      <c r="AT68">
        <v>3</v>
      </c>
      <c r="AU68">
        <v>3</v>
      </c>
      <c r="AV68">
        <v>64</v>
      </c>
      <c r="AW68" s="117">
        <f>Discharge!E11</f>
        <v>2.4</v>
      </c>
    </row>
    <row r="69" spans="28:49">
      <c r="AB69">
        <v>3</v>
      </c>
      <c r="AC69">
        <v>4</v>
      </c>
      <c r="AD69">
        <v>65</v>
      </c>
      <c r="AE69" s="117">
        <f>DailyMeanGH!E12</f>
        <v>337.81</v>
      </c>
      <c r="AH69">
        <v>3</v>
      </c>
      <c r="AI69">
        <v>4</v>
      </c>
      <c r="AJ69">
        <v>65</v>
      </c>
      <c r="AK69">
        <f>'HourGH-JUN'!AC14</f>
        <v>337.82000000000005</v>
      </c>
      <c r="AN69">
        <v>3</v>
      </c>
      <c r="AO69">
        <v>4</v>
      </c>
      <c r="AP69">
        <v>65</v>
      </c>
      <c r="AQ69">
        <f>'HourGH-JUN'!AE14</f>
        <v>337.8</v>
      </c>
      <c r="AT69">
        <v>3</v>
      </c>
      <c r="AU69">
        <v>4</v>
      </c>
      <c r="AV69">
        <v>65</v>
      </c>
      <c r="AW69" s="117">
        <f>Discharge!E12</f>
        <v>2.2000000000000002</v>
      </c>
    </row>
    <row r="70" spans="28:49">
      <c r="AB70">
        <v>3</v>
      </c>
      <c r="AC70">
        <v>5</v>
      </c>
      <c r="AD70">
        <v>66</v>
      </c>
      <c r="AE70" s="117">
        <f>DailyMeanGH!E13</f>
        <v>337.8</v>
      </c>
      <c r="AH70">
        <v>3</v>
      </c>
      <c r="AI70">
        <v>5</v>
      </c>
      <c r="AJ70">
        <v>66</v>
      </c>
      <c r="AK70">
        <f>'HourGH-JUN'!AC15</f>
        <v>337.8</v>
      </c>
      <c r="AN70">
        <v>3</v>
      </c>
      <c r="AO70">
        <v>5</v>
      </c>
      <c r="AP70">
        <v>66</v>
      </c>
      <c r="AQ70">
        <f>'HourGH-JUN'!AE15</f>
        <v>337.79</v>
      </c>
      <c r="AT70">
        <v>3</v>
      </c>
      <c r="AU70">
        <v>5</v>
      </c>
      <c r="AV70">
        <v>66</v>
      </c>
      <c r="AW70" s="117">
        <f>Discharge!E13</f>
        <v>2</v>
      </c>
    </row>
    <row r="71" spans="28:49">
      <c r="AB71">
        <v>3</v>
      </c>
      <c r="AC71">
        <v>6</v>
      </c>
      <c r="AD71">
        <v>67</v>
      </c>
      <c r="AE71" s="117">
        <f>DailyMeanGH!E14</f>
        <v>337.82</v>
      </c>
      <c r="AH71">
        <v>3</v>
      </c>
      <c r="AI71">
        <v>6</v>
      </c>
      <c r="AJ71">
        <v>67</v>
      </c>
      <c r="AK71">
        <f>'HourGH-JUN'!AC16</f>
        <v>337.83000000000004</v>
      </c>
      <c r="AN71">
        <v>3</v>
      </c>
      <c r="AO71">
        <v>6</v>
      </c>
      <c r="AP71">
        <v>67</v>
      </c>
      <c r="AQ71">
        <f>'HourGH-JUN'!AE16</f>
        <v>337.8</v>
      </c>
      <c r="AT71">
        <v>3</v>
      </c>
      <c r="AU71">
        <v>6</v>
      </c>
      <c r="AV71">
        <v>67</v>
      </c>
      <c r="AW71" s="117">
        <f>Discharge!E14</f>
        <v>2.4</v>
      </c>
    </row>
    <row r="72" spans="28:49">
      <c r="AB72">
        <v>3</v>
      </c>
      <c r="AC72">
        <v>7</v>
      </c>
      <c r="AD72">
        <v>68</v>
      </c>
      <c r="AE72" s="117">
        <f>DailyMeanGH!E15</f>
        <v>337.84</v>
      </c>
      <c r="AH72">
        <v>3</v>
      </c>
      <c r="AI72">
        <v>7</v>
      </c>
      <c r="AJ72">
        <v>68</v>
      </c>
      <c r="AK72">
        <f>'HourGH-JUN'!AC17</f>
        <v>337.84000000000003</v>
      </c>
      <c r="AN72">
        <v>3</v>
      </c>
      <c r="AO72">
        <v>7</v>
      </c>
      <c r="AP72">
        <v>68</v>
      </c>
      <c r="AQ72">
        <f>'HourGH-JUN'!AE17</f>
        <v>337.84000000000003</v>
      </c>
      <c r="AT72">
        <v>3</v>
      </c>
      <c r="AU72">
        <v>7</v>
      </c>
      <c r="AV72">
        <v>68</v>
      </c>
      <c r="AW72" s="117">
        <f>Discharge!E15</f>
        <v>2.8</v>
      </c>
    </row>
    <row r="73" spans="28:49">
      <c r="AB73">
        <v>3</v>
      </c>
      <c r="AC73">
        <v>8</v>
      </c>
      <c r="AD73">
        <v>69</v>
      </c>
      <c r="AE73" s="117">
        <f>DailyMeanGH!E16</f>
        <v>337.84</v>
      </c>
      <c r="AH73">
        <v>3</v>
      </c>
      <c r="AI73">
        <v>8</v>
      </c>
      <c r="AJ73">
        <v>69</v>
      </c>
      <c r="AK73">
        <f>'HourGH-JUN'!AC18</f>
        <v>337.84000000000003</v>
      </c>
      <c r="AN73">
        <v>3</v>
      </c>
      <c r="AO73">
        <v>8</v>
      </c>
      <c r="AP73">
        <v>69</v>
      </c>
      <c r="AQ73">
        <f>'HourGH-JUN'!AE18</f>
        <v>337.84000000000003</v>
      </c>
      <c r="AT73">
        <v>3</v>
      </c>
      <c r="AU73">
        <v>8</v>
      </c>
      <c r="AV73">
        <v>69</v>
      </c>
      <c r="AW73" s="117">
        <f>Discharge!E16</f>
        <v>2.8</v>
      </c>
    </row>
    <row r="74" spans="28:49">
      <c r="AB74">
        <v>3</v>
      </c>
      <c r="AC74">
        <v>9</v>
      </c>
      <c r="AD74">
        <v>70</v>
      </c>
      <c r="AE74" s="117">
        <f>DailyMeanGH!E17</f>
        <v>337.82</v>
      </c>
      <c r="AH74">
        <v>3</v>
      </c>
      <c r="AI74">
        <v>9</v>
      </c>
      <c r="AJ74">
        <v>70</v>
      </c>
      <c r="AK74">
        <f>'HourGH-JUN'!AC19</f>
        <v>337.84000000000003</v>
      </c>
      <c r="AN74">
        <v>3</v>
      </c>
      <c r="AO74">
        <v>9</v>
      </c>
      <c r="AP74">
        <v>70</v>
      </c>
      <c r="AQ74">
        <f>'HourGH-JUN'!AE19</f>
        <v>337.78000000000003</v>
      </c>
      <c r="AT74">
        <v>3</v>
      </c>
      <c r="AU74">
        <v>9</v>
      </c>
      <c r="AV74">
        <v>70</v>
      </c>
      <c r="AW74" s="117">
        <f>Discharge!E17</f>
        <v>2.4</v>
      </c>
    </row>
    <row r="75" spans="28:49">
      <c r="AB75">
        <v>3</v>
      </c>
      <c r="AC75">
        <v>10</v>
      </c>
      <c r="AD75">
        <v>71</v>
      </c>
      <c r="AE75" s="117">
        <f>DailyMeanGH!E18</f>
        <v>337.77</v>
      </c>
      <c r="AH75">
        <v>3</v>
      </c>
      <c r="AI75">
        <v>10</v>
      </c>
      <c r="AJ75">
        <v>71</v>
      </c>
      <c r="AK75">
        <f>'HourGH-JUN'!AC20</f>
        <v>337.78000000000003</v>
      </c>
      <c r="AN75">
        <v>3</v>
      </c>
      <c r="AO75">
        <v>10</v>
      </c>
      <c r="AP75">
        <v>71</v>
      </c>
      <c r="AQ75">
        <f>'HourGH-JUN'!AE20</f>
        <v>337.76000000000005</v>
      </c>
      <c r="AT75">
        <v>3</v>
      </c>
      <c r="AU75">
        <v>10</v>
      </c>
      <c r="AV75">
        <v>71</v>
      </c>
      <c r="AW75" s="117">
        <f>Discharge!E18</f>
        <v>1.55</v>
      </c>
    </row>
    <row r="76" spans="28:49">
      <c r="AB76">
        <v>3</v>
      </c>
      <c r="AC76">
        <v>11</v>
      </c>
      <c r="AD76">
        <v>72</v>
      </c>
      <c r="AE76" s="117">
        <f>DailyMeanGH!E20</f>
        <v>337.9</v>
      </c>
      <c r="AH76">
        <v>3</v>
      </c>
      <c r="AI76">
        <v>11</v>
      </c>
      <c r="AJ76">
        <v>72</v>
      </c>
      <c r="AK76">
        <f>'HourGH-JUN'!AC22</f>
        <v>338.12</v>
      </c>
      <c r="AN76">
        <v>3</v>
      </c>
      <c r="AO76">
        <v>11</v>
      </c>
      <c r="AP76">
        <v>72</v>
      </c>
      <c r="AQ76">
        <f>'HourGH-JUN'!AE22</f>
        <v>337.78000000000003</v>
      </c>
      <c r="AT76">
        <v>3</v>
      </c>
      <c r="AU76">
        <v>11</v>
      </c>
      <c r="AV76">
        <v>72</v>
      </c>
      <c r="AW76" s="117">
        <f>Discharge!E20</f>
        <v>4</v>
      </c>
    </row>
    <row r="77" spans="28:49">
      <c r="AB77">
        <v>3</v>
      </c>
      <c r="AC77">
        <v>12</v>
      </c>
      <c r="AD77">
        <v>73</v>
      </c>
      <c r="AE77" s="117">
        <f>DailyMeanGH!E21</f>
        <v>338.27</v>
      </c>
      <c r="AH77">
        <v>3</v>
      </c>
      <c r="AI77">
        <v>12</v>
      </c>
      <c r="AJ77">
        <v>73</v>
      </c>
      <c r="AK77">
        <f>'HourGH-JUN'!AC23</f>
        <v>338.34000000000003</v>
      </c>
      <c r="AN77">
        <v>3</v>
      </c>
      <c r="AO77">
        <v>12</v>
      </c>
      <c r="AP77">
        <v>73</v>
      </c>
      <c r="AQ77">
        <f>'HourGH-JUN'!AE23</f>
        <v>338.15000000000003</v>
      </c>
      <c r="AT77">
        <v>3</v>
      </c>
      <c r="AU77">
        <v>12</v>
      </c>
      <c r="AV77">
        <v>73</v>
      </c>
      <c r="AW77" s="117">
        <f>Discharge!E21</f>
        <v>16.149999999999999</v>
      </c>
    </row>
    <row r="78" spans="28:49">
      <c r="AB78">
        <v>3</v>
      </c>
      <c r="AC78">
        <v>13</v>
      </c>
      <c r="AD78">
        <v>74</v>
      </c>
      <c r="AE78" s="117">
        <f>DailyMeanGH!E22</f>
        <v>338.01</v>
      </c>
      <c r="AH78">
        <v>3</v>
      </c>
      <c r="AI78">
        <v>13</v>
      </c>
      <c r="AJ78">
        <v>74</v>
      </c>
      <c r="AK78">
        <f>'HourGH-JUN'!AC24</f>
        <v>338.14000000000004</v>
      </c>
      <c r="AN78">
        <v>3</v>
      </c>
      <c r="AO78">
        <v>13</v>
      </c>
      <c r="AP78">
        <v>74</v>
      </c>
      <c r="AQ78">
        <f>'HourGH-JUN'!AE24</f>
        <v>337.94</v>
      </c>
      <c r="AT78">
        <v>3</v>
      </c>
      <c r="AU78">
        <v>13</v>
      </c>
      <c r="AV78">
        <v>74</v>
      </c>
      <c r="AW78" s="117">
        <f>Discharge!E22</f>
        <v>6.82</v>
      </c>
    </row>
    <row r="79" spans="28:49">
      <c r="AB79">
        <v>3</v>
      </c>
      <c r="AC79">
        <v>14</v>
      </c>
      <c r="AD79">
        <v>75</v>
      </c>
      <c r="AE79" s="117">
        <f>DailyMeanGH!E23</f>
        <v>337.88</v>
      </c>
      <c r="AH79">
        <v>3</v>
      </c>
      <c r="AI79">
        <v>14</v>
      </c>
      <c r="AJ79">
        <v>75</v>
      </c>
      <c r="AK79">
        <f>'HourGH-JUN'!AC25</f>
        <v>337.93</v>
      </c>
      <c r="AN79">
        <v>3</v>
      </c>
      <c r="AO79">
        <v>14</v>
      </c>
      <c r="AP79">
        <v>75</v>
      </c>
      <c r="AQ79">
        <f>'HourGH-JUN'!AE25</f>
        <v>337.83000000000004</v>
      </c>
      <c r="AT79">
        <v>3</v>
      </c>
      <c r="AU79">
        <v>14</v>
      </c>
      <c r="AV79">
        <v>75</v>
      </c>
      <c r="AW79" s="117">
        <f>Discharge!E23</f>
        <v>3.6</v>
      </c>
    </row>
    <row r="80" spans="28:49">
      <c r="AB80">
        <v>3</v>
      </c>
      <c r="AC80">
        <v>15</v>
      </c>
      <c r="AD80">
        <v>76</v>
      </c>
      <c r="AE80" s="117">
        <f>DailyMeanGH!E24</f>
        <v>337.82</v>
      </c>
      <c r="AH80">
        <v>3</v>
      </c>
      <c r="AI80">
        <v>15</v>
      </c>
      <c r="AJ80">
        <v>76</v>
      </c>
      <c r="AK80">
        <f>'HourGH-JUN'!AC26</f>
        <v>337.83000000000004</v>
      </c>
      <c r="AN80">
        <v>3</v>
      </c>
      <c r="AO80">
        <v>15</v>
      </c>
      <c r="AP80">
        <v>76</v>
      </c>
      <c r="AQ80">
        <f>'HourGH-JUN'!AE26</f>
        <v>337.81</v>
      </c>
      <c r="AT80">
        <v>3</v>
      </c>
      <c r="AU80">
        <v>15</v>
      </c>
      <c r="AV80">
        <v>76</v>
      </c>
      <c r="AW80" s="117">
        <f>Discharge!E24</f>
        <v>2.4</v>
      </c>
    </row>
    <row r="81" spans="28:49">
      <c r="AB81">
        <v>3</v>
      </c>
      <c r="AC81">
        <v>16</v>
      </c>
      <c r="AD81">
        <v>77</v>
      </c>
      <c r="AE81" s="117">
        <f>DailyMeanGH!E25</f>
        <v>337.8</v>
      </c>
      <c r="AH81">
        <v>3</v>
      </c>
      <c r="AI81">
        <v>16</v>
      </c>
      <c r="AJ81">
        <v>77</v>
      </c>
      <c r="AK81">
        <f>'HourGH-JUN'!AC27</f>
        <v>337.8</v>
      </c>
      <c r="AN81">
        <v>3</v>
      </c>
      <c r="AO81">
        <v>16</v>
      </c>
      <c r="AP81">
        <v>77</v>
      </c>
      <c r="AQ81">
        <f>'HourGH-JUN'!AE27</f>
        <v>337.8</v>
      </c>
      <c r="AT81">
        <v>3</v>
      </c>
      <c r="AU81">
        <v>16</v>
      </c>
      <c r="AV81">
        <v>77</v>
      </c>
      <c r="AW81" s="117">
        <f>Discharge!E25</f>
        <v>2</v>
      </c>
    </row>
    <row r="82" spans="28:49">
      <c r="AB82">
        <v>3</v>
      </c>
      <c r="AC82">
        <v>17</v>
      </c>
      <c r="AD82">
        <v>78</v>
      </c>
      <c r="AE82" s="117">
        <f>DailyMeanGH!E26</f>
        <v>337.8</v>
      </c>
      <c r="AH82">
        <v>3</v>
      </c>
      <c r="AI82">
        <v>17</v>
      </c>
      <c r="AJ82">
        <v>78</v>
      </c>
      <c r="AK82">
        <f>'HourGH-JUN'!AC28</f>
        <v>337.8</v>
      </c>
      <c r="AN82">
        <v>3</v>
      </c>
      <c r="AO82">
        <v>17</v>
      </c>
      <c r="AP82">
        <v>78</v>
      </c>
      <c r="AQ82">
        <f>'HourGH-JUN'!AE28</f>
        <v>337.8</v>
      </c>
      <c r="AT82">
        <v>3</v>
      </c>
      <c r="AU82">
        <v>17</v>
      </c>
      <c r="AV82">
        <v>78</v>
      </c>
      <c r="AW82" s="117">
        <f>Discharge!E26</f>
        <v>2</v>
      </c>
    </row>
    <row r="83" spans="28:49">
      <c r="AB83">
        <v>3</v>
      </c>
      <c r="AC83">
        <v>18</v>
      </c>
      <c r="AD83">
        <v>79</v>
      </c>
      <c r="AE83" s="117">
        <f>DailyMeanGH!E27</f>
        <v>337.81</v>
      </c>
      <c r="AH83">
        <v>3</v>
      </c>
      <c r="AI83">
        <v>18</v>
      </c>
      <c r="AJ83">
        <v>79</v>
      </c>
      <c r="AK83">
        <f>'HourGH-JUN'!AC29</f>
        <v>337.81</v>
      </c>
      <c r="AN83">
        <v>3</v>
      </c>
      <c r="AO83">
        <v>18</v>
      </c>
      <c r="AP83">
        <v>79</v>
      </c>
      <c r="AQ83">
        <f>'HourGH-JUN'!AE29</f>
        <v>337.81</v>
      </c>
      <c r="AT83">
        <v>3</v>
      </c>
      <c r="AU83">
        <v>18</v>
      </c>
      <c r="AV83">
        <v>79</v>
      </c>
      <c r="AW83" s="117">
        <f>Discharge!E27</f>
        <v>2.2000000000000002</v>
      </c>
    </row>
    <row r="84" spans="28:49">
      <c r="AB84">
        <v>3</v>
      </c>
      <c r="AC84">
        <v>19</v>
      </c>
      <c r="AD84">
        <v>80</v>
      </c>
      <c r="AE84" s="117">
        <f>DailyMeanGH!E28</f>
        <v>337.81</v>
      </c>
      <c r="AH84">
        <v>3</v>
      </c>
      <c r="AI84">
        <v>19</v>
      </c>
      <c r="AJ84">
        <v>80</v>
      </c>
      <c r="AK84">
        <f>'HourGH-JUN'!AC30</f>
        <v>337.82000000000005</v>
      </c>
      <c r="AN84">
        <v>3</v>
      </c>
      <c r="AO84">
        <v>19</v>
      </c>
      <c r="AP84">
        <v>80</v>
      </c>
      <c r="AQ84">
        <f>'HourGH-JUN'!AE30</f>
        <v>337.79</v>
      </c>
      <c r="AT84">
        <v>3</v>
      </c>
      <c r="AU84">
        <v>19</v>
      </c>
      <c r="AV84">
        <v>80</v>
      </c>
      <c r="AW84" s="117">
        <f>Discharge!E28</f>
        <v>2.2000000000000002</v>
      </c>
    </row>
    <row r="85" spans="28:49">
      <c r="AB85">
        <v>3</v>
      </c>
      <c r="AC85">
        <v>20</v>
      </c>
      <c r="AD85">
        <v>81</v>
      </c>
      <c r="AE85" s="117">
        <f>DailyMeanGH!E29</f>
        <v>337.85</v>
      </c>
      <c r="AH85">
        <v>3</v>
      </c>
      <c r="AI85">
        <v>20</v>
      </c>
      <c r="AJ85">
        <v>81</v>
      </c>
      <c r="AK85">
        <f>'HourGH-JUN'!AC31</f>
        <v>337.86</v>
      </c>
      <c r="AN85">
        <v>3</v>
      </c>
      <c r="AO85">
        <v>20</v>
      </c>
      <c r="AP85">
        <v>81</v>
      </c>
      <c r="AQ85">
        <f>'HourGH-JUN'!AE31</f>
        <v>337.82000000000005</v>
      </c>
      <c r="AT85">
        <v>3</v>
      </c>
      <c r="AU85">
        <v>20</v>
      </c>
      <c r="AV85">
        <v>81</v>
      </c>
      <c r="AW85" s="117">
        <f>Discharge!E29</f>
        <v>3</v>
      </c>
    </row>
    <row r="86" spans="28:49">
      <c r="AB86">
        <v>3</v>
      </c>
      <c r="AC86">
        <v>21</v>
      </c>
      <c r="AD86">
        <v>82</v>
      </c>
      <c r="AE86" s="117">
        <f>DailyMeanGH!E31</f>
        <v>337.86</v>
      </c>
      <c r="AH86">
        <v>3</v>
      </c>
      <c r="AI86">
        <v>21</v>
      </c>
      <c r="AJ86">
        <v>82</v>
      </c>
      <c r="AK86">
        <f>'HourGH-JUN'!AC33</f>
        <v>337.87</v>
      </c>
      <c r="AN86">
        <v>3</v>
      </c>
      <c r="AO86">
        <v>21</v>
      </c>
      <c r="AP86">
        <v>82</v>
      </c>
      <c r="AQ86">
        <f>'HourGH-JUN'!AE33</f>
        <v>337.85</v>
      </c>
      <c r="AT86">
        <v>3</v>
      </c>
      <c r="AU86">
        <v>21</v>
      </c>
      <c r="AV86">
        <v>82</v>
      </c>
      <c r="AW86" s="117">
        <f>Discharge!E31</f>
        <v>3.2</v>
      </c>
    </row>
    <row r="87" spans="28:49">
      <c r="AB87">
        <v>3</v>
      </c>
      <c r="AC87">
        <v>22</v>
      </c>
      <c r="AD87">
        <v>83</v>
      </c>
      <c r="AE87" s="117">
        <f>DailyMeanGH!E32</f>
        <v>337.84</v>
      </c>
      <c r="AH87">
        <v>3</v>
      </c>
      <c r="AI87">
        <v>22</v>
      </c>
      <c r="AJ87">
        <v>83</v>
      </c>
      <c r="AK87">
        <f>'HourGH-JUN'!AC34</f>
        <v>337.84000000000003</v>
      </c>
      <c r="AN87">
        <v>3</v>
      </c>
      <c r="AO87">
        <v>22</v>
      </c>
      <c r="AP87">
        <v>83</v>
      </c>
      <c r="AQ87">
        <f>'HourGH-JUN'!AE34</f>
        <v>337.84000000000003</v>
      </c>
      <c r="AT87">
        <v>3</v>
      </c>
      <c r="AU87">
        <v>22</v>
      </c>
      <c r="AV87">
        <v>83</v>
      </c>
      <c r="AW87" s="117">
        <f>Discharge!E32</f>
        <v>2.8</v>
      </c>
    </row>
    <row r="88" spans="28:49">
      <c r="AB88">
        <v>3</v>
      </c>
      <c r="AC88">
        <v>23</v>
      </c>
      <c r="AD88">
        <v>84</v>
      </c>
      <c r="AE88" s="117">
        <f>DailyMeanGH!E33</f>
        <v>337.96</v>
      </c>
      <c r="AH88">
        <v>3</v>
      </c>
      <c r="AI88">
        <v>23</v>
      </c>
      <c r="AJ88">
        <v>84</v>
      </c>
      <c r="AK88">
        <f>'HourGH-JUN'!AC35</f>
        <v>338.28000000000003</v>
      </c>
      <c r="AN88">
        <v>3</v>
      </c>
      <c r="AO88">
        <v>23</v>
      </c>
      <c r="AP88">
        <v>84</v>
      </c>
      <c r="AQ88">
        <f>'HourGH-JUN'!AE35</f>
        <v>337.83000000000004</v>
      </c>
      <c r="AT88">
        <v>3</v>
      </c>
      <c r="AU88">
        <v>23</v>
      </c>
      <c r="AV88">
        <v>84</v>
      </c>
      <c r="AW88" s="117">
        <f>Discharge!E33</f>
        <v>5.5</v>
      </c>
    </row>
    <row r="89" spans="28:49">
      <c r="AB89">
        <v>3</v>
      </c>
      <c r="AC89">
        <v>24</v>
      </c>
      <c r="AD89">
        <v>85</v>
      </c>
      <c r="AE89" s="117">
        <f>DailyMeanGH!E34</f>
        <v>338.16</v>
      </c>
      <c r="AH89">
        <v>3</v>
      </c>
      <c r="AI89">
        <v>24</v>
      </c>
      <c r="AJ89">
        <v>85</v>
      </c>
      <c r="AK89">
        <f>'HourGH-JUN'!AC36</f>
        <v>338.32000000000005</v>
      </c>
      <c r="AN89">
        <v>3</v>
      </c>
      <c r="AO89">
        <v>24</v>
      </c>
      <c r="AP89">
        <v>85</v>
      </c>
      <c r="AQ89">
        <f>'HourGH-JUN'!AE36</f>
        <v>337.88</v>
      </c>
      <c r="AT89">
        <v>3</v>
      </c>
      <c r="AU89">
        <v>24</v>
      </c>
      <c r="AV89">
        <v>85</v>
      </c>
      <c r="AW89" s="117">
        <f>Discharge!E34</f>
        <v>11.7</v>
      </c>
    </row>
    <row r="90" spans="28:49">
      <c r="AB90">
        <v>3</v>
      </c>
      <c r="AC90">
        <v>25</v>
      </c>
      <c r="AD90">
        <v>86</v>
      </c>
      <c r="AE90" s="117">
        <f>DailyMeanGH!E35</f>
        <v>337.84</v>
      </c>
      <c r="AH90">
        <v>3</v>
      </c>
      <c r="AI90">
        <v>25</v>
      </c>
      <c r="AJ90">
        <v>86</v>
      </c>
      <c r="AK90">
        <f>'HourGH-JUN'!AC37</f>
        <v>337.88</v>
      </c>
      <c r="AN90">
        <v>3</v>
      </c>
      <c r="AO90">
        <v>25</v>
      </c>
      <c r="AP90">
        <v>86</v>
      </c>
      <c r="AQ90">
        <f>'HourGH-JUN'!AE37</f>
        <v>337.83000000000004</v>
      </c>
      <c r="AT90">
        <v>3</v>
      </c>
      <c r="AU90">
        <v>25</v>
      </c>
      <c r="AV90">
        <v>86</v>
      </c>
      <c r="AW90" s="117">
        <f>Discharge!E35</f>
        <v>2.8</v>
      </c>
    </row>
    <row r="91" spans="28:49">
      <c r="AB91">
        <v>3</v>
      </c>
      <c r="AC91">
        <v>26</v>
      </c>
      <c r="AD91">
        <v>87</v>
      </c>
      <c r="AE91" s="117">
        <f>DailyMeanGH!E36</f>
        <v>337.86</v>
      </c>
      <c r="AH91">
        <v>3</v>
      </c>
      <c r="AI91">
        <v>26</v>
      </c>
      <c r="AJ91">
        <v>87</v>
      </c>
      <c r="AK91">
        <f>'HourGH-JUN'!AC38</f>
        <v>337.86</v>
      </c>
      <c r="AN91">
        <v>3</v>
      </c>
      <c r="AO91">
        <v>26</v>
      </c>
      <c r="AP91">
        <v>87</v>
      </c>
      <c r="AQ91">
        <f>'HourGH-JUN'!AE38</f>
        <v>337.85</v>
      </c>
      <c r="AT91">
        <v>3</v>
      </c>
      <c r="AU91">
        <v>26</v>
      </c>
      <c r="AV91">
        <v>87</v>
      </c>
      <c r="AW91" s="117">
        <f>Discharge!E36</f>
        <v>3.2</v>
      </c>
    </row>
    <row r="92" spans="28:49">
      <c r="AB92">
        <v>3</v>
      </c>
      <c r="AC92">
        <v>27</v>
      </c>
      <c r="AD92">
        <v>88</v>
      </c>
      <c r="AE92" s="117">
        <f>DailyMeanGH!E37</f>
        <v>337.85</v>
      </c>
      <c r="AH92">
        <v>3</v>
      </c>
      <c r="AI92">
        <v>27</v>
      </c>
      <c r="AJ92">
        <v>88</v>
      </c>
      <c r="AK92">
        <f>'HourGH-JUN'!AC39</f>
        <v>337.86</v>
      </c>
      <c r="AN92">
        <v>3</v>
      </c>
      <c r="AO92">
        <v>27</v>
      </c>
      <c r="AP92">
        <v>88</v>
      </c>
      <c r="AQ92">
        <f>'HourGH-JUN'!AE39</f>
        <v>337.84000000000003</v>
      </c>
      <c r="AT92">
        <v>3</v>
      </c>
      <c r="AU92">
        <v>27</v>
      </c>
      <c r="AV92">
        <v>88</v>
      </c>
      <c r="AW92" s="117">
        <f>Discharge!E37</f>
        <v>3</v>
      </c>
    </row>
    <row r="93" spans="28:49">
      <c r="AB93">
        <v>3</v>
      </c>
      <c r="AC93">
        <v>28</v>
      </c>
      <c r="AD93">
        <v>89</v>
      </c>
      <c r="AE93" s="117">
        <f>DailyMeanGH!E38</f>
        <v>337.83</v>
      </c>
      <c r="AH93">
        <v>3</v>
      </c>
      <c r="AI93">
        <v>28</v>
      </c>
      <c r="AJ93">
        <v>89</v>
      </c>
      <c r="AK93">
        <f>'HourGH-JUN'!AC40</f>
        <v>337.83000000000004</v>
      </c>
      <c r="AN93">
        <v>3</v>
      </c>
      <c r="AO93">
        <v>28</v>
      </c>
      <c r="AP93">
        <v>89</v>
      </c>
      <c r="AQ93">
        <f>'HourGH-JUN'!AE40</f>
        <v>337.83000000000004</v>
      </c>
      <c r="AT93">
        <v>3</v>
      </c>
      <c r="AU93">
        <v>28</v>
      </c>
      <c r="AV93">
        <v>89</v>
      </c>
      <c r="AW93" s="117">
        <f>Discharge!E38</f>
        <v>2.6</v>
      </c>
    </row>
    <row r="94" spans="28:49">
      <c r="AB94">
        <v>3</v>
      </c>
      <c r="AC94">
        <v>29</v>
      </c>
      <c r="AD94">
        <v>90</v>
      </c>
      <c r="AE94" s="117">
        <f>DailyMeanGH!E39</f>
        <v>337.84</v>
      </c>
      <c r="AH94">
        <v>3</v>
      </c>
      <c r="AI94">
        <v>29</v>
      </c>
      <c r="AJ94">
        <v>90</v>
      </c>
      <c r="AK94">
        <f>'HourGH-JUN'!AC41</f>
        <v>337.84000000000003</v>
      </c>
      <c r="AN94">
        <v>3</v>
      </c>
      <c r="AO94">
        <v>29</v>
      </c>
      <c r="AP94">
        <v>90</v>
      </c>
      <c r="AQ94">
        <f>'HourGH-JUN'!AE41</f>
        <v>337.83000000000004</v>
      </c>
      <c r="AT94">
        <v>3</v>
      </c>
      <c r="AU94">
        <v>29</v>
      </c>
      <c r="AV94">
        <v>90</v>
      </c>
      <c r="AW94" s="117">
        <f>Discharge!E39</f>
        <v>2.8</v>
      </c>
    </row>
    <row r="95" spans="28:49">
      <c r="AB95">
        <v>3</v>
      </c>
      <c r="AC95">
        <v>30</v>
      </c>
      <c r="AD95">
        <v>91</v>
      </c>
      <c r="AE95" s="117">
        <f>DailyMeanGH!E40</f>
        <v>337.85</v>
      </c>
      <c r="AH95">
        <v>3</v>
      </c>
      <c r="AI95">
        <v>30</v>
      </c>
      <c r="AJ95">
        <v>91</v>
      </c>
      <c r="AK95">
        <f>'HourGH-JUN'!AC42</f>
        <v>337.85</v>
      </c>
      <c r="AN95">
        <v>3</v>
      </c>
      <c r="AO95">
        <v>30</v>
      </c>
      <c r="AP95">
        <v>91</v>
      </c>
      <c r="AQ95">
        <f>'HourGH-JUN'!AE42</f>
        <v>337.84000000000003</v>
      </c>
      <c r="AT95">
        <v>3</v>
      </c>
      <c r="AU95">
        <v>30</v>
      </c>
      <c r="AV95">
        <v>91</v>
      </c>
      <c r="AW95" s="117">
        <f>Discharge!E40</f>
        <v>3</v>
      </c>
    </row>
    <row r="96" spans="28:49">
      <c r="AB96">
        <v>4</v>
      </c>
      <c r="AC96">
        <v>1</v>
      </c>
      <c r="AD96">
        <v>92</v>
      </c>
      <c r="AE96" s="117">
        <f>DailyMeanGH!F9</f>
        <v>337.83</v>
      </c>
      <c r="AH96">
        <v>4</v>
      </c>
      <c r="AI96">
        <v>1</v>
      </c>
      <c r="AJ96">
        <v>92</v>
      </c>
      <c r="AK96">
        <f>'HourGH-JUL'!AC11</f>
        <v>337.83000000000004</v>
      </c>
      <c r="AN96">
        <v>4</v>
      </c>
      <c r="AO96">
        <v>1</v>
      </c>
      <c r="AP96">
        <v>92</v>
      </c>
      <c r="AQ96">
        <f>'HourGH-JUL'!AE11</f>
        <v>337.83000000000004</v>
      </c>
      <c r="AT96">
        <v>4</v>
      </c>
      <c r="AU96">
        <v>1</v>
      </c>
      <c r="AV96">
        <v>92</v>
      </c>
      <c r="AW96" s="117">
        <f>Discharge!F9</f>
        <v>2.6</v>
      </c>
    </row>
    <row r="97" spans="28:49">
      <c r="AB97">
        <v>4</v>
      </c>
      <c r="AC97">
        <v>2</v>
      </c>
      <c r="AD97">
        <v>93</v>
      </c>
      <c r="AE97" s="117">
        <f>DailyMeanGH!F10</f>
        <v>337.83</v>
      </c>
      <c r="AH97">
        <v>4</v>
      </c>
      <c r="AI97">
        <v>2</v>
      </c>
      <c r="AJ97">
        <v>93</v>
      </c>
      <c r="AK97">
        <f>'HourGH-JUL'!AC12</f>
        <v>337.83000000000004</v>
      </c>
      <c r="AN97">
        <v>4</v>
      </c>
      <c r="AO97">
        <v>2</v>
      </c>
      <c r="AP97">
        <v>93</v>
      </c>
      <c r="AQ97">
        <f>'HourGH-JUL'!AE12</f>
        <v>337.83000000000004</v>
      </c>
      <c r="AT97">
        <v>4</v>
      </c>
      <c r="AU97">
        <v>2</v>
      </c>
      <c r="AV97">
        <v>93</v>
      </c>
      <c r="AW97" s="117">
        <f>Discharge!F10</f>
        <v>2.6</v>
      </c>
    </row>
    <row r="98" spans="28:49">
      <c r="AB98">
        <v>4</v>
      </c>
      <c r="AC98">
        <v>3</v>
      </c>
      <c r="AD98">
        <v>94</v>
      </c>
      <c r="AE98" s="117">
        <f>DailyMeanGH!F11</f>
        <v>337.83</v>
      </c>
      <c r="AH98">
        <v>4</v>
      </c>
      <c r="AI98">
        <v>3</v>
      </c>
      <c r="AJ98">
        <v>94</v>
      </c>
      <c r="AK98">
        <f>'HourGH-JUL'!AC13</f>
        <v>337.83000000000004</v>
      </c>
      <c r="AN98">
        <v>4</v>
      </c>
      <c r="AO98">
        <v>3</v>
      </c>
      <c r="AP98">
        <v>94</v>
      </c>
      <c r="AQ98">
        <f>'HourGH-JUL'!AE13</f>
        <v>337.83000000000004</v>
      </c>
      <c r="AT98">
        <v>4</v>
      </c>
      <c r="AU98">
        <v>3</v>
      </c>
      <c r="AV98">
        <v>94</v>
      </c>
      <c r="AW98" s="117">
        <f>Discharge!F11</f>
        <v>2.6</v>
      </c>
    </row>
    <row r="99" spans="28:49">
      <c r="AB99">
        <v>4</v>
      </c>
      <c r="AC99">
        <v>4</v>
      </c>
      <c r="AD99">
        <v>95</v>
      </c>
      <c r="AE99" s="117">
        <f>DailyMeanGH!F12</f>
        <v>337.85</v>
      </c>
      <c r="AH99">
        <v>4</v>
      </c>
      <c r="AI99">
        <v>4</v>
      </c>
      <c r="AJ99">
        <v>95</v>
      </c>
      <c r="AK99">
        <f>'HourGH-JUL'!AC14</f>
        <v>337.86</v>
      </c>
      <c r="AN99">
        <v>4</v>
      </c>
      <c r="AO99">
        <v>4</v>
      </c>
      <c r="AP99">
        <v>95</v>
      </c>
      <c r="AQ99">
        <f>'HourGH-JUL'!AE14</f>
        <v>337.84000000000003</v>
      </c>
      <c r="AT99">
        <v>4</v>
      </c>
      <c r="AU99">
        <v>4</v>
      </c>
      <c r="AV99">
        <v>95</v>
      </c>
      <c r="AW99" s="117">
        <f>Discharge!F12</f>
        <v>3</v>
      </c>
    </row>
    <row r="100" spans="28:49">
      <c r="AB100">
        <v>4</v>
      </c>
      <c r="AC100">
        <v>5</v>
      </c>
      <c r="AD100">
        <v>96</v>
      </c>
      <c r="AE100" s="117">
        <f>DailyMeanGH!F13</f>
        <v>337.87</v>
      </c>
      <c r="AH100">
        <v>4</v>
      </c>
      <c r="AI100">
        <v>5</v>
      </c>
      <c r="AJ100">
        <v>96</v>
      </c>
      <c r="AK100">
        <f>'HourGH-JUL'!AC15</f>
        <v>337.87</v>
      </c>
      <c r="AN100">
        <v>4</v>
      </c>
      <c r="AO100">
        <v>5</v>
      </c>
      <c r="AP100">
        <v>96</v>
      </c>
      <c r="AQ100">
        <f>'HourGH-JUL'!AE15</f>
        <v>337.87</v>
      </c>
      <c r="AT100">
        <v>4</v>
      </c>
      <c r="AU100">
        <v>5</v>
      </c>
      <c r="AV100">
        <v>96</v>
      </c>
      <c r="AW100" s="117">
        <f>Discharge!F13</f>
        <v>3.4</v>
      </c>
    </row>
    <row r="101" spans="28:49">
      <c r="AB101">
        <v>4</v>
      </c>
      <c r="AC101">
        <v>6</v>
      </c>
      <c r="AD101">
        <v>97</v>
      </c>
      <c r="AE101" s="117">
        <f>DailyMeanGH!F14</f>
        <v>337.86</v>
      </c>
      <c r="AH101">
        <v>4</v>
      </c>
      <c r="AI101">
        <v>6</v>
      </c>
      <c r="AJ101">
        <v>97</v>
      </c>
      <c r="AK101">
        <f>'HourGH-JUL'!AC16</f>
        <v>337.87</v>
      </c>
      <c r="AN101">
        <v>4</v>
      </c>
      <c r="AO101">
        <v>6</v>
      </c>
      <c r="AP101">
        <v>97</v>
      </c>
      <c r="AQ101">
        <f>'HourGH-JUL'!AE16</f>
        <v>337.84000000000003</v>
      </c>
      <c r="AT101">
        <v>4</v>
      </c>
      <c r="AU101">
        <v>6</v>
      </c>
      <c r="AV101">
        <v>97</v>
      </c>
      <c r="AW101" s="117">
        <f>Discharge!F14</f>
        <v>3.2</v>
      </c>
    </row>
    <row r="102" spans="28:49">
      <c r="AB102">
        <v>4</v>
      </c>
      <c r="AC102">
        <v>7</v>
      </c>
      <c r="AD102">
        <v>98</v>
      </c>
      <c r="AE102" s="117">
        <f>DailyMeanGH!F15</f>
        <v>337.86</v>
      </c>
      <c r="AH102">
        <v>4</v>
      </c>
      <c r="AI102">
        <v>7</v>
      </c>
      <c r="AJ102">
        <v>98</v>
      </c>
      <c r="AK102">
        <f>'HourGH-JUL'!AC17</f>
        <v>337.87</v>
      </c>
      <c r="AN102">
        <v>4</v>
      </c>
      <c r="AO102">
        <v>7</v>
      </c>
      <c r="AP102">
        <v>98</v>
      </c>
      <c r="AQ102">
        <f>'HourGH-JUL'!AE17</f>
        <v>337.84000000000003</v>
      </c>
      <c r="AT102">
        <v>4</v>
      </c>
      <c r="AU102">
        <v>7</v>
      </c>
      <c r="AV102">
        <v>98</v>
      </c>
      <c r="AW102" s="117">
        <f>Discharge!F15</f>
        <v>3.2</v>
      </c>
    </row>
    <row r="103" spans="28:49">
      <c r="AB103">
        <v>4</v>
      </c>
      <c r="AC103">
        <v>8</v>
      </c>
      <c r="AD103">
        <v>99</v>
      </c>
      <c r="AE103" s="117">
        <f>DailyMeanGH!F16</f>
        <v>337.88</v>
      </c>
      <c r="AH103">
        <v>4</v>
      </c>
      <c r="AI103">
        <v>8</v>
      </c>
      <c r="AJ103">
        <v>99</v>
      </c>
      <c r="AK103">
        <f>'HourGH-JUL'!AC18</f>
        <v>337.88</v>
      </c>
      <c r="AN103">
        <v>4</v>
      </c>
      <c r="AO103">
        <v>8</v>
      </c>
      <c r="AP103">
        <v>99</v>
      </c>
      <c r="AQ103">
        <f>'HourGH-JUL'!AE18</f>
        <v>337.87</v>
      </c>
      <c r="AT103">
        <v>4</v>
      </c>
      <c r="AU103">
        <v>8</v>
      </c>
      <c r="AV103">
        <v>99</v>
      </c>
      <c r="AW103" s="117">
        <f>Discharge!F16</f>
        <v>3.6</v>
      </c>
    </row>
    <row r="104" spans="28:49">
      <c r="AB104">
        <v>4</v>
      </c>
      <c r="AC104">
        <v>9</v>
      </c>
      <c r="AD104">
        <v>100</v>
      </c>
      <c r="AE104" s="117">
        <f>DailyMeanGH!F17</f>
        <v>337.88</v>
      </c>
      <c r="AH104">
        <v>4</v>
      </c>
      <c r="AI104">
        <v>9</v>
      </c>
      <c r="AJ104">
        <v>100</v>
      </c>
      <c r="AK104">
        <f>'HourGH-JUL'!AC19</f>
        <v>337.93</v>
      </c>
      <c r="AN104">
        <v>4</v>
      </c>
      <c r="AO104">
        <v>9</v>
      </c>
      <c r="AP104">
        <v>100</v>
      </c>
      <c r="AQ104">
        <f>'HourGH-JUL'!AE19</f>
        <v>337.86</v>
      </c>
      <c r="AT104">
        <v>4</v>
      </c>
      <c r="AU104">
        <v>9</v>
      </c>
      <c r="AV104">
        <v>100</v>
      </c>
      <c r="AW104" s="117">
        <f>Discharge!F17</f>
        <v>3.6</v>
      </c>
    </row>
    <row r="105" spans="28:49">
      <c r="AB105">
        <v>4</v>
      </c>
      <c r="AC105">
        <v>10</v>
      </c>
      <c r="AD105">
        <v>101</v>
      </c>
      <c r="AE105" s="117">
        <f>DailyMeanGH!F18</f>
        <v>338.01</v>
      </c>
      <c r="AH105">
        <v>4</v>
      </c>
      <c r="AI105">
        <v>10</v>
      </c>
      <c r="AJ105">
        <v>101</v>
      </c>
      <c r="AK105">
        <f>'HourGH-JUL'!AC20</f>
        <v>338.07000000000005</v>
      </c>
      <c r="AN105">
        <v>4</v>
      </c>
      <c r="AO105">
        <v>10</v>
      </c>
      <c r="AP105">
        <v>101</v>
      </c>
      <c r="AQ105">
        <f>'HourGH-JUL'!AE20</f>
        <v>337.93</v>
      </c>
      <c r="AT105">
        <v>4</v>
      </c>
      <c r="AU105">
        <v>10</v>
      </c>
      <c r="AV105">
        <v>101</v>
      </c>
      <c r="AW105" s="117">
        <f>Discharge!F18</f>
        <v>6.82</v>
      </c>
    </row>
    <row r="106" spans="28:49">
      <c r="AB106">
        <v>4</v>
      </c>
      <c r="AC106">
        <v>11</v>
      </c>
      <c r="AD106">
        <v>102</v>
      </c>
      <c r="AE106" s="117">
        <f>DailyMeanGH!F20</f>
        <v>338.07</v>
      </c>
      <c r="AH106">
        <v>4</v>
      </c>
      <c r="AI106">
        <v>11</v>
      </c>
      <c r="AJ106">
        <v>102</v>
      </c>
      <c r="AK106">
        <f>'HourGH-JUL'!AC22</f>
        <v>338.08000000000004</v>
      </c>
      <c r="AN106">
        <v>4</v>
      </c>
      <c r="AO106">
        <v>11</v>
      </c>
      <c r="AP106">
        <v>102</v>
      </c>
      <c r="AQ106">
        <f>'HourGH-JUL'!AE22</f>
        <v>338.07000000000005</v>
      </c>
      <c r="AT106">
        <v>4</v>
      </c>
      <c r="AU106">
        <v>11</v>
      </c>
      <c r="AV106">
        <v>102</v>
      </c>
      <c r="AW106" s="117">
        <f>Discharge!F20</f>
        <v>8.77</v>
      </c>
    </row>
    <row r="107" spans="28:49">
      <c r="AB107">
        <v>4</v>
      </c>
      <c r="AC107">
        <v>12</v>
      </c>
      <c r="AD107">
        <v>103</v>
      </c>
      <c r="AE107" s="117">
        <f>DailyMeanGH!F21</f>
        <v>338.06</v>
      </c>
      <c r="AH107">
        <v>4</v>
      </c>
      <c r="AI107">
        <v>12</v>
      </c>
      <c r="AJ107">
        <v>103</v>
      </c>
      <c r="AK107">
        <f>'HourGH-JUL'!AC23</f>
        <v>338.07000000000005</v>
      </c>
      <c r="AN107">
        <v>4</v>
      </c>
      <c r="AO107">
        <v>12</v>
      </c>
      <c r="AP107">
        <v>103</v>
      </c>
      <c r="AQ107">
        <f>'HourGH-JUL'!AE23</f>
        <v>338.05</v>
      </c>
      <c r="AT107">
        <v>4</v>
      </c>
      <c r="AU107">
        <v>12</v>
      </c>
      <c r="AV107">
        <v>103</v>
      </c>
      <c r="AW107" s="117">
        <f>Discharge!F21</f>
        <v>8.4499999999999993</v>
      </c>
    </row>
    <row r="108" spans="28:49">
      <c r="AB108">
        <v>4</v>
      </c>
      <c r="AC108">
        <v>13</v>
      </c>
      <c r="AD108">
        <v>104</v>
      </c>
      <c r="AE108" s="117">
        <f>DailyMeanGH!F22</f>
        <v>338.01</v>
      </c>
      <c r="AH108">
        <v>4</v>
      </c>
      <c r="AI108">
        <v>13</v>
      </c>
      <c r="AJ108">
        <v>104</v>
      </c>
      <c r="AK108">
        <f>'HourGH-JUL'!AC24</f>
        <v>338.04</v>
      </c>
      <c r="AN108">
        <v>4</v>
      </c>
      <c r="AO108">
        <v>13</v>
      </c>
      <c r="AP108">
        <v>104</v>
      </c>
      <c r="AQ108">
        <f>'HourGH-JUL'!AE24</f>
        <v>337.98</v>
      </c>
      <c r="AT108">
        <v>4</v>
      </c>
      <c r="AU108">
        <v>13</v>
      </c>
      <c r="AV108">
        <v>104</v>
      </c>
      <c r="AW108" s="117">
        <f>Discharge!F22</f>
        <v>6.82</v>
      </c>
    </row>
    <row r="109" spans="28:49">
      <c r="AB109">
        <v>4</v>
      </c>
      <c r="AC109">
        <v>14</v>
      </c>
      <c r="AD109">
        <v>105</v>
      </c>
      <c r="AE109" s="117">
        <f>DailyMeanGH!F23</f>
        <v>337.99</v>
      </c>
      <c r="AH109">
        <v>4</v>
      </c>
      <c r="AI109">
        <v>14</v>
      </c>
      <c r="AJ109">
        <v>105</v>
      </c>
      <c r="AK109">
        <f>'HourGH-JUL'!AC25</f>
        <v>338.07000000000005</v>
      </c>
      <c r="AN109">
        <v>4</v>
      </c>
      <c r="AO109">
        <v>14</v>
      </c>
      <c r="AP109">
        <v>105</v>
      </c>
      <c r="AQ109">
        <f>'HourGH-JUL'!AE25</f>
        <v>337.97</v>
      </c>
      <c r="AT109">
        <v>4</v>
      </c>
      <c r="AU109">
        <v>14</v>
      </c>
      <c r="AV109">
        <v>105</v>
      </c>
      <c r="AW109" s="117">
        <f>Discharge!F23</f>
        <v>6.25</v>
      </c>
    </row>
    <row r="110" spans="28:49">
      <c r="AB110">
        <v>4</v>
      </c>
      <c r="AC110">
        <v>15</v>
      </c>
      <c r="AD110">
        <v>106</v>
      </c>
      <c r="AE110" s="117">
        <f>DailyMeanGH!F24</f>
        <v>338.17</v>
      </c>
      <c r="AH110">
        <v>4</v>
      </c>
      <c r="AI110">
        <v>15</v>
      </c>
      <c r="AJ110">
        <v>106</v>
      </c>
      <c r="AK110">
        <f>'HourGH-JUL'!AC26</f>
        <v>338.22</v>
      </c>
      <c r="AN110">
        <v>4</v>
      </c>
      <c r="AO110">
        <v>15</v>
      </c>
      <c r="AP110">
        <v>106</v>
      </c>
      <c r="AQ110">
        <f>'HourGH-JUL'!AE26</f>
        <v>338.08000000000004</v>
      </c>
      <c r="AT110">
        <v>4</v>
      </c>
      <c r="AU110">
        <v>15</v>
      </c>
      <c r="AV110">
        <v>106</v>
      </c>
      <c r="AW110" s="117">
        <f>Discharge!F24</f>
        <v>12.03</v>
      </c>
    </row>
    <row r="111" spans="28:49">
      <c r="AB111">
        <v>4</v>
      </c>
      <c r="AC111">
        <v>16</v>
      </c>
      <c r="AD111">
        <v>107</v>
      </c>
      <c r="AE111" s="117">
        <f>DailyMeanGH!F25</f>
        <v>338.11</v>
      </c>
      <c r="AH111">
        <v>4</v>
      </c>
      <c r="AI111">
        <v>16</v>
      </c>
      <c r="AJ111">
        <v>107</v>
      </c>
      <c r="AK111">
        <f>'HourGH-JUL'!AC27</f>
        <v>338.16</v>
      </c>
      <c r="AN111">
        <v>4</v>
      </c>
      <c r="AO111">
        <v>16</v>
      </c>
      <c r="AP111">
        <v>107</v>
      </c>
      <c r="AQ111">
        <f>'HourGH-JUL'!AE27</f>
        <v>338.09000000000003</v>
      </c>
      <c r="AT111">
        <v>4</v>
      </c>
      <c r="AU111">
        <v>16</v>
      </c>
      <c r="AV111">
        <v>107</v>
      </c>
      <c r="AW111" s="117">
        <f>Discharge!F25</f>
        <v>10.08</v>
      </c>
    </row>
    <row r="112" spans="28:49">
      <c r="AB112">
        <v>4</v>
      </c>
      <c r="AC112">
        <v>17</v>
      </c>
      <c r="AD112">
        <v>108</v>
      </c>
      <c r="AE112" s="117">
        <f>DailyMeanGH!F26</f>
        <v>338.08</v>
      </c>
      <c r="AH112">
        <v>4</v>
      </c>
      <c r="AI112">
        <v>17</v>
      </c>
      <c r="AJ112">
        <v>108</v>
      </c>
      <c r="AK112">
        <f>'HourGH-JUL'!AC28</f>
        <v>338.09000000000003</v>
      </c>
      <c r="AN112">
        <v>4</v>
      </c>
      <c r="AO112">
        <v>17</v>
      </c>
      <c r="AP112">
        <v>108</v>
      </c>
      <c r="AQ112">
        <f>'HourGH-JUL'!AE28</f>
        <v>338.07000000000005</v>
      </c>
      <c r="AT112">
        <v>4</v>
      </c>
      <c r="AU112">
        <v>17</v>
      </c>
      <c r="AV112">
        <v>108</v>
      </c>
      <c r="AW112" s="117">
        <f>Discharge!F26</f>
        <v>9.1</v>
      </c>
    </row>
    <row r="113" spans="28:49">
      <c r="AB113">
        <v>4</v>
      </c>
      <c r="AC113">
        <v>18</v>
      </c>
      <c r="AD113">
        <v>109</v>
      </c>
      <c r="AE113" s="117">
        <f>DailyMeanGH!F27</f>
        <v>338.08</v>
      </c>
      <c r="AH113">
        <v>4</v>
      </c>
      <c r="AI113">
        <v>18</v>
      </c>
      <c r="AJ113">
        <v>109</v>
      </c>
      <c r="AK113">
        <f>'HourGH-JUL'!AC29</f>
        <v>338.1</v>
      </c>
      <c r="AN113">
        <v>4</v>
      </c>
      <c r="AO113">
        <v>18</v>
      </c>
      <c r="AP113">
        <v>109</v>
      </c>
      <c r="AQ113">
        <f>'HourGH-JUL'!AE29</f>
        <v>338.07000000000005</v>
      </c>
      <c r="AT113">
        <v>4</v>
      </c>
      <c r="AU113">
        <v>18</v>
      </c>
      <c r="AV113">
        <v>109</v>
      </c>
      <c r="AW113" s="117">
        <f>Discharge!F27</f>
        <v>9.1</v>
      </c>
    </row>
    <row r="114" spans="28:49">
      <c r="AB114">
        <v>4</v>
      </c>
      <c r="AC114">
        <v>19</v>
      </c>
      <c r="AD114">
        <v>110</v>
      </c>
      <c r="AE114" s="117">
        <f>DailyMeanGH!F28</f>
        <v>338.04</v>
      </c>
      <c r="AH114">
        <v>4</v>
      </c>
      <c r="AI114">
        <v>19</v>
      </c>
      <c r="AJ114">
        <v>110</v>
      </c>
      <c r="AK114">
        <f>'HourGH-JUL'!AC30</f>
        <v>338.06</v>
      </c>
      <c r="AN114">
        <v>4</v>
      </c>
      <c r="AO114">
        <v>19</v>
      </c>
      <c r="AP114">
        <v>110</v>
      </c>
      <c r="AQ114">
        <f>'HourGH-JUL'!AE30</f>
        <v>338.01000000000005</v>
      </c>
      <c r="AT114">
        <v>4</v>
      </c>
      <c r="AU114">
        <v>19</v>
      </c>
      <c r="AV114">
        <v>110</v>
      </c>
      <c r="AW114" s="117">
        <f>Discharge!F28</f>
        <v>7.8</v>
      </c>
    </row>
    <row r="115" spans="28:49">
      <c r="AB115">
        <v>4</v>
      </c>
      <c r="AC115">
        <v>20</v>
      </c>
      <c r="AD115">
        <v>111</v>
      </c>
      <c r="AE115" s="117">
        <f>DailyMeanGH!F29</f>
        <v>337.97</v>
      </c>
      <c r="AH115">
        <v>4</v>
      </c>
      <c r="AI115">
        <v>20</v>
      </c>
      <c r="AJ115">
        <v>111</v>
      </c>
      <c r="AK115">
        <f>'HourGH-JUL'!AC31</f>
        <v>338</v>
      </c>
      <c r="AN115">
        <v>4</v>
      </c>
      <c r="AO115">
        <v>20</v>
      </c>
      <c r="AP115">
        <v>111</v>
      </c>
      <c r="AQ115">
        <f>'HourGH-JUL'!AE31</f>
        <v>337.95000000000005</v>
      </c>
      <c r="AT115">
        <v>4</v>
      </c>
      <c r="AU115">
        <v>20</v>
      </c>
      <c r="AV115">
        <v>111</v>
      </c>
      <c r="AW115" s="117">
        <f>Discharge!F29</f>
        <v>5.75</v>
      </c>
    </row>
    <row r="116" spans="28:49">
      <c r="AB116">
        <v>4</v>
      </c>
      <c r="AC116">
        <v>21</v>
      </c>
      <c r="AD116">
        <v>112</v>
      </c>
      <c r="AE116" s="117">
        <f>DailyMeanGH!F31</f>
        <v>337.94</v>
      </c>
      <c r="AH116">
        <v>4</v>
      </c>
      <c r="AI116">
        <v>21</v>
      </c>
      <c r="AJ116">
        <v>112</v>
      </c>
      <c r="AK116">
        <f>'HourGH-JUL'!AC33</f>
        <v>337.94</v>
      </c>
      <c r="AN116">
        <v>4</v>
      </c>
      <c r="AO116">
        <v>21</v>
      </c>
      <c r="AP116">
        <v>112</v>
      </c>
      <c r="AQ116">
        <f>'HourGH-JUL'!AE33</f>
        <v>337.94</v>
      </c>
      <c r="AT116">
        <v>4</v>
      </c>
      <c r="AU116">
        <v>21</v>
      </c>
      <c r="AV116">
        <v>112</v>
      </c>
      <c r="AW116" s="117">
        <f>Discharge!F31</f>
        <v>5</v>
      </c>
    </row>
    <row r="117" spans="28:49">
      <c r="AB117">
        <v>4</v>
      </c>
      <c r="AC117">
        <v>22</v>
      </c>
      <c r="AD117">
        <v>113</v>
      </c>
      <c r="AE117" s="117">
        <f>DailyMeanGH!F32</f>
        <v>337.94</v>
      </c>
      <c r="AH117">
        <v>4</v>
      </c>
      <c r="AI117">
        <v>22</v>
      </c>
      <c r="AJ117">
        <v>113</v>
      </c>
      <c r="AK117">
        <f>'HourGH-JUL'!AC34</f>
        <v>337.94</v>
      </c>
      <c r="AN117">
        <v>4</v>
      </c>
      <c r="AO117">
        <v>22</v>
      </c>
      <c r="AP117">
        <v>113</v>
      </c>
      <c r="AQ117">
        <f>'HourGH-JUL'!AE34</f>
        <v>337.93</v>
      </c>
      <c r="AT117">
        <v>4</v>
      </c>
      <c r="AU117">
        <v>22</v>
      </c>
      <c r="AV117">
        <v>113</v>
      </c>
      <c r="AW117" s="117">
        <f>Discharge!F32</f>
        <v>5</v>
      </c>
    </row>
    <row r="118" spans="28:49">
      <c r="AB118">
        <v>4</v>
      </c>
      <c r="AC118">
        <v>23</v>
      </c>
      <c r="AD118">
        <v>114</v>
      </c>
      <c r="AE118" s="117">
        <f>DailyMeanGH!F33</f>
        <v>337.96</v>
      </c>
      <c r="AH118">
        <v>4</v>
      </c>
      <c r="AI118">
        <v>23</v>
      </c>
      <c r="AJ118">
        <v>114</v>
      </c>
      <c r="AK118">
        <f>'HourGH-JUL'!AC35</f>
        <v>338.09000000000003</v>
      </c>
      <c r="AN118">
        <v>4</v>
      </c>
      <c r="AO118">
        <v>23</v>
      </c>
      <c r="AP118">
        <v>114</v>
      </c>
      <c r="AQ118">
        <f>'HourGH-JUL'!AE35</f>
        <v>337.92</v>
      </c>
      <c r="AT118">
        <v>4</v>
      </c>
      <c r="AU118">
        <v>23</v>
      </c>
      <c r="AV118">
        <v>114</v>
      </c>
      <c r="AW118" s="117">
        <f>Discharge!F33</f>
        <v>5.5</v>
      </c>
    </row>
    <row r="119" spans="28:49">
      <c r="AB119">
        <v>4</v>
      </c>
      <c r="AC119">
        <v>24</v>
      </c>
      <c r="AD119">
        <v>115</v>
      </c>
      <c r="AE119" s="117">
        <f>DailyMeanGH!F34</f>
        <v>338.18</v>
      </c>
      <c r="AH119">
        <v>4</v>
      </c>
      <c r="AI119">
        <v>24</v>
      </c>
      <c r="AJ119">
        <v>115</v>
      </c>
      <c r="AK119">
        <f>'HourGH-JUL'!AC36</f>
        <v>338.24</v>
      </c>
      <c r="AN119">
        <v>4</v>
      </c>
      <c r="AO119">
        <v>24</v>
      </c>
      <c r="AP119">
        <v>115</v>
      </c>
      <c r="AQ119">
        <f>'HourGH-JUL'!AE36</f>
        <v>338.1</v>
      </c>
      <c r="AT119">
        <v>4</v>
      </c>
      <c r="AU119">
        <v>24</v>
      </c>
      <c r="AV119">
        <v>115</v>
      </c>
      <c r="AW119" s="117">
        <f>Discharge!F34</f>
        <v>12.35</v>
      </c>
    </row>
    <row r="120" spans="28:49">
      <c r="AB120">
        <v>4</v>
      </c>
      <c r="AC120">
        <v>25</v>
      </c>
      <c r="AD120">
        <v>116</v>
      </c>
      <c r="AE120" s="117">
        <f>DailyMeanGH!F35</f>
        <v>338.06</v>
      </c>
      <c r="AH120">
        <v>4</v>
      </c>
      <c r="AI120">
        <v>25</v>
      </c>
      <c r="AJ120">
        <v>116</v>
      </c>
      <c r="AK120">
        <f>'HourGH-JUL'!AC37</f>
        <v>338.12</v>
      </c>
      <c r="AN120">
        <v>4</v>
      </c>
      <c r="AO120">
        <v>25</v>
      </c>
      <c r="AP120">
        <v>116</v>
      </c>
      <c r="AQ120">
        <f>'HourGH-JUL'!AE37</f>
        <v>338.03000000000003</v>
      </c>
      <c r="AT120">
        <v>4</v>
      </c>
      <c r="AU120">
        <v>25</v>
      </c>
      <c r="AV120">
        <v>116</v>
      </c>
      <c r="AW120" s="117">
        <f>Discharge!F35</f>
        <v>8.4499999999999993</v>
      </c>
    </row>
    <row r="121" spans="28:49">
      <c r="AB121">
        <v>4</v>
      </c>
      <c r="AC121">
        <v>26</v>
      </c>
      <c r="AD121">
        <v>117</v>
      </c>
      <c r="AE121" s="117">
        <f>DailyMeanGH!F36</f>
        <v>338.01</v>
      </c>
      <c r="AH121">
        <v>4</v>
      </c>
      <c r="AI121">
        <v>26</v>
      </c>
      <c r="AJ121">
        <v>117</v>
      </c>
      <c r="AK121">
        <f>'HourGH-JUL'!AC38</f>
        <v>338.02000000000004</v>
      </c>
      <c r="AN121">
        <v>4</v>
      </c>
      <c r="AO121">
        <v>26</v>
      </c>
      <c r="AP121">
        <v>117</v>
      </c>
      <c r="AQ121">
        <f>'HourGH-JUL'!AE38</f>
        <v>337.97</v>
      </c>
      <c r="AT121">
        <v>4</v>
      </c>
      <c r="AU121">
        <v>26</v>
      </c>
      <c r="AV121">
        <v>117</v>
      </c>
      <c r="AW121" s="117">
        <f>Discharge!F36</f>
        <v>6.82</v>
      </c>
    </row>
    <row r="122" spans="28:49">
      <c r="AB122">
        <v>4</v>
      </c>
      <c r="AC122">
        <v>27</v>
      </c>
      <c r="AD122">
        <v>118</v>
      </c>
      <c r="AE122" s="117">
        <f>DailyMeanGH!F37</f>
        <v>337.96</v>
      </c>
      <c r="AH122">
        <v>4</v>
      </c>
      <c r="AI122">
        <v>27</v>
      </c>
      <c r="AJ122">
        <v>118</v>
      </c>
      <c r="AK122">
        <f>'HourGH-JUL'!AC39</f>
        <v>337.97</v>
      </c>
      <c r="AN122">
        <v>4</v>
      </c>
      <c r="AO122">
        <v>27</v>
      </c>
      <c r="AP122">
        <v>118</v>
      </c>
      <c r="AQ122">
        <f>'HourGH-JUL'!AE39</f>
        <v>337.94</v>
      </c>
      <c r="AT122">
        <v>4</v>
      </c>
      <c r="AU122">
        <v>27</v>
      </c>
      <c r="AV122">
        <v>118</v>
      </c>
      <c r="AW122" s="117">
        <f>Discharge!F37</f>
        <v>5.5</v>
      </c>
    </row>
    <row r="123" spans="28:49">
      <c r="AB123">
        <v>4</v>
      </c>
      <c r="AC123">
        <v>28</v>
      </c>
      <c r="AD123">
        <v>119</v>
      </c>
      <c r="AE123" s="117">
        <f>DailyMeanGH!F38</f>
        <v>337.98</v>
      </c>
      <c r="AH123">
        <v>4</v>
      </c>
      <c r="AI123">
        <v>28</v>
      </c>
      <c r="AJ123">
        <v>119</v>
      </c>
      <c r="AK123">
        <f>'HourGH-JUL'!AC40</f>
        <v>337.99</v>
      </c>
      <c r="AN123">
        <v>4</v>
      </c>
      <c r="AO123">
        <v>28</v>
      </c>
      <c r="AP123">
        <v>119</v>
      </c>
      <c r="AQ123">
        <f>'HourGH-JUL'!AE40</f>
        <v>337.97</v>
      </c>
      <c r="AT123">
        <v>4</v>
      </c>
      <c r="AU123">
        <v>28</v>
      </c>
      <c r="AV123">
        <v>119</v>
      </c>
      <c r="AW123" s="117">
        <f>Discharge!F38</f>
        <v>6</v>
      </c>
    </row>
    <row r="124" spans="28:49">
      <c r="AB124">
        <v>4</v>
      </c>
      <c r="AC124">
        <v>29</v>
      </c>
      <c r="AD124">
        <v>120</v>
      </c>
      <c r="AE124" s="117">
        <f>DailyMeanGH!F39</f>
        <v>338.04</v>
      </c>
      <c r="AH124">
        <v>4</v>
      </c>
      <c r="AI124">
        <v>29</v>
      </c>
      <c r="AJ124">
        <v>120</v>
      </c>
      <c r="AK124">
        <f>'HourGH-JUL'!AC41</f>
        <v>338.09000000000003</v>
      </c>
      <c r="AN124">
        <v>4</v>
      </c>
      <c r="AO124">
        <v>29</v>
      </c>
      <c r="AP124">
        <v>120</v>
      </c>
      <c r="AQ124">
        <f>'HourGH-JUL'!AE41</f>
        <v>338</v>
      </c>
      <c r="AT124">
        <v>4</v>
      </c>
      <c r="AU124">
        <v>29</v>
      </c>
      <c r="AV124">
        <v>120</v>
      </c>
      <c r="AW124" s="117">
        <f>Discharge!F39</f>
        <v>7.8</v>
      </c>
    </row>
    <row r="125" spans="28:49">
      <c r="AB125">
        <v>4</v>
      </c>
      <c r="AC125">
        <v>30</v>
      </c>
      <c r="AD125">
        <v>121</v>
      </c>
      <c r="AE125" s="117">
        <f>DailyMeanGH!F40</f>
        <v>338.16</v>
      </c>
      <c r="AH125">
        <v>4</v>
      </c>
      <c r="AI125">
        <v>30</v>
      </c>
      <c r="AJ125">
        <v>121</v>
      </c>
      <c r="AK125">
        <f>'HourGH-JUL'!AC42</f>
        <v>338.19</v>
      </c>
      <c r="AN125">
        <v>4</v>
      </c>
      <c r="AO125">
        <v>30</v>
      </c>
      <c r="AP125">
        <v>121</v>
      </c>
      <c r="AQ125">
        <f>'HourGH-JUL'!AE42</f>
        <v>338.1</v>
      </c>
      <c r="AT125">
        <v>4</v>
      </c>
      <c r="AU125">
        <v>30</v>
      </c>
      <c r="AV125">
        <v>121</v>
      </c>
      <c r="AW125" s="117">
        <f>Discharge!F40</f>
        <v>11.7</v>
      </c>
    </row>
    <row r="126" spans="28:49">
      <c r="AB126">
        <v>4</v>
      </c>
      <c r="AC126">
        <v>31</v>
      </c>
      <c r="AD126">
        <v>122</v>
      </c>
      <c r="AE126" s="117">
        <f>DailyMeanGH!F41</f>
        <v>338.2</v>
      </c>
      <c r="AH126">
        <v>4</v>
      </c>
      <c r="AI126">
        <v>31</v>
      </c>
      <c r="AJ126">
        <v>122</v>
      </c>
      <c r="AK126">
        <f>'HourGH-JUL'!AC43</f>
        <v>338.20000000000005</v>
      </c>
      <c r="AN126">
        <v>4</v>
      </c>
      <c r="AO126">
        <v>31</v>
      </c>
      <c r="AP126">
        <v>122</v>
      </c>
      <c r="AQ126">
        <f>'HourGH-JUL'!AE43</f>
        <v>338.19</v>
      </c>
      <c r="AT126">
        <v>4</v>
      </c>
      <c r="AU126">
        <v>31</v>
      </c>
      <c r="AV126">
        <v>122</v>
      </c>
      <c r="AW126" s="117">
        <f>Discharge!F41</f>
        <v>13</v>
      </c>
    </row>
    <row r="127" spans="28:49">
      <c r="AB127">
        <v>5</v>
      </c>
      <c r="AC127">
        <v>1</v>
      </c>
      <c r="AD127">
        <v>123</v>
      </c>
      <c r="AE127" s="117">
        <f>DailyMeanGH!G9</f>
        <v>338.18</v>
      </c>
      <c r="AH127">
        <v>5</v>
      </c>
      <c r="AI127">
        <v>1</v>
      </c>
      <c r="AJ127">
        <v>123</v>
      </c>
      <c r="AK127">
        <f>'HourGH-AUG'!AC11</f>
        <v>338.18</v>
      </c>
      <c r="AN127">
        <v>5</v>
      </c>
      <c r="AO127">
        <v>1</v>
      </c>
      <c r="AP127">
        <v>123</v>
      </c>
      <c r="AQ127">
        <f>'HourGH-AUG'!AE11</f>
        <v>338.18</v>
      </c>
      <c r="AT127">
        <v>5</v>
      </c>
      <c r="AU127">
        <v>1</v>
      </c>
      <c r="AV127">
        <v>123</v>
      </c>
      <c r="AW127" s="117">
        <f>Discharge!G9</f>
        <v>12.35</v>
      </c>
    </row>
    <row r="128" spans="28:49">
      <c r="AB128">
        <v>5</v>
      </c>
      <c r="AC128">
        <v>2</v>
      </c>
      <c r="AD128">
        <v>124</v>
      </c>
      <c r="AE128" s="117">
        <f>DailyMeanGH!G10</f>
        <v>338.15</v>
      </c>
      <c r="AH128">
        <v>5</v>
      </c>
      <c r="AI128">
        <v>2</v>
      </c>
      <c r="AJ128">
        <v>124</v>
      </c>
      <c r="AK128">
        <f>'HourGH-AUG'!AC12</f>
        <v>338.18</v>
      </c>
      <c r="AN128">
        <v>5</v>
      </c>
      <c r="AO128">
        <v>2</v>
      </c>
      <c r="AP128">
        <v>124</v>
      </c>
      <c r="AQ128">
        <f>'HourGH-AUG'!AE12</f>
        <v>338.13</v>
      </c>
      <c r="AT128">
        <v>5</v>
      </c>
      <c r="AU128">
        <v>2</v>
      </c>
      <c r="AV128">
        <v>124</v>
      </c>
      <c r="AW128" s="117">
        <f>Discharge!G10</f>
        <v>11.37</v>
      </c>
    </row>
    <row r="129" spans="28:49">
      <c r="AB129">
        <v>5</v>
      </c>
      <c r="AC129">
        <v>3</v>
      </c>
      <c r="AD129">
        <v>125</v>
      </c>
      <c r="AE129" s="117">
        <f>DailyMeanGH!G11</f>
        <v>338.11</v>
      </c>
      <c r="AH129">
        <v>5</v>
      </c>
      <c r="AI129">
        <v>3</v>
      </c>
      <c r="AJ129">
        <v>125</v>
      </c>
      <c r="AK129">
        <f>'HourGH-AUG'!AC13</f>
        <v>338.12</v>
      </c>
      <c r="AN129">
        <v>5</v>
      </c>
      <c r="AO129">
        <v>3</v>
      </c>
      <c r="AP129">
        <v>125</v>
      </c>
      <c r="AQ129">
        <f>'HourGH-AUG'!AE13</f>
        <v>338.1</v>
      </c>
      <c r="AT129">
        <v>5</v>
      </c>
      <c r="AU129">
        <v>3</v>
      </c>
      <c r="AV129">
        <v>125</v>
      </c>
      <c r="AW129" s="117">
        <f>Discharge!G11</f>
        <v>10.08</v>
      </c>
    </row>
    <row r="130" spans="28:49">
      <c r="AB130">
        <v>5</v>
      </c>
      <c r="AC130">
        <v>4</v>
      </c>
      <c r="AD130">
        <v>126</v>
      </c>
      <c r="AE130" s="117">
        <f>DailyMeanGH!G12</f>
        <v>338.09</v>
      </c>
      <c r="AH130">
        <v>5</v>
      </c>
      <c r="AI130">
        <v>4</v>
      </c>
      <c r="AJ130">
        <v>126</v>
      </c>
      <c r="AK130">
        <f>'HourGH-AUG'!AC14</f>
        <v>338.09000000000003</v>
      </c>
      <c r="AN130">
        <v>5</v>
      </c>
      <c r="AO130">
        <v>4</v>
      </c>
      <c r="AP130">
        <v>126</v>
      </c>
      <c r="AQ130">
        <f>'HourGH-AUG'!AE14</f>
        <v>338.09000000000003</v>
      </c>
      <c r="AT130">
        <v>5</v>
      </c>
      <c r="AU130">
        <v>4</v>
      </c>
      <c r="AV130">
        <v>126</v>
      </c>
      <c r="AW130" s="117">
        <f>Discharge!G12</f>
        <v>9.42</v>
      </c>
    </row>
    <row r="131" spans="28:49">
      <c r="AB131">
        <v>5</v>
      </c>
      <c r="AC131">
        <v>5</v>
      </c>
      <c r="AD131">
        <v>127</v>
      </c>
      <c r="AE131" s="117">
        <f>DailyMeanGH!G13</f>
        <v>338.12</v>
      </c>
      <c r="AH131">
        <v>5</v>
      </c>
      <c r="AI131">
        <v>5</v>
      </c>
      <c r="AJ131">
        <v>127</v>
      </c>
      <c r="AK131">
        <f>'HourGH-AUG'!AC15</f>
        <v>338.21000000000004</v>
      </c>
      <c r="AN131">
        <v>5</v>
      </c>
      <c r="AO131">
        <v>5</v>
      </c>
      <c r="AP131">
        <v>127</v>
      </c>
      <c r="AQ131">
        <f>'HourGH-AUG'!AE15</f>
        <v>338.08000000000004</v>
      </c>
      <c r="AT131">
        <v>5</v>
      </c>
      <c r="AU131">
        <v>5</v>
      </c>
      <c r="AV131">
        <v>127</v>
      </c>
      <c r="AW131" s="117">
        <f>Discharge!G13</f>
        <v>10.4</v>
      </c>
    </row>
    <row r="132" spans="28:49">
      <c r="AB132">
        <v>5</v>
      </c>
      <c r="AC132">
        <v>6</v>
      </c>
      <c r="AD132">
        <v>128</v>
      </c>
      <c r="AE132" s="117">
        <f>DailyMeanGH!G14</f>
        <v>338.26</v>
      </c>
      <c r="AH132">
        <v>5</v>
      </c>
      <c r="AI132">
        <v>6</v>
      </c>
      <c r="AJ132">
        <v>128</v>
      </c>
      <c r="AK132">
        <f>'HourGH-AUG'!AC16</f>
        <v>338.3</v>
      </c>
      <c r="AN132">
        <v>5</v>
      </c>
      <c r="AO132">
        <v>6</v>
      </c>
      <c r="AP132">
        <v>128</v>
      </c>
      <c r="AQ132">
        <f>'HourGH-AUG'!AE16</f>
        <v>338.20000000000005</v>
      </c>
      <c r="AT132">
        <v>5</v>
      </c>
      <c r="AU132">
        <v>6</v>
      </c>
      <c r="AV132">
        <v>128</v>
      </c>
      <c r="AW132" s="117">
        <f>Discharge!G14</f>
        <v>15.7</v>
      </c>
    </row>
    <row r="133" spans="28:49">
      <c r="AB133">
        <v>5</v>
      </c>
      <c r="AC133">
        <v>7</v>
      </c>
      <c r="AD133">
        <v>129</v>
      </c>
      <c r="AE133" s="117">
        <f>DailyMeanGH!G15</f>
        <v>338.18</v>
      </c>
      <c r="AH133">
        <v>5</v>
      </c>
      <c r="AI133">
        <v>7</v>
      </c>
      <c r="AJ133">
        <v>129</v>
      </c>
      <c r="AK133">
        <f>'HourGH-AUG'!AC17</f>
        <v>338.20000000000005</v>
      </c>
      <c r="AN133">
        <v>5</v>
      </c>
      <c r="AO133">
        <v>7</v>
      </c>
      <c r="AP133">
        <v>129</v>
      </c>
      <c r="AQ133">
        <f>'HourGH-AUG'!AE17</f>
        <v>338.16</v>
      </c>
      <c r="AT133">
        <v>5</v>
      </c>
      <c r="AU133">
        <v>7</v>
      </c>
      <c r="AV133">
        <v>129</v>
      </c>
      <c r="AW133" s="117">
        <f>Discharge!G15</f>
        <v>12.35</v>
      </c>
    </row>
    <row r="134" spans="28:49">
      <c r="AB134">
        <v>5</v>
      </c>
      <c r="AC134">
        <v>8</v>
      </c>
      <c r="AD134">
        <v>130</v>
      </c>
      <c r="AE134" s="117">
        <f>DailyMeanGH!G16</f>
        <v>338.17</v>
      </c>
      <c r="AH134">
        <v>5</v>
      </c>
      <c r="AI134">
        <v>8</v>
      </c>
      <c r="AJ134">
        <v>130</v>
      </c>
      <c r="AK134">
        <f>'HourGH-AUG'!AC18</f>
        <v>338.20000000000005</v>
      </c>
      <c r="AN134">
        <v>5</v>
      </c>
      <c r="AO134">
        <v>8</v>
      </c>
      <c r="AP134">
        <v>130</v>
      </c>
      <c r="AQ134">
        <f>'HourGH-AUG'!AE18</f>
        <v>338.16</v>
      </c>
      <c r="AT134">
        <v>5</v>
      </c>
      <c r="AU134">
        <v>8</v>
      </c>
      <c r="AV134">
        <v>130</v>
      </c>
      <c r="AW134" s="117">
        <f>Discharge!G16</f>
        <v>12.03</v>
      </c>
    </row>
    <row r="135" spans="28:49">
      <c r="AB135">
        <v>5</v>
      </c>
      <c r="AC135">
        <v>9</v>
      </c>
      <c r="AD135">
        <v>131</v>
      </c>
      <c r="AE135" s="117">
        <f>DailyMeanGH!G17</f>
        <v>338.44</v>
      </c>
      <c r="AH135">
        <v>5</v>
      </c>
      <c r="AI135">
        <v>9</v>
      </c>
      <c r="AJ135">
        <v>131</v>
      </c>
      <c r="AK135">
        <f>'HourGH-AUG'!AC19</f>
        <v>338.88</v>
      </c>
      <c r="AN135">
        <v>5</v>
      </c>
      <c r="AO135">
        <v>9</v>
      </c>
      <c r="AP135">
        <v>131</v>
      </c>
      <c r="AQ135">
        <f>'HourGH-AUG'!AE19</f>
        <v>338.21000000000004</v>
      </c>
      <c r="AT135">
        <v>5</v>
      </c>
      <c r="AU135">
        <v>9</v>
      </c>
      <c r="AV135">
        <v>131</v>
      </c>
      <c r="AW135" s="117">
        <f>Discharge!G17</f>
        <v>24</v>
      </c>
    </row>
    <row r="136" spans="28:49">
      <c r="AB136">
        <v>5</v>
      </c>
      <c r="AC136">
        <v>10</v>
      </c>
      <c r="AD136">
        <v>132</v>
      </c>
      <c r="AE136" s="117">
        <f>DailyMeanGH!G18</f>
        <v>339.68</v>
      </c>
      <c r="AH136">
        <v>5</v>
      </c>
      <c r="AI136">
        <v>10</v>
      </c>
      <c r="AJ136">
        <v>132</v>
      </c>
      <c r="AK136">
        <f>'HourGH-AUG'!AC20</f>
        <v>340.12</v>
      </c>
      <c r="AN136">
        <v>5</v>
      </c>
      <c r="AO136">
        <v>10</v>
      </c>
      <c r="AP136">
        <v>132</v>
      </c>
      <c r="AQ136">
        <f>'HourGH-AUG'!AE20</f>
        <v>338.96000000000004</v>
      </c>
      <c r="AT136">
        <v>5</v>
      </c>
      <c r="AU136">
        <v>10</v>
      </c>
      <c r="AV136">
        <v>132</v>
      </c>
      <c r="AW136" s="117">
        <f>Discharge!G18</f>
        <v>98.1</v>
      </c>
    </row>
    <row r="137" spans="28:49">
      <c r="AB137">
        <v>5</v>
      </c>
      <c r="AC137">
        <v>11</v>
      </c>
      <c r="AD137">
        <v>133</v>
      </c>
      <c r="AE137" s="117">
        <f>DailyMeanGH!G20</f>
        <v>340.05</v>
      </c>
      <c r="AH137">
        <v>5</v>
      </c>
      <c r="AI137">
        <v>11</v>
      </c>
      <c r="AJ137">
        <v>133</v>
      </c>
      <c r="AK137">
        <f>'HourGH-AUG'!AC22</f>
        <v>340.14000000000004</v>
      </c>
      <c r="AN137">
        <v>5</v>
      </c>
      <c r="AO137">
        <v>11</v>
      </c>
      <c r="AP137">
        <v>133</v>
      </c>
      <c r="AQ137">
        <f>'HourGH-AUG'!AE22</f>
        <v>339.81</v>
      </c>
      <c r="AT137">
        <v>5</v>
      </c>
      <c r="AU137">
        <v>11</v>
      </c>
      <c r="AV137">
        <v>133</v>
      </c>
      <c r="AW137" s="117">
        <f>Discharge!G20</f>
        <v>124</v>
      </c>
    </row>
    <row r="138" spans="28:49">
      <c r="AB138">
        <v>5</v>
      </c>
      <c r="AC138">
        <v>12</v>
      </c>
      <c r="AD138">
        <v>134</v>
      </c>
      <c r="AE138" s="117">
        <f>DailyMeanGH!G21</f>
        <v>339.58</v>
      </c>
      <c r="AH138">
        <v>5</v>
      </c>
      <c r="AI138">
        <v>12</v>
      </c>
      <c r="AJ138">
        <v>134</v>
      </c>
      <c r="AK138">
        <f>'HourGH-AUG'!AC23</f>
        <v>339.79</v>
      </c>
      <c r="AN138">
        <v>5</v>
      </c>
      <c r="AO138">
        <v>12</v>
      </c>
      <c r="AP138">
        <v>134</v>
      </c>
      <c r="AQ138">
        <f>'HourGH-AUG'!AE23</f>
        <v>339.37</v>
      </c>
      <c r="AT138">
        <v>5</v>
      </c>
      <c r="AU138">
        <v>12</v>
      </c>
      <c r="AV138">
        <v>134</v>
      </c>
      <c r="AW138" s="117">
        <f>Discharge!G21</f>
        <v>91.15</v>
      </c>
    </row>
    <row r="139" spans="28:49">
      <c r="AB139">
        <v>5</v>
      </c>
      <c r="AC139">
        <v>13</v>
      </c>
      <c r="AD139">
        <v>135</v>
      </c>
      <c r="AE139" s="117">
        <f>DailyMeanGH!G22</f>
        <v>339.06</v>
      </c>
      <c r="AH139">
        <v>5</v>
      </c>
      <c r="AI139">
        <v>13</v>
      </c>
      <c r="AJ139">
        <v>135</v>
      </c>
      <c r="AK139">
        <f>'HourGH-AUG'!AC24</f>
        <v>339.35</v>
      </c>
      <c r="AN139">
        <v>5</v>
      </c>
      <c r="AO139">
        <v>13</v>
      </c>
      <c r="AP139">
        <v>135</v>
      </c>
      <c r="AQ139">
        <f>'HourGH-AUG'!AE24</f>
        <v>338.8</v>
      </c>
      <c r="AT139">
        <v>5</v>
      </c>
      <c r="AU139">
        <v>13</v>
      </c>
      <c r="AV139">
        <v>135</v>
      </c>
      <c r="AW139" s="117">
        <f>Discharge!G22</f>
        <v>57.25</v>
      </c>
    </row>
    <row r="140" spans="28:49">
      <c r="AB140">
        <v>5</v>
      </c>
      <c r="AC140">
        <v>14</v>
      </c>
      <c r="AD140">
        <v>136</v>
      </c>
      <c r="AE140" s="117">
        <f>DailyMeanGH!G23</f>
        <v>338.65</v>
      </c>
      <c r="AH140">
        <v>5</v>
      </c>
      <c r="AI140">
        <v>14</v>
      </c>
      <c r="AJ140">
        <v>136</v>
      </c>
      <c r="AK140">
        <f>'HourGH-AUG'!AC25</f>
        <v>338.78000000000003</v>
      </c>
      <c r="AN140">
        <v>5</v>
      </c>
      <c r="AO140">
        <v>14</v>
      </c>
      <c r="AP140">
        <v>136</v>
      </c>
      <c r="AQ140">
        <f>'HourGH-AUG'!AE25</f>
        <v>338.58000000000004</v>
      </c>
      <c r="AT140">
        <v>5</v>
      </c>
      <c r="AU140">
        <v>14</v>
      </c>
      <c r="AV140">
        <v>136</v>
      </c>
      <c r="AW140" s="117">
        <f>Discharge!G23</f>
        <v>34.5</v>
      </c>
    </row>
    <row r="141" spans="28:49">
      <c r="AB141">
        <v>5</v>
      </c>
      <c r="AC141">
        <v>15</v>
      </c>
      <c r="AD141">
        <v>137</v>
      </c>
      <c r="AE141" s="117">
        <f>DailyMeanGH!G24</f>
        <v>338.7</v>
      </c>
      <c r="AH141">
        <v>5</v>
      </c>
      <c r="AI141">
        <v>15</v>
      </c>
      <c r="AJ141">
        <v>137</v>
      </c>
      <c r="AK141">
        <f>'HourGH-AUG'!AC26</f>
        <v>338.76000000000005</v>
      </c>
      <c r="AN141">
        <v>5</v>
      </c>
      <c r="AO141">
        <v>15</v>
      </c>
      <c r="AP141">
        <v>137</v>
      </c>
      <c r="AQ141">
        <f>'HourGH-AUG'!AE26</f>
        <v>338.6</v>
      </c>
      <c r="AT141">
        <v>5</v>
      </c>
      <c r="AU141">
        <v>15</v>
      </c>
      <c r="AV141">
        <v>137</v>
      </c>
      <c r="AW141" s="117">
        <f>Discharge!G24</f>
        <v>37</v>
      </c>
    </row>
    <row r="142" spans="28:49">
      <c r="AB142">
        <v>5</v>
      </c>
      <c r="AC142">
        <v>16</v>
      </c>
      <c r="AD142">
        <v>138</v>
      </c>
      <c r="AE142" s="117">
        <f>DailyMeanGH!G25</f>
        <v>338.53</v>
      </c>
      <c r="AH142">
        <v>5</v>
      </c>
      <c r="AI142">
        <v>16</v>
      </c>
      <c r="AJ142">
        <v>138</v>
      </c>
      <c r="AK142">
        <f>'HourGH-AUG'!AC27</f>
        <v>338.65000000000003</v>
      </c>
      <c r="AN142">
        <v>5</v>
      </c>
      <c r="AO142">
        <v>16</v>
      </c>
      <c r="AP142">
        <v>138</v>
      </c>
      <c r="AQ142">
        <f>'HourGH-AUG'!AE27</f>
        <v>338.47</v>
      </c>
      <c r="AT142">
        <v>5</v>
      </c>
      <c r="AU142">
        <v>16</v>
      </c>
      <c r="AV142">
        <v>138</v>
      </c>
      <c r="AW142" s="117">
        <f>Discharge!G25</f>
        <v>28.5</v>
      </c>
    </row>
    <row r="143" spans="28:49">
      <c r="AB143">
        <v>5</v>
      </c>
      <c r="AC143">
        <v>17</v>
      </c>
      <c r="AD143">
        <v>139</v>
      </c>
      <c r="AE143" s="117">
        <f>DailyMeanGH!G26</f>
        <v>338.41</v>
      </c>
      <c r="AH143">
        <v>5</v>
      </c>
      <c r="AI143">
        <v>17</v>
      </c>
      <c r="AJ143">
        <v>139</v>
      </c>
      <c r="AK143">
        <f>'HourGH-AUG'!AC28</f>
        <v>338.46000000000004</v>
      </c>
      <c r="AN143">
        <v>5</v>
      </c>
      <c r="AO143">
        <v>17</v>
      </c>
      <c r="AP143">
        <v>139</v>
      </c>
      <c r="AQ143">
        <f>'HourGH-AUG'!AE28</f>
        <v>338.33000000000004</v>
      </c>
      <c r="AT143">
        <v>5</v>
      </c>
      <c r="AU143">
        <v>17</v>
      </c>
      <c r="AV143">
        <v>139</v>
      </c>
      <c r="AW143" s="117">
        <f>Discharge!G26</f>
        <v>22.5</v>
      </c>
    </row>
    <row r="144" spans="28:49">
      <c r="AB144">
        <v>5</v>
      </c>
      <c r="AC144">
        <v>18</v>
      </c>
      <c r="AD144">
        <v>140</v>
      </c>
      <c r="AE144" s="117">
        <f>DailyMeanGH!G27</f>
        <v>338.27</v>
      </c>
      <c r="AH144">
        <v>5</v>
      </c>
      <c r="AI144">
        <v>18</v>
      </c>
      <c r="AJ144">
        <v>140</v>
      </c>
      <c r="AK144">
        <f>'HourGH-AUG'!AC29</f>
        <v>338.33000000000004</v>
      </c>
      <c r="AN144">
        <v>5</v>
      </c>
      <c r="AO144">
        <v>18</v>
      </c>
      <c r="AP144">
        <v>140</v>
      </c>
      <c r="AQ144">
        <f>'HourGH-AUG'!AE29</f>
        <v>338.23</v>
      </c>
      <c r="AT144">
        <v>5</v>
      </c>
      <c r="AU144">
        <v>18</v>
      </c>
      <c r="AV144">
        <v>140</v>
      </c>
      <c r="AW144" s="117">
        <f>Discharge!G27</f>
        <v>16.149999999999999</v>
      </c>
    </row>
    <row r="145" spans="28:54">
      <c r="AB145">
        <v>5</v>
      </c>
      <c r="AC145">
        <v>19</v>
      </c>
      <c r="AD145">
        <v>141</v>
      </c>
      <c r="AE145" s="117">
        <f>DailyMeanGH!G28</f>
        <v>338.22</v>
      </c>
      <c r="AH145">
        <v>5</v>
      </c>
      <c r="AI145">
        <v>19</v>
      </c>
      <c r="AJ145">
        <v>141</v>
      </c>
      <c r="AK145">
        <f>'HourGH-AUG'!AC30</f>
        <v>338.23</v>
      </c>
      <c r="AN145">
        <v>5</v>
      </c>
      <c r="AO145">
        <v>19</v>
      </c>
      <c r="AP145">
        <v>141</v>
      </c>
      <c r="AQ145">
        <f>'HourGH-AUG'!AE30</f>
        <v>338.22</v>
      </c>
      <c r="AT145">
        <v>5</v>
      </c>
      <c r="AU145">
        <v>19</v>
      </c>
      <c r="AV145">
        <v>141</v>
      </c>
      <c r="AW145" s="117">
        <f>Discharge!G28</f>
        <v>13.9</v>
      </c>
    </row>
    <row r="146" spans="28:54">
      <c r="AB146">
        <v>5</v>
      </c>
      <c r="AC146">
        <v>20</v>
      </c>
      <c r="AD146">
        <v>142</v>
      </c>
      <c r="AE146" s="117">
        <f>DailyMeanGH!G29</f>
        <v>338.21</v>
      </c>
      <c r="AH146">
        <v>5</v>
      </c>
      <c r="AI146">
        <v>20</v>
      </c>
      <c r="AJ146">
        <v>142</v>
      </c>
      <c r="AK146">
        <f>'HourGH-AUG'!AC31</f>
        <v>338.21000000000004</v>
      </c>
      <c r="AN146">
        <v>5</v>
      </c>
      <c r="AO146">
        <v>20</v>
      </c>
      <c r="AP146">
        <v>142</v>
      </c>
      <c r="AQ146">
        <f>'HourGH-AUG'!AE31</f>
        <v>338.21000000000004</v>
      </c>
      <c r="AT146">
        <v>5</v>
      </c>
      <c r="AU146">
        <v>20</v>
      </c>
      <c r="AV146">
        <v>142</v>
      </c>
      <c r="AW146" s="117">
        <f>Discharge!G29</f>
        <v>13.45</v>
      </c>
    </row>
    <row r="147" spans="28:54">
      <c r="AB147">
        <v>5</v>
      </c>
      <c r="AC147">
        <v>21</v>
      </c>
      <c r="AD147">
        <v>143</v>
      </c>
      <c r="AE147" s="117">
        <f>DailyMeanGH!G31</f>
        <v>338.21</v>
      </c>
      <c r="AH147">
        <v>5</v>
      </c>
      <c r="AI147">
        <v>21</v>
      </c>
      <c r="AJ147">
        <v>143</v>
      </c>
      <c r="AK147">
        <f>'HourGH-AUG'!AC33</f>
        <v>338.23</v>
      </c>
      <c r="AN147">
        <v>5</v>
      </c>
      <c r="AO147">
        <v>21</v>
      </c>
      <c r="AP147">
        <v>143</v>
      </c>
      <c r="AQ147">
        <f>'HourGH-AUG'!AE33</f>
        <v>338.20000000000005</v>
      </c>
      <c r="AT147">
        <v>5</v>
      </c>
      <c r="AU147">
        <v>21</v>
      </c>
      <c r="AV147">
        <v>143</v>
      </c>
      <c r="AW147" s="117">
        <f>Discharge!G31</f>
        <v>13.45</v>
      </c>
    </row>
    <row r="148" spans="28:54">
      <c r="AB148">
        <v>5</v>
      </c>
      <c r="AC148">
        <v>22</v>
      </c>
      <c r="AD148">
        <v>144</v>
      </c>
      <c r="AE148" s="117">
        <f>DailyMeanGH!G32</f>
        <v>338.31</v>
      </c>
      <c r="AH148">
        <v>5</v>
      </c>
      <c r="AI148">
        <v>22</v>
      </c>
      <c r="AJ148">
        <v>144</v>
      </c>
      <c r="AK148">
        <f>'HourGH-AUG'!AC34</f>
        <v>338.42</v>
      </c>
      <c r="AN148">
        <v>5</v>
      </c>
      <c r="AO148">
        <v>22</v>
      </c>
      <c r="AP148">
        <v>144</v>
      </c>
      <c r="AQ148">
        <f>'HourGH-AUG'!AE34</f>
        <v>338.24</v>
      </c>
      <c r="AT148">
        <v>5</v>
      </c>
      <c r="AU148">
        <v>22</v>
      </c>
      <c r="AV148">
        <v>144</v>
      </c>
      <c r="AW148" s="117">
        <f>Discharge!G32</f>
        <v>17.95</v>
      </c>
    </row>
    <row r="149" spans="28:54">
      <c r="AB149">
        <v>5</v>
      </c>
      <c r="AC149">
        <v>23</v>
      </c>
      <c r="AD149">
        <v>145</v>
      </c>
      <c r="AE149" s="117">
        <f>DailyMeanGH!G33</f>
        <v>338.58</v>
      </c>
      <c r="AH149">
        <v>5</v>
      </c>
      <c r="AI149">
        <v>23</v>
      </c>
      <c r="AJ149">
        <v>145</v>
      </c>
      <c r="AK149">
        <f>'HourGH-AUG'!AC35</f>
        <v>338.70000000000005</v>
      </c>
      <c r="AN149">
        <v>5</v>
      </c>
      <c r="AO149">
        <v>23</v>
      </c>
      <c r="AP149">
        <v>145</v>
      </c>
      <c r="AQ149">
        <f>'HourGH-AUG'!AE35</f>
        <v>338.43</v>
      </c>
      <c r="AT149">
        <v>5</v>
      </c>
      <c r="AU149">
        <v>23</v>
      </c>
      <c r="AV149">
        <v>145</v>
      </c>
      <c r="AW149" s="117">
        <f>Discharge!G33</f>
        <v>31</v>
      </c>
    </row>
    <row r="150" spans="28:54">
      <c r="AB150">
        <v>5</v>
      </c>
      <c r="AC150">
        <v>24</v>
      </c>
      <c r="AD150">
        <v>146</v>
      </c>
      <c r="AE150" s="117">
        <f>DailyMeanGH!G34</f>
        <v>338.55</v>
      </c>
      <c r="AH150">
        <v>5</v>
      </c>
      <c r="AI150">
        <v>24</v>
      </c>
      <c r="AJ150">
        <v>146</v>
      </c>
      <c r="AK150">
        <f>'HourGH-AUG'!AC36</f>
        <v>338.70000000000005</v>
      </c>
      <c r="AN150">
        <v>5</v>
      </c>
      <c r="AO150">
        <v>24</v>
      </c>
      <c r="AP150">
        <v>146</v>
      </c>
      <c r="AQ150">
        <f>'HourGH-AUG'!AE36</f>
        <v>338.41</v>
      </c>
      <c r="AT150">
        <v>5</v>
      </c>
      <c r="AU150">
        <v>24</v>
      </c>
      <c r="AV150">
        <v>146</v>
      </c>
      <c r="AW150" s="117">
        <f>Discharge!G34</f>
        <v>29.5</v>
      </c>
    </row>
    <row r="151" spans="28:54">
      <c r="AB151">
        <v>5</v>
      </c>
      <c r="AC151">
        <v>25</v>
      </c>
      <c r="AD151">
        <v>147</v>
      </c>
      <c r="AE151" s="117">
        <f>DailyMeanGH!G35</f>
        <v>338.35</v>
      </c>
      <c r="AH151">
        <v>5</v>
      </c>
      <c r="AI151">
        <v>25</v>
      </c>
      <c r="AJ151">
        <v>147</v>
      </c>
      <c r="AK151">
        <f>'HourGH-AUG'!AC37</f>
        <v>338.40000000000003</v>
      </c>
      <c r="AN151">
        <v>5</v>
      </c>
      <c r="AO151">
        <v>25</v>
      </c>
      <c r="AP151">
        <v>147</v>
      </c>
      <c r="AQ151">
        <f>'HourGH-AUG'!AE37</f>
        <v>338.33000000000004</v>
      </c>
      <c r="AT151">
        <v>5</v>
      </c>
      <c r="AU151">
        <v>25</v>
      </c>
      <c r="AV151">
        <v>147</v>
      </c>
      <c r="AW151" s="117">
        <f>Discharge!G35</f>
        <v>19.75</v>
      </c>
    </row>
    <row r="152" spans="28:54">
      <c r="AB152">
        <v>5</v>
      </c>
      <c r="AC152">
        <v>26</v>
      </c>
      <c r="AD152">
        <v>148</v>
      </c>
      <c r="AE152" s="117">
        <f>DailyMeanGH!G36</f>
        <v>338.31</v>
      </c>
      <c r="AH152">
        <v>5</v>
      </c>
      <c r="AI152">
        <v>26</v>
      </c>
      <c r="AJ152">
        <v>148</v>
      </c>
      <c r="AK152">
        <f>'HourGH-AUG'!AC38</f>
        <v>338.32000000000005</v>
      </c>
      <c r="AN152">
        <v>5</v>
      </c>
      <c r="AO152">
        <v>26</v>
      </c>
      <c r="AP152">
        <v>148</v>
      </c>
      <c r="AQ152">
        <f>'HourGH-AUG'!AE38</f>
        <v>338.29</v>
      </c>
      <c r="AT152">
        <v>5</v>
      </c>
      <c r="AU152">
        <v>26</v>
      </c>
      <c r="AV152">
        <v>148</v>
      </c>
      <c r="AW152" s="117">
        <f>Discharge!G36</f>
        <v>17.95</v>
      </c>
    </row>
    <row r="153" spans="28:54">
      <c r="AB153">
        <v>5</v>
      </c>
      <c r="AC153">
        <v>27</v>
      </c>
      <c r="AD153">
        <v>149</v>
      </c>
      <c r="AE153" s="117">
        <f>DailyMeanGH!G37</f>
        <v>338.27</v>
      </c>
      <c r="AH153">
        <v>5</v>
      </c>
      <c r="AI153">
        <v>27</v>
      </c>
      <c r="AJ153">
        <v>149</v>
      </c>
      <c r="AK153">
        <f>'HourGH-AUG'!AC39</f>
        <v>338.28000000000003</v>
      </c>
      <c r="AN153">
        <v>5</v>
      </c>
      <c r="AO153">
        <v>27</v>
      </c>
      <c r="AP153">
        <v>149</v>
      </c>
      <c r="AQ153">
        <f>'HourGH-AUG'!AE39</f>
        <v>338.25</v>
      </c>
      <c r="AT153">
        <v>5</v>
      </c>
      <c r="AU153">
        <v>27</v>
      </c>
      <c r="AV153">
        <v>149</v>
      </c>
      <c r="AW153" s="117">
        <f>Discharge!G37</f>
        <v>16.149999999999999</v>
      </c>
      <c r="BA153" t="s">
        <v>277</v>
      </c>
      <c r="BB153" t="s">
        <v>276</v>
      </c>
    </row>
    <row r="154" spans="28:54">
      <c r="AB154">
        <v>5</v>
      </c>
      <c r="AC154">
        <v>28</v>
      </c>
      <c r="AD154">
        <v>150</v>
      </c>
      <c r="AE154" s="117">
        <f>DailyMeanGH!G38</f>
        <v>338.23</v>
      </c>
      <c r="AH154">
        <v>5</v>
      </c>
      <c r="AI154">
        <v>28</v>
      </c>
      <c r="AJ154">
        <v>150</v>
      </c>
      <c r="AK154">
        <f>'HourGH-AUG'!AC40</f>
        <v>338.24</v>
      </c>
      <c r="AN154">
        <v>5</v>
      </c>
      <c r="AO154">
        <v>28</v>
      </c>
      <c r="AP154">
        <v>150</v>
      </c>
      <c r="AQ154">
        <f>'HourGH-AUG'!AE40</f>
        <v>338.21000000000004</v>
      </c>
      <c r="AT154">
        <v>5</v>
      </c>
      <c r="AU154">
        <v>28</v>
      </c>
      <c r="AV154">
        <v>150</v>
      </c>
      <c r="AW154" s="117">
        <f>Discharge!G38</f>
        <v>14.35</v>
      </c>
      <c r="BA154">
        <f>IF(COUNT(AQ5:AQ370)=0,"",MIN(AQ5:AQ370))</f>
        <v>337.73</v>
      </c>
      <c r="BB154">
        <f>IF(COUNT(AK5:AK370)=0,"",MAX(AK5:AK370))</f>
        <v>340.23</v>
      </c>
    </row>
    <row r="155" spans="28:54">
      <c r="AB155">
        <v>5</v>
      </c>
      <c r="AC155">
        <v>29</v>
      </c>
      <c r="AD155">
        <v>151</v>
      </c>
      <c r="AE155" s="117">
        <f>DailyMeanGH!G39</f>
        <v>338.18</v>
      </c>
      <c r="AH155">
        <v>5</v>
      </c>
      <c r="AI155">
        <v>29</v>
      </c>
      <c r="AJ155">
        <v>151</v>
      </c>
      <c r="AK155">
        <f>'HourGH-AUG'!AC41</f>
        <v>338.20000000000005</v>
      </c>
      <c r="AN155">
        <v>5</v>
      </c>
      <c r="AO155">
        <v>29</v>
      </c>
      <c r="AP155">
        <v>151</v>
      </c>
      <c r="AQ155">
        <f>'HourGH-AUG'!AE41</f>
        <v>338.16</v>
      </c>
      <c r="AT155">
        <v>5</v>
      </c>
      <c r="AU155">
        <v>29</v>
      </c>
      <c r="AV155">
        <v>151</v>
      </c>
      <c r="AW155" s="117">
        <f>Discharge!G39</f>
        <v>12.35</v>
      </c>
    </row>
    <row r="156" spans="28:54">
      <c r="AB156">
        <v>5</v>
      </c>
      <c r="AC156">
        <v>30</v>
      </c>
      <c r="AD156">
        <v>152</v>
      </c>
      <c r="AE156" s="117">
        <f>DailyMeanGH!G40</f>
        <v>338.15</v>
      </c>
      <c r="AH156">
        <v>5</v>
      </c>
      <c r="AI156">
        <v>30</v>
      </c>
      <c r="AJ156">
        <v>152</v>
      </c>
      <c r="AK156">
        <f>'HourGH-AUG'!AC42</f>
        <v>338.16</v>
      </c>
      <c r="AN156">
        <v>5</v>
      </c>
      <c r="AO156">
        <v>30</v>
      </c>
      <c r="AP156">
        <v>152</v>
      </c>
      <c r="AQ156">
        <f>'HourGH-AUG'!AE42</f>
        <v>338.14000000000004</v>
      </c>
      <c r="AT156">
        <v>5</v>
      </c>
      <c r="AU156">
        <v>30</v>
      </c>
      <c r="AV156">
        <v>152</v>
      </c>
      <c r="AW156" s="117">
        <f>Discharge!G40</f>
        <v>11.37</v>
      </c>
    </row>
    <row r="157" spans="28:54">
      <c r="AB157">
        <v>5</v>
      </c>
      <c r="AC157">
        <v>31</v>
      </c>
      <c r="AD157">
        <v>153</v>
      </c>
      <c r="AE157" s="117">
        <f>DailyMeanGH!G41</f>
        <v>338.21</v>
      </c>
      <c r="AH157">
        <v>5</v>
      </c>
      <c r="AI157">
        <v>31</v>
      </c>
      <c r="AJ157">
        <v>153</v>
      </c>
      <c r="AK157">
        <f>'HourGH-AUG'!AC43</f>
        <v>338.44</v>
      </c>
      <c r="AN157">
        <v>5</v>
      </c>
      <c r="AO157">
        <v>31</v>
      </c>
      <c r="AP157">
        <v>153</v>
      </c>
      <c r="AQ157">
        <f>'HourGH-AUG'!AE43</f>
        <v>338.14000000000004</v>
      </c>
      <c r="AT157">
        <v>5</v>
      </c>
      <c r="AU157">
        <v>31</v>
      </c>
      <c r="AV157">
        <v>153</v>
      </c>
      <c r="AW157" s="117">
        <f>Discharge!G41</f>
        <v>13.45</v>
      </c>
    </row>
    <row r="158" spans="28:54">
      <c r="AB158">
        <v>6</v>
      </c>
      <c r="AC158">
        <v>1</v>
      </c>
      <c r="AD158">
        <v>154</v>
      </c>
      <c r="AE158" s="117">
        <f>DailyMeanGH!H9</f>
        <v>338.89</v>
      </c>
      <c r="AH158">
        <v>6</v>
      </c>
      <c r="AI158">
        <v>1</v>
      </c>
      <c r="AJ158">
        <v>154</v>
      </c>
      <c r="AK158">
        <f>'HourGH-SEP'!AC11</f>
        <v>339.06</v>
      </c>
      <c r="AN158">
        <v>6</v>
      </c>
      <c r="AO158">
        <v>1</v>
      </c>
      <c r="AP158">
        <v>154</v>
      </c>
      <c r="AQ158">
        <f>'HourGH-SEP'!AE11</f>
        <v>338.49</v>
      </c>
      <c r="AT158">
        <v>6</v>
      </c>
      <c r="AU158">
        <v>1</v>
      </c>
      <c r="AV158">
        <v>154</v>
      </c>
      <c r="AW158" s="117">
        <f>Discharge!H9</f>
        <v>47.17</v>
      </c>
    </row>
    <row r="159" spans="28:54">
      <c r="AB159">
        <v>6</v>
      </c>
      <c r="AC159">
        <v>2</v>
      </c>
      <c r="AD159">
        <v>155</v>
      </c>
      <c r="AE159" s="117">
        <f>DailyMeanGH!H10</f>
        <v>338.76</v>
      </c>
      <c r="AH159">
        <v>6</v>
      </c>
      <c r="AI159">
        <v>2</v>
      </c>
      <c r="AJ159">
        <v>155</v>
      </c>
      <c r="AK159">
        <f>'HourGH-SEP'!AC12</f>
        <v>339.02000000000004</v>
      </c>
      <c r="AN159">
        <v>6</v>
      </c>
      <c r="AO159">
        <v>2</v>
      </c>
      <c r="AP159">
        <v>155</v>
      </c>
      <c r="AQ159">
        <f>'HourGH-SEP'!AE12</f>
        <v>338.54</v>
      </c>
      <c r="AT159">
        <v>6</v>
      </c>
      <c r="AU159">
        <v>2</v>
      </c>
      <c r="AV159">
        <v>155</v>
      </c>
      <c r="AW159" s="117">
        <f>Discharge!H10</f>
        <v>40</v>
      </c>
    </row>
    <row r="160" spans="28:54">
      <c r="AB160">
        <v>6</v>
      </c>
      <c r="AC160">
        <v>3</v>
      </c>
      <c r="AD160">
        <v>156</v>
      </c>
      <c r="AE160" s="117">
        <f>DailyMeanGH!H11</f>
        <v>338.41</v>
      </c>
      <c r="AH160">
        <v>6</v>
      </c>
      <c r="AI160">
        <v>3</v>
      </c>
      <c r="AJ160">
        <v>156</v>
      </c>
      <c r="AK160">
        <f>'HourGH-SEP'!AC13</f>
        <v>338.53000000000003</v>
      </c>
      <c r="AN160">
        <v>6</v>
      </c>
      <c r="AO160">
        <v>3</v>
      </c>
      <c r="AP160">
        <v>156</v>
      </c>
      <c r="AQ160">
        <f>'HourGH-SEP'!AE13</f>
        <v>338.31</v>
      </c>
      <c r="AT160">
        <v>6</v>
      </c>
      <c r="AU160">
        <v>3</v>
      </c>
      <c r="AV160">
        <v>156</v>
      </c>
      <c r="AW160" s="117">
        <f>Discharge!H11</f>
        <v>22.5</v>
      </c>
    </row>
    <row r="161" spans="28:49">
      <c r="AB161">
        <v>6</v>
      </c>
      <c r="AC161">
        <v>4</v>
      </c>
      <c r="AD161">
        <v>157</v>
      </c>
      <c r="AE161" s="117">
        <f>DailyMeanGH!H12</f>
        <v>338.27</v>
      </c>
      <c r="AH161">
        <v>6</v>
      </c>
      <c r="AI161">
        <v>4</v>
      </c>
      <c r="AJ161">
        <v>157</v>
      </c>
      <c r="AK161">
        <f>'HourGH-SEP'!AC14</f>
        <v>338.31</v>
      </c>
      <c r="AN161">
        <v>6</v>
      </c>
      <c r="AO161">
        <v>4</v>
      </c>
      <c r="AP161">
        <v>157</v>
      </c>
      <c r="AQ161">
        <f>'HourGH-SEP'!AE14</f>
        <v>338.23</v>
      </c>
      <c r="AT161">
        <v>6</v>
      </c>
      <c r="AU161">
        <v>4</v>
      </c>
      <c r="AV161">
        <v>157</v>
      </c>
      <c r="AW161" s="117">
        <f>Discharge!H12</f>
        <v>16.149999999999999</v>
      </c>
    </row>
    <row r="162" spans="28:49">
      <c r="AB162">
        <v>6</v>
      </c>
      <c r="AC162">
        <v>5</v>
      </c>
      <c r="AD162">
        <v>158</v>
      </c>
      <c r="AE162" s="117">
        <f>DailyMeanGH!H13</f>
        <v>338.21</v>
      </c>
      <c r="AH162">
        <v>6</v>
      </c>
      <c r="AI162">
        <v>5</v>
      </c>
      <c r="AJ162">
        <v>158</v>
      </c>
      <c r="AK162">
        <f>'HourGH-SEP'!AC15</f>
        <v>338.23</v>
      </c>
      <c r="AN162">
        <v>6</v>
      </c>
      <c r="AO162">
        <v>5</v>
      </c>
      <c r="AP162">
        <v>158</v>
      </c>
      <c r="AQ162">
        <f>'HourGH-SEP'!AE15</f>
        <v>338.20000000000005</v>
      </c>
      <c r="AT162">
        <v>6</v>
      </c>
      <c r="AU162">
        <v>5</v>
      </c>
      <c r="AV162">
        <v>158</v>
      </c>
      <c r="AW162" s="117">
        <f>Discharge!H13</f>
        <v>13.45</v>
      </c>
    </row>
    <row r="163" spans="28:49">
      <c r="AB163">
        <v>6</v>
      </c>
      <c r="AC163">
        <v>6</v>
      </c>
      <c r="AD163">
        <v>159</v>
      </c>
      <c r="AE163" s="117">
        <f>DailyMeanGH!H14</f>
        <v>338.29</v>
      </c>
      <c r="AH163">
        <v>6</v>
      </c>
      <c r="AI163">
        <v>6</v>
      </c>
      <c r="AJ163">
        <v>159</v>
      </c>
      <c r="AK163">
        <f>'HourGH-SEP'!AC16</f>
        <v>338.45000000000005</v>
      </c>
      <c r="AN163">
        <v>6</v>
      </c>
      <c r="AO163">
        <v>6</v>
      </c>
      <c r="AP163">
        <v>159</v>
      </c>
      <c r="AQ163">
        <f>'HourGH-SEP'!AE16</f>
        <v>338.21000000000004</v>
      </c>
      <c r="AT163">
        <v>6</v>
      </c>
      <c r="AU163">
        <v>6</v>
      </c>
      <c r="AV163">
        <v>159</v>
      </c>
      <c r="AW163" s="117">
        <f>Discharge!H14</f>
        <v>17.05</v>
      </c>
    </row>
    <row r="164" spans="28:49">
      <c r="AB164">
        <v>6</v>
      </c>
      <c r="AC164">
        <v>7</v>
      </c>
      <c r="AD164">
        <v>160</v>
      </c>
      <c r="AE164" s="117">
        <f>DailyMeanGH!H15</f>
        <v>338.78</v>
      </c>
      <c r="AH164">
        <v>6</v>
      </c>
      <c r="AI164">
        <v>7</v>
      </c>
      <c r="AJ164">
        <v>160</v>
      </c>
      <c r="AK164">
        <f>'HourGH-SEP'!AC17</f>
        <v>339.05</v>
      </c>
      <c r="AN164">
        <v>6</v>
      </c>
      <c r="AO164">
        <v>7</v>
      </c>
      <c r="AP164">
        <v>160</v>
      </c>
      <c r="AQ164">
        <f>'HourGH-SEP'!AE17</f>
        <v>338.48</v>
      </c>
      <c r="AT164">
        <v>6</v>
      </c>
      <c r="AU164">
        <v>7</v>
      </c>
      <c r="AV164">
        <v>160</v>
      </c>
      <c r="AW164" s="117">
        <f>Discharge!H15</f>
        <v>41</v>
      </c>
    </row>
    <row r="165" spans="28:49">
      <c r="AB165">
        <v>6</v>
      </c>
      <c r="AC165">
        <v>8</v>
      </c>
      <c r="AD165">
        <v>161</v>
      </c>
      <c r="AE165" s="117">
        <f>DailyMeanGH!H16</f>
        <v>339.31</v>
      </c>
      <c r="AH165">
        <v>6</v>
      </c>
      <c r="AI165">
        <v>8</v>
      </c>
      <c r="AJ165">
        <v>161</v>
      </c>
      <c r="AK165">
        <f>'HourGH-SEP'!AC18</f>
        <v>339.63</v>
      </c>
      <c r="AN165">
        <v>6</v>
      </c>
      <c r="AO165">
        <v>8</v>
      </c>
      <c r="AP165">
        <v>161</v>
      </c>
      <c r="AQ165">
        <f>'HourGH-SEP'!AE18</f>
        <v>339.07000000000005</v>
      </c>
      <c r="AT165">
        <v>6</v>
      </c>
      <c r="AU165">
        <v>8</v>
      </c>
      <c r="AV165">
        <v>161</v>
      </c>
      <c r="AW165" s="117">
        <f>Discharge!H16</f>
        <v>73.150000000000006</v>
      </c>
    </row>
    <row r="166" spans="28:49">
      <c r="AB166">
        <v>6</v>
      </c>
      <c r="AC166">
        <v>9</v>
      </c>
      <c r="AD166">
        <v>162</v>
      </c>
      <c r="AE166" s="117">
        <f>DailyMeanGH!H17</f>
        <v>340</v>
      </c>
      <c r="AH166">
        <v>6</v>
      </c>
      <c r="AI166">
        <v>9</v>
      </c>
      <c r="AJ166">
        <v>162</v>
      </c>
      <c r="AK166">
        <f>'HourGH-SEP'!AC19</f>
        <v>340.22</v>
      </c>
      <c r="AN166">
        <v>6</v>
      </c>
      <c r="AO166">
        <v>9</v>
      </c>
      <c r="AP166">
        <v>162</v>
      </c>
      <c r="AQ166">
        <f>'HourGH-SEP'!AE19</f>
        <v>339.67</v>
      </c>
      <c r="AT166">
        <v>6</v>
      </c>
      <c r="AU166">
        <v>9</v>
      </c>
      <c r="AV166">
        <v>162</v>
      </c>
      <c r="AW166" s="117">
        <f>Discharge!H17</f>
        <v>120.5</v>
      </c>
    </row>
    <row r="167" spans="28:49">
      <c r="AB167">
        <v>6</v>
      </c>
      <c r="AC167">
        <v>10</v>
      </c>
      <c r="AD167">
        <v>163</v>
      </c>
      <c r="AE167" s="117">
        <f>DailyMeanGH!H18</f>
        <v>339.72</v>
      </c>
      <c r="AH167">
        <v>6</v>
      </c>
      <c r="AI167">
        <v>10</v>
      </c>
      <c r="AJ167">
        <v>163</v>
      </c>
      <c r="AK167">
        <f>'HourGH-SEP'!AC20</f>
        <v>340.1</v>
      </c>
      <c r="AN167">
        <v>6</v>
      </c>
      <c r="AO167">
        <v>10</v>
      </c>
      <c r="AP167">
        <v>163</v>
      </c>
      <c r="AQ167">
        <f>'HourGH-SEP'!AE20</f>
        <v>339.27000000000004</v>
      </c>
      <c r="AT167">
        <v>6</v>
      </c>
      <c r="AU167">
        <v>10</v>
      </c>
      <c r="AV167">
        <v>163</v>
      </c>
      <c r="AW167" s="117">
        <f>Discharge!H18</f>
        <v>100.9</v>
      </c>
    </row>
    <row r="168" spans="28:49">
      <c r="AB168">
        <v>6</v>
      </c>
      <c r="AC168">
        <v>11</v>
      </c>
      <c r="AD168">
        <v>164</v>
      </c>
      <c r="AE168" s="117">
        <f>DailyMeanGH!H20</f>
        <v>339.01</v>
      </c>
      <c r="AH168">
        <v>6</v>
      </c>
      <c r="AI168">
        <v>11</v>
      </c>
      <c r="AJ168">
        <v>164</v>
      </c>
      <c r="AK168">
        <f>'HourGH-SEP'!AC22</f>
        <v>339.24</v>
      </c>
      <c r="AN168">
        <v>6</v>
      </c>
      <c r="AO168">
        <v>11</v>
      </c>
      <c r="AP168">
        <v>164</v>
      </c>
      <c r="AQ168">
        <f>'HourGH-SEP'!AE22</f>
        <v>338.85</v>
      </c>
      <c r="AT168">
        <v>6</v>
      </c>
      <c r="AU168">
        <v>11</v>
      </c>
      <c r="AV168">
        <v>164</v>
      </c>
      <c r="AW168" s="117">
        <f>Discharge!H20</f>
        <v>54.12</v>
      </c>
    </row>
    <row r="169" spans="28:49">
      <c r="AB169">
        <v>6</v>
      </c>
      <c r="AC169">
        <v>12</v>
      </c>
      <c r="AD169">
        <v>165</v>
      </c>
      <c r="AE169" s="117">
        <f>DailyMeanGH!H21</f>
        <v>338.8</v>
      </c>
      <c r="AH169">
        <v>6</v>
      </c>
      <c r="AI169">
        <v>12</v>
      </c>
      <c r="AJ169">
        <v>165</v>
      </c>
      <c r="AK169">
        <f>'HourGH-SEP'!AC23</f>
        <v>338.84000000000003</v>
      </c>
      <c r="AN169">
        <v>6</v>
      </c>
      <c r="AO169">
        <v>12</v>
      </c>
      <c r="AP169">
        <v>165</v>
      </c>
      <c r="AQ169">
        <f>'HourGH-SEP'!AE23</f>
        <v>338.78000000000003</v>
      </c>
      <c r="AT169">
        <v>6</v>
      </c>
      <c r="AU169">
        <v>12</v>
      </c>
      <c r="AV169">
        <v>165</v>
      </c>
      <c r="AW169" s="117">
        <f>Discharge!H21</f>
        <v>42</v>
      </c>
    </row>
    <row r="170" spans="28:49">
      <c r="AB170">
        <v>6</v>
      </c>
      <c r="AC170">
        <v>13</v>
      </c>
      <c r="AD170">
        <v>166</v>
      </c>
      <c r="AE170" s="117">
        <f>DailyMeanGH!H22</f>
        <v>339.01</v>
      </c>
      <c r="AH170">
        <v>6</v>
      </c>
      <c r="AI170">
        <v>13</v>
      </c>
      <c r="AJ170">
        <v>166</v>
      </c>
      <c r="AK170">
        <f>'HourGH-SEP'!AC24</f>
        <v>339.17</v>
      </c>
      <c r="AN170">
        <v>6</v>
      </c>
      <c r="AO170">
        <v>13</v>
      </c>
      <c r="AP170">
        <v>166</v>
      </c>
      <c r="AQ170">
        <f>'HourGH-SEP'!AE24</f>
        <v>338.82000000000005</v>
      </c>
      <c r="AT170">
        <v>6</v>
      </c>
      <c r="AU170">
        <v>13</v>
      </c>
      <c r="AV170">
        <v>166</v>
      </c>
      <c r="AW170" s="117">
        <f>Discharge!H22</f>
        <v>54.12</v>
      </c>
    </row>
    <row r="171" spans="28:49">
      <c r="AB171">
        <v>6</v>
      </c>
      <c r="AC171">
        <v>14</v>
      </c>
      <c r="AD171">
        <v>167</v>
      </c>
      <c r="AE171" s="117">
        <f>DailyMeanGH!H23</f>
        <v>339.07</v>
      </c>
      <c r="AH171">
        <v>6</v>
      </c>
      <c r="AI171">
        <v>14</v>
      </c>
      <c r="AJ171">
        <v>167</v>
      </c>
      <c r="AK171">
        <f>'HourGH-SEP'!AC25</f>
        <v>339.19</v>
      </c>
      <c r="AN171">
        <v>6</v>
      </c>
      <c r="AO171">
        <v>14</v>
      </c>
      <c r="AP171">
        <v>167</v>
      </c>
      <c r="AQ171">
        <f>'HourGH-SEP'!AE25</f>
        <v>339.01000000000005</v>
      </c>
      <c r="AT171">
        <v>6</v>
      </c>
      <c r="AU171">
        <v>14</v>
      </c>
      <c r="AV171">
        <v>167</v>
      </c>
      <c r="AW171" s="117">
        <f>Discharge!H23</f>
        <v>57.87</v>
      </c>
    </row>
    <row r="172" spans="28:49">
      <c r="AB172">
        <v>6</v>
      </c>
      <c r="AC172">
        <v>15</v>
      </c>
      <c r="AD172">
        <v>168</v>
      </c>
      <c r="AE172" s="117">
        <f>DailyMeanGH!H24</f>
        <v>339.46</v>
      </c>
      <c r="AH172">
        <v>6</v>
      </c>
      <c r="AI172">
        <v>15</v>
      </c>
      <c r="AJ172">
        <v>168</v>
      </c>
      <c r="AK172">
        <f>'HourGH-SEP'!AC26</f>
        <v>339.56</v>
      </c>
      <c r="AN172">
        <v>6</v>
      </c>
      <c r="AO172">
        <v>15</v>
      </c>
      <c r="AP172">
        <v>168</v>
      </c>
      <c r="AQ172">
        <f>'HourGH-SEP'!AE26</f>
        <v>339.23</v>
      </c>
      <c r="AT172">
        <v>6</v>
      </c>
      <c r="AU172">
        <v>15</v>
      </c>
      <c r="AV172">
        <v>168</v>
      </c>
      <c r="AW172" s="117">
        <f>Discharge!H24</f>
        <v>83.05</v>
      </c>
    </row>
    <row r="173" spans="28:49">
      <c r="AB173">
        <v>6</v>
      </c>
      <c r="AC173">
        <v>16</v>
      </c>
      <c r="AD173">
        <v>169</v>
      </c>
      <c r="AE173" s="117">
        <f>DailyMeanGH!H25</f>
        <v>339.28</v>
      </c>
      <c r="AH173">
        <v>6</v>
      </c>
      <c r="AI173">
        <v>16</v>
      </c>
      <c r="AJ173">
        <v>169</v>
      </c>
      <c r="AK173">
        <f>'HourGH-SEP'!AC27</f>
        <v>339.57000000000005</v>
      </c>
      <c r="AN173">
        <v>6</v>
      </c>
      <c r="AO173">
        <v>16</v>
      </c>
      <c r="AP173">
        <v>169</v>
      </c>
      <c r="AQ173">
        <f>'HourGH-SEP'!AE27</f>
        <v>339.17</v>
      </c>
      <c r="AT173">
        <v>6</v>
      </c>
      <c r="AU173">
        <v>16</v>
      </c>
      <c r="AV173">
        <v>169</v>
      </c>
      <c r="AW173" s="117">
        <f>Discharge!H25</f>
        <v>71.2</v>
      </c>
    </row>
    <row r="174" spans="28:49">
      <c r="AB174">
        <v>6</v>
      </c>
      <c r="AC174">
        <v>17</v>
      </c>
      <c r="AD174">
        <v>170</v>
      </c>
      <c r="AE174" s="117">
        <f>DailyMeanGH!H26</f>
        <v>339.51</v>
      </c>
      <c r="AH174">
        <v>6</v>
      </c>
      <c r="AI174">
        <v>17</v>
      </c>
      <c r="AJ174">
        <v>170</v>
      </c>
      <c r="AK174">
        <f>'HourGH-SEP'!AC28</f>
        <v>339.65000000000003</v>
      </c>
      <c r="AN174">
        <v>6</v>
      </c>
      <c r="AO174">
        <v>17</v>
      </c>
      <c r="AP174">
        <v>170</v>
      </c>
      <c r="AQ174">
        <f>'HourGH-SEP'!AE28</f>
        <v>339.38</v>
      </c>
      <c r="AT174">
        <v>6</v>
      </c>
      <c r="AU174">
        <v>17</v>
      </c>
      <c r="AV174">
        <v>170</v>
      </c>
      <c r="AW174" s="117">
        <f>Discharge!H26</f>
        <v>86.42</v>
      </c>
    </row>
    <row r="175" spans="28:49">
      <c r="AB175">
        <v>6</v>
      </c>
      <c r="AC175">
        <v>18</v>
      </c>
      <c r="AD175">
        <v>171</v>
      </c>
      <c r="AE175" s="117">
        <f>DailyMeanGH!H27</f>
        <v>339.46</v>
      </c>
      <c r="AH175">
        <v>6</v>
      </c>
      <c r="AI175">
        <v>18</v>
      </c>
      <c r="AJ175">
        <v>171</v>
      </c>
      <c r="AK175">
        <f>'HourGH-SEP'!AC29</f>
        <v>339.6</v>
      </c>
      <c r="AN175">
        <v>6</v>
      </c>
      <c r="AO175">
        <v>18</v>
      </c>
      <c r="AP175">
        <v>171</v>
      </c>
      <c r="AQ175">
        <f>'HourGH-SEP'!AE29</f>
        <v>339.17</v>
      </c>
      <c r="AT175">
        <v>6</v>
      </c>
      <c r="AU175">
        <v>18</v>
      </c>
      <c r="AV175">
        <v>171</v>
      </c>
      <c r="AW175" s="117">
        <f>Discharge!H27</f>
        <v>83.05</v>
      </c>
    </row>
    <row r="176" spans="28:49">
      <c r="AB176">
        <v>6</v>
      </c>
      <c r="AC176">
        <v>19</v>
      </c>
      <c r="AD176">
        <v>172</v>
      </c>
      <c r="AE176" s="117">
        <f>DailyMeanGH!H28</f>
        <v>338.98</v>
      </c>
      <c r="AH176">
        <v>6</v>
      </c>
      <c r="AI176">
        <v>19</v>
      </c>
      <c r="AJ176">
        <v>172</v>
      </c>
      <c r="AK176">
        <f>'HourGH-SEP'!AC30</f>
        <v>339.14000000000004</v>
      </c>
      <c r="AN176">
        <v>6</v>
      </c>
      <c r="AO176">
        <v>19</v>
      </c>
      <c r="AP176">
        <v>172</v>
      </c>
      <c r="AQ176">
        <f>'HourGH-SEP'!AE30</f>
        <v>338.88</v>
      </c>
      <c r="AT176">
        <v>6</v>
      </c>
      <c r="AU176">
        <v>19</v>
      </c>
      <c r="AV176">
        <v>172</v>
      </c>
      <c r="AW176" s="117">
        <f>Discharge!H28</f>
        <v>52.35</v>
      </c>
    </row>
    <row r="177" spans="28:49">
      <c r="AB177">
        <v>6</v>
      </c>
      <c r="AC177">
        <v>20</v>
      </c>
      <c r="AD177">
        <v>173</v>
      </c>
      <c r="AE177" s="117">
        <f>DailyMeanGH!H29</f>
        <v>338.83</v>
      </c>
      <c r="AH177">
        <v>6</v>
      </c>
      <c r="AI177">
        <v>20</v>
      </c>
      <c r="AJ177">
        <v>173</v>
      </c>
      <c r="AK177">
        <f>'HourGH-SEP'!AC31</f>
        <v>338.88</v>
      </c>
      <c r="AN177">
        <v>6</v>
      </c>
      <c r="AO177">
        <v>20</v>
      </c>
      <c r="AP177">
        <v>173</v>
      </c>
      <c r="AQ177">
        <f>'HourGH-SEP'!AE31</f>
        <v>338.79</v>
      </c>
      <c r="AT177">
        <v>6</v>
      </c>
      <c r="AU177">
        <v>20</v>
      </c>
      <c r="AV177">
        <v>173</v>
      </c>
      <c r="AW177" s="117">
        <f>Discharge!H29</f>
        <v>43.72</v>
      </c>
    </row>
    <row r="178" spans="28:49">
      <c r="AB178">
        <v>6</v>
      </c>
      <c r="AC178">
        <v>21</v>
      </c>
      <c r="AD178">
        <v>174</v>
      </c>
      <c r="AE178" s="117">
        <f>DailyMeanGH!H31</f>
        <v>338.73</v>
      </c>
      <c r="AH178">
        <v>6</v>
      </c>
      <c r="AI178">
        <v>21</v>
      </c>
      <c r="AJ178">
        <v>174</v>
      </c>
      <c r="AK178">
        <f>'HourGH-SEP'!AC33</f>
        <v>338.79</v>
      </c>
      <c r="AN178">
        <v>6</v>
      </c>
      <c r="AO178">
        <v>21</v>
      </c>
      <c r="AP178">
        <v>174</v>
      </c>
      <c r="AQ178">
        <f>'HourGH-SEP'!AE33</f>
        <v>338.63</v>
      </c>
      <c r="AT178">
        <v>6</v>
      </c>
      <c r="AU178">
        <v>21</v>
      </c>
      <c r="AV178">
        <v>174</v>
      </c>
      <c r="AW178" s="117">
        <f>Discharge!H31</f>
        <v>38.5</v>
      </c>
    </row>
    <row r="179" spans="28:49">
      <c r="AB179">
        <v>6</v>
      </c>
      <c r="AC179">
        <v>22</v>
      </c>
      <c r="AD179">
        <v>175</v>
      </c>
      <c r="AE179" s="117">
        <f>DailyMeanGH!H32</f>
        <v>338.55</v>
      </c>
      <c r="AH179">
        <v>6</v>
      </c>
      <c r="AI179">
        <v>22</v>
      </c>
      <c r="AJ179">
        <v>175</v>
      </c>
      <c r="AK179">
        <f>'HourGH-SEP'!AC34</f>
        <v>338.61</v>
      </c>
      <c r="AN179">
        <v>6</v>
      </c>
      <c r="AO179">
        <v>22</v>
      </c>
      <c r="AP179">
        <v>175</v>
      </c>
      <c r="AQ179">
        <f>'HourGH-SEP'!AE34</f>
        <v>338.49</v>
      </c>
      <c r="AT179">
        <v>6</v>
      </c>
      <c r="AU179">
        <v>22</v>
      </c>
      <c r="AV179">
        <v>175</v>
      </c>
      <c r="AW179" s="117">
        <f>Discharge!H32</f>
        <v>29.5</v>
      </c>
    </row>
    <row r="180" spans="28:49">
      <c r="AB180">
        <v>6</v>
      </c>
      <c r="AC180">
        <v>23</v>
      </c>
      <c r="AD180">
        <v>176</v>
      </c>
      <c r="AE180" s="117">
        <f>DailyMeanGH!H33</f>
        <v>338.46</v>
      </c>
      <c r="AH180">
        <v>6</v>
      </c>
      <c r="AI180">
        <v>23</v>
      </c>
      <c r="AJ180">
        <v>176</v>
      </c>
      <c r="AK180">
        <f>'HourGH-SEP'!AC35</f>
        <v>338.49</v>
      </c>
      <c r="AN180">
        <v>6</v>
      </c>
      <c r="AO180">
        <v>23</v>
      </c>
      <c r="AP180">
        <v>176</v>
      </c>
      <c r="AQ180">
        <f>'HourGH-SEP'!AE35</f>
        <v>338.44</v>
      </c>
      <c r="AT180">
        <v>6</v>
      </c>
      <c r="AU180">
        <v>23</v>
      </c>
      <c r="AV180">
        <v>176</v>
      </c>
      <c r="AW180" s="117">
        <f>Discharge!H33</f>
        <v>25</v>
      </c>
    </row>
    <row r="181" spans="28:49">
      <c r="AB181">
        <v>6</v>
      </c>
      <c r="AC181">
        <v>24</v>
      </c>
      <c r="AD181">
        <v>177</v>
      </c>
      <c r="AE181" s="117">
        <f>DailyMeanGH!H34</f>
        <v>338.42</v>
      </c>
      <c r="AH181">
        <v>6</v>
      </c>
      <c r="AI181">
        <v>24</v>
      </c>
      <c r="AJ181">
        <v>177</v>
      </c>
      <c r="AK181">
        <f>'HourGH-SEP'!AC36</f>
        <v>338.43</v>
      </c>
      <c r="AN181">
        <v>6</v>
      </c>
      <c r="AO181">
        <v>24</v>
      </c>
      <c r="AP181">
        <v>177</v>
      </c>
      <c r="AQ181">
        <f>'HourGH-SEP'!AE36</f>
        <v>338.41</v>
      </c>
      <c r="AT181">
        <v>6</v>
      </c>
      <c r="AU181">
        <v>24</v>
      </c>
      <c r="AV181">
        <v>177</v>
      </c>
      <c r="AW181" s="117">
        <f>Discharge!H34</f>
        <v>23</v>
      </c>
    </row>
    <row r="182" spans="28:49">
      <c r="AB182">
        <v>6</v>
      </c>
      <c r="AC182">
        <v>25</v>
      </c>
      <c r="AD182">
        <v>178</v>
      </c>
      <c r="AE182" s="117">
        <f>DailyMeanGH!H35</f>
        <v>338.42</v>
      </c>
      <c r="AH182">
        <v>6</v>
      </c>
      <c r="AI182">
        <v>25</v>
      </c>
      <c r="AJ182">
        <v>178</v>
      </c>
      <c r="AK182">
        <f>'HourGH-SEP'!AC37</f>
        <v>338.44</v>
      </c>
      <c r="AN182">
        <v>6</v>
      </c>
      <c r="AO182">
        <v>25</v>
      </c>
      <c r="AP182">
        <v>178</v>
      </c>
      <c r="AQ182">
        <f>'HourGH-SEP'!AE37</f>
        <v>338.41</v>
      </c>
      <c r="AT182">
        <v>6</v>
      </c>
      <c r="AU182">
        <v>25</v>
      </c>
      <c r="AV182">
        <v>178</v>
      </c>
      <c r="AW182" s="117">
        <f>Discharge!H35</f>
        <v>23</v>
      </c>
    </row>
    <row r="183" spans="28:49">
      <c r="AB183">
        <v>6</v>
      </c>
      <c r="AC183">
        <v>26</v>
      </c>
      <c r="AD183">
        <v>179</v>
      </c>
      <c r="AE183" s="117">
        <f>DailyMeanGH!H36</f>
        <v>338.69</v>
      </c>
      <c r="AH183">
        <v>6</v>
      </c>
      <c r="AI183">
        <v>26</v>
      </c>
      <c r="AJ183">
        <v>179</v>
      </c>
      <c r="AK183">
        <f>'HourGH-SEP'!AC38</f>
        <v>339.15000000000003</v>
      </c>
      <c r="AN183">
        <v>6</v>
      </c>
      <c r="AO183">
        <v>26</v>
      </c>
      <c r="AP183">
        <v>179</v>
      </c>
      <c r="AQ183">
        <f>'HourGH-SEP'!AE38</f>
        <v>338.44</v>
      </c>
      <c r="AT183">
        <v>6</v>
      </c>
      <c r="AU183">
        <v>26</v>
      </c>
      <c r="AV183">
        <v>179</v>
      </c>
      <c r="AW183" s="117">
        <f>Discharge!H36</f>
        <v>36.5</v>
      </c>
    </row>
    <row r="184" spans="28:49">
      <c r="AB184">
        <v>6</v>
      </c>
      <c r="AC184">
        <v>27</v>
      </c>
      <c r="AD184">
        <v>180</v>
      </c>
      <c r="AE184" s="117">
        <f>DailyMeanGH!H37</f>
        <v>339.5</v>
      </c>
      <c r="AH184">
        <v>6</v>
      </c>
      <c r="AI184">
        <v>27</v>
      </c>
      <c r="AJ184">
        <v>180</v>
      </c>
      <c r="AK184">
        <f>'HourGH-SEP'!AC39</f>
        <v>339.64000000000004</v>
      </c>
      <c r="AN184">
        <v>6</v>
      </c>
      <c r="AO184">
        <v>27</v>
      </c>
      <c r="AP184">
        <v>180</v>
      </c>
      <c r="AQ184">
        <f>'HourGH-SEP'!AE39</f>
        <v>339.22</v>
      </c>
      <c r="AT184">
        <v>6</v>
      </c>
      <c r="AU184">
        <v>27</v>
      </c>
      <c r="AV184">
        <v>180</v>
      </c>
      <c r="AW184" s="117">
        <f>Discharge!H37</f>
        <v>85.75</v>
      </c>
    </row>
    <row r="185" spans="28:49">
      <c r="AB185">
        <v>6</v>
      </c>
      <c r="AC185">
        <v>28</v>
      </c>
      <c r="AD185">
        <v>181</v>
      </c>
      <c r="AE185" s="117">
        <f>DailyMeanGH!H38</f>
        <v>339.1</v>
      </c>
      <c r="AH185">
        <v>6</v>
      </c>
      <c r="AI185">
        <v>28</v>
      </c>
      <c r="AJ185">
        <v>181</v>
      </c>
      <c r="AK185">
        <f>'HourGH-SEP'!AC40</f>
        <v>339.28000000000003</v>
      </c>
      <c r="AN185">
        <v>6</v>
      </c>
      <c r="AO185">
        <v>28</v>
      </c>
      <c r="AP185">
        <v>181</v>
      </c>
      <c r="AQ185">
        <f>'HourGH-SEP'!AE40</f>
        <v>339.01000000000005</v>
      </c>
      <c r="AT185">
        <v>6</v>
      </c>
      <c r="AU185">
        <v>28</v>
      </c>
      <c r="AV185">
        <v>181</v>
      </c>
      <c r="AW185" s="117">
        <f>Discharge!H38</f>
        <v>59.75</v>
      </c>
    </row>
    <row r="186" spans="28:49">
      <c r="AB186">
        <v>6</v>
      </c>
      <c r="AC186">
        <v>29</v>
      </c>
      <c r="AD186">
        <v>182</v>
      </c>
      <c r="AE186" s="117">
        <f>DailyMeanGH!H39</f>
        <v>339.37</v>
      </c>
      <c r="AH186">
        <v>6</v>
      </c>
      <c r="AI186">
        <v>29</v>
      </c>
      <c r="AJ186">
        <v>182</v>
      </c>
      <c r="AK186">
        <f>'HourGH-SEP'!AC41</f>
        <v>339.53000000000003</v>
      </c>
      <c r="AN186">
        <v>6</v>
      </c>
      <c r="AO186">
        <v>29</v>
      </c>
      <c r="AP186">
        <v>182</v>
      </c>
      <c r="AQ186">
        <f>'HourGH-SEP'!AE41</f>
        <v>339.01000000000005</v>
      </c>
      <c r="AT186">
        <v>6</v>
      </c>
      <c r="AU186">
        <v>29</v>
      </c>
      <c r="AV186">
        <v>182</v>
      </c>
      <c r="AW186" s="117">
        <f>Discharge!H39</f>
        <v>77.05</v>
      </c>
    </row>
    <row r="187" spans="28:49">
      <c r="AB187">
        <v>6</v>
      </c>
      <c r="AC187">
        <v>30</v>
      </c>
      <c r="AD187">
        <v>183</v>
      </c>
      <c r="AE187" s="117">
        <f>DailyMeanGH!H40</f>
        <v>338.79</v>
      </c>
      <c r="AH187">
        <v>6</v>
      </c>
      <c r="AI187">
        <v>30</v>
      </c>
      <c r="AJ187">
        <v>183</v>
      </c>
      <c r="AK187">
        <f>'HourGH-SEP'!AC42</f>
        <v>338.98</v>
      </c>
      <c r="AN187">
        <v>6</v>
      </c>
      <c r="AO187">
        <v>30</v>
      </c>
      <c r="AP187">
        <v>183</v>
      </c>
      <c r="AQ187">
        <f>'HourGH-SEP'!AE42</f>
        <v>338.65000000000003</v>
      </c>
      <c r="AT187">
        <v>6</v>
      </c>
      <c r="AU187">
        <v>30</v>
      </c>
      <c r="AV187">
        <v>183</v>
      </c>
      <c r="AW187" s="117">
        <f>Discharge!H40</f>
        <v>41.5</v>
      </c>
    </row>
    <row r="188" spans="28:49">
      <c r="AB188">
        <v>7</v>
      </c>
      <c r="AC188">
        <v>1</v>
      </c>
      <c r="AD188">
        <v>184</v>
      </c>
      <c r="AE188" s="117">
        <f>DailyMeanGH!I9</f>
        <v>338.61</v>
      </c>
      <c r="AH188">
        <v>7</v>
      </c>
      <c r="AI188">
        <v>1</v>
      </c>
      <c r="AJ188">
        <v>184</v>
      </c>
      <c r="AK188">
        <f>'HourGH-OCT'!AC11</f>
        <v>338.64000000000004</v>
      </c>
      <c r="AN188">
        <v>7</v>
      </c>
      <c r="AO188">
        <v>1</v>
      </c>
      <c r="AP188">
        <v>184</v>
      </c>
      <c r="AQ188">
        <f>'HourGH-OCT'!AE11</f>
        <v>338.59000000000003</v>
      </c>
      <c r="AT188">
        <v>7</v>
      </c>
      <c r="AU188">
        <v>1</v>
      </c>
      <c r="AV188">
        <v>184</v>
      </c>
      <c r="AW188" s="117">
        <f>Discharge!I9</f>
        <v>32.5</v>
      </c>
    </row>
    <row r="189" spans="28:49">
      <c r="AB189">
        <v>7</v>
      </c>
      <c r="AC189">
        <v>2</v>
      </c>
      <c r="AD189">
        <v>185</v>
      </c>
      <c r="AE189" s="117">
        <f>DailyMeanGH!I10</f>
        <v>338.57</v>
      </c>
      <c r="AH189">
        <v>7</v>
      </c>
      <c r="AI189">
        <v>2</v>
      </c>
      <c r="AJ189">
        <v>185</v>
      </c>
      <c r="AK189">
        <f>'HourGH-OCT'!AC12</f>
        <v>338.58000000000004</v>
      </c>
      <c r="AN189">
        <v>7</v>
      </c>
      <c r="AO189">
        <v>2</v>
      </c>
      <c r="AP189">
        <v>185</v>
      </c>
      <c r="AQ189">
        <f>'HourGH-OCT'!AE12</f>
        <v>338.57000000000005</v>
      </c>
      <c r="AT189">
        <v>7</v>
      </c>
      <c r="AU189">
        <v>2</v>
      </c>
      <c r="AV189">
        <v>185</v>
      </c>
      <c r="AW189" s="117">
        <f>Discharge!I10</f>
        <v>30.5</v>
      </c>
    </row>
    <row r="190" spans="28:49">
      <c r="AB190">
        <v>7</v>
      </c>
      <c r="AC190">
        <v>3</v>
      </c>
      <c r="AD190">
        <v>186</v>
      </c>
      <c r="AE190" s="117">
        <f>DailyMeanGH!I11</f>
        <v>338.59</v>
      </c>
      <c r="AH190">
        <v>7</v>
      </c>
      <c r="AI190">
        <v>3</v>
      </c>
      <c r="AJ190">
        <v>186</v>
      </c>
      <c r="AK190">
        <f>'HourGH-OCT'!AC13</f>
        <v>338.6</v>
      </c>
      <c r="AN190">
        <v>7</v>
      </c>
      <c r="AO190">
        <v>3</v>
      </c>
      <c r="AP190">
        <v>186</v>
      </c>
      <c r="AQ190">
        <f>'HourGH-OCT'!AE13</f>
        <v>338.59000000000003</v>
      </c>
      <c r="AT190">
        <v>7</v>
      </c>
      <c r="AU190">
        <v>3</v>
      </c>
      <c r="AV190">
        <v>186</v>
      </c>
      <c r="AW190" s="117">
        <f>Discharge!I11</f>
        <v>31.5</v>
      </c>
    </row>
    <row r="191" spans="28:49">
      <c r="AB191">
        <v>7</v>
      </c>
      <c r="AC191">
        <v>4</v>
      </c>
      <c r="AD191">
        <v>187</v>
      </c>
      <c r="AE191" s="117">
        <f>DailyMeanGH!I12</f>
        <v>338.55</v>
      </c>
      <c r="AH191">
        <v>7</v>
      </c>
      <c r="AI191">
        <v>4</v>
      </c>
      <c r="AJ191">
        <v>187</v>
      </c>
      <c r="AK191">
        <f>'HourGH-OCT'!AC14</f>
        <v>338.58000000000004</v>
      </c>
      <c r="AN191">
        <v>7</v>
      </c>
      <c r="AO191">
        <v>4</v>
      </c>
      <c r="AP191">
        <v>187</v>
      </c>
      <c r="AQ191">
        <f>'HourGH-OCT'!AE14</f>
        <v>338.49</v>
      </c>
      <c r="AT191">
        <v>7</v>
      </c>
      <c r="AU191">
        <v>4</v>
      </c>
      <c r="AV191">
        <v>187</v>
      </c>
      <c r="AW191" s="117">
        <f>Discharge!I12</f>
        <v>29.5</v>
      </c>
    </row>
    <row r="192" spans="28:49">
      <c r="AB192">
        <v>7</v>
      </c>
      <c r="AC192">
        <v>5</v>
      </c>
      <c r="AD192">
        <v>188</v>
      </c>
      <c r="AE192" s="117">
        <f>DailyMeanGH!I13</f>
        <v>338.49</v>
      </c>
      <c r="AH192">
        <v>7</v>
      </c>
      <c r="AI192">
        <v>5</v>
      </c>
      <c r="AJ192">
        <v>188</v>
      </c>
      <c r="AK192">
        <f>'HourGH-OCT'!AC15</f>
        <v>338.54</v>
      </c>
      <c r="AN192">
        <v>7</v>
      </c>
      <c r="AO192">
        <v>5</v>
      </c>
      <c r="AP192">
        <v>188</v>
      </c>
      <c r="AQ192">
        <f>'HourGH-OCT'!AE15</f>
        <v>338.47</v>
      </c>
      <c r="AT192">
        <v>7</v>
      </c>
      <c r="AU192">
        <v>5</v>
      </c>
      <c r="AV192">
        <v>188</v>
      </c>
      <c r="AW192" s="117">
        <f>Discharge!I13</f>
        <v>26.5</v>
      </c>
    </row>
    <row r="193" spans="28:49">
      <c r="AB193">
        <v>7</v>
      </c>
      <c r="AC193">
        <v>6</v>
      </c>
      <c r="AD193">
        <v>189</v>
      </c>
      <c r="AE193" s="117">
        <f>DailyMeanGH!I14</f>
        <v>338.61</v>
      </c>
      <c r="AH193">
        <v>7</v>
      </c>
      <c r="AI193">
        <v>6</v>
      </c>
      <c r="AJ193">
        <v>189</v>
      </c>
      <c r="AK193">
        <f>'HourGH-OCT'!AC16</f>
        <v>338.64000000000004</v>
      </c>
      <c r="AN193">
        <v>7</v>
      </c>
      <c r="AO193">
        <v>6</v>
      </c>
      <c r="AP193">
        <v>189</v>
      </c>
      <c r="AQ193">
        <f>'HourGH-OCT'!AE16</f>
        <v>338.55</v>
      </c>
      <c r="AT193">
        <v>7</v>
      </c>
      <c r="AU193">
        <v>6</v>
      </c>
      <c r="AV193">
        <v>189</v>
      </c>
      <c r="AW193" s="117">
        <f>Discharge!I14</f>
        <v>32.5</v>
      </c>
    </row>
    <row r="194" spans="28:49">
      <c r="AB194">
        <v>7</v>
      </c>
      <c r="AC194">
        <v>7</v>
      </c>
      <c r="AD194">
        <v>190</v>
      </c>
      <c r="AE194" s="117">
        <f>DailyMeanGH!I15</f>
        <v>338.49</v>
      </c>
      <c r="AH194">
        <v>7</v>
      </c>
      <c r="AI194">
        <v>7</v>
      </c>
      <c r="AJ194">
        <v>190</v>
      </c>
      <c r="AK194">
        <f>'HourGH-OCT'!AC17</f>
        <v>338.57000000000005</v>
      </c>
      <c r="AN194">
        <v>7</v>
      </c>
      <c r="AO194">
        <v>7</v>
      </c>
      <c r="AP194">
        <v>190</v>
      </c>
      <c r="AQ194">
        <f>'HourGH-OCT'!AE17</f>
        <v>338.44</v>
      </c>
      <c r="AT194">
        <v>7</v>
      </c>
      <c r="AU194">
        <v>7</v>
      </c>
      <c r="AV194">
        <v>190</v>
      </c>
      <c r="AW194" s="117">
        <f>Discharge!I15</f>
        <v>26.5</v>
      </c>
    </row>
    <row r="195" spans="28:49">
      <c r="AB195">
        <v>7</v>
      </c>
      <c r="AC195">
        <v>8</v>
      </c>
      <c r="AD195">
        <v>191</v>
      </c>
      <c r="AE195" s="117">
        <f>DailyMeanGH!I16</f>
        <v>338.42</v>
      </c>
      <c r="AH195">
        <v>7</v>
      </c>
      <c r="AI195">
        <v>8</v>
      </c>
      <c r="AJ195">
        <v>191</v>
      </c>
      <c r="AK195">
        <f>'HourGH-OCT'!AC18</f>
        <v>338.44</v>
      </c>
      <c r="AN195">
        <v>7</v>
      </c>
      <c r="AO195">
        <v>8</v>
      </c>
      <c r="AP195">
        <v>191</v>
      </c>
      <c r="AQ195">
        <f>'HourGH-OCT'!AE18</f>
        <v>338.39000000000004</v>
      </c>
      <c r="AT195">
        <v>7</v>
      </c>
      <c r="AU195">
        <v>8</v>
      </c>
      <c r="AV195">
        <v>191</v>
      </c>
      <c r="AW195" s="117">
        <f>Discharge!I16</f>
        <v>23</v>
      </c>
    </row>
    <row r="196" spans="28:49">
      <c r="AB196">
        <v>7</v>
      </c>
      <c r="AC196">
        <v>9</v>
      </c>
      <c r="AD196">
        <v>192</v>
      </c>
      <c r="AE196" s="117">
        <f>DailyMeanGH!I17</f>
        <v>338.35</v>
      </c>
      <c r="AH196">
        <v>7</v>
      </c>
      <c r="AI196">
        <v>9</v>
      </c>
      <c r="AJ196">
        <v>192</v>
      </c>
      <c r="AK196">
        <f>'HourGH-OCT'!AC19</f>
        <v>338.39000000000004</v>
      </c>
      <c r="AN196">
        <v>7</v>
      </c>
      <c r="AO196">
        <v>9</v>
      </c>
      <c r="AP196">
        <v>192</v>
      </c>
      <c r="AQ196">
        <f>'HourGH-OCT'!AE19</f>
        <v>338.32000000000005</v>
      </c>
      <c r="AT196">
        <v>7</v>
      </c>
      <c r="AU196">
        <v>9</v>
      </c>
      <c r="AV196">
        <v>192</v>
      </c>
      <c r="AW196" s="117">
        <f>Discharge!I17</f>
        <v>19.75</v>
      </c>
    </row>
    <row r="197" spans="28:49">
      <c r="AB197">
        <v>7</v>
      </c>
      <c r="AC197">
        <v>10</v>
      </c>
      <c r="AD197">
        <v>193</v>
      </c>
      <c r="AE197" s="117">
        <f>DailyMeanGH!I18</f>
        <v>338.29</v>
      </c>
      <c r="AH197">
        <v>7</v>
      </c>
      <c r="AI197">
        <v>10</v>
      </c>
      <c r="AJ197">
        <v>193</v>
      </c>
      <c r="AK197">
        <f>'HourGH-OCT'!AC20</f>
        <v>338.31</v>
      </c>
      <c r="AN197">
        <v>7</v>
      </c>
      <c r="AO197">
        <v>10</v>
      </c>
      <c r="AP197">
        <v>193</v>
      </c>
      <c r="AQ197">
        <f>'HourGH-OCT'!AE20</f>
        <v>338.27000000000004</v>
      </c>
      <c r="AT197">
        <v>7</v>
      </c>
      <c r="AU197">
        <v>10</v>
      </c>
      <c r="AV197">
        <v>193</v>
      </c>
      <c r="AW197" s="117">
        <f>Discharge!I18</f>
        <v>17.05</v>
      </c>
    </row>
    <row r="198" spans="28:49">
      <c r="AB198">
        <v>7</v>
      </c>
      <c r="AC198">
        <v>11</v>
      </c>
      <c r="AD198">
        <v>194</v>
      </c>
      <c r="AE198" s="117">
        <f>DailyMeanGH!I20</f>
        <v>338.25</v>
      </c>
      <c r="AH198">
        <v>7</v>
      </c>
      <c r="AI198">
        <v>11</v>
      </c>
      <c r="AJ198">
        <v>194</v>
      </c>
      <c r="AK198">
        <f>'HourGH-OCT'!AC22</f>
        <v>338.26000000000005</v>
      </c>
      <c r="AN198">
        <v>7</v>
      </c>
      <c r="AO198">
        <v>11</v>
      </c>
      <c r="AP198">
        <v>194</v>
      </c>
      <c r="AQ198">
        <f>'HourGH-OCT'!AE22</f>
        <v>338.25</v>
      </c>
      <c r="AT198">
        <v>7</v>
      </c>
      <c r="AU198">
        <v>11</v>
      </c>
      <c r="AV198">
        <v>194</v>
      </c>
      <c r="AW198" s="117">
        <f>Discharge!I20</f>
        <v>15.25</v>
      </c>
    </row>
    <row r="199" spans="28:49">
      <c r="AB199">
        <v>7</v>
      </c>
      <c r="AC199">
        <v>12</v>
      </c>
      <c r="AD199">
        <v>195</v>
      </c>
      <c r="AE199" s="117">
        <f>DailyMeanGH!I21</f>
        <v>338.24</v>
      </c>
      <c r="AH199">
        <v>7</v>
      </c>
      <c r="AI199">
        <v>12</v>
      </c>
      <c r="AJ199">
        <v>195</v>
      </c>
      <c r="AK199">
        <f>'HourGH-OCT'!AC23</f>
        <v>338.24</v>
      </c>
      <c r="AN199">
        <v>7</v>
      </c>
      <c r="AO199">
        <v>12</v>
      </c>
      <c r="AP199">
        <v>195</v>
      </c>
      <c r="AQ199">
        <f>'HourGH-OCT'!AE23</f>
        <v>338.24</v>
      </c>
      <c r="AT199">
        <v>7</v>
      </c>
      <c r="AU199">
        <v>12</v>
      </c>
      <c r="AV199">
        <v>195</v>
      </c>
      <c r="AW199" s="117">
        <f>Discharge!I21</f>
        <v>14.8</v>
      </c>
    </row>
    <row r="200" spans="28:49">
      <c r="AB200">
        <v>7</v>
      </c>
      <c r="AC200">
        <v>13</v>
      </c>
      <c r="AD200">
        <v>196</v>
      </c>
      <c r="AE200" s="117">
        <f>DailyMeanGH!I22</f>
        <v>338.24</v>
      </c>
      <c r="AH200">
        <v>7</v>
      </c>
      <c r="AI200">
        <v>13</v>
      </c>
      <c r="AJ200">
        <v>196</v>
      </c>
      <c r="AK200">
        <f>'HourGH-OCT'!AC24</f>
        <v>338.24</v>
      </c>
      <c r="AN200">
        <v>7</v>
      </c>
      <c r="AO200">
        <v>13</v>
      </c>
      <c r="AP200">
        <v>196</v>
      </c>
      <c r="AQ200">
        <f>'HourGH-OCT'!AE24</f>
        <v>338.23</v>
      </c>
      <c r="AT200">
        <v>7</v>
      </c>
      <c r="AU200">
        <v>13</v>
      </c>
      <c r="AV200">
        <v>196</v>
      </c>
      <c r="AW200" s="117">
        <f>Discharge!I22</f>
        <v>14.8</v>
      </c>
    </row>
    <row r="201" spans="28:49">
      <c r="AB201">
        <v>7</v>
      </c>
      <c r="AC201">
        <v>14</v>
      </c>
      <c r="AD201">
        <v>197</v>
      </c>
      <c r="AE201" s="117">
        <f>DailyMeanGH!I23</f>
        <v>338.22</v>
      </c>
      <c r="AH201">
        <v>7</v>
      </c>
      <c r="AI201">
        <v>14</v>
      </c>
      <c r="AJ201">
        <v>197</v>
      </c>
      <c r="AK201">
        <f>'HourGH-OCT'!AC25</f>
        <v>338.22</v>
      </c>
      <c r="AN201">
        <v>7</v>
      </c>
      <c r="AO201">
        <v>14</v>
      </c>
      <c r="AP201">
        <v>197</v>
      </c>
      <c r="AQ201">
        <f>'HourGH-OCT'!AE25</f>
        <v>338.21000000000004</v>
      </c>
      <c r="AT201">
        <v>7</v>
      </c>
      <c r="AU201">
        <v>14</v>
      </c>
      <c r="AV201">
        <v>197</v>
      </c>
      <c r="AW201" s="117">
        <f>Discharge!I23</f>
        <v>13.9</v>
      </c>
    </row>
    <row r="202" spans="28:49">
      <c r="AB202">
        <v>7</v>
      </c>
      <c r="AC202">
        <v>15</v>
      </c>
      <c r="AD202">
        <v>198</v>
      </c>
      <c r="AE202" s="117">
        <f>DailyMeanGH!I24</f>
        <v>338.2</v>
      </c>
      <c r="AH202">
        <v>7</v>
      </c>
      <c r="AI202">
        <v>15</v>
      </c>
      <c r="AJ202">
        <v>198</v>
      </c>
      <c r="AK202">
        <f>'HourGH-OCT'!AC26</f>
        <v>338.20000000000005</v>
      </c>
      <c r="AN202">
        <v>7</v>
      </c>
      <c r="AO202">
        <v>15</v>
      </c>
      <c r="AP202">
        <v>198</v>
      </c>
      <c r="AQ202">
        <f>'HourGH-OCT'!AE26</f>
        <v>338.19</v>
      </c>
      <c r="AT202">
        <v>7</v>
      </c>
      <c r="AU202">
        <v>15</v>
      </c>
      <c r="AV202">
        <v>198</v>
      </c>
      <c r="AW202" s="117">
        <f>Discharge!I24</f>
        <v>13</v>
      </c>
    </row>
    <row r="203" spans="28:49">
      <c r="AB203">
        <v>7</v>
      </c>
      <c r="AC203">
        <v>16</v>
      </c>
      <c r="AD203">
        <v>199</v>
      </c>
      <c r="AE203" s="117">
        <f>DailyMeanGH!I25</f>
        <v>338.18</v>
      </c>
      <c r="AH203">
        <v>7</v>
      </c>
      <c r="AI203">
        <v>16</v>
      </c>
      <c r="AJ203">
        <v>199</v>
      </c>
      <c r="AK203">
        <f>'HourGH-OCT'!AC27</f>
        <v>338.18</v>
      </c>
      <c r="AN203">
        <v>7</v>
      </c>
      <c r="AO203">
        <v>16</v>
      </c>
      <c r="AP203">
        <v>199</v>
      </c>
      <c r="AQ203">
        <f>'HourGH-OCT'!AE27</f>
        <v>338.18</v>
      </c>
      <c r="AT203">
        <v>7</v>
      </c>
      <c r="AU203">
        <v>16</v>
      </c>
      <c r="AV203">
        <v>199</v>
      </c>
      <c r="AW203" s="117">
        <f>Discharge!I25</f>
        <v>12.35</v>
      </c>
    </row>
    <row r="204" spans="28:49">
      <c r="AB204">
        <v>7</v>
      </c>
      <c r="AC204">
        <v>17</v>
      </c>
      <c r="AD204">
        <v>200</v>
      </c>
      <c r="AE204" s="117">
        <f>DailyMeanGH!I26</f>
        <v>338.19</v>
      </c>
      <c r="AH204">
        <v>7</v>
      </c>
      <c r="AI204">
        <v>17</v>
      </c>
      <c r="AJ204">
        <v>200</v>
      </c>
      <c r="AK204">
        <f>'HourGH-OCT'!AC28</f>
        <v>338.22</v>
      </c>
      <c r="AN204">
        <v>7</v>
      </c>
      <c r="AO204">
        <v>17</v>
      </c>
      <c r="AP204">
        <v>200</v>
      </c>
      <c r="AQ204">
        <f>'HourGH-OCT'!AE28</f>
        <v>338.18</v>
      </c>
      <c r="AT204">
        <v>7</v>
      </c>
      <c r="AU204">
        <v>17</v>
      </c>
      <c r="AV204">
        <v>200</v>
      </c>
      <c r="AW204" s="117">
        <f>Discharge!I26</f>
        <v>12.68</v>
      </c>
    </row>
    <row r="205" spans="28:49">
      <c r="AB205">
        <v>7</v>
      </c>
      <c r="AC205">
        <v>18</v>
      </c>
      <c r="AD205">
        <v>201</v>
      </c>
      <c r="AE205" s="117">
        <f>DailyMeanGH!I27</f>
        <v>338.96</v>
      </c>
      <c r="AH205">
        <v>7</v>
      </c>
      <c r="AI205">
        <v>18</v>
      </c>
      <c r="AJ205">
        <v>201</v>
      </c>
      <c r="AK205">
        <f>'HourGH-OCT'!AC29</f>
        <v>340.01000000000005</v>
      </c>
      <c r="AN205">
        <v>7</v>
      </c>
      <c r="AO205">
        <v>18</v>
      </c>
      <c r="AP205">
        <v>201</v>
      </c>
      <c r="AQ205">
        <f>'HourGH-OCT'!AE29</f>
        <v>338.23</v>
      </c>
      <c r="AT205">
        <v>7</v>
      </c>
      <c r="AU205">
        <v>18</v>
      </c>
      <c r="AV205">
        <v>201</v>
      </c>
      <c r="AW205" s="117">
        <f>Discharge!I27</f>
        <v>51.2</v>
      </c>
    </row>
    <row r="206" spans="28:49">
      <c r="AB206">
        <v>7</v>
      </c>
      <c r="AC206">
        <v>19</v>
      </c>
      <c r="AD206">
        <v>202</v>
      </c>
      <c r="AE206" s="117">
        <f>DailyMeanGH!I28</f>
        <v>340.15</v>
      </c>
      <c r="AH206">
        <v>7</v>
      </c>
      <c r="AI206">
        <v>19</v>
      </c>
      <c r="AJ206">
        <v>202</v>
      </c>
      <c r="AK206">
        <f>'HourGH-OCT'!AC30</f>
        <v>340.23</v>
      </c>
      <c r="AN206">
        <v>7</v>
      </c>
      <c r="AO206">
        <v>19</v>
      </c>
      <c r="AP206">
        <v>202</v>
      </c>
      <c r="AQ206">
        <f>'HourGH-OCT'!AE30</f>
        <v>339.97</v>
      </c>
      <c r="AT206">
        <v>7</v>
      </c>
      <c r="AU206">
        <v>19</v>
      </c>
      <c r="AV206">
        <v>202</v>
      </c>
      <c r="AW206" s="117">
        <f>Discharge!I28</f>
        <v>131</v>
      </c>
    </row>
    <row r="207" spans="28:49">
      <c r="AB207">
        <v>7</v>
      </c>
      <c r="AC207">
        <v>20</v>
      </c>
      <c r="AD207">
        <v>203</v>
      </c>
      <c r="AE207" s="117">
        <f>DailyMeanGH!I29</f>
        <v>339.59</v>
      </c>
      <c r="AH207">
        <v>7</v>
      </c>
      <c r="AI207">
        <v>20</v>
      </c>
      <c r="AJ207">
        <v>203</v>
      </c>
      <c r="AK207">
        <f>'HourGH-OCT'!AC31</f>
        <v>339.93</v>
      </c>
      <c r="AN207">
        <v>7</v>
      </c>
      <c r="AO207">
        <v>20</v>
      </c>
      <c r="AP207">
        <v>203</v>
      </c>
      <c r="AQ207">
        <f>'HourGH-OCT'!AE31</f>
        <v>339.38</v>
      </c>
      <c r="AT207">
        <v>7</v>
      </c>
      <c r="AU207">
        <v>20</v>
      </c>
      <c r="AV207">
        <v>203</v>
      </c>
      <c r="AW207" s="117">
        <f>Discharge!I29</f>
        <v>91.82</v>
      </c>
    </row>
    <row r="208" spans="28:49">
      <c r="AB208">
        <v>7</v>
      </c>
      <c r="AC208">
        <v>21</v>
      </c>
      <c r="AD208">
        <v>204</v>
      </c>
      <c r="AE208" s="117">
        <f>DailyMeanGH!I31</f>
        <v>339.32</v>
      </c>
      <c r="AH208">
        <v>7</v>
      </c>
      <c r="AI208">
        <v>21</v>
      </c>
      <c r="AJ208">
        <v>204</v>
      </c>
      <c r="AK208">
        <f>'HourGH-OCT'!AC33</f>
        <v>339.38</v>
      </c>
      <c r="AN208">
        <v>7</v>
      </c>
      <c r="AO208">
        <v>21</v>
      </c>
      <c r="AP208">
        <v>204</v>
      </c>
      <c r="AQ208">
        <f>'HourGH-OCT'!AE33</f>
        <v>339.3</v>
      </c>
      <c r="AT208">
        <v>7</v>
      </c>
      <c r="AU208">
        <v>21</v>
      </c>
      <c r="AV208">
        <v>204</v>
      </c>
      <c r="AW208" s="117">
        <f>Discharge!I31</f>
        <v>73.8</v>
      </c>
    </row>
    <row r="209" spans="28:49">
      <c r="AB209">
        <v>7</v>
      </c>
      <c r="AC209">
        <v>22</v>
      </c>
      <c r="AD209">
        <v>205</v>
      </c>
      <c r="AE209" s="117">
        <f>DailyMeanGH!I32</f>
        <v>339.63</v>
      </c>
      <c r="AH209">
        <v>7</v>
      </c>
      <c r="AI209">
        <v>22</v>
      </c>
      <c r="AJ209">
        <v>205</v>
      </c>
      <c r="AK209">
        <f>'HourGH-OCT'!AC34</f>
        <v>339.73</v>
      </c>
      <c r="AN209">
        <v>7</v>
      </c>
      <c r="AO209">
        <v>22</v>
      </c>
      <c r="AP209">
        <v>205</v>
      </c>
      <c r="AQ209">
        <f>'HourGH-OCT'!AE34</f>
        <v>339.40000000000003</v>
      </c>
      <c r="AT209">
        <v>7</v>
      </c>
      <c r="AU209">
        <v>22</v>
      </c>
      <c r="AV209">
        <v>205</v>
      </c>
      <c r="AW209" s="117">
        <f>Discharge!I32</f>
        <v>94.6</v>
      </c>
    </row>
    <row r="210" spans="28:49">
      <c r="AB210">
        <v>7</v>
      </c>
      <c r="AC210">
        <v>23</v>
      </c>
      <c r="AD210">
        <v>206</v>
      </c>
      <c r="AE210" s="117">
        <f>DailyMeanGH!I33</f>
        <v>339.36</v>
      </c>
      <c r="AH210">
        <v>7</v>
      </c>
      <c r="AI210">
        <v>23</v>
      </c>
      <c r="AJ210">
        <v>206</v>
      </c>
      <c r="AK210">
        <f>'HourGH-OCT'!AC35</f>
        <v>339.69</v>
      </c>
      <c r="AN210">
        <v>7</v>
      </c>
      <c r="AO210">
        <v>23</v>
      </c>
      <c r="AP210">
        <v>206</v>
      </c>
      <c r="AQ210">
        <f>'HourGH-OCT'!AE35</f>
        <v>339.1</v>
      </c>
      <c r="AT210">
        <v>7</v>
      </c>
      <c r="AU210">
        <v>23</v>
      </c>
      <c r="AV210">
        <v>206</v>
      </c>
      <c r="AW210" s="117">
        <f>Discharge!I33</f>
        <v>76.400000000000006</v>
      </c>
    </row>
    <row r="211" spans="28:49">
      <c r="AB211">
        <v>7</v>
      </c>
      <c r="AC211">
        <v>24</v>
      </c>
      <c r="AD211">
        <v>207</v>
      </c>
      <c r="AE211" s="117">
        <f>DailyMeanGH!I34</f>
        <v>339.21</v>
      </c>
      <c r="AH211">
        <v>7</v>
      </c>
      <c r="AI211">
        <v>24</v>
      </c>
      <c r="AJ211">
        <v>207</v>
      </c>
      <c r="AK211">
        <f>'HourGH-OCT'!AC36</f>
        <v>339.28000000000003</v>
      </c>
      <c r="AN211">
        <v>7</v>
      </c>
      <c r="AO211">
        <v>24</v>
      </c>
      <c r="AP211">
        <v>207</v>
      </c>
      <c r="AQ211">
        <f>'HourGH-OCT'!AE36</f>
        <v>339.1</v>
      </c>
      <c r="AT211">
        <v>7</v>
      </c>
      <c r="AU211">
        <v>24</v>
      </c>
      <c r="AV211">
        <v>207</v>
      </c>
      <c r="AW211" s="117">
        <f>Discharge!I34</f>
        <v>66.650000000000006</v>
      </c>
    </row>
    <row r="212" spans="28:49">
      <c r="AB212">
        <v>7</v>
      </c>
      <c r="AC212">
        <v>25</v>
      </c>
      <c r="AD212">
        <v>208</v>
      </c>
      <c r="AE212" s="117">
        <f>DailyMeanGH!I35</f>
        <v>339.05</v>
      </c>
      <c r="AH212">
        <v>7</v>
      </c>
      <c r="AI212">
        <v>25</v>
      </c>
      <c r="AJ212">
        <v>208</v>
      </c>
      <c r="AK212">
        <f>'HourGH-OCT'!AC37</f>
        <v>339.21000000000004</v>
      </c>
      <c r="AN212">
        <v>7</v>
      </c>
      <c r="AO212">
        <v>25</v>
      </c>
      <c r="AP212">
        <v>208</v>
      </c>
      <c r="AQ212">
        <f>'HourGH-OCT'!AE37</f>
        <v>338.95000000000005</v>
      </c>
      <c r="AT212">
        <v>7</v>
      </c>
      <c r="AU212">
        <v>25</v>
      </c>
      <c r="AV212">
        <v>208</v>
      </c>
      <c r="AW212" s="117">
        <f>Discharge!I35</f>
        <v>56.63</v>
      </c>
    </row>
    <row r="213" spans="28:49">
      <c r="AB213">
        <v>7</v>
      </c>
      <c r="AC213">
        <v>26</v>
      </c>
      <c r="AD213">
        <v>209</v>
      </c>
      <c r="AE213" s="117">
        <f>DailyMeanGH!I36</f>
        <v>338.88</v>
      </c>
      <c r="AH213">
        <v>7</v>
      </c>
      <c r="AI213">
        <v>26</v>
      </c>
      <c r="AJ213">
        <v>209</v>
      </c>
      <c r="AK213">
        <f>'HourGH-OCT'!AC38</f>
        <v>338.94</v>
      </c>
      <c r="AN213">
        <v>7</v>
      </c>
      <c r="AO213">
        <v>26</v>
      </c>
      <c r="AP213">
        <v>209</v>
      </c>
      <c r="AQ213">
        <f>'HourGH-OCT'!AE38</f>
        <v>338.81</v>
      </c>
      <c r="AT213">
        <v>7</v>
      </c>
      <c r="AU213">
        <v>26</v>
      </c>
      <c r="AV213">
        <v>209</v>
      </c>
      <c r="AW213" s="117">
        <f>Discharge!I36</f>
        <v>46.6</v>
      </c>
    </row>
    <row r="214" spans="28:49">
      <c r="AB214">
        <v>7</v>
      </c>
      <c r="AC214">
        <v>27</v>
      </c>
      <c r="AD214">
        <v>210</v>
      </c>
      <c r="AE214" s="117">
        <f>DailyMeanGH!I37</f>
        <v>338.78</v>
      </c>
      <c r="AH214">
        <v>7</v>
      </c>
      <c r="AI214">
        <v>27</v>
      </c>
      <c r="AJ214">
        <v>210</v>
      </c>
      <c r="AK214">
        <f>'HourGH-OCT'!AC39</f>
        <v>338.81</v>
      </c>
      <c r="AN214">
        <v>7</v>
      </c>
      <c r="AO214">
        <v>27</v>
      </c>
      <c r="AP214">
        <v>210</v>
      </c>
      <c r="AQ214">
        <f>'HourGH-OCT'!AE39</f>
        <v>338.75</v>
      </c>
      <c r="AT214">
        <v>7</v>
      </c>
      <c r="AU214">
        <v>27</v>
      </c>
      <c r="AV214">
        <v>210</v>
      </c>
      <c r="AW214" s="117">
        <f>Discharge!I37</f>
        <v>41</v>
      </c>
    </row>
    <row r="215" spans="28:49">
      <c r="AB215">
        <v>7</v>
      </c>
      <c r="AC215">
        <v>28</v>
      </c>
      <c r="AD215">
        <v>211</v>
      </c>
      <c r="AE215" s="117">
        <f>DailyMeanGH!I38</f>
        <v>338.76</v>
      </c>
      <c r="AH215">
        <v>7</v>
      </c>
      <c r="AI215">
        <v>28</v>
      </c>
      <c r="AJ215">
        <v>211</v>
      </c>
      <c r="AK215">
        <f>'HourGH-OCT'!AC40</f>
        <v>338.85</v>
      </c>
      <c r="AN215">
        <v>7</v>
      </c>
      <c r="AO215">
        <v>28</v>
      </c>
      <c r="AP215">
        <v>211</v>
      </c>
      <c r="AQ215">
        <f>'HourGH-OCT'!AE40</f>
        <v>338.74</v>
      </c>
      <c r="AT215">
        <v>7</v>
      </c>
      <c r="AU215">
        <v>28</v>
      </c>
      <c r="AV215">
        <v>211</v>
      </c>
      <c r="AW215" s="117">
        <f>Discharge!I38</f>
        <v>40</v>
      </c>
    </row>
    <row r="216" spans="28:49">
      <c r="AB216">
        <v>7</v>
      </c>
      <c r="AC216">
        <v>29</v>
      </c>
      <c r="AD216">
        <v>212</v>
      </c>
      <c r="AE216" s="117">
        <f>DailyMeanGH!I39</f>
        <v>339.01</v>
      </c>
      <c r="AH216">
        <v>7</v>
      </c>
      <c r="AI216">
        <v>29</v>
      </c>
      <c r="AJ216">
        <v>212</v>
      </c>
      <c r="AK216">
        <f>'HourGH-OCT'!AC41</f>
        <v>339.08000000000004</v>
      </c>
      <c r="AN216">
        <v>7</v>
      </c>
      <c r="AO216">
        <v>29</v>
      </c>
      <c r="AP216">
        <v>212</v>
      </c>
      <c r="AQ216">
        <f>'HourGH-OCT'!AE41</f>
        <v>338.87</v>
      </c>
      <c r="AT216">
        <v>7</v>
      </c>
      <c r="AU216">
        <v>29</v>
      </c>
      <c r="AV216">
        <v>212</v>
      </c>
      <c r="AW216" s="117">
        <f>Discharge!I39</f>
        <v>54.12</v>
      </c>
    </row>
    <row r="217" spans="28:49">
      <c r="AB217">
        <v>7</v>
      </c>
      <c r="AC217">
        <v>30</v>
      </c>
      <c r="AD217">
        <v>213</v>
      </c>
      <c r="AE217" s="117">
        <f>DailyMeanGH!I40</f>
        <v>338.75</v>
      </c>
      <c r="AH217">
        <v>7</v>
      </c>
      <c r="AI217">
        <v>30</v>
      </c>
      <c r="AJ217">
        <v>213</v>
      </c>
      <c r="AK217">
        <f>'HourGH-OCT'!AC42</f>
        <v>338.90000000000003</v>
      </c>
      <c r="AN217">
        <v>7</v>
      </c>
      <c r="AO217">
        <v>30</v>
      </c>
      <c r="AP217">
        <v>213</v>
      </c>
      <c r="AQ217">
        <f>'HourGH-OCT'!AE42</f>
        <v>338.70000000000005</v>
      </c>
      <c r="AT217">
        <v>7</v>
      </c>
      <c r="AU217">
        <v>30</v>
      </c>
      <c r="AV217">
        <v>213</v>
      </c>
      <c r="AW217" s="117">
        <f>Discharge!I40</f>
        <v>39.5</v>
      </c>
    </row>
    <row r="218" spans="28:49">
      <c r="AB218">
        <v>7</v>
      </c>
      <c r="AC218">
        <v>31</v>
      </c>
      <c r="AD218">
        <v>214</v>
      </c>
      <c r="AE218" s="117">
        <f>DailyMeanGH!I41</f>
        <v>338.68</v>
      </c>
      <c r="AH218">
        <v>7</v>
      </c>
      <c r="AI218">
        <v>31</v>
      </c>
      <c r="AJ218">
        <v>214</v>
      </c>
      <c r="AK218">
        <f>'HourGH-OCT'!AC43</f>
        <v>338.70000000000005</v>
      </c>
      <c r="AN218">
        <v>7</v>
      </c>
      <c r="AO218">
        <v>31</v>
      </c>
      <c r="AP218">
        <v>214</v>
      </c>
      <c r="AQ218">
        <f>'HourGH-OCT'!AE43</f>
        <v>338.65000000000003</v>
      </c>
      <c r="AT218">
        <v>7</v>
      </c>
      <c r="AU218">
        <v>31</v>
      </c>
      <c r="AV218">
        <v>214</v>
      </c>
      <c r="AW218" s="117">
        <f>Discharge!I41</f>
        <v>36</v>
      </c>
    </row>
    <row r="219" spans="28:49">
      <c r="AB219">
        <v>8</v>
      </c>
      <c r="AC219">
        <v>1</v>
      </c>
      <c r="AD219">
        <v>215</v>
      </c>
      <c r="AE219" s="117">
        <f>DailyMeanGH!J9</f>
        <v>338.62</v>
      </c>
      <c r="AH219">
        <v>8</v>
      </c>
      <c r="AI219">
        <v>1</v>
      </c>
      <c r="AJ219">
        <v>215</v>
      </c>
      <c r="AK219">
        <f>'HourGH-NOV'!AC11</f>
        <v>338.65000000000003</v>
      </c>
      <c r="AN219">
        <v>8</v>
      </c>
      <c r="AO219">
        <v>1</v>
      </c>
      <c r="AP219">
        <v>215</v>
      </c>
      <c r="AQ219">
        <f>'HourGH-NOV'!AE11</f>
        <v>338.59000000000003</v>
      </c>
      <c r="AT219">
        <v>8</v>
      </c>
      <c r="AU219">
        <v>1</v>
      </c>
      <c r="AV219">
        <v>215</v>
      </c>
      <c r="AW219" s="117">
        <f>Discharge!J9</f>
        <v>33</v>
      </c>
    </row>
    <row r="220" spans="28:49">
      <c r="AB220">
        <v>8</v>
      </c>
      <c r="AC220">
        <v>2</v>
      </c>
      <c r="AD220">
        <v>216</v>
      </c>
      <c r="AE220" s="117">
        <f>DailyMeanGH!J10</f>
        <v>338.55</v>
      </c>
      <c r="AH220">
        <v>8</v>
      </c>
      <c r="AI220">
        <v>2</v>
      </c>
      <c r="AJ220">
        <v>216</v>
      </c>
      <c r="AK220">
        <f>'HourGH-NOV'!AC12</f>
        <v>338.58000000000004</v>
      </c>
      <c r="AN220">
        <v>8</v>
      </c>
      <c r="AO220">
        <v>2</v>
      </c>
      <c r="AP220">
        <v>216</v>
      </c>
      <c r="AQ220">
        <f>'HourGH-NOV'!AE12</f>
        <v>338.52000000000004</v>
      </c>
      <c r="AT220">
        <v>8</v>
      </c>
      <c r="AU220">
        <v>2</v>
      </c>
      <c r="AV220">
        <v>216</v>
      </c>
      <c r="AW220" s="117">
        <f>Discharge!J10</f>
        <v>29.5</v>
      </c>
    </row>
    <row r="221" spans="28:49">
      <c r="AB221">
        <v>8</v>
      </c>
      <c r="AC221">
        <v>3</v>
      </c>
      <c r="AD221">
        <v>217</v>
      </c>
      <c r="AE221" s="117">
        <f>DailyMeanGH!J11</f>
        <v>338.49</v>
      </c>
      <c r="AH221">
        <v>8</v>
      </c>
      <c r="AI221">
        <v>3</v>
      </c>
      <c r="AJ221">
        <v>217</v>
      </c>
      <c r="AK221">
        <f>'HourGH-NOV'!AC13</f>
        <v>338.51000000000005</v>
      </c>
      <c r="AN221">
        <v>8</v>
      </c>
      <c r="AO221">
        <v>3</v>
      </c>
      <c r="AP221">
        <v>217</v>
      </c>
      <c r="AQ221">
        <f>'HourGH-NOV'!AE13</f>
        <v>338.48</v>
      </c>
      <c r="AT221">
        <v>8</v>
      </c>
      <c r="AU221">
        <v>3</v>
      </c>
      <c r="AV221">
        <v>217</v>
      </c>
      <c r="AW221" s="117">
        <f>Discharge!J11</f>
        <v>26.5</v>
      </c>
    </row>
    <row r="222" spans="28:49">
      <c r="AB222">
        <v>8</v>
      </c>
      <c r="AC222">
        <v>4</v>
      </c>
      <c r="AD222">
        <v>218</v>
      </c>
      <c r="AE222" s="117">
        <f>DailyMeanGH!J12</f>
        <v>338.45</v>
      </c>
      <c r="AH222">
        <v>8</v>
      </c>
      <c r="AI222">
        <v>4</v>
      </c>
      <c r="AJ222">
        <v>218</v>
      </c>
      <c r="AK222">
        <f>'HourGH-NOV'!AC14</f>
        <v>338.47</v>
      </c>
      <c r="AN222">
        <v>8</v>
      </c>
      <c r="AO222">
        <v>4</v>
      </c>
      <c r="AP222">
        <v>218</v>
      </c>
      <c r="AQ222">
        <f>'HourGH-NOV'!AE14</f>
        <v>338.43</v>
      </c>
      <c r="AT222">
        <v>8</v>
      </c>
      <c r="AU222">
        <v>4</v>
      </c>
      <c r="AV222">
        <v>218</v>
      </c>
      <c r="AW222" s="117">
        <f>Discharge!J12</f>
        <v>24.5</v>
      </c>
    </row>
    <row r="223" spans="28:49">
      <c r="AB223">
        <v>8</v>
      </c>
      <c r="AC223">
        <v>5</v>
      </c>
      <c r="AD223">
        <v>219</v>
      </c>
      <c r="AE223" s="117">
        <f>DailyMeanGH!J13</f>
        <v>338.4</v>
      </c>
      <c r="AH223">
        <v>8</v>
      </c>
      <c r="AI223">
        <v>5</v>
      </c>
      <c r="AJ223">
        <v>219</v>
      </c>
      <c r="AK223">
        <f>'HourGH-NOV'!AC15</f>
        <v>338.42</v>
      </c>
      <c r="AN223">
        <v>8</v>
      </c>
      <c r="AO223">
        <v>5</v>
      </c>
      <c r="AP223">
        <v>219</v>
      </c>
      <c r="AQ223">
        <f>'HourGH-NOV'!AE15</f>
        <v>338.39000000000004</v>
      </c>
      <c r="AT223">
        <v>8</v>
      </c>
      <c r="AU223">
        <v>5</v>
      </c>
      <c r="AV223">
        <v>219</v>
      </c>
      <c r="AW223" s="117">
        <f>Discharge!J13</f>
        <v>22</v>
      </c>
    </row>
    <row r="224" spans="28:49">
      <c r="AB224">
        <v>8</v>
      </c>
      <c r="AC224">
        <v>6</v>
      </c>
      <c r="AD224">
        <v>220</v>
      </c>
      <c r="AE224" s="117">
        <f>DailyMeanGH!J14</f>
        <v>338.37</v>
      </c>
      <c r="AH224">
        <v>8</v>
      </c>
      <c r="AI224">
        <v>6</v>
      </c>
      <c r="AJ224">
        <v>220</v>
      </c>
      <c r="AK224">
        <f>'HourGH-NOV'!AC16</f>
        <v>338.38</v>
      </c>
      <c r="AN224">
        <v>8</v>
      </c>
      <c r="AO224">
        <v>6</v>
      </c>
      <c r="AP224">
        <v>220</v>
      </c>
      <c r="AQ224">
        <f>'HourGH-NOV'!AE16</f>
        <v>338.35</v>
      </c>
      <c r="AT224">
        <v>8</v>
      </c>
      <c r="AU224">
        <v>6</v>
      </c>
      <c r="AV224">
        <v>220</v>
      </c>
      <c r="AW224" s="117">
        <f>Discharge!J14</f>
        <v>20.65</v>
      </c>
    </row>
    <row r="225" spans="28:49">
      <c r="AB225">
        <v>8</v>
      </c>
      <c r="AC225">
        <v>7</v>
      </c>
      <c r="AD225">
        <v>221</v>
      </c>
      <c r="AE225" s="117">
        <f>DailyMeanGH!J15</f>
        <v>338.34</v>
      </c>
      <c r="AH225">
        <v>8</v>
      </c>
      <c r="AI225">
        <v>7</v>
      </c>
      <c r="AJ225">
        <v>221</v>
      </c>
      <c r="AK225">
        <f>'HourGH-NOV'!AC17</f>
        <v>338.34000000000003</v>
      </c>
      <c r="AN225">
        <v>8</v>
      </c>
      <c r="AO225">
        <v>7</v>
      </c>
      <c r="AP225">
        <v>221</v>
      </c>
      <c r="AQ225">
        <f>'HourGH-NOV'!AE17</f>
        <v>338.33000000000004</v>
      </c>
      <c r="AT225">
        <v>8</v>
      </c>
      <c r="AU225">
        <v>7</v>
      </c>
      <c r="AV225">
        <v>221</v>
      </c>
      <c r="AW225" s="117">
        <f>Discharge!J15</f>
        <v>19.3</v>
      </c>
    </row>
    <row r="226" spans="28:49">
      <c r="AB226">
        <v>8</v>
      </c>
      <c r="AC226">
        <v>8</v>
      </c>
      <c r="AD226">
        <v>222</v>
      </c>
      <c r="AE226" s="117">
        <f>DailyMeanGH!J16</f>
        <v>338.32</v>
      </c>
      <c r="AH226">
        <v>8</v>
      </c>
      <c r="AI226">
        <v>8</v>
      </c>
      <c r="AJ226">
        <v>222</v>
      </c>
      <c r="AK226">
        <f>'HourGH-NOV'!AC18</f>
        <v>338.32000000000005</v>
      </c>
      <c r="AN226">
        <v>8</v>
      </c>
      <c r="AO226">
        <v>8</v>
      </c>
      <c r="AP226">
        <v>222</v>
      </c>
      <c r="AQ226">
        <f>'HourGH-NOV'!AE18</f>
        <v>338.31</v>
      </c>
      <c r="AT226">
        <v>8</v>
      </c>
      <c r="AU226">
        <v>8</v>
      </c>
      <c r="AV226">
        <v>222</v>
      </c>
      <c r="AW226" s="117">
        <f>Discharge!J16</f>
        <v>18.399999999999999</v>
      </c>
    </row>
    <row r="227" spans="28:49">
      <c r="AB227">
        <v>8</v>
      </c>
      <c r="AC227">
        <v>9</v>
      </c>
      <c r="AD227">
        <v>223</v>
      </c>
      <c r="AE227" s="117">
        <f>DailyMeanGH!J17</f>
        <v>338.3</v>
      </c>
      <c r="AH227">
        <v>8</v>
      </c>
      <c r="AI227">
        <v>9</v>
      </c>
      <c r="AJ227">
        <v>223</v>
      </c>
      <c r="AK227">
        <f>'HourGH-NOV'!AC19</f>
        <v>338.3</v>
      </c>
      <c r="AN227">
        <v>8</v>
      </c>
      <c r="AO227">
        <v>9</v>
      </c>
      <c r="AP227">
        <v>223</v>
      </c>
      <c r="AQ227">
        <f>'HourGH-NOV'!AE19</f>
        <v>338.29</v>
      </c>
      <c r="AT227">
        <v>8</v>
      </c>
      <c r="AU227">
        <v>9</v>
      </c>
      <c r="AV227">
        <v>223</v>
      </c>
      <c r="AW227" s="117">
        <f>Discharge!J17</f>
        <v>17.5</v>
      </c>
    </row>
    <row r="228" spans="28:49">
      <c r="AB228">
        <v>8</v>
      </c>
      <c r="AC228">
        <v>10</v>
      </c>
      <c r="AD228">
        <v>224</v>
      </c>
      <c r="AE228" s="117">
        <f>DailyMeanGH!J18</f>
        <v>338.28</v>
      </c>
      <c r="AH228">
        <v>8</v>
      </c>
      <c r="AI228">
        <v>10</v>
      </c>
      <c r="AJ228">
        <v>224</v>
      </c>
      <c r="AK228">
        <f>'HourGH-NOV'!AC20</f>
        <v>338.28000000000003</v>
      </c>
      <c r="AN228">
        <v>8</v>
      </c>
      <c r="AO228">
        <v>10</v>
      </c>
      <c r="AP228">
        <v>224</v>
      </c>
      <c r="AQ228">
        <f>'HourGH-NOV'!AE20</f>
        <v>338.27000000000004</v>
      </c>
      <c r="AT228">
        <v>8</v>
      </c>
      <c r="AU228">
        <v>10</v>
      </c>
      <c r="AV228">
        <v>224</v>
      </c>
      <c r="AW228" s="117">
        <f>Discharge!J18</f>
        <v>16.600000000000001</v>
      </c>
    </row>
    <row r="229" spans="28:49">
      <c r="AB229">
        <v>8</v>
      </c>
      <c r="AC229">
        <v>11</v>
      </c>
      <c r="AD229">
        <v>225</v>
      </c>
      <c r="AE229" s="117">
        <f>DailyMeanGH!J20</f>
        <v>338.26</v>
      </c>
      <c r="AH229">
        <v>8</v>
      </c>
      <c r="AI229">
        <v>11</v>
      </c>
      <c r="AJ229">
        <v>225</v>
      </c>
      <c r="AK229">
        <f>'HourGH-NOV'!AC22</f>
        <v>338.26000000000005</v>
      </c>
      <c r="AN229">
        <v>8</v>
      </c>
      <c r="AO229">
        <v>11</v>
      </c>
      <c r="AP229">
        <v>225</v>
      </c>
      <c r="AQ229">
        <f>'HourGH-NOV'!AE22</f>
        <v>338.26000000000005</v>
      </c>
      <c r="AT229">
        <v>8</v>
      </c>
      <c r="AU229">
        <v>11</v>
      </c>
      <c r="AV229">
        <v>225</v>
      </c>
      <c r="AW229" s="117">
        <f>Discharge!J20</f>
        <v>15.7</v>
      </c>
    </row>
    <row r="230" spans="28:49">
      <c r="AB230">
        <v>8</v>
      </c>
      <c r="AC230">
        <v>12</v>
      </c>
      <c r="AD230">
        <v>226</v>
      </c>
      <c r="AE230" s="117">
        <f>DailyMeanGH!J21</f>
        <v>338.26</v>
      </c>
      <c r="AH230">
        <v>8</v>
      </c>
      <c r="AI230">
        <v>12</v>
      </c>
      <c r="AJ230">
        <v>226</v>
      </c>
      <c r="AK230">
        <f>'HourGH-NOV'!AC23</f>
        <v>338.26000000000005</v>
      </c>
      <c r="AN230">
        <v>8</v>
      </c>
      <c r="AO230">
        <v>12</v>
      </c>
      <c r="AP230">
        <v>226</v>
      </c>
      <c r="AQ230">
        <f>'HourGH-NOV'!AE23</f>
        <v>338.26000000000005</v>
      </c>
      <c r="AT230">
        <v>8</v>
      </c>
      <c r="AU230">
        <v>12</v>
      </c>
      <c r="AV230">
        <v>226</v>
      </c>
      <c r="AW230" s="117">
        <f>Discharge!J21</f>
        <v>15.7</v>
      </c>
    </row>
    <row r="231" spans="28:49">
      <c r="AB231">
        <v>8</v>
      </c>
      <c r="AC231">
        <v>13</v>
      </c>
      <c r="AD231">
        <v>227</v>
      </c>
      <c r="AE231" s="117">
        <f>DailyMeanGH!J22</f>
        <v>338.24</v>
      </c>
      <c r="AH231">
        <v>8</v>
      </c>
      <c r="AI231">
        <v>13</v>
      </c>
      <c r="AJ231">
        <v>227</v>
      </c>
      <c r="AK231">
        <f>'HourGH-NOV'!AC24</f>
        <v>338.25</v>
      </c>
      <c r="AN231">
        <v>8</v>
      </c>
      <c r="AO231">
        <v>13</v>
      </c>
      <c r="AP231">
        <v>227</v>
      </c>
      <c r="AQ231">
        <f>'HourGH-NOV'!AE24</f>
        <v>338.23</v>
      </c>
      <c r="AT231">
        <v>8</v>
      </c>
      <c r="AU231">
        <v>13</v>
      </c>
      <c r="AV231">
        <v>227</v>
      </c>
      <c r="AW231" s="117">
        <f>Discharge!J22</f>
        <v>14.8</v>
      </c>
    </row>
    <row r="232" spans="28:49">
      <c r="AB232">
        <v>8</v>
      </c>
      <c r="AC232">
        <v>14</v>
      </c>
      <c r="AD232">
        <v>228</v>
      </c>
      <c r="AE232" s="117">
        <f>DailyMeanGH!J23</f>
        <v>338.26</v>
      </c>
      <c r="AH232">
        <v>8</v>
      </c>
      <c r="AI232">
        <v>14</v>
      </c>
      <c r="AJ232">
        <v>228</v>
      </c>
      <c r="AK232">
        <f>'HourGH-NOV'!AC25</f>
        <v>338.33000000000004</v>
      </c>
      <c r="AN232">
        <v>8</v>
      </c>
      <c r="AO232">
        <v>14</v>
      </c>
      <c r="AP232">
        <v>228</v>
      </c>
      <c r="AQ232">
        <f>'HourGH-NOV'!AE25</f>
        <v>338.22</v>
      </c>
      <c r="AT232">
        <v>8</v>
      </c>
      <c r="AU232">
        <v>14</v>
      </c>
      <c r="AV232">
        <v>228</v>
      </c>
      <c r="AW232" s="117">
        <f>Discharge!J23</f>
        <v>15.7</v>
      </c>
    </row>
    <row r="233" spans="28:49">
      <c r="AB233">
        <v>8</v>
      </c>
      <c r="AC233">
        <v>15</v>
      </c>
      <c r="AD233">
        <v>229</v>
      </c>
      <c r="AE233" s="117">
        <f>DailyMeanGH!J24</f>
        <v>338.43</v>
      </c>
      <c r="AH233">
        <v>8</v>
      </c>
      <c r="AI233">
        <v>15</v>
      </c>
      <c r="AJ233">
        <v>229</v>
      </c>
      <c r="AK233">
        <f>'HourGH-NOV'!AC26</f>
        <v>338.5</v>
      </c>
      <c r="AN233">
        <v>8</v>
      </c>
      <c r="AO233">
        <v>15</v>
      </c>
      <c r="AP233">
        <v>229</v>
      </c>
      <c r="AQ233">
        <f>'HourGH-NOV'!AE26</f>
        <v>338.33000000000004</v>
      </c>
      <c r="AT233">
        <v>8</v>
      </c>
      <c r="AU233">
        <v>15</v>
      </c>
      <c r="AV233">
        <v>229</v>
      </c>
      <c r="AW233" s="117">
        <f>Discharge!J24</f>
        <v>23.5</v>
      </c>
    </row>
    <row r="234" spans="28:49">
      <c r="AB234">
        <v>8</v>
      </c>
      <c r="AC234">
        <v>16</v>
      </c>
      <c r="AD234">
        <v>230</v>
      </c>
      <c r="AE234" s="117">
        <f>DailyMeanGH!J25</f>
        <v>338.28</v>
      </c>
      <c r="AH234">
        <v>8</v>
      </c>
      <c r="AI234">
        <v>16</v>
      </c>
      <c r="AJ234">
        <v>230</v>
      </c>
      <c r="AK234">
        <f>'HourGH-NOV'!AC27</f>
        <v>338.32000000000005</v>
      </c>
      <c r="AN234">
        <v>8</v>
      </c>
      <c r="AO234">
        <v>16</v>
      </c>
      <c r="AP234">
        <v>230</v>
      </c>
      <c r="AQ234">
        <f>'HourGH-NOV'!AE27</f>
        <v>338.27000000000004</v>
      </c>
      <c r="AT234">
        <v>8</v>
      </c>
      <c r="AU234">
        <v>16</v>
      </c>
      <c r="AV234">
        <v>230</v>
      </c>
      <c r="AW234" s="117">
        <f>Discharge!J25</f>
        <v>16.600000000000001</v>
      </c>
    </row>
    <row r="235" spans="28:49">
      <c r="AB235">
        <v>8</v>
      </c>
      <c r="AC235">
        <v>17</v>
      </c>
      <c r="AD235">
        <v>231</v>
      </c>
      <c r="AE235" s="117">
        <f>DailyMeanGH!J26</f>
        <v>338.26</v>
      </c>
      <c r="AH235">
        <v>8</v>
      </c>
      <c r="AI235">
        <v>17</v>
      </c>
      <c r="AJ235">
        <v>231</v>
      </c>
      <c r="AK235">
        <f>'HourGH-NOV'!AC28</f>
        <v>338.26000000000005</v>
      </c>
      <c r="AN235">
        <v>8</v>
      </c>
      <c r="AO235">
        <v>17</v>
      </c>
      <c r="AP235">
        <v>231</v>
      </c>
      <c r="AQ235">
        <f>'HourGH-NOV'!AE28</f>
        <v>338.26000000000005</v>
      </c>
      <c r="AT235">
        <v>8</v>
      </c>
      <c r="AU235">
        <v>17</v>
      </c>
      <c r="AV235">
        <v>231</v>
      </c>
      <c r="AW235" s="117">
        <f>Discharge!J26</f>
        <v>15.7</v>
      </c>
    </row>
    <row r="236" spans="28:49">
      <c r="AB236">
        <v>8</v>
      </c>
      <c r="AC236">
        <v>18</v>
      </c>
      <c r="AD236">
        <v>232</v>
      </c>
      <c r="AE236" s="117">
        <f>DailyMeanGH!J27</f>
        <v>338.27</v>
      </c>
      <c r="AH236">
        <v>8</v>
      </c>
      <c r="AI236">
        <v>18</v>
      </c>
      <c r="AJ236">
        <v>232</v>
      </c>
      <c r="AK236">
        <f>'HourGH-NOV'!AC29</f>
        <v>338.28000000000003</v>
      </c>
      <c r="AN236">
        <v>8</v>
      </c>
      <c r="AO236">
        <v>18</v>
      </c>
      <c r="AP236">
        <v>232</v>
      </c>
      <c r="AQ236">
        <f>'HourGH-NOV'!AE29</f>
        <v>338.25</v>
      </c>
      <c r="AT236">
        <v>8</v>
      </c>
      <c r="AU236">
        <v>18</v>
      </c>
      <c r="AV236">
        <v>232</v>
      </c>
      <c r="AW236" s="117">
        <f>Discharge!J27</f>
        <v>16.149999999999999</v>
      </c>
    </row>
    <row r="237" spans="28:49">
      <c r="AB237">
        <v>8</v>
      </c>
      <c r="AC237">
        <v>19</v>
      </c>
      <c r="AD237">
        <v>233</v>
      </c>
      <c r="AE237" s="117">
        <f>DailyMeanGH!J28</f>
        <v>338.34</v>
      </c>
      <c r="AH237">
        <v>8</v>
      </c>
      <c r="AI237">
        <v>19</v>
      </c>
      <c r="AJ237">
        <v>233</v>
      </c>
      <c r="AK237">
        <f>'HourGH-NOV'!AC30</f>
        <v>338.41</v>
      </c>
      <c r="AN237">
        <v>8</v>
      </c>
      <c r="AO237">
        <v>19</v>
      </c>
      <c r="AP237">
        <v>233</v>
      </c>
      <c r="AQ237">
        <f>'HourGH-NOV'!AE30</f>
        <v>338.29</v>
      </c>
      <c r="AT237">
        <v>8</v>
      </c>
      <c r="AU237">
        <v>19</v>
      </c>
      <c r="AV237">
        <v>233</v>
      </c>
      <c r="AW237" s="117">
        <f>Discharge!J28</f>
        <v>19.3</v>
      </c>
    </row>
    <row r="238" spans="28:49">
      <c r="AB238">
        <v>8</v>
      </c>
      <c r="AC238">
        <v>20</v>
      </c>
      <c r="AD238">
        <v>234</v>
      </c>
      <c r="AE238" s="117">
        <f>DailyMeanGH!J29</f>
        <v>338.46</v>
      </c>
      <c r="AH238">
        <v>8</v>
      </c>
      <c r="AI238">
        <v>20</v>
      </c>
      <c r="AJ238">
        <v>234</v>
      </c>
      <c r="AK238">
        <f>'HourGH-NOV'!AC31</f>
        <v>338.49</v>
      </c>
      <c r="AN238">
        <v>8</v>
      </c>
      <c r="AO238">
        <v>20</v>
      </c>
      <c r="AP238">
        <v>234</v>
      </c>
      <c r="AQ238">
        <f>'HourGH-NOV'!AE31</f>
        <v>338.42</v>
      </c>
      <c r="AT238">
        <v>8</v>
      </c>
      <c r="AU238">
        <v>20</v>
      </c>
      <c r="AV238">
        <v>234</v>
      </c>
      <c r="AW238" s="117">
        <f>Discharge!J29</f>
        <v>25</v>
      </c>
    </row>
    <row r="239" spans="28:49">
      <c r="AB239">
        <v>8</v>
      </c>
      <c r="AC239">
        <v>21</v>
      </c>
      <c r="AD239">
        <v>235</v>
      </c>
      <c r="AE239" s="117">
        <f>DailyMeanGH!J31</f>
        <v>338.35</v>
      </c>
      <c r="AH239">
        <v>8</v>
      </c>
      <c r="AI239">
        <v>21</v>
      </c>
      <c r="AJ239">
        <v>235</v>
      </c>
      <c r="AK239">
        <f>'HourGH-NOV'!AC33</f>
        <v>338.41</v>
      </c>
      <c r="AN239">
        <v>8</v>
      </c>
      <c r="AO239">
        <v>21</v>
      </c>
      <c r="AP239">
        <v>235</v>
      </c>
      <c r="AQ239">
        <f>'HourGH-NOV'!AE33</f>
        <v>338.32000000000005</v>
      </c>
      <c r="AT239">
        <v>8</v>
      </c>
      <c r="AU239">
        <v>21</v>
      </c>
      <c r="AV239">
        <v>235</v>
      </c>
      <c r="AW239" s="117">
        <f>Discharge!J31</f>
        <v>19.75</v>
      </c>
    </row>
    <row r="240" spans="28:49">
      <c r="AB240">
        <v>8</v>
      </c>
      <c r="AC240">
        <v>22</v>
      </c>
      <c r="AD240">
        <v>236</v>
      </c>
      <c r="AE240" s="117">
        <f>DailyMeanGH!J32</f>
        <v>338.28</v>
      </c>
      <c r="AH240">
        <v>8</v>
      </c>
      <c r="AI240">
        <v>22</v>
      </c>
      <c r="AJ240">
        <v>236</v>
      </c>
      <c r="AK240">
        <f>'HourGH-NOV'!AC34</f>
        <v>338.31</v>
      </c>
      <c r="AN240">
        <v>8</v>
      </c>
      <c r="AO240">
        <v>22</v>
      </c>
      <c r="AP240">
        <v>236</v>
      </c>
      <c r="AQ240">
        <f>'HourGH-NOV'!AE34</f>
        <v>338.25</v>
      </c>
      <c r="AT240">
        <v>8</v>
      </c>
      <c r="AU240">
        <v>22</v>
      </c>
      <c r="AV240">
        <v>236</v>
      </c>
      <c r="AW240" s="117">
        <f>Discharge!J32</f>
        <v>16.600000000000001</v>
      </c>
    </row>
    <row r="241" spans="28:49">
      <c r="AB241">
        <v>8</v>
      </c>
      <c r="AC241">
        <v>23</v>
      </c>
      <c r="AD241">
        <v>237</v>
      </c>
      <c r="AE241" s="117">
        <f>DailyMeanGH!J33</f>
        <v>338.23</v>
      </c>
      <c r="AH241">
        <v>8</v>
      </c>
      <c r="AI241">
        <v>23</v>
      </c>
      <c r="AJ241">
        <v>237</v>
      </c>
      <c r="AK241">
        <f>'HourGH-NOV'!AC35</f>
        <v>338.24</v>
      </c>
      <c r="AN241">
        <v>8</v>
      </c>
      <c r="AO241">
        <v>23</v>
      </c>
      <c r="AP241">
        <v>237</v>
      </c>
      <c r="AQ241">
        <f>'HourGH-NOV'!AE35</f>
        <v>338.23</v>
      </c>
      <c r="AT241">
        <v>8</v>
      </c>
      <c r="AU241">
        <v>23</v>
      </c>
      <c r="AV241">
        <v>237</v>
      </c>
      <c r="AW241" s="117">
        <f>Discharge!J33</f>
        <v>14.35</v>
      </c>
    </row>
    <row r="242" spans="28:49">
      <c r="AB242">
        <v>8</v>
      </c>
      <c r="AC242">
        <v>24</v>
      </c>
      <c r="AD242">
        <v>238</v>
      </c>
      <c r="AE242" s="117">
        <f>DailyMeanGH!J34</f>
        <v>338.22</v>
      </c>
      <c r="AH242">
        <v>8</v>
      </c>
      <c r="AI242">
        <v>24</v>
      </c>
      <c r="AJ242">
        <v>238</v>
      </c>
      <c r="AK242">
        <f>'HourGH-NOV'!AC36</f>
        <v>338.22</v>
      </c>
      <c r="AN242">
        <v>8</v>
      </c>
      <c r="AO242">
        <v>24</v>
      </c>
      <c r="AP242">
        <v>238</v>
      </c>
      <c r="AQ242">
        <f>'HourGH-NOV'!AE36</f>
        <v>338.21000000000004</v>
      </c>
      <c r="AT242">
        <v>8</v>
      </c>
      <c r="AU242">
        <v>24</v>
      </c>
      <c r="AV242">
        <v>238</v>
      </c>
      <c r="AW242" s="117">
        <f>Discharge!J34</f>
        <v>13.9</v>
      </c>
    </row>
    <row r="243" spans="28:49">
      <c r="AB243">
        <v>8</v>
      </c>
      <c r="AC243">
        <v>25</v>
      </c>
      <c r="AD243">
        <v>239</v>
      </c>
      <c r="AE243" s="117">
        <f>DailyMeanGH!J35</f>
        <v>338.2</v>
      </c>
      <c r="AH243">
        <v>8</v>
      </c>
      <c r="AI243">
        <v>25</v>
      </c>
      <c r="AJ243">
        <v>239</v>
      </c>
      <c r="AK243">
        <f>'HourGH-NOV'!AC37</f>
        <v>338.20000000000005</v>
      </c>
      <c r="AN243">
        <v>8</v>
      </c>
      <c r="AO243">
        <v>25</v>
      </c>
      <c r="AP243">
        <v>239</v>
      </c>
      <c r="AQ243">
        <f>'HourGH-NOV'!AE37</f>
        <v>338.19</v>
      </c>
      <c r="AT243">
        <v>8</v>
      </c>
      <c r="AU243">
        <v>25</v>
      </c>
      <c r="AV243">
        <v>239</v>
      </c>
      <c r="AW243" s="117">
        <f>Discharge!J35</f>
        <v>13</v>
      </c>
    </row>
    <row r="244" spans="28:49">
      <c r="AB244">
        <v>8</v>
      </c>
      <c r="AC244">
        <v>26</v>
      </c>
      <c r="AD244">
        <v>240</v>
      </c>
      <c r="AE244" s="117">
        <f>DailyMeanGH!J36</f>
        <v>338.18</v>
      </c>
      <c r="AH244">
        <v>8</v>
      </c>
      <c r="AI244">
        <v>26</v>
      </c>
      <c r="AJ244">
        <v>240</v>
      </c>
      <c r="AK244">
        <f>'HourGH-NOV'!AC38</f>
        <v>338.18</v>
      </c>
      <c r="AN244">
        <v>8</v>
      </c>
      <c r="AO244">
        <v>26</v>
      </c>
      <c r="AP244">
        <v>240</v>
      </c>
      <c r="AQ244">
        <f>'HourGH-NOV'!AE38</f>
        <v>338.18</v>
      </c>
      <c r="AT244">
        <v>8</v>
      </c>
      <c r="AU244">
        <v>26</v>
      </c>
      <c r="AV244">
        <v>240</v>
      </c>
      <c r="AW244" s="117">
        <f>Discharge!J36</f>
        <v>12.35</v>
      </c>
    </row>
    <row r="245" spans="28:49">
      <c r="AB245">
        <v>8</v>
      </c>
      <c r="AC245">
        <v>27</v>
      </c>
      <c r="AD245">
        <v>241</v>
      </c>
      <c r="AE245" s="117">
        <f>DailyMeanGH!J37</f>
        <v>338.18</v>
      </c>
      <c r="AH245">
        <v>8</v>
      </c>
      <c r="AI245">
        <v>27</v>
      </c>
      <c r="AJ245">
        <v>241</v>
      </c>
      <c r="AK245">
        <f>'HourGH-NOV'!AC39</f>
        <v>338.18</v>
      </c>
      <c r="AN245">
        <v>8</v>
      </c>
      <c r="AO245">
        <v>27</v>
      </c>
      <c r="AP245">
        <v>241</v>
      </c>
      <c r="AQ245">
        <f>'HourGH-NOV'!AE39</f>
        <v>338.18</v>
      </c>
      <c r="AT245">
        <v>8</v>
      </c>
      <c r="AU245">
        <v>27</v>
      </c>
      <c r="AV245">
        <v>241</v>
      </c>
      <c r="AW245" s="117">
        <f>Discharge!J37</f>
        <v>12.35</v>
      </c>
    </row>
    <row r="246" spans="28:49">
      <c r="AB246">
        <v>8</v>
      </c>
      <c r="AC246">
        <v>28</v>
      </c>
      <c r="AD246">
        <v>242</v>
      </c>
      <c r="AE246" s="117">
        <f>DailyMeanGH!J38</f>
        <v>338.18</v>
      </c>
      <c r="AH246">
        <v>8</v>
      </c>
      <c r="AI246">
        <v>28</v>
      </c>
      <c r="AJ246">
        <v>242</v>
      </c>
      <c r="AK246">
        <f>'HourGH-NOV'!AC40</f>
        <v>338.18</v>
      </c>
      <c r="AN246">
        <v>8</v>
      </c>
      <c r="AO246">
        <v>28</v>
      </c>
      <c r="AP246">
        <v>242</v>
      </c>
      <c r="AQ246">
        <f>'HourGH-NOV'!AE40</f>
        <v>338.18</v>
      </c>
      <c r="AT246">
        <v>8</v>
      </c>
      <c r="AU246">
        <v>28</v>
      </c>
      <c r="AV246">
        <v>242</v>
      </c>
      <c r="AW246" s="117">
        <f>Discharge!J38</f>
        <v>12.35</v>
      </c>
    </row>
    <row r="247" spans="28:49">
      <c r="AB247">
        <v>8</v>
      </c>
      <c r="AC247">
        <v>29</v>
      </c>
      <c r="AD247">
        <v>243</v>
      </c>
      <c r="AE247" s="117">
        <f>DailyMeanGH!J39</f>
        <v>338.17</v>
      </c>
      <c r="AH247">
        <v>8</v>
      </c>
      <c r="AI247">
        <v>29</v>
      </c>
      <c r="AJ247">
        <v>243</v>
      </c>
      <c r="AK247">
        <f>'HourGH-NOV'!AC41</f>
        <v>338.17</v>
      </c>
      <c r="AN247">
        <v>8</v>
      </c>
      <c r="AO247">
        <v>29</v>
      </c>
      <c r="AP247">
        <v>243</v>
      </c>
      <c r="AQ247">
        <f>'HourGH-NOV'!AE41</f>
        <v>338.17</v>
      </c>
      <c r="AT247">
        <v>8</v>
      </c>
      <c r="AU247">
        <v>29</v>
      </c>
      <c r="AV247">
        <v>243</v>
      </c>
      <c r="AW247" s="117">
        <f>Discharge!J39</f>
        <v>12.03</v>
      </c>
    </row>
    <row r="248" spans="28:49">
      <c r="AB248">
        <v>8</v>
      </c>
      <c r="AC248">
        <v>30</v>
      </c>
      <c r="AD248">
        <v>244</v>
      </c>
      <c r="AE248" s="117">
        <f>DailyMeanGH!J40</f>
        <v>338.18</v>
      </c>
      <c r="AH248">
        <v>8</v>
      </c>
      <c r="AI248">
        <v>30</v>
      </c>
      <c r="AJ248">
        <v>244</v>
      </c>
      <c r="AK248">
        <f>'HourGH-NOV'!AC42</f>
        <v>338.18</v>
      </c>
      <c r="AN248">
        <v>8</v>
      </c>
      <c r="AO248">
        <v>30</v>
      </c>
      <c r="AP248">
        <v>244</v>
      </c>
      <c r="AQ248">
        <f>'HourGH-NOV'!AE42</f>
        <v>338.17</v>
      </c>
      <c r="AT248">
        <v>8</v>
      </c>
      <c r="AU248">
        <v>30</v>
      </c>
      <c r="AV248">
        <v>244</v>
      </c>
      <c r="AW248" s="117">
        <f>Discharge!J40</f>
        <v>12.35</v>
      </c>
    </row>
    <row r="249" spans="28:49">
      <c r="AB249">
        <v>9</v>
      </c>
      <c r="AC249">
        <v>1</v>
      </c>
      <c r="AD249">
        <v>245</v>
      </c>
      <c r="AE249" s="117">
        <f>DailyMeanGH!K9</f>
        <v>338.16</v>
      </c>
      <c r="AH249">
        <v>9</v>
      </c>
      <c r="AI249">
        <v>1</v>
      </c>
      <c r="AJ249">
        <v>245</v>
      </c>
      <c r="AK249">
        <f>'HourGH-DEC'!AC11</f>
        <v>338.16</v>
      </c>
      <c r="AN249">
        <v>9</v>
      </c>
      <c r="AO249">
        <v>1</v>
      </c>
      <c r="AP249">
        <v>245</v>
      </c>
      <c r="AQ249">
        <f>'HourGH-DEC'!AE11</f>
        <v>338.16</v>
      </c>
      <c r="AT249">
        <v>9</v>
      </c>
      <c r="AU249">
        <v>1</v>
      </c>
      <c r="AV249">
        <v>245</v>
      </c>
      <c r="AW249" s="117">
        <f>Discharge!K9</f>
        <v>11.7</v>
      </c>
    </row>
    <row r="250" spans="28:49">
      <c r="AB250">
        <v>9</v>
      </c>
      <c r="AC250">
        <v>2</v>
      </c>
      <c r="AD250">
        <v>246</v>
      </c>
      <c r="AE250" s="117">
        <f>DailyMeanGH!K10</f>
        <v>338.14</v>
      </c>
      <c r="AH250">
        <v>9</v>
      </c>
      <c r="AI250">
        <v>2</v>
      </c>
      <c r="AJ250">
        <v>246</v>
      </c>
      <c r="AK250">
        <f>'HourGH-DEC'!AC12</f>
        <v>338.14000000000004</v>
      </c>
      <c r="AN250">
        <v>9</v>
      </c>
      <c r="AO250">
        <v>2</v>
      </c>
      <c r="AP250">
        <v>246</v>
      </c>
      <c r="AQ250">
        <f>'HourGH-DEC'!AE12</f>
        <v>338.14000000000004</v>
      </c>
      <c r="AT250">
        <v>9</v>
      </c>
      <c r="AU250">
        <v>2</v>
      </c>
      <c r="AV250">
        <v>246</v>
      </c>
      <c r="AW250" s="117">
        <f>Discharge!K10</f>
        <v>11.05</v>
      </c>
    </row>
    <row r="251" spans="28:49">
      <c r="AB251">
        <v>9</v>
      </c>
      <c r="AC251">
        <v>3</v>
      </c>
      <c r="AD251">
        <v>247</v>
      </c>
      <c r="AE251" s="117">
        <f>DailyMeanGH!K11</f>
        <v>338.14</v>
      </c>
      <c r="AH251">
        <v>9</v>
      </c>
      <c r="AI251">
        <v>3</v>
      </c>
      <c r="AJ251">
        <v>247</v>
      </c>
      <c r="AK251">
        <f>'HourGH-DEC'!AC13</f>
        <v>338.14000000000004</v>
      </c>
      <c r="AN251">
        <v>9</v>
      </c>
      <c r="AO251">
        <v>3</v>
      </c>
      <c r="AP251">
        <v>247</v>
      </c>
      <c r="AQ251">
        <f>'HourGH-DEC'!AE13</f>
        <v>338.14000000000004</v>
      </c>
      <c r="AT251">
        <v>9</v>
      </c>
      <c r="AU251">
        <v>3</v>
      </c>
      <c r="AV251">
        <v>247</v>
      </c>
      <c r="AW251" s="117">
        <f>Discharge!K11</f>
        <v>11.05</v>
      </c>
    </row>
    <row r="252" spans="28:49">
      <c r="AB252">
        <v>9</v>
      </c>
      <c r="AC252">
        <v>4</v>
      </c>
      <c r="AD252">
        <v>248</v>
      </c>
      <c r="AE252" s="117">
        <f>DailyMeanGH!K12</f>
        <v>338.13</v>
      </c>
      <c r="AH252">
        <v>9</v>
      </c>
      <c r="AI252">
        <v>4</v>
      </c>
      <c r="AJ252">
        <v>248</v>
      </c>
      <c r="AK252">
        <f>'HourGH-DEC'!AC14</f>
        <v>338.14000000000004</v>
      </c>
      <c r="AN252">
        <v>9</v>
      </c>
      <c r="AO252">
        <v>4</v>
      </c>
      <c r="AP252">
        <v>248</v>
      </c>
      <c r="AQ252">
        <f>'HourGH-DEC'!AE14</f>
        <v>338.13</v>
      </c>
      <c r="AT252">
        <v>9</v>
      </c>
      <c r="AU252">
        <v>4</v>
      </c>
      <c r="AV252">
        <v>248</v>
      </c>
      <c r="AW252" s="117">
        <f>Discharge!K12</f>
        <v>10.73</v>
      </c>
    </row>
    <row r="253" spans="28:49">
      <c r="AB253">
        <v>9</v>
      </c>
      <c r="AC253">
        <v>5</v>
      </c>
      <c r="AD253">
        <v>249</v>
      </c>
      <c r="AE253" s="117">
        <f>DailyMeanGH!K13</f>
        <v>338.12</v>
      </c>
      <c r="AH253">
        <v>9</v>
      </c>
      <c r="AI253">
        <v>5</v>
      </c>
      <c r="AJ253">
        <v>249</v>
      </c>
      <c r="AK253">
        <f>'HourGH-DEC'!AC15</f>
        <v>338.12</v>
      </c>
      <c r="AN253">
        <v>9</v>
      </c>
      <c r="AO253">
        <v>5</v>
      </c>
      <c r="AP253">
        <v>249</v>
      </c>
      <c r="AQ253">
        <f>'HourGH-DEC'!AE15</f>
        <v>338.12</v>
      </c>
      <c r="AT253">
        <v>9</v>
      </c>
      <c r="AU253">
        <v>5</v>
      </c>
      <c r="AV253">
        <v>249</v>
      </c>
      <c r="AW253" s="117">
        <f>Discharge!K13</f>
        <v>10.4</v>
      </c>
    </row>
    <row r="254" spans="28:49">
      <c r="AB254">
        <v>9</v>
      </c>
      <c r="AC254">
        <v>6</v>
      </c>
      <c r="AD254">
        <v>250</v>
      </c>
      <c r="AE254" s="117">
        <f>DailyMeanGH!K14</f>
        <v>338.11</v>
      </c>
      <c r="AH254">
        <v>9</v>
      </c>
      <c r="AI254">
        <v>6</v>
      </c>
      <c r="AJ254">
        <v>250</v>
      </c>
      <c r="AK254">
        <f>'HourGH-DEC'!AC16</f>
        <v>338.11</v>
      </c>
      <c r="AN254">
        <v>9</v>
      </c>
      <c r="AO254">
        <v>6</v>
      </c>
      <c r="AP254">
        <v>250</v>
      </c>
      <c r="AQ254">
        <f>'HourGH-DEC'!AE16</f>
        <v>338.11</v>
      </c>
      <c r="AT254">
        <v>9</v>
      </c>
      <c r="AU254">
        <v>6</v>
      </c>
      <c r="AV254">
        <v>250</v>
      </c>
      <c r="AW254" s="117">
        <f>Discharge!K14</f>
        <v>10.08</v>
      </c>
    </row>
    <row r="255" spans="28:49">
      <c r="AB255">
        <v>9</v>
      </c>
      <c r="AC255">
        <v>7</v>
      </c>
      <c r="AD255">
        <v>251</v>
      </c>
      <c r="AE255" s="117">
        <f>DailyMeanGH!K15</f>
        <v>338.1</v>
      </c>
      <c r="AH255">
        <v>9</v>
      </c>
      <c r="AI255">
        <v>7</v>
      </c>
      <c r="AJ255">
        <v>251</v>
      </c>
      <c r="AK255">
        <f>'HourGH-DEC'!AC17</f>
        <v>338.1</v>
      </c>
      <c r="AN255">
        <v>9</v>
      </c>
      <c r="AO255">
        <v>7</v>
      </c>
      <c r="AP255">
        <v>251</v>
      </c>
      <c r="AQ255">
        <f>'HourGH-DEC'!AE17</f>
        <v>338.1</v>
      </c>
      <c r="AT255">
        <v>9</v>
      </c>
      <c r="AU255">
        <v>7</v>
      </c>
      <c r="AV255">
        <v>251</v>
      </c>
      <c r="AW255" s="117">
        <f>Discharge!K15</f>
        <v>9.75</v>
      </c>
    </row>
    <row r="256" spans="28:49">
      <c r="AB256">
        <v>9</v>
      </c>
      <c r="AC256">
        <v>8</v>
      </c>
      <c r="AD256">
        <v>252</v>
      </c>
      <c r="AE256" s="117">
        <f>DailyMeanGH!K16</f>
        <v>338.1</v>
      </c>
      <c r="AH256">
        <v>9</v>
      </c>
      <c r="AI256">
        <v>8</v>
      </c>
      <c r="AJ256">
        <v>252</v>
      </c>
      <c r="AK256">
        <f>'HourGH-DEC'!AC18</f>
        <v>338.1</v>
      </c>
      <c r="AN256">
        <v>9</v>
      </c>
      <c r="AO256">
        <v>8</v>
      </c>
      <c r="AP256">
        <v>252</v>
      </c>
      <c r="AQ256">
        <f>'HourGH-DEC'!AE18</f>
        <v>338.1</v>
      </c>
      <c r="AT256">
        <v>9</v>
      </c>
      <c r="AU256">
        <v>8</v>
      </c>
      <c r="AV256">
        <v>252</v>
      </c>
      <c r="AW256" s="117">
        <f>Discharge!K16</f>
        <v>9.75</v>
      </c>
    </row>
    <row r="257" spans="28:49">
      <c r="AB257">
        <v>9</v>
      </c>
      <c r="AC257">
        <v>9</v>
      </c>
      <c r="AD257">
        <v>253</v>
      </c>
      <c r="AE257" s="117">
        <f>DailyMeanGH!K17</f>
        <v>338.09</v>
      </c>
      <c r="AH257">
        <v>9</v>
      </c>
      <c r="AI257">
        <v>9</v>
      </c>
      <c r="AJ257">
        <v>253</v>
      </c>
      <c r="AK257">
        <f>'HourGH-DEC'!AC19</f>
        <v>338.09000000000003</v>
      </c>
      <c r="AN257">
        <v>9</v>
      </c>
      <c r="AO257">
        <v>9</v>
      </c>
      <c r="AP257">
        <v>253</v>
      </c>
      <c r="AQ257">
        <f>'HourGH-DEC'!AE19</f>
        <v>338.09000000000003</v>
      </c>
      <c r="AT257">
        <v>9</v>
      </c>
      <c r="AU257">
        <v>9</v>
      </c>
      <c r="AV257">
        <v>253</v>
      </c>
      <c r="AW257" s="117">
        <f>Discharge!K17</f>
        <v>9.42</v>
      </c>
    </row>
    <row r="258" spans="28:49">
      <c r="AB258">
        <v>9</v>
      </c>
      <c r="AC258">
        <v>10</v>
      </c>
      <c r="AD258">
        <v>254</v>
      </c>
      <c r="AE258" s="117">
        <f>DailyMeanGH!K18</f>
        <v>338.08</v>
      </c>
      <c r="AH258">
        <v>9</v>
      </c>
      <c r="AI258">
        <v>10</v>
      </c>
      <c r="AJ258">
        <v>254</v>
      </c>
      <c r="AK258">
        <f>'HourGH-DEC'!AC20</f>
        <v>338.08000000000004</v>
      </c>
      <c r="AN258">
        <v>9</v>
      </c>
      <c r="AO258">
        <v>10</v>
      </c>
      <c r="AP258">
        <v>254</v>
      </c>
      <c r="AQ258">
        <f>'HourGH-DEC'!AE20</f>
        <v>338.08000000000004</v>
      </c>
      <c r="AT258">
        <v>9</v>
      </c>
      <c r="AU258">
        <v>10</v>
      </c>
      <c r="AV258">
        <v>254</v>
      </c>
      <c r="AW258" s="117">
        <f>Discharge!K18</f>
        <v>9.1</v>
      </c>
    </row>
    <row r="259" spans="28:49">
      <c r="AB259">
        <v>9</v>
      </c>
      <c r="AC259">
        <v>11</v>
      </c>
      <c r="AD259">
        <v>255</v>
      </c>
      <c r="AE259" s="117">
        <f>DailyMeanGH!K20</f>
        <v>338.08</v>
      </c>
      <c r="AH259">
        <v>9</v>
      </c>
      <c r="AI259">
        <v>11</v>
      </c>
      <c r="AJ259">
        <v>255</v>
      </c>
      <c r="AK259">
        <f>'HourGH-DEC'!AC22</f>
        <v>338.08000000000004</v>
      </c>
      <c r="AN259">
        <v>9</v>
      </c>
      <c r="AO259">
        <v>11</v>
      </c>
      <c r="AP259">
        <v>255</v>
      </c>
      <c r="AQ259">
        <f>'HourGH-DEC'!AE22</f>
        <v>338.08000000000004</v>
      </c>
      <c r="AT259">
        <v>9</v>
      </c>
      <c r="AU259">
        <v>11</v>
      </c>
      <c r="AV259">
        <v>255</v>
      </c>
      <c r="AW259" s="117">
        <f>Discharge!K20</f>
        <v>9.1</v>
      </c>
    </row>
    <row r="260" spans="28:49">
      <c r="AB260">
        <v>9</v>
      </c>
      <c r="AC260">
        <v>12</v>
      </c>
      <c r="AD260">
        <v>256</v>
      </c>
      <c r="AE260" s="117">
        <f>DailyMeanGH!K21</f>
        <v>338.09</v>
      </c>
      <c r="AH260">
        <v>9</v>
      </c>
      <c r="AI260">
        <v>12</v>
      </c>
      <c r="AJ260">
        <v>256</v>
      </c>
      <c r="AK260">
        <f>'HourGH-DEC'!AC23</f>
        <v>338.09000000000003</v>
      </c>
      <c r="AN260">
        <v>9</v>
      </c>
      <c r="AO260">
        <v>12</v>
      </c>
      <c r="AP260">
        <v>256</v>
      </c>
      <c r="AQ260">
        <f>'HourGH-DEC'!AE23</f>
        <v>338.09000000000003</v>
      </c>
      <c r="AT260">
        <v>9</v>
      </c>
      <c r="AU260">
        <v>12</v>
      </c>
      <c r="AV260">
        <v>256</v>
      </c>
      <c r="AW260" s="117">
        <f>Discharge!K21</f>
        <v>9.42</v>
      </c>
    </row>
    <row r="261" spans="28:49">
      <c r="AB261">
        <v>9</v>
      </c>
      <c r="AC261">
        <v>13</v>
      </c>
      <c r="AD261">
        <v>257</v>
      </c>
      <c r="AE261" s="117">
        <f>DailyMeanGH!K22</f>
        <v>338.12</v>
      </c>
      <c r="AH261">
        <v>9</v>
      </c>
      <c r="AI261">
        <v>13</v>
      </c>
      <c r="AJ261">
        <v>257</v>
      </c>
      <c r="AK261">
        <f>'HourGH-DEC'!AC24</f>
        <v>338.20000000000005</v>
      </c>
      <c r="AN261">
        <v>9</v>
      </c>
      <c r="AO261">
        <v>13</v>
      </c>
      <c r="AP261">
        <v>257</v>
      </c>
      <c r="AQ261">
        <f>'HourGH-DEC'!AE24</f>
        <v>338.09000000000003</v>
      </c>
      <c r="AT261">
        <v>9</v>
      </c>
      <c r="AU261">
        <v>13</v>
      </c>
      <c r="AV261">
        <v>257</v>
      </c>
      <c r="AW261" s="117">
        <f>Discharge!K22</f>
        <v>10.4</v>
      </c>
    </row>
    <row r="262" spans="28:49">
      <c r="AB262">
        <v>9</v>
      </c>
      <c r="AC262">
        <v>14</v>
      </c>
      <c r="AD262">
        <v>258</v>
      </c>
      <c r="AE262" s="117">
        <f>DailyMeanGH!K23</f>
        <v>338.34</v>
      </c>
      <c r="AH262">
        <v>9</v>
      </c>
      <c r="AI262">
        <v>14</v>
      </c>
      <c r="AJ262">
        <v>258</v>
      </c>
      <c r="AK262">
        <f>'HourGH-DEC'!AC25</f>
        <v>338.43</v>
      </c>
      <c r="AN262">
        <v>9</v>
      </c>
      <c r="AO262">
        <v>14</v>
      </c>
      <c r="AP262">
        <v>258</v>
      </c>
      <c r="AQ262">
        <f>'HourGH-DEC'!AE25</f>
        <v>338.22</v>
      </c>
      <c r="AT262">
        <v>9</v>
      </c>
      <c r="AU262">
        <v>14</v>
      </c>
      <c r="AV262">
        <v>258</v>
      </c>
      <c r="AW262" s="117">
        <f>Discharge!K23</f>
        <v>19.3</v>
      </c>
    </row>
    <row r="263" spans="28:49">
      <c r="AB263">
        <v>9</v>
      </c>
      <c r="AC263">
        <v>15</v>
      </c>
      <c r="AD263">
        <v>259</v>
      </c>
      <c r="AE263" s="117">
        <f>DailyMeanGH!K24</f>
        <v>338.54</v>
      </c>
      <c r="AH263">
        <v>9</v>
      </c>
      <c r="AI263">
        <v>15</v>
      </c>
      <c r="AJ263">
        <v>259</v>
      </c>
      <c r="AK263">
        <f>'HourGH-DEC'!AC26</f>
        <v>338.65000000000003</v>
      </c>
      <c r="AN263">
        <v>9</v>
      </c>
      <c r="AO263">
        <v>15</v>
      </c>
      <c r="AP263">
        <v>259</v>
      </c>
      <c r="AQ263">
        <f>'HourGH-DEC'!AE26</f>
        <v>338.44</v>
      </c>
      <c r="AT263">
        <v>9</v>
      </c>
      <c r="AU263">
        <v>15</v>
      </c>
      <c r="AV263">
        <v>259</v>
      </c>
      <c r="AW263" s="117">
        <f>Discharge!K24</f>
        <v>29</v>
      </c>
    </row>
    <row r="264" spans="28:49">
      <c r="AB264">
        <v>9</v>
      </c>
      <c r="AC264">
        <v>16</v>
      </c>
      <c r="AD264">
        <v>260</v>
      </c>
      <c r="AE264" s="117">
        <f>DailyMeanGH!K25</f>
        <v>338.51</v>
      </c>
      <c r="AH264">
        <v>9</v>
      </c>
      <c r="AI264">
        <v>16</v>
      </c>
      <c r="AJ264">
        <v>260</v>
      </c>
      <c r="AK264">
        <f>'HourGH-DEC'!AC27</f>
        <v>338.65000000000003</v>
      </c>
      <c r="AN264">
        <v>9</v>
      </c>
      <c r="AO264">
        <v>16</v>
      </c>
      <c r="AP264">
        <v>260</v>
      </c>
      <c r="AQ264">
        <f>'HourGH-DEC'!AE27</f>
        <v>338.37</v>
      </c>
      <c r="AT264">
        <v>9</v>
      </c>
      <c r="AU264">
        <v>16</v>
      </c>
      <c r="AV264">
        <v>260</v>
      </c>
      <c r="AW264" s="117">
        <f>Discharge!K25</f>
        <v>27.5</v>
      </c>
    </row>
    <row r="265" spans="28:49">
      <c r="AB265">
        <v>9</v>
      </c>
      <c r="AC265">
        <v>17</v>
      </c>
      <c r="AD265">
        <v>261</v>
      </c>
      <c r="AE265" s="117">
        <f>DailyMeanGH!K26</f>
        <v>338.27</v>
      </c>
      <c r="AH265">
        <v>9</v>
      </c>
      <c r="AI265">
        <v>17</v>
      </c>
      <c r="AJ265">
        <v>261</v>
      </c>
      <c r="AK265">
        <f>'HourGH-DEC'!AC28</f>
        <v>338.36</v>
      </c>
      <c r="AN265">
        <v>9</v>
      </c>
      <c r="AO265">
        <v>17</v>
      </c>
      <c r="AP265">
        <v>261</v>
      </c>
      <c r="AQ265">
        <f>'HourGH-DEC'!AE28</f>
        <v>338.22</v>
      </c>
      <c r="AT265">
        <v>9</v>
      </c>
      <c r="AU265">
        <v>17</v>
      </c>
      <c r="AV265">
        <v>261</v>
      </c>
      <c r="AW265" s="117">
        <f>Discharge!K26</f>
        <v>16.149999999999999</v>
      </c>
    </row>
    <row r="266" spans="28:49">
      <c r="AB266">
        <v>9</v>
      </c>
      <c r="AC266">
        <v>18</v>
      </c>
      <c r="AD266">
        <v>262</v>
      </c>
      <c r="AE266" s="117">
        <f>DailyMeanGH!K27</f>
        <v>338.2</v>
      </c>
      <c r="AH266">
        <v>9</v>
      </c>
      <c r="AI266">
        <v>18</v>
      </c>
      <c r="AJ266">
        <v>262</v>
      </c>
      <c r="AK266">
        <f>'HourGH-DEC'!AC29</f>
        <v>338.22</v>
      </c>
      <c r="AN266">
        <v>9</v>
      </c>
      <c r="AO266">
        <v>18</v>
      </c>
      <c r="AP266">
        <v>262</v>
      </c>
      <c r="AQ266">
        <f>'HourGH-DEC'!AE29</f>
        <v>338.18</v>
      </c>
      <c r="AT266">
        <v>9</v>
      </c>
      <c r="AU266">
        <v>18</v>
      </c>
      <c r="AV266">
        <v>262</v>
      </c>
      <c r="AW266" s="117">
        <f>Discharge!K27</f>
        <v>13</v>
      </c>
    </row>
    <row r="267" spans="28:49">
      <c r="AB267">
        <v>9</v>
      </c>
      <c r="AC267">
        <v>19</v>
      </c>
      <c r="AD267">
        <v>263</v>
      </c>
      <c r="AE267" s="117">
        <f>DailyMeanGH!K28</f>
        <v>338.17</v>
      </c>
      <c r="AH267">
        <v>9</v>
      </c>
      <c r="AI267">
        <v>19</v>
      </c>
      <c r="AJ267">
        <v>263</v>
      </c>
      <c r="AK267">
        <f>'HourGH-DEC'!AC30</f>
        <v>338.17</v>
      </c>
      <c r="AN267">
        <v>9</v>
      </c>
      <c r="AO267">
        <v>19</v>
      </c>
      <c r="AP267">
        <v>263</v>
      </c>
      <c r="AQ267">
        <f>'HourGH-DEC'!AE30</f>
        <v>338.16</v>
      </c>
      <c r="AT267">
        <v>9</v>
      </c>
      <c r="AU267">
        <v>19</v>
      </c>
      <c r="AV267">
        <v>263</v>
      </c>
      <c r="AW267" s="117">
        <f>Discharge!K28</f>
        <v>12.03</v>
      </c>
    </row>
    <row r="268" spans="28:49">
      <c r="AB268">
        <v>9</v>
      </c>
      <c r="AC268">
        <v>20</v>
      </c>
      <c r="AD268">
        <v>264</v>
      </c>
      <c r="AE268" s="117">
        <f>DailyMeanGH!K29</f>
        <v>338.13</v>
      </c>
      <c r="AH268">
        <v>9</v>
      </c>
      <c r="AI268">
        <v>20</v>
      </c>
      <c r="AJ268">
        <v>264</v>
      </c>
      <c r="AK268">
        <f>'HourGH-DEC'!AC31</f>
        <v>338.15000000000003</v>
      </c>
      <c r="AN268">
        <v>9</v>
      </c>
      <c r="AO268">
        <v>20</v>
      </c>
      <c r="AP268">
        <v>264</v>
      </c>
      <c r="AQ268">
        <f>'HourGH-DEC'!AE31</f>
        <v>338.12</v>
      </c>
      <c r="AT268">
        <v>9</v>
      </c>
      <c r="AU268">
        <v>20</v>
      </c>
      <c r="AV268">
        <v>264</v>
      </c>
      <c r="AW268" s="117">
        <f>Discharge!K29</f>
        <v>10.73</v>
      </c>
    </row>
    <row r="269" spans="28:49">
      <c r="AB269">
        <v>9</v>
      </c>
      <c r="AC269">
        <v>21</v>
      </c>
      <c r="AD269">
        <v>265</v>
      </c>
      <c r="AE269" s="117">
        <f>DailyMeanGH!K31</f>
        <v>338.1</v>
      </c>
      <c r="AH269">
        <v>9</v>
      </c>
      <c r="AI269">
        <v>21</v>
      </c>
      <c r="AJ269">
        <v>265</v>
      </c>
      <c r="AK269">
        <f>'HourGH-DEC'!AC33</f>
        <v>338.11</v>
      </c>
      <c r="AN269">
        <v>9</v>
      </c>
      <c r="AO269">
        <v>21</v>
      </c>
      <c r="AP269">
        <v>265</v>
      </c>
      <c r="AQ269">
        <f>'HourGH-DEC'!AE33</f>
        <v>338.09000000000003</v>
      </c>
      <c r="AT269">
        <v>9</v>
      </c>
      <c r="AU269">
        <v>21</v>
      </c>
      <c r="AV269">
        <v>265</v>
      </c>
      <c r="AW269" s="117">
        <f>Discharge!K31</f>
        <v>9.75</v>
      </c>
    </row>
    <row r="270" spans="28:49">
      <c r="AB270">
        <v>9</v>
      </c>
      <c r="AC270">
        <v>22</v>
      </c>
      <c r="AD270">
        <v>266</v>
      </c>
      <c r="AE270" s="117">
        <f>DailyMeanGH!K32</f>
        <v>338.08</v>
      </c>
      <c r="AH270">
        <v>9</v>
      </c>
      <c r="AI270">
        <v>22</v>
      </c>
      <c r="AJ270">
        <v>266</v>
      </c>
      <c r="AK270">
        <f>'HourGH-DEC'!AC34</f>
        <v>338.08000000000004</v>
      </c>
      <c r="AN270">
        <v>9</v>
      </c>
      <c r="AO270">
        <v>22</v>
      </c>
      <c r="AP270">
        <v>266</v>
      </c>
      <c r="AQ270">
        <f>'HourGH-DEC'!AE34</f>
        <v>338.08000000000004</v>
      </c>
      <c r="AT270">
        <v>9</v>
      </c>
      <c r="AU270">
        <v>22</v>
      </c>
      <c r="AV270">
        <v>266</v>
      </c>
      <c r="AW270" s="117">
        <f>Discharge!K32</f>
        <v>9.1</v>
      </c>
    </row>
    <row r="271" spans="28:49">
      <c r="AB271">
        <v>9</v>
      </c>
      <c r="AC271">
        <v>23</v>
      </c>
      <c r="AD271">
        <v>267</v>
      </c>
      <c r="AE271" s="117">
        <f>DailyMeanGH!K33</f>
        <v>338.07</v>
      </c>
      <c r="AH271">
        <v>9</v>
      </c>
      <c r="AI271">
        <v>23</v>
      </c>
      <c r="AJ271">
        <v>267</v>
      </c>
      <c r="AK271">
        <f>'HourGH-DEC'!AC35</f>
        <v>338.07000000000005</v>
      </c>
      <c r="AN271">
        <v>9</v>
      </c>
      <c r="AO271">
        <v>23</v>
      </c>
      <c r="AP271">
        <v>267</v>
      </c>
      <c r="AQ271">
        <f>'HourGH-DEC'!AE35</f>
        <v>338.06</v>
      </c>
      <c r="AT271">
        <v>9</v>
      </c>
      <c r="AU271">
        <v>23</v>
      </c>
      <c r="AV271">
        <v>267</v>
      </c>
      <c r="AW271" s="117">
        <f>Discharge!K33</f>
        <v>8.77</v>
      </c>
    </row>
    <row r="272" spans="28:49">
      <c r="AB272">
        <v>9</v>
      </c>
      <c r="AC272">
        <v>24</v>
      </c>
      <c r="AD272">
        <v>268</v>
      </c>
      <c r="AE272" s="117">
        <f>DailyMeanGH!K34</f>
        <v>338.05</v>
      </c>
      <c r="AH272">
        <v>9</v>
      </c>
      <c r="AI272">
        <v>24</v>
      </c>
      <c r="AJ272">
        <v>268</v>
      </c>
      <c r="AK272">
        <f>'HourGH-DEC'!AC36</f>
        <v>338.05</v>
      </c>
      <c r="AN272">
        <v>9</v>
      </c>
      <c r="AO272">
        <v>24</v>
      </c>
      <c r="AP272">
        <v>268</v>
      </c>
      <c r="AQ272">
        <f>'HourGH-DEC'!AE36</f>
        <v>338.05</v>
      </c>
      <c r="AT272">
        <v>9</v>
      </c>
      <c r="AU272">
        <v>24</v>
      </c>
      <c r="AV272">
        <v>268</v>
      </c>
      <c r="AW272" s="117">
        <f>Discharge!K34</f>
        <v>8.1300000000000008</v>
      </c>
    </row>
    <row r="273" spans="28:49">
      <c r="AB273">
        <v>9</v>
      </c>
      <c r="AC273">
        <v>25</v>
      </c>
      <c r="AD273">
        <v>269</v>
      </c>
      <c r="AE273" s="117">
        <f>DailyMeanGH!K35</f>
        <v>338.14</v>
      </c>
      <c r="AH273">
        <v>9</v>
      </c>
      <c r="AI273">
        <v>25</v>
      </c>
      <c r="AJ273">
        <v>269</v>
      </c>
      <c r="AK273">
        <f>'HourGH-DEC'!AC37</f>
        <v>338.23</v>
      </c>
      <c r="AN273">
        <v>9</v>
      </c>
      <c r="AO273">
        <v>25</v>
      </c>
      <c r="AP273">
        <v>269</v>
      </c>
      <c r="AQ273">
        <f>'HourGH-DEC'!AE37</f>
        <v>338.05</v>
      </c>
      <c r="AT273">
        <v>9</v>
      </c>
      <c r="AU273">
        <v>25</v>
      </c>
      <c r="AV273">
        <v>269</v>
      </c>
      <c r="AW273" s="117">
        <f>Discharge!K35</f>
        <v>11.05</v>
      </c>
    </row>
    <row r="274" spans="28:49">
      <c r="AB274">
        <v>9</v>
      </c>
      <c r="AC274">
        <v>26</v>
      </c>
      <c r="AD274">
        <v>270</v>
      </c>
      <c r="AE274" s="117">
        <f>DailyMeanGH!K36</f>
        <v>338.05</v>
      </c>
      <c r="AH274">
        <v>9</v>
      </c>
      <c r="AI274">
        <v>26</v>
      </c>
      <c r="AJ274">
        <v>270</v>
      </c>
      <c r="AK274">
        <f>'HourGH-DEC'!AC38</f>
        <v>338.11</v>
      </c>
      <c r="AN274">
        <v>9</v>
      </c>
      <c r="AO274">
        <v>26</v>
      </c>
      <c r="AP274">
        <v>270</v>
      </c>
      <c r="AQ274">
        <f>'HourGH-DEC'!AE38</f>
        <v>338.04</v>
      </c>
      <c r="AT274">
        <v>9</v>
      </c>
      <c r="AU274">
        <v>26</v>
      </c>
      <c r="AV274">
        <v>270</v>
      </c>
      <c r="AW274" s="117">
        <f>Discharge!K36</f>
        <v>8.1300000000000008</v>
      </c>
    </row>
    <row r="275" spans="28:49">
      <c r="AB275">
        <v>9</v>
      </c>
      <c r="AC275">
        <v>27</v>
      </c>
      <c r="AD275">
        <v>271</v>
      </c>
      <c r="AE275" s="117">
        <f>DailyMeanGH!K37</f>
        <v>338.03</v>
      </c>
      <c r="AH275">
        <v>9</v>
      </c>
      <c r="AI275">
        <v>27</v>
      </c>
      <c r="AJ275">
        <v>271</v>
      </c>
      <c r="AK275">
        <f>'HourGH-DEC'!AC39</f>
        <v>338.03000000000003</v>
      </c>
      <c r="AN275">
        <v>9</v>
      </c>
      <c r="AO275">
        <v>27</v>
      </c>
      <c r="AP275">
        <v>271</v>
      </c>
      <c r="AQ275">
        <f>'HourGH-DEC'!AE39</f>
        <v>338.03000000000003</v>
      </c>
      <c r="AT275">
        <v>9</v>
      </c>
      <c r="AU275">
        <v>27</v>
      </c>
      <c r="AV275">
        <v>271</v>
      </c>
      <c r="AW275" s="117">
        <f>Discharge!K37</f>
        <v>7.47</v>
      </c>
    </row>
    <row r="276" spans="28:49">
      <c r="AB276">
        <v>9</v>
      </c>
      <c r="AC276">
        <v>28</v>
      </c>
      <c r="AD276">
        <v>272</v>
      </c>
      <c r="AE276" s="117">
        <f>DailyMeanGH!K38</f>
        <v>338.03</v>
      </c>
      <c r="AH276">
        <v>9</v>
      </c>
      <c r="AI276">
        <v>28</v>
      </c>
      <c r="AJ276">
        <v>272</v>
      </c>
      <c r="AK276">
        <f>'HourGH-DEC'!AC40</f>
        <v>338.03000000000003</v>
      </c>
      <c r="AN276">
        <v>9</v>
      </c>
      <c r="AO276">
        <v>28</v>
      </c>
      <c r="AP276">
        <v>272</v>
      </c>
      <c r="AQ276">
        <f>'HourGH-DEC'!AE40</f>
        <v>338.02000000000004</v>
      </c>
      <c r="AT276">
        <v>9</v>
      </c>
      <c r="AU276">
        <v>28</v>
      </c>
      <c r="AV276">
        <v>272</v>
      </c>
      <c r="AW276" s="117">
        <f>Discharge!K38</f>
        <v>7.47</v>
      </c>
    </row>
    <row r="277" spans="28:49">
      <c r="AB277">
        <v>9</v>
      </c>
      <c r="AC277">
        <v>29</v>
      </c>
      <c r="AD277">
        <v>273</v>
      </c>
      <c r="AE277" s="117">
        <f>DailyMeanGH!K39</f>
        <v>338.04</v>
      </c>
      <c r="AH277">
        <v>9</v>
      </c>
      <c r="AI277">
        <v>29</v>
      </c>
      <c r="AJ277">
        <v>273</v>
      </c>
      <c r="AK277">
        <f>'HourGH-DEC'!AC41</f>
        <v>338.04</v>
      </c>
      <c r="AN277">
        <v>9</v>
      </c>
      <c r="AO277">
        <v>29</v>
      </c>
      <c r="AP277">
        <v>273</v>
      </c>
      <c r="AQ277">
        <f>'HourGH-DEC'!AE41</f>
        <v>338.04</v>
      </c>
      <c r="AT277">
        <v>9</v>
      </c>
      <c r="AU277">
        <v>29</v>
      </c>
      <c r="AV277">
        <v>273</v>
      </c>
      <c r="AW277" s="117">
        <f>Discharge!K39</f>
        <v>7.8</v>
      </c>
    </row>
    <row r="278" spans="28:49">
      <c r="AB278">
        <v>9</v>
      </c>
      <c r="AC278">
        <v>30</v>
      </c>
      <c r="AD278">
        <v>274</v>
      </c>
      <c r="AE278" s="117">
        <f>DailyMeanGH!K40</f>
        <v>338.04</v>
      </c>
      <c r="AH278">
        <v>9</v>
      </c>
      <c r="AI278">
        <v>30</v>
      </c>
      <c r="AJ278">
        <v>274</v>
      </c>
      <c r="AK278">
        <f>'HourGH-DEC'!AC42</f>
        <v>338.04</v>
      </c>
      <c r="AN278">
        <v>9</v>
      </c>
      <c r="AO278">
        <v>30</v>
      </c>
      <c r="AP278">
        <v>274</v>
      </c>
      <c r="AQ278">
        <f>'HourGH-DEC'!AE42</f>
        <v>338.04</v>
      </c>
      <c r="AT278">
        <v>9</v>
      </c>
      <c r="AU278">
        <v>30</v>
      </c>
      <c r="AV278">
        <v>274</v>
      </c>
      <c r="AW278" s="117">
        <f>Discharge!K40</f>
        <v>7.8</v>
      </c>
    </row>
    <row r="279" spans="28:49">
      <c r="AB279">
        <v>9</v>
      </c>
      <c r="AC279">
        <v>31</v>
      </c>
      <c r="AD279">
        <v>275</v>
      </c>
      <c r="AE279" s="117">
        <f>DailyMeanGH!K41</f>
        <v>338.04</v>
      </c>
      <c r="AH279">
        <v>9</v>
      </c>
      <c r="AI279">
        <v>31</v>
      </c>
      <c r="AJ279">
        <v>275</v>
      </c>
      <c r="AK279">
        <f>'HourGH-DEC'!AC43</f>
        <v>338.04</v>
      </c>
      <c r="AN279">
        <v>9</v>
      </c>
      <c r="AO279">
        <v>31</v>
      </c>
      <c r="AP279">
        <v>275</v>
      </c>
      <c r="AQ279">
        <f>'HourGH-DEC'!AE43</f>
        <v>338.04</v>
      </c>
      <c r="AT279">
        <v>9</v>
      </c>
      <c r="AU279">
        <v>31</v>
      </c>
      <c r="AV279">
        <v>275</v>
      </c>
      <c r="AW279" s="117">
        <f>Discharge!K41</f>
        <v>7.8</v>
      </c>
    </row>
    <row r="280" spans="28:49">
      <c r="AB280">
        <v>10</v>
      </c>
      <c r="AC280">
        <v>1</v>
      </c>
      <c r="AD280">
        <v>276</v>
      </c>
      <c r="AE280" s="117">
        <f>DailyMeanGH!L9</f>
        <v>338.04</v>
      </c>
      <c r="AH280">
        <v>10</v>
      </c>
      <c r="AI280">
        <v>1</v>
      </c>
      <c r="AJ280">
        <v>276</v>
      </c>
      <c r="AK280">
        <f>'HourGH-JAN'!AC11</f>
        <v>338.04</v>
      </c>
      <c r="AN280">
        <v>10</v>
      </c>
      <c r="AO280">
        <v>1</v>
      </c>
      <c r="AP280">
        <v>276</v>
      </c>
      <c r="AQ280">
        <f>'HourGH-JAN'!AE11</f>
        <v>338.04</v>
      </c>
      <c r="AT280">
        <v>10</v>
      </c>
      <c r="AU280">
        <v>1</v>
      </c>
      <c r="AV280">
        <v>276</v>
      </c>
      <c r="AW280" s="117">
        <f>Discharge!L9</f>
        <v>7.8</v>
      </c>
    </row>
    <row r="281" spans="28:49">
      <c r="AB281">
        <v>10</v>
      </c>
      <c r="AC281">
        <v>2</v>
      </c>
      <c r="AD281">
        <v>277</v>
      </c>
      <c r="AE281" s="117">
        <f>DailyMeanGH!L10</f>
        <v>338.03</v>
      </c>
      <c r="AH281">
        <v>10</v>
      </c>
      <c r="AI281">
        <v>2</v>
      </c>
      <c r="AJ281">
        <v>277</v>
      </c>
      <c r="AK281">
        <f>'HourGH-JAN'!AC12</f>
        <v>338.03000000000003</v>
      </c>
      <c r="AN281">
        <v>10</v>
      </c>
      <c r="AO281">
        <v>2</v>
      </c>
      <c r="AP281">
        <v>277</v>
      </c>
      <c r="AQ281">
        <f>'HourGH-JAN'!AE12</f>
        <v>338.03000000000003</v>
      </c>
      <c r="AT281">
        <v>10</v>
      </c>
      <c r="AU281">
        <v>2</v>
      </c>
      <c r="AV281">
        <v>277</v>
      </c>
      <c r="AW281" s="117">
        <f>Discharge!L10</f>
        <v>7.47</v>
      </c>
    </row>
    <row r="282" spans="28:49">
      <c r="AB282">
        <v>10</v>
      </c>
      <c r="AC282">
        <v>3</v>
      </c>
      <c r="AD282">
        <v>278</v>
      </c>
      <c r="AE282" s="117">
        <f>DailyMeanGH!L11</f>
        <v>338.03</v>
      </c>
      <c r="AH282">
        <v>10</v>
      </c>
      <c r="AI282">
        <v>3</v>
      </c>
      <c r="AJ282">
        <v>278</v>
      </c>
      <c r="AK282">
        <f>'HourGH-JAN'!AC13</f>
        <v>338.03000000000003</v>
      </c>
      <c r="AN282">
        <v>10</v>
      </c>
      <c r="AO282">
        <v>3</v>
      </c>
      <c r="AP282">
        <v>278</v>
      </c>
      <c r="AQ282">
        <f>'HourGH-JAN'!AE13</f>
        <v>338.03000000000003</v>
      </c>
      <c r="AT282">
        <v>10</v>
      </c>
      <c r="AU282">
        <v>3</v>
      </c>
      <c r="AV282">
        <v>278</v>
      </c>
      <c r="AW282" s="117">
        <f>Discharge!L11</f>
        <v>7.47</v>
      </c>
    </row>
    <row r="283" spans="28:49">
      <c r="AB283">
        <v>10</v>
      </c>
      <c r="AC283">
        <v>4</v>
      </c>
      <c r="AD283">
        <v>279</v>
      </c>
      <c r="AE283" s="117">
        <f>DailyMeanGH!L12</f>
        <v>338.03</v>
      </c>
      <c r="AH283">
        <v>10</v>
      </c>
      <c r="AI283">
        <v>4</v>
      </c>
      <c r="AJ283">
        <v>279</v>
      </c>
      <c r="AK283">
        <f>'HourGH-JAN'!AC14</f>
        <v>338.03000000000003</v>
      </c>
      <c r="AN283">
        <v>10</v>
      </c>
      <c r="AO283">
        <v>4</v>
      </c>
      <c r="AP283">
        <v>279</v>
      </c>
      <c r="AQ283">
        <f>'HourGH-JAN'!AE14</f>
        <v>338.03000000000003</v>
      </c>
      <c r="AT283">
        <v>10</v>
      </c>
      <c r="AU283">
        <v>4</v>
      </c>
      <c r="AV283">
        <v>279</v>
      </c>
      <c r="AW283" s="117">
        <f>Discharge!L12</f>
        <v>7.47</v>
      </c>
    </row>
    <row r="284" spans="28:49">
      <c r="AB284">
        <v>10</v>
      </c>
      <c r="AC284">
        <v>5</v>
      </c>
      <c r="AD284">
        <v>280</v>
      </c>
      <c r="AE284" s="117">
        <f>DailyMeanGH!L13</f>
        <v>338.03</v>
      </c>
      <c r="AH284">
        <v>10</v>
      </c>
      <c r="AI284">
        <v>5</v>
      </c>
      <c r="AJ284">
        <v>280</v>
      </c>
      <c r="AK284">
        <f>'HourGH-JAN'!AC15</f>
        <v>338.03000000000003</v>
      </c>
      <c r="AN284">
        <v>10</v>
      </c>
      <c r="AO284">
        <v>5</v>
      </c>
      <c r="AP284">
        <v>280</v>
      </c>
      <c r="AQ284">
        <f>'HourGH-JAN'!AE15</f>
        <v>338.03000000000003</v>
      </c>
      <c r="AT284">
        <v>10</v>
      </c>
      <c r="AU284">
        <v>5</v>
      </c>
      <c r="AV284">
        <v>280</v>
      </c>
      <c r="AW284" s="117">
        <f>Discharge!L13</f>
        <v>7.47</v>
      </c>
    </row>
    <row r="285" spans="28:49">
      <c r="AB285">
        <v>10</v>
      </c>
      <c r="AC285">
        <v>6</v>
      </c>
      <c r="AD285">
        <v>281</v>
      </c>
      <c r="AE285" s="117">
        <f>DailyMeanGH!L14</f>
        <v>338.01</v>
      </c>
      <c r="AH285">
        <v>10</v>
      </c>
      <c r="AI285">
        <v>6</v>
      </c>
      <c r="AJ285">
        <v>281</v>
      </c>
      <c r="AK285">
        <f>'HourGH-JAN'!AC16</f>
        <v>338.02000000000004</v>
      </c>
      <c r="AN285">
        <v>10</v>
      </c>
      <c r="AO285">
        <v>6</v>
      </c>
      <c r="AP285">
        <v>281</v>
      </c>
      <c r="AQ285">
        <f>'HourGH-JAN'!AE16</f>
        <v>338.01000000000005</v>
      </c>
      <c r="AT285">
        <v>10</v>
      </c>
      <c r="AU285">
        <v>6</v>
      </c>
      <c r="AV285">
        <v>281</v>
      </c>
      <c r="AW285" s="117">
        <f>Discharge!L14</f>
        <v>6.82</v>
      </c>
    </row>
    <row r="286" spans="28:49">
      <c r="AB286">
        <v>10</v>
      </c>
      <c r="AC286">
        <v>7</v>
      </c>
      <c r="AD286">
        <v>282</v>
      </c>
      <c r="AE286" s="117">
        <f>DailyMeanGH!L15</f>
        <v>338.02</v>
      </c>
      <c r="AH286">
        <v>10</v>
      </c>
      <c r="AI286">
        <v>7</v>
      </c>
      <c r="AJ286">
        <v>282</v>
      </c>
      <c r="AK286">
        <f>'HourGH-JAN'!AC17</f>
        <v>338.02000000000004</v>
      </c>
      <c r="AN286">
        <v>10</v>
      </c>
      <c r="AO286">
        <v>7</v>
      </c>
      <c r="AP286">
        <v>282</v>
      </c>
      <c r="AQ286">
        <f>'HourGH-JAN'!AE17</f>
        <v>338.02000000000004</v>
      </c>
      <c r="AT286">
        <v>10</v>
      </c>
      <c r="AU286">
        <v>7</v>
      </c>
      <c r="AV286">
        <v>282</v>
      </c>
      <c r="AW286" s="117">
        <f>Discharge!L15</f>
        <v>7.15</v>
      </c>
    </row>
    <row r="287" spans="28:49">
      <c r="AB287">
        <v>10</v>
      </c>
      <c r="AC287">
        <v>8</v>
      </c>
      <c r="AD287">
        <v>283</v>
      </c>
      <c r="AE287" s="117">
        <f>DailyMeanGH!L16</f>
        <v>338.02</v>
      </c>
      <c r="AH287">
        <v>10</v>
      </c>
      <c r="AI287">
        <v>8</v>
      </c>
      <c r="AJ287">
        <v>283</v>
      </c>
      <c r="AK287">
        <f>'HourGH-JAN'!AC18</f>
        <v>338.02000000000004</v>
      </c>
      <c r="AN287">
        <v>10</v>
      </c>
      <c r="AO287">
        <v>8</v>
      </c>
      <c r="AP287">
        <v>283</v>
      </c>
      <c r="AQ287">
        <f>'HourGH-JAN'!AE18</f>
        <v>338.02000000000004</v>
      </c>
      <c r="AT287">
        <v>10</v>
      </c>
      <c r="AU287">
        <v>8</v>
      </c>
      <c r="AV287">
        <v>283</v>
      </c>
      <c r="AW287" s="117">
        <f>Discharge!L16</f>
        <v>7.15</v>
      </c>
    </row>
    <row r="288" spans="28:49">
      <c r="AB288">
        <v>10</v>
      </c>
      <c r="AC288">
        <v>9</v>
      </c>
      <c r="AD288">
        <v>284</v>
      </c>
      <c r="AE288" s="117">
        <f>DailyMeanGH!L17</f>
        <v>338.01</v>
      </c>
      <c r="AH288">
        <v>10</v>
      </c>
      <c r="AI288">
        <v>9</v>
      </c>
      <c r="AJ288">
        <v>284</v>
      </c>
      <c r="AK288">
        <f>'HourGH-JAN'!AC19</f>
        <v>338.01000000000005</v>
      </c>
      <c r="AN288">
        <v>10</v>
      </c>
      <c r="AO288">
        <v>9</v>
      </c>
      <c r="AP288">
        <v>284</v>
      </c>
      <c r="AQ288">
        <f>'HourGH-JAN'!AE19</f>
        <v>338.01000000000005</v>
      </c>
      <c r="AT288">
        <v>10</v>
      </c>
      <c r="AU288">
        <v>9</v>
      </c>
      <c r="AV288">
        <v>284</v>
      </c>
      <c r="AW288" s="117">
        <f>Discharge!L17</f>
        <v>6.82</v>
      </c>
    </row>
    <row r="289" spans="28:49">
      <c r="AB289">
        <v>10</v>
      </c>
      <c r="AC289">
        <v>10</v>
      </c>
      <c r="AD289">
        <v>285</v>
      </c>
      <c r="AE289" s="117">
        <f>DailyMeanGH!L18</f>
        <v>338.01</v>
      </c>
      <c r="AH289">
        <v>10</v>
      </c>
      <c r="AI289">
        <v>10</v>
      </c>
      <c r="AJ289">
        <v>285</v>
      </c>
      <c r="AK289">
        <f>'HourGH-JAN'!AC20</f>
        <v>338.01000000000005</v>
      </c>
      <c r="AN289">
        <v>10</v>
      </c>
      <c r="AO289">
        <v>10</v>
      </c>
      <c r="AP289">
        <v>285</v>
      </c>
      <c r="AQ289">
        <f>'HourGH-JAN'!AE20</f>
        <v>338.01000000000005</v>
      </c>
      <c r="AT289">
        <v>10</v>
      </c>
      <c r="AU289">
        <v>10</v>
      </c>
      <c r="AV289">
        <v>285</v>
      </c>
      <c r="AW289" s="117">
        <f>Discharge!L18</f>
        <v>6.82</v>
      </c>
    </row>
    <row r="290" spans="28:49">
      <c r="AB290">
        <v>10</v>
      </c>
      <c r="AC290">
        <v>11</v>
      </c>
      <c r="AD290">
        <v>286</v>
      </c>
      <c r="AE290" s="117">
        <f>DailyMeanGH!L20</f>
        <v>338</v>
      </c>
      <c r="AH290">
        <v>10</v>
      </c>
      <c r="AI290">
        <v>11</v>
      </c>
      <c r="AJ290">
        <v>286</v>
      </c>
      <c r="AK290">
        <f>'HourGH-JAN'!AC22</f>
        <v>338</v>
      </c>
      <c r="AN290">
        <v>10</v>
      </c>
      <c r="AO290">
        <v>11</v>
      </c>
      <c r="AP290">
        <v>286</v>
      </c>
      <c r="AQ290">
        <f>'HourGH-JAN'!AE22</f>
        <v>338</v>
      </c>
      <c r="AT290">
        <v>10</v>
      </c>
      <c r="AU290">
        <v>11</v>
      </c>
      <c r="AV290">
        <v>286</v>
      </c>
      <c r="AW290" s="117">
        <f>Discharge!L20</f>
        <v>6.5</v>
      </c>
    </row>
    <row r="291" spans="28:49">
      <c r="AB291">
        <v>10</v>
      </c>
      <c r="AC291">
        <v>12</v>
      </c>
      <c r="AD291">
        <v>287</v>
      </c>
      <c r="AE291" s="117">
        <f>DailyMeanGH!L21</f>
        <v>338</v>
      </c>
      <c r="AH291">
        <v>10</v>
      </c>
      <c r="AI291">
        <v>12</v>
      </c>
      <c r="AJ291">
        <v>287</v>
      </c>
      <c r="AK291">
        <f>'HourGH-JAN'!AC23</f>
        <v>338</v>
      </c>
      <c r="AN291">
        <v>10</v>
      </c>
      <c r="AO291">
        <v>12</v>
      </c>
      <c r="AP291">
        <v>287</v>
      </c>
      <c r="AQ291">
        <f>'HourGH-JAN'!AE23</f>
        <v>338</v>
      </c>
      <c r="AT291">
        <v>10</v>
      </c>
      <c r="AU291">
        <v>12</v>
      </c>
      <c r="AV291">
        <v>287</v>
      </c>
      <c r="AW291" s="117">
        <f>Discharge!L21</f>
        <v>6.5</v>
      </c>
    </row>
    <row r="292" spans="28:49">
      <c r="AB292">
        <v>10</v>
      </c>
      <c r="AC292">
        <v>13</v>
      </c>
      <c r="AD292">
        <v>288</v>
      </c>
      <c r="AE292" s="117">
        <f>DailyMeanGH!L22</f>
        <v>337.99</v>
      </c>
      <c r="AH292">
        <v>10</v>
      </c>
      <c r="AI292">
        <v>13</v>
      </c>
      <c r="AJ292">
        <v>288</v>
      </c>
      <c r="AK292">
        <f>'HourGH-JAN'!AC24</f>
        <v>338</v>
      </c>
      <c r="AN292">
        <v>10</v>
      </c>
      <c r="AO292">
        <v>13</v>
      </c>
      <c r="AP292">
        <v>288</v>
      </c>
      <c r="AQ292">
        <f>'HourGH-JAN'!AE24</f>
        <v>337.99</v>
      </c>
      <c r="AT292">
        <v>10</v>
      </c>
      <c r="AU292">
        <v>13</v>
      </c>
      <c r="AV292">
        <v>288</v>
      </c>
      <c r="AW292" s="117">
        <f>Discharge!L22</f>
        <v>6.25</v>
      </c>
    </row>
    <row r="293" spans="28:49">
      <c r="AB293">
        <v>10</v>
      </c>
      <c r="AC293">
        <v>14</v>
      </c>
      <c r="AD293">
        <v>289</v>
      </c>
      <c r="AE293" s="117">
        <f>DailyMeanGH!L23</f>
        <v>338</v>
      </c>
      <c r="AH293">
        <v>10</v>
      </c>
      <c r="AI293">
        <v>14</v>
      </c>
      <c r="AJ293">
        <v>289</v>
      </c>
      <c r="AK293">
        <f>'HourGH-JAN'!AC25</f>
        <v>338</v>
      </c>
      <c r="AN293">
        <v>10</v>
      </c>
      <c r="AO293">
        <v>14</v>
      </c>
      <c r="AP293">
        <v>289</v>
      </c>
      <c r="AQ293">
        <f>'HourGH-JAN'!AE25</f>
        <v>338</v>
      </c>
      <c r="AT293">
        <v>10</v>
      </c>
      <c r="AU293">
        <v>14</v>
      </c>
      <c r="AV293">
        <v>289</v>
      </c>
      <c r="AW293" s="117">
        <f>Discharge!L23</f>
        <v>6.5</v>
      </c>
    </row>
    <row r="294" spans="28:49">
      <c r="AB294">
        <v>10</v>
      </c>
      <c r="AC294">
        <v>15</v>
      </c>
      <c r="AD294">
        <v>290</v>
      </c>
      <c r="AE294" s="117">
        <f>DailyMeanGH!L24</f>
        <v>338</v>
      </c>
      <c r="AH294">
        <v>10</v>
      </c>
      <c r="AI294">
        <v>15</v>
      </c>
      <c r="AJ294">
        <v>290</v>
      </c>
      <c r="AK294">
        <f>'HourGH-JAN'!AC26</f>
        <v>338</v>
      </c>
      <c r="AN294">
        <v>10</v>
      </c>
      <c r="AO294">
        <v>15</v>
      </c>
      <c r="AP294">
        <v>290</v>
      </c>
      <c r="AQ294">
        <f>'HourGH-JAN'!AE26</f>
        <v>338</v>
      </c>
      <c r="AT294">
        <v>10</v>
      </c>
      <c r="AU294">
        <v>15</v>
      </c>
      <c r="AV294">
        <v>290</v>
      </c>
      <c r="AW294" s="117">
        <f>Discharge!L24</f>
        <v>6.5</v>
      </c>
    </row>
    <row r="295" spans="28:49">
      <c r="AB295">
        <v>10</v>
      </c>
      <c r="AC295">
        <v>16</v>
      </c>
      <c r="AD295">
        <v>291</v>
      </c>
      <c r="AE295" s="117">
        <f>DailyMeanGH!L25</f>
        <v>338</v>
      </c>
      <c r="AH295">
        <v>10</v>
      </c>
      <c r="AI295">
        <v>16</v>
      </c>
      <c r="AJ295">
        <v>291</v>
      </c>
      <c r="AK295">
        <f>'HourGH-JAN'!AC27</f>
        <v>338</v>
      </c>
      <c r="AN295">
        <v>10</v>
      </c>
      <c r="AO295">
        <v>16</v>
      </c>
      <c r="AP295">
        <v>291</v>
      </c>
      <c r="AQ295">
        <f>'HourGH-JAN'!AE27</f>
        <v>338</v>
      </c>
      <c r="AT295">
        <v>10</v>
      </c>
      <c r="AU295">
        <v>16</v>
      </c>
      <c r="AV295">
        <v>291</v>
      </c>
      <c r="AW295" s="117">
        <f>Discharge!L25</f>
        <v>6.5</v>
      </c>
    </row>
    <row r="296" spans="28:49">
      <c r="AB296">
        <v>10</v>
      </c>
      <c r="AC296">
        <v>17</v>
      </c>
      <c r="AD296">
        <v>292</v>
      </c>
      <c r="AE296" s="117">
        <f>DailyMeanGH!L26</f>
        <v>338.07</v>
      </c>
      <c r="AH296">
        <v>10</v>
      </c>
      <c r="AI296">
        <v>17</v>
      </c>
      <c r="AJ296">
        <v>292</v>
      </c>
      <c r="AK296">
        <f>'HourGH-JAN'!AC28</f>
        <v>338.24</v>
      </c>
      <c r="AN296">
        <v>10</v>
      </c>
      <c r="AO296">
        <v>17</v>
      </c>
      <c r="AP296">
        <v>292</v>
      </c>
      <c r="AQ296">
        <f>'HourGH-JAN'!AE28</f>
        <v>337.99</v>
      </c>
      <c r="AT296">
        <v>10</v>
      </c>
      <c r="AU296">
        <v>17</v>
      </c>
      <c r="AV296">
        <v>292</v>
      </c>
      <c r="AW296" s="117">
        <f>Discharge!L26</f>
        <v>8.77</v>
      </c>
    </row>
    <row r="297" spans="28:49">
      <c r="AB297">
        <v>10</v>
      </c>
      <c r="AC297">
        <v>18</v>
      </c>
      <c r="AD297">
        <v>293</v>
      </c>
      <c r="AE297" s="117">
        <f>DailyMeanGH!L27</f>
        <v>338.31</v>
      </c>
      <c r="AH297">
        <v>10</v>
      </c>
      <c r="AI297">
        <v>18</v>
      </c>
      <c r="AJ297">
        <v>293</v>
      </c>
      <c r="AK297">
        <f>'HourGH-JAN'!AC29</f>
        <v>338.32000000000005</v>
      </c>
      <c r="AN297">
        <v>10</v>
      </c>
      <c r="AO297">
        <v>18</v>
      </c>
      <c r="AP297">
        <v>293</v>
      </c>
      <c r="AQ297">
        <f>'HourGH-JAN'!AE29</f>
        <v>338.26000000000005</v>
      </c>
      <c r="AT297">
        <v>10</v>
      </c>
      <c r="AU297">
        <v>18</v>
      </c>
      <c r="AV297">
        <v>293</v>
      </c>
      <c r="AW297" s="117">
        <f>Discharge!L27</f>
        <v>17.95</v>
      </c>
    </row>
    <row r="298" spans="28:49">
      <c r="AB298">
        <v>10</v>
      </c>
      <c r="AC298">
        <v>19</v>
      </c>
      <c r="AD298">
        <v>294</v>
      </c>
      <c r="AE298" s="117">
        <f>DailyMeanGH!L28</f>
        <v>338.33</v>
      </c>
      <c r="AH298">
        <v>10</v>
      </c>
      <c r="AI298">
        <v>19</v>
      </c>
      <c r="AJ298">
        <v>294</v>
      </c>
      <c r="AK298">
        <f>'HourGH-JAN'!AC30</f>
        <v>338.34000000000003</v>
      </c>
      <c r="AN298">
        <v>10</v>
      </c>
      <c r="AO298">
        <v>19</v>
      </c>
      <c r="AP298">
        <v>294</v>
      </c>
      <c r="AQ298">
        <f>'HourGH-JAN'!AE30</f>
        <v>338.32000000000005</v>
      </c>
      <c r="AT298">
        <v>10</v>
      </c>
      <c r="AU298">
        <v>19</v>
      </c>
      <c r="AV298">
        <v>294</v>
      </c>
      <c r="AW298" s="117">
        <f>Discharge!L28</f>
        <v>18.850000000000001</v>
      </c>
    </row>
    <row r="299" spans="28:49">
      <c r="AB299">
        <v>10</v>
      </c>
      <c r="AC299">
        <v>20</v>
      </c>
      <c r="AD299">
        <v>295</v>
      </c>
      <c r="AE299" s="117">
        <f>DailyMeanGH!L29</f>
        <v>338.24</v>
      </c>
      <c r="AH299">
        <v>10</v>
      </c>
      <c r="AI299">
        <v>20</v>
      </c>
      <c r="AJ299">
        <v>295</v>
      </c>
      <c r="AK299">
        <f>'HourGH-JAN'!AC31</f>
        <v>338.34000000000003</v>
      </c>
      <c r="AN299">
        <v>10</v>
      </c>
      <c r="AO299">
        <v>20</v>
      </c>
      <c r="AP299">
        <v>295</v>
      </c>
      <c r="AQ299">
        <f>'HourGH-JAN'!AE31</f>
        <v>338.04</v>
      </c>
      <c r="AT299">
        <v>10</v>
      </c>
      <c r="AU299">
        <v>20</v>
      </c>
      <c r="AV299">
        <v>295</v>
      </c>
      <c r="AW299" s="117">
        <f>Discharge!L29</f>
        <v>14.8</v>
      </c>
    </row>
    <row r="300" spans="28:49">
      <c r="AB300">
        <v>10</v>
      </c>
      <c r="AC300">
        <v>21</v>
      </c>
      <c r="AD300">
        <v>296</v>
      </c>
      <c r="AE300" s="117">
        <f>DailyMeanGH!L31</f>
        <v>337.97</v>
      </c>
      <c r="AH300">
        <v>10</v>
      </c>
      <c r="AI300">
        <v>21</v>
      </c>
      <c r="AJ300">
        <v>296</v>
      </c>
      <c r="AK300">
        <f>'HourGH-JAN'!AC33</f>
        <v>338.02000000000004</v>
      </c>
      <c r="AN300">
        <v>10</v>
      </c>
      <c r="AO300">
        <v>21</v>
      </c>
      <c r="AP300">
        <v>296</v>
      </c>
      <c r="AQ300">
        <f>'HourGH-JAN'!AE33</f>
        <v>337.96000000000004</v>
      </c>
      <c r="AT300">
        <v>10</v>
      </c>
      <c r="AU300">
        <v>21</v>
      </c>
      <c r="AV300">
        <v>296</v>
      </c>
      <c r="AW300" s="117">
        <f>Discharge!L31</f>
        <v>5.75</v>
      </c>
    </row>
    <row r="301" spans="28:49">
      <c r="AB301">
        <v>10</v>
      </c>
      <c r="AC301">
        <v>22</v>
      </c>
      <c r="AD301">
        <v>297</v>
      </c>
      <c r="AE301" s="117">
        <f>DailyMeanGH!L32</f>
        <v>337.96</v>
      </c>
      <c r="AH301">
        <v>10</v>
      </c>
      <c r="AI301">
        <v>22</v>
      </c>
      <c r="AJ301">
        <v>297</v>
      </c>
      <c r="AK301">
        <f>'HourGH-JAN'!AC34</f>
        <v>337.96000000000004</v>
      </c>
      <c r="AN301">
        <v>10</v>
      </c>
      <c r="AO301">
        <v>22</v>
      </c>
      <c r="AP301">
        <v>297</v>
      </c>
      <c r="AQ301">
        <f>'HourGH-JAN'!AE34</f>
        <v>337.96000000000004</v>
      </c>
      <c r="AT301">
        <v>10</v>
      </c>
      <c r="AU301">
        <v>22</v>
      </c>
      <c r="AV301">
        <v>297</v>
      </c>
      <c r="AW301" s="117">
        <f>Discharge!L32</f>
        <v>5.5</v>
      </c>
    </row>
    <row r="302" spans="28:49">
      <c r="AB302">
        <v>10</v>
      </c>
      <c r="AC302">
        <v>23</v>
      </c>
      <c r="AD302">
        <v>298</v>
      </c>
      <c r="AE302" s="117">
        <f>DailyMeanGH!L33</f>
        <v>337.96</v>
      </c>
      <c r="AH302">
        <v>10</v>
      </c>
      <c r="AI302">
        <v>23</v>
      </c>
      <c r="AJ302">
        <v>298</v>
      </c>
      <c r="AK302">
        <f>'HourGH-JAN'!AC35</f>
        <v>337.96000000000004</v>
      </c>
      <c r="AN302">
        <v>10</v>
      </c>
      <c r="AO302">
        <v>23</v>
      </c>
      <c r="AP302">
        <v>298</v>
      </c>
      <c r="AQ302">
        <f>'HourGH-JAN'!AE35</f>
        <v>337.96000000000004</v>
      </c>
      <c r="AT302">
        <v>10</v>
      </c>
      <c r="AU302">
        <v>23</v>
      </c>
      <c r="AV302">
        <v>298</v>
      </c>
      <c r="AW302" s="117">
        <f>Discharge!L33</f>
        <v>5.5</v>
      </c>
    </row>
    <row r="303" spans="28:49">
      <c r="AB303">
        <v>10</v>
      </c>
      <c r="AC303">
        <v>24</v>
      </c>
      <c r="AD303">
        <v>299</v>
      </c>
      <c r="AE303" s="117">
        <f>DailyMeanGH!L34</f>
        <v>338</v>
      </c>
      <c r="AH303">
        <v>10</v>
      </c>
      <c r="AI303">
        <v>24</v>
      </c>
      <c r="AJ303">
        <v>299</v>
      </c>
      <c r="AK303">
        <f>'HourGH-JAN'!AC36</f>
        <v>338.13</v>
      </c>
      <c r="AN303">
        <v>10</v>
      </c>
      <c r="AO303">
        <v>24</v>
      </c>
      <c r="AP303">
        <v>299</v>
      </c>
      <c r="AQ303">
        <f>'HourGH-JAN'!AE36</f>
        <v>337.96000000000004</v>
      </c>
      <c r="AT303">
        <v>10</v>
      </c>
      <c r="AU303">
        <v>24</v>
      </c>
      <c r="AV303">
        <v>299</v>
      </c>
      <c r="AW303" s="117">
        <f>Discharge!L34</f>
        <v>6.5</v>
      </c>
    </row>
    <row r="304" spans="28:49">
      <c r="AB304">
        <v>10</v>
      </c>
      <c r="AC304">
        <v>25</v>
      </c>
      <c r="AD304">
        <v>300</v>
      </c>
      <c r="AE304" s="117">
        <f>DailyMeanGH!L35</f>
        <v>338.31</v>
      </c>
      <c r="AH304">
        <v>10</v>
      </c>
      <c r="AI304">
        <v>25</v>
      </c>
      <c r="AJ304">
        <v>300</v>
      </c>
      <c r="AK304">
        <f>'HourGH-JAN'!AC37</f>
        <v>338.33000000000004</v>
      </c>
      <c r="AN304">
        <v>10</v>
      </c>
      <c r="AO304">
        <v>25</v>
      </c>
      <c r="AP304">
        <v>300</v>
      </c>
      <c r="AQ304">
        <f>'HourGH-JAN'!AE37</f>
        <v>338.18</v>
      </c>
      <c r="AT304">
        <v>10</v>
      </c>
      <c r="AU304">
        <v>25</v>
      </c>
      <c r="AV304">
        <v>300</v>
      </c>
      <c r="AW304" s="117">
        <f>Discharge!L35</f>
        <v>17.95</v>
      </c>
    </row>
    <row r="305" spans="28:49">
      <c r="AB305">
        <v>10</v>
      </c>
      <c r="AC305">
        <v>26</v>
      </c>
      <c r="AD305">
        <v>301</v>
      </c>
      <c r="AE305" s="117">
        <f>DailyMeanGH!L36</f>
        <v>338.32</v>
      </c>
      <c r="AH305">
        <v>10</v>
      </c>
      <c r="AI305">
        <v>26</v>
      </c>
      <c r="AJ305">
        <v>301</v>
      </c>
      <c r="AK305">
        <f>'HourGH-JAN'!AC38</f>
        <v>338.32000000000005</v>
      </c>
      <c r="AN305">
        <v>10</v>
      </c>
      <c r="AO305">
        <v>26</v>
      </c>
      <c r="AP305">
        <v>301</v>
      </c>
      <c r="AQ305">
        <f>'HourGH-JAN'!AE38</f>
        <v>338.31</v>
      </c>
      <c r="AT305">
        <v>10</v>
      </c>
      <c r="AU305">
        <v>26</v>
      </c>
      <c r="AV305">
        <v>301</v>
      </c>
      <c r="AW305" s="117">
        <f>Discharge!L36</f>
        <v>18.399999999999999</v>
      </c>
    </row>
    <row r="306" spans="28:49">
      <c r="AB306">
        <v>10</v>
      </c>
      <c r="AC306">
        <v>27</v>
      </c>
      <c r="AD306">
        <v>302</v>
      </c>
      <c r="AE306" s="117">
        <f>DailyMeanGH!L37</f>
        <v>338.2</v>
      </c>
      <c r="AH306">
        <v>10</v>
      </c>
      <c r="AI306">
        <v>27</v>
      </c>
      <c r="AJ306">
        <v>302</v>
      </c>
      <c r="AK306">
        <f>'HourGH-JAN'!AC39</f>
        <v>338.3</v>
      </c>
      <c r="AN306">
        <v>10</v>
      </c>
      <c r="AO306">
        <v>27</v>
      </c>
      <c r="AP306">
        <v>302</v>
      </c>
      <c r="AQ306">
        <f>'HourGH-JAN'!AE39</f>
        <v>338</v>
      </c>
      <c r="AT306">
        <v>10</v>
      </c>
      <c r="AU306">
        <v>27</v>
      </c>
      <c r="AV306">
        <v>302</v>
      </c>
      <c r="AW306" s="117">
        <f>Discharge!L37</f>
        <v>13</v>
      </c>
    </row>
    <row r="307" spans="28:49">
      <c r="AB307">
        <v>10</v>
      </c>
      <c r="AC307">
        <v>28</v>
      </c>
      <c r="AD307">
        <v>303</v>
      </c>
      <c r="AE307" s="117">
        <f>DailyMeanGH!L38</f>
        <v>337.94</v>
      </c>
      <c r="AH307">
        <v>10</v>
      </c>
      <c r="AI307">
        <v>28</v>
      </c>
      <c r="AJ307">
        <v>303</v>
      </c>
      <c r="AK307">
        <f>'HourGH-JAN'!AC40</f>
        <v>337.99</v>
      </c>
      <c r="AN307">
        <v>10</v>
      </c>
      <c r="AO307">
        <v>28</v>
      </c>
      <c r="AP307">
        <v>303</v>
      </c>
      <c r="AQ307">
        <f>'HourGH-JAN'!AE40</f>
        <v>337.93</v>
      </c>
      <c r="AT307">
        <v>10</v>
      </c>
      <c r="AU307">
        <v>28</v>
      </c>
      <c r="AV307">
        <v>303</v>
      </c>
      <c r="AW307" s="117">
        <f>Discharge!L38</f>
        <v>5</v>
      </c>
    </row>
    <row r="308" spans="28:49">
      <c r="AB308">
        <v>10</v>
      </c>
      <c r="AC308">
        <v>29</v>
      </c>
      <c r="AD308">
        <v>304</v>
      </c>
      <c r="AE308" s="117">
        <f>DailyMeanGH!L39</f>
        <v>337.92</v>
      </c>
      <c r="AH308">
        <v>10</v>
      </c>
      <c r="AI308">
        <v>29</v>
      </c>
      <c r="AJ308">
        <v>304</v>
      </c>
      <c r="AK308">
        <f>'HourGH-JAN'!AC41</f>
        <v>337.92</v>
      </c>
      <c r="AN308">
        <v>10</v>
      </c>
      <c r="AO308">
        <v>29</v>
      </c>
      <c r="AP308">
        <v>304</v>
      </c>
      <c r="AQ308">
        <f>'HourGH-JAN'!AE41</f>
        <v>337.92</v>
      </c>
      <c r="AT308">
        <v>10</v>
      </c>
      <c r="AU308">
        <v>29</v>
      </c>
      <c r="AV308">
        <v>304</v>
      </c>
      <c r="AW308" s="117">
        <f>Discharge!L39</f>
        <v>4.5</v>
      </c>
    </row>
    <row r="309" spans="28:49">
      <c r="AB309">
        <v>10</v>
      </c>
      <c r="AC309">
        <v>30</v>
      </c>
      <c r="AD309">
        <v>305</v>
      </c>
      <c r="AE309" s="117">
        <f>DailyMeanGH!L40</f>
        <v>337.93</v>
      </c>
      <c r="AH309">
        <v>10</v>
      </c>
      <c r="AI309">
        <v>30</v>
      </c>
      <c r="AJ309">
        <v>305</v>
      </c>
      <c r="AK309">
        <f>'HourGH-JAN'!AC42</f>
        <v>337.93</v>
      </c>
      <c r="AN309">
        <v>10</v>
      </c>
      <c r="AO309">
        <v>30</v>
      </c>
      <c r="AP309">
        <v>305</v>
      </c>
      <c r="AQ309">
        <f>'HourGH-JAN'!AE42</f>
        <v>337.93</v>
      </c>
      <c r="AT309">
        <v>10</v>
      </c>
      <c r="AU309">
        <v>30</v>
      </c>
      <c r="AV309">
        <v>305</v>
      </c>
      <c r="AW309" s="117">
        <f>Discharge!L40</f>
        <v>4.75</v>
      </c>
    </row>
    <row r="310" spans="28:49">
      <c r="AB310">
        <v>10</v>
      </c>
      <c r="AC310">
        <v>31</v>
      </c>
      <c r="AD310">
        <v>306</v>
      </c>
      <c r="AE310" s="117">
        <f>DailyMeanGH!L41</f>
        <v>338.01</v>
      </c>
      <c r="AH310">
        <v>10</v>
      </c>
      <c r="AI310">
        <v>31</v>
      </c>
      <c r="AJ310">
        <v>306</v>
      </c>
      <c r="AK310">
        <f>'HourGH-JAN'!AC43</f>
        <v>338.18</v>
      </c>
      <c r="AN310">
        <v>10</v>
      </c>
      <c r="AO310">
        <v>31</v>
      </c>
      <c r="AP310">
        <v>306</v>
      </c>
      <c r="AQ310">
        <f>'HourGH-JAN'!AE43</f>
        <v>337.93</v>
      </c>
      <c r="AT310">
        <v>10</v>
      </c>
      <c r="AU310">
        <v>31</v>
      </c>
      <c r="AV310">
        <v>306</v>
      </c>
      <c r="AW310" s="117">
        <f>Discharge!L41</f>
        <v>6.82</v>
      </c>
    </row>
    <row r="311" spans="28:49">
      <c r="AB311">
        <v>11</v>
      </c>
      <c r="AC311">
        <v>1</v>
      </c>
      <c r="AD311">
        <v>307</v>
      </c>
      <c r="AE311" s="117">
        <f>DailyMeanGH!M9</f>
        <v>338.31</v>
      </c>
      <c r="AH311">
        <v>11</v>
      </c>
      <c r="AI311">
        <v>1</v>
      </c>
      <c r="AJ311">
        <v>307</v>
      </c>
      <c r="AK311">
        <f>'HourGH-FEB'!AC11</f>
        <v>338.33000000000004</v>
      </c>
      <c r="AN311">
        <v>11</v>
      </c>
      <c r="AO311">
        <v>1</v>
      </c>
      <c r="AP311">
        <v>307</v>
      </c>
      <c r="AQ311">
        <f>'HourGH-FEB'!AE11</f>
        <v>338.20000000000005</v>
      </c>
      <c r="AT311">
        <v>11</v>
      </c>
      <c r="AU311">
        <v>1</v>
      </c>
      <c r="AV311">
        <v>307</v>
      </c>
      <c r="AW311" s="117">
        <f>Discharge!M9</f>
        <v>17.95</v>
      </c>
    </row>
    <row r="312" spans="28:49">
      <c r="AB312">
        <v>11</v>
      </c>
      <c r="AC312">
        <v>2</v>
      </c>
      <c r="AD312">
        <v>308</v>
      </c>
      <c r="AE312" s="117">
        <f>DailyMeanGH!M10</f>
        <v>338.24</v>
      </c>
      <c r="AH312">
        <v>11</v>
      </c>
      <c r="AI312">
        <v>2</v>
      </c>
      <c r="AJ312">
        <v>308</v>
      </c>
      <c r="AK312">
        <f>'HourGH-FEB'!AC12</f>
        <v>338.31</v>
      </c>
      <c r="AN312">
        <v>11</v>
      </c>
      <c r="AO312">
        <v>2</v>
      </c>
      <c r="AP312">
        <v>308</v>
      </c>
      <c r="AQ312">
        <f>'HourGH-FEB'!AE12</f>
        <v>338.11</v>
      </c>
      <c r="AT312">
        <v>11</v>
      </c>
      <c r="AU312">
        <v>2</v>
      </c>
      <c r="AV312">
        <v>308</v>
      </c>
      <c r="AW312" s="117">
        <f>Discharge!M10</f>
        <v>14.8</v>
      </c>
    </row>
    <row r="313" spans="28:49">
      <c r="AB313">
        <v>11</v>
      </c>
      <c r="AC313">
        <v>3</v>
      </c>
      <c r="AD313">
        <v>309</v>
      </c>
      <c r="AE313" s="117">
        <f>DailyMeanGH!M11</f>
        <v>337.98</v>
      </c>
      <c r="AH313">
        <v>11</v>
      </c>
      <c r="AI313">
        <v>3</v>
      </c>
      <c r="AJ313">
        <v>309</v>
      </c>
      <c r="AK313">
        <f>'HourGH-FEB'!AC13</f>
        <v>338.09000000000003</v>
      </c>
      <c r="AN313">
        <v>11</v>
      </c>
      <c r="AO313">
        <v>3</v>
      </c>
      <c r="AP313">
        <v>309</v>
      </c>
      <c r="AQ313">
        <f>'HourGH-FEB'!AE13</f>
        <v>337.94</v>
      </c>
      <c r="AT313">
        <v>11</v>
      </c>
      <c r="AU313">
        <v>3</v>
      </c>
      <c r="AV313">
        <v>309</v>
      </c>
      <c r="AW313" s="117">
        <f>Discharge!M11</f>
        <v>6</v>
      </c>
    </row>
    <row r="314" spans="28:49">
      <c r="AB314">
        <v>11</v>
      </c>
      <c r="AC314">
        <v>4</v>
      </c>
      <c r="AD314">
        <v>310</v>
      </c>
      <c r="AE314" s="117">
        <f>DailyMeanGH!M12</f>
        <v>338.05</v>
      </c>
      <c r="AH314">
        <v>11</v>
      </c>
      <c r="AI314">
        <v>4</v>
      </c>
      <c r="AJ314">
        <v>310</v>
      </c>
      <c r="AK314">
        <f>'HourGH-FEB'!AC14</f>
        <v>338.09000000000003</v>
      </c>
      <c r="AN314">
        <v>11</v>
      </c>
      <c r="AO314">
        <v>4</v>
      </c>
      <c r="AP314">
        <v>310</v>
      </c>
      <c r="AQ314">
        <f>'HourGH-FEB'!AE14</f>
        <v>337.99</v>
      </c>
      <c r="AT314">
        <v>11</v>
      </c>
      <c r="AU314">
        <v>4</v>
      </c>
      <c r="AV314">
        <v>310</v>
      </c>
      <c r="AW314" s="117">
        <f>Discharge!M12</f>
        <v>8.1300000000000008</v>
      </c>
    </row>
    <row r="315" spans="28:49">
      <c r="AB315">
        <v>11</v>
      </c>
      <c r="AC315">
        <v>5</v>
      </c>
      <c r="AD315">
        <v>311</v>
      </c>
      <c r="AE315" s="117">
        <f>DailyMeanGH!M13</f>
        <v>337.93</v>
      </c>
      <c r="AH315">
        <v>11</v>
      </c>
      <c r="AI315">
        <v>5</v>
      </c>
      <c r="AJ315">
        <v>311</v>
      </c>
      <c r="AK315">
        <f>'HourGH-FEB'!AC15</f>
        <v>337.98</v>
      </c>
      <c r="AN315">
        <v>11</v>
      </c>
      <c r="AO315">
        <v>5</v>
      </c>
      <c r="AP315">
        <v>311</v>
      </c>
      <c r="AQ315">
        <f>'HourGH-FEB'!AE15</f>
        <v>337.92</v>
      </c>
      <c r="AT315">
        <v>11</v>
      </c>
      <c r="AU315">
        <v>5</v>
      </c>
      <c r="AV315">
        <v>311</v>
      </c>
      <c r="AW315" s="117">
        <f>Discharge!M13</f>
        <v>4.75</v>
      </c>
    </row>
    <row r="316" spans="28:49">
      <c r="AB316">
        <v>11</v>
      </c>
      <c r="AC316">
        <v>6</v>
      </c>
      <c r="AD316">
        <v>312</v>
      </c>
      <c r="AE316" s="117">
        <f>DailyMeanGH!M14</f>
        <v>337.92</v>
      </c>
      <c r="AH316">
        <v>11</v>
      </c>
      <c r="AI316">
        <v>6</v>
      </c>
      <c r="AJ316">
        <v>312</v>
      </c>
      <c r="AK316">
        <f>'HourGH-FEB'!AC16</f>
        <v>337.92</v>
      </c>
      <c r="AN316">
        <v>11</v>
      </c>
      <c r="AO316">
        <v>6</v>
      </c>
      <c r="AP316">
        <v>312</v>
      </c>
      <c r="AQ316">
        <f>'HourGH-FEB'!AE16</f>
        <v>337.91</v>
      </c>
      <c r="AT316">
        <v>11</v>
      </c>
      <c r="AU316">
        <v>6</v>
      </c>
      <c r="AV316">
        <v>312</v>
      </c>
      <c r="AW316" s="117">
        <f>Discharge!M14</f>
        <v>4.5</v>
      </c>
    </row>
    <row r="317" spans="28:49">
      <c r="AB317">
        <v>11</v>
      </c>
      <c r="AC317">
        <v>7</v>
      </c>
      <c r="AD317">
        <v>313</v>
      </c>
      <c r="AE317" s="117">
        <f>DailyMeanGH!M15</f>
        <v>338.01</v>
      </c>
      <c r="AH317">
        <v>11</v>
      </c>
      <c r="AI317">
        <v>7</v>
      </c>
      <c r="AJ317">
        <v>313</v>
      </c>
      <c r="AK317">
        <f>'HourGH-FEB'!AC17</f>
        <v>338.21000000000004</v>
      </c>
      <c r="AN317">
        <v>11</v>
      </c>
      <c r="AO317">
        <v>7</v>
      </c>
      <c r="AP317">
        <v>313</v>
      </c>
      <c r="AQ317">
        <f>'HourGH-FEB'!AE17</f>
        <v>337.90000000000003</v>
      </c>
      <c r="AT317">
        <v>11</v>
      </c>
      <c r="AU317">
        <v>7</v>
      </c>
      <c r="AV317">
        <v>313</v>
      </c>
      <c r="AW317" s="117">
        <f>Discharge!M15</f>
        <v>6.82</v>
      </c>
    </row>
    <row r="318" spans="28:49">
      <c r="AB318">
        <v>11</v>
      </c>
      <c r="AC318">
        <v>8</v>
      </c>
      <c r="AD318">
        <v>314</v>
      </c>
      <c r="AE318" s="117">
        <f>DailyMeanGH!M16</f>
        <v>338.26</v>
      </c>
      <c r="AH318">
        <v>11</v>
      </c>
      <c r="AI318">
        <v>8</v>
      </c>
      <c r="AJ318">
        <v>314</v>
      </c>
      <c r="AK318">
        <f>'HourGH-FEB'!AC18</f>
        <v>338.27000000000004</v>
      </c>
      <c r="AN318">
        <v>11</v>
      </c>
      <c r="AO318">
        <v>8</v>
      </c>
      <c r="AP318">
        <v>314</v>
      </c>
      <c r="AQ318">
        <f>'HourGH-FEB'!AE18</f>
        <v>338.22</v>
      </c>
      <c r="AT318">
        <v>11</v>
      </c>
      <c r="AU318">
        <v>8</v>
      </c>
      <c r="AV318">
        <v>314</v>
      </c>
      <c r="AW318" s="117">
        <f>Discharge!M16</f>
        <v>15.7</v>
      </c>
    </row>
    <row r="319" spans="28:49">
      <c r="AB319">
        <v>11</v>
      </c>
      <c r="AC319">
        <v>9</v>
      </c>
      <c r="AD319">
        <v>315</v>
      </c>
      <c r="AE319" s="117">
        <f>DailyMeanGH!M17</f>
        <v>338.27</v>
      </c>
      <c r="AH319">
        <v>11</v>
      </c>
      <c r="AI319">
        <v>9</v>
      </c>
      <c r="AJ319">
        <v>315</v>
      </c>
      <c r="AK319">
        <f>'HourGH-FEB'!AC19</f>
        <v>338.27000000000004</v>
      </c>
      <c r="AN319">
        <v>11</v>
      </c>
      <c r="AO319">
        <v>9</v>
      </c>
      <c r="AP319">
        <v>315</v>
      </c>
      <c r="AQ319">
        <f>'HourGH-FEB'!AE19</f>
        <v>338.27000000000004</v>
      </c>
      <c r="AT319">
        <v>11</v>
      </c>
      <c r="AU319">
        <v>9</v>
      </c>
      <c r="AV319">
        <v>315</v>
      </c>
      <c r="AW319" s="117">
        <f>Discharge!M17</f>
        <v>16.149999999999999</v>
      </c>
    </row>
    <row r="320" spans="28:49">
      <c r="AB320">
        <v>11</v>
      </c>
      <c r="AC320">
        <v>10</v>
      </c>
      <c r="AD320">
        <v>316</v>
      </c>
      <c r="AE320" s="117">
        <f>DailyMeanGH!M18</f>
        <v>338.17</v>
      </c>
      <c r="AH320">
        <v>11</v>
      </c>
      <c r="AI320">
        <v>10</v>
      </c>
      <c r="AJ320">
        <v>316</v>
      </c>
      <c r="AK320">
        <f>'HourGH-FEB'!AC20</f>
        <v>338.27000000000004</v>
      </c>
      <c r="AN320">
        <v>11</v>
      </c>
      <c r="AO320">
        <v>10</v>
      </c>
      <c r="AP320">
        <v>316</v>
      </c>
      <c r="AQ320">
        <f>'HourGH-FEB'!AE20</f>
        <v>337.96000000000004</v>
      </c>
      <c r="AT320">
        <v>11</v>
      </c>
      <c r="AU320">
        <v>10</v>
      </c>
      <c r="AV320">
        <v>316</v>
      </c>
      <c r="AW320" s="117">
        <f>Discharge!M18</f>
        <v>12.03</v>
      </c>
    </row>
    <row r="321" spans="28:49">
      <c r="AB321">
        <v>11</v>
      </c>
      <c r="AC321">
        <v>11</v>
      </c>
      <c r="AD321">
        <v>317</v>
      </c>
      <c r="AE321" s="117">
        <f>DailyMeanGH!M20</f>
        <v>337.9</v>
      </c>
      <c r="AH321">
        <v>11</v>
      </c>
      <c r="AI321">
        <v>11</v>
      </c>
      <c r="AJ321">
        <v>317</v>
      </c>
      <c r="AK321">
        <f>'HourGH-FEB'!AC22</f>
        <v>337.95000000000005</v>
      </c>
      <c r="AN321">
        <v>11</v>
      </c>
      <c r="AO321">
        <v>11</v>
      </c>
      <c r="AP321">
        <v>317</v>
      </c>
      <c r="AQ321">
        <f>'HourGH-FEB'!AE22</f>
        <v>337.89000000000004</v>
      </c>
      <c r="AT321">
        <v>11</v>
      </c>
      <c r="AU321">
        <v>11</v>
      </c>
      <c r="AV321">
        <v>317</v>
      </c>
      <c r="AW321" s="117">
        <f>Discharge!M20</f>
        <v>4</v>
      </c>
    </row>
    <row r="322" spans="28:49">
      <c r="AB322">
        <v>11</v>
      </c>
      <c r="AC322">
        <v>12</v>
      </c>
      <c r="AD322">
        <v>318</v>
      </c>
      <c r="AE322" s="117">
        <f>DailyMeanGH!M21</f>
        <v>337.89</v>
      </c>
      <c r="AH322">
        <v>11</v>
      </c>
      <c r="AI322">
        <v>12</v>
      </c>
      <c r="AJ322">
        <v>318</v>
      </c>
      <c r="AK322">
        <f>'HourGH-FEB'!AC23</f>
        <v>337.89000000000004</v>
      </c>
      <c r="AN322">
        <v>11</v>
      </c>
      <c r="AO322">
        <v>12</v>
      </c>
      <c r="AP322">
        <v>318</v>
      </c>
      <c r="AQ322">
        <f>'HourGH-FEB'!AE23</f>
        <v>337.89000000000004</v>
      </c>
      <c r="AT322">
        <v>11</v>
      </c>
      <c r="AU322">
        <v>12</v>
      </c>
      <c r="AV322">
        <v>318</v>
      </c>
      <c r="AW322" s="117">
        <f>Discharge!M21</f>
        <v>3.8</v>
      </c>
    </row>
    <row r="323" spans="28:49">
      <c r="AB323">
        <v>11</v>
      </c>
      <c r="AC323">
        <v>13</v>
      </c>
      <c r="AD323">
        <v>319</v>
      </c>
      <c r="AE323" s="117">
        <f>DailyMeanGH!M22</f>
        <v>337.9</v>
      </c>
      <c r="AH323">
        <v>11</v>
      </c>
      <c r="AI323">
        <v>13</v>
      </c>
      <c r="AJ323">
        <v>319</v>
      </c>
      <c r="AK323">
        <f>'HourGH-FEB'!AC24</f>
        <v>337.90000000000003</v>
      </c>
      <c r="AN323">
        <v>11</v>
      </c>
      <c r="AO323">
        <v>13</v>
      </c>
      <c r="AP323">
        <v>319</v>
      </c>
      <c r="AQ323">
        <f>'HourGH-FEB'!AE24</f>
        <v>337.90000000000003</v>
      </c>
      <c r="AT323">
        <v>11</v>
      </c>
      <c r="AU323">
        <v>13</v>
      </c>
      <c r="AV323">
        <v>319</v>
      </c>
      <c r="AW323" s="117">
        <f>Discharge!M22</f>
        <v>4</v>
      </c>
    </row>
    <row r="324" spans="28:49">
      <c r="AB324">
        <v>11</v>
      </c>
      <c r="AC324">
        <v>14</v>
      </c>
      <c r="AD324">
        <v>320</v>
      </c>
      <c r="AE324" s="117">
        <f>DailyMeanGH!M23</f>
        <v>337.97</v>
      </c>
      <c r="AH324">
        <v>11</v>
      </c>
      <c r="AI324">
        <v>14</v>
      </c>
      <c r="AJ324">
        <v>320</v>
      </c>
      <c r="AK324">
        <f>'HourGH-FEB'!AC25</f>
        <v>338.15000000000003</v>
      </c>
      <c r="AN324">
        <v>11</v>
      </c>
      <c r="AO324">
        <v>14</v>
      </c>
      <c r="AP324">
        <v>320</v>
      </c>
      <c r="AQ324">
        <f>'HourGH-FEB'!AE25</f>
        <v>337.89000000000004</v>
      </c>
      <c r="AT324">
        <v>11</v>
      </c>
      <c r="AU324">
        <v>14</v>
      </c>
      <c r="AV324">
        <v>320</v>
      </c>
      <c r="AW324" s="117">
        <f>Discharge!M23</f>
        <v>5.75</v>
      </c>
    </row>
    <row r="325" spans="28:49">
      <c r="AB325">
        <v>11</v>
      </c>
      <c r="AC325">
        <v>15</v>
      </c>
      <c r="AD325">
        <v>321</v>
      </c>
      <c r="AE325" s="117">
        <f>DailyMeanGH!M24</f>
        <v>338.33</v>
      </c>
      <c r="AH325">
        <v>11</v>
      </c>
      <c r="AI325">
        <v>15</v>
      </c>
      <c r="AJ325">
        <v>321</v>
      </c>
      <c r="AK325">
        <f>'HourGH-FEB'!AC26</f>
        <v>338.41</v>
      </c>
      <c r="AN325">
        <v>11</v>
      </c>
      <c r="AO325">
        <v>15</v>
      </c>
      <c r="AP325">
        <v>321</v>
      </c>
      <c r="AQ325">
        <f>'HourGH-FEB'!AE26</f>
        <v>338.17</v>
      </c>
      <c r="AT325">
        <v>11</v>
      </c>
      <c r="AU325">
        <v>15</v>
      </c>
      <c r="AV325">
        <v>321</v>
      </c>
      <c r="AW325" s="117">
        <f>Discharge!M24</f>
        <v>18.850000000000001</v>
      </c>
    </row>
    <row r="326" spans="28:49">
      <c r="AB326">
        <v>11</v>
      </c>
      <c r="AC326">
        <v>16</v>
      </c>
      <c r="AD326">
        <v>322</v>
      </c>
      <c r="AE326" s="117">
        <f>DailyMeanGH!M25</f>
        <v>338.44</v>
      </c>
      <c r="AH326">
        <v>11</v>
      </c>
      <c r="AI326">
        <v>16</v>
      </c>
      <c r="AJ326">
        <v>322</v>
      </c>
      <c r="AK326">
        <f>'HourGH-FEB'!AC27</f>
        <v>338.45000000000005</v>
      </c>
      <c r="AN326">
        <v>11</v>
      </c>
      <c r="AO326">
        <v>16</v>
      </c>
      <c r="AP326">
        <v>322</v>
      </c>
      <c r="AQ326">
        <f>'HourGH-FEB'!AE27</f>
        <v>338.42</v>
      </c>
      <c r="AT326">
        <v>11</v>
      </c>
      <c r="AU326">
        <v>16</v>
      </c>
      <c r="AV326">
        <v>322</v>
      </c>
      <c r="AW326" s="117">
        <f>Discharge!M25</f>
        <v>24</v>
      </c>
    </row>
    <row r="327" spans="28:49">
      <c r="AB327">
        <v>11</v>
      </c>
      <c r="AC327">
        <v>17</v>
      </c>
      <c r="AD327">
        <v>323</v>
      </c>
      <c r="AE327" s="117">
        <f>DailyMeanGH!M26</f>
        <v>338.29</v>
      </c>
      <c r="AH327">
        <v>11</v>
      </c>
      <c r="AI327">
        <v>17</v>
      </c>
      <c r="AJ327">
        <v>323</v>
      </c>
      <c r="AK327">
        <f>'HourGH-FEB'!AC28</f>
        <v>338.43</v>
      </c>
      <c r="AN327">
        <v>11</v>
      </c>
      <c r="AO327">
        <v>17</v>
      </c>
      <c r="AP327">
        <v>323</v>
      </c>
      <c r="AQ327">
        <f>'HourGH-FEB'!AE28</f>
        <v>338.01000000000005</v>
      </c>
      <c r="AT327">
        <v>11</v>
      </c>
      <c r="AU327">
        <v>17</v>
      </c>
      <c r="AV327">
        <v>323</v>
      </c>
      <c r="AW327" s="117">
        <f>Discharge!M26</f>
        <v>17.05</v>
      </c>
    </row>
    <row r="328" spans="28:49">
      <c r="AB328">
        <v>11</v>
      </c>
      <c r="AC328">
        <v>18</v>
      </c>
      <c r="AD328">
        <v>324</v>
      </c>
      <c r="AE328" s="117">
        <f>DailyMeanGH!M27</f>
        <v>337.88</v>
      </c>
      <c r="AH328">
        <v>11</v>
      </c>
      <c r="AI328">
        <v>18</v>
      </c>
      <c r="AJ328">
        <v>324</v>
      </c>
      <c r="AK328">
        <f>'HourGH-FEB'!AC29</f>
        <v>337.98</v>
      </c>
      <c r="AN328">
        <v>11</v>
      </c>
      <c r="AO328">
        <v>18</v>
      </c>
      <c r="AP328">
        <v>324</v>
      </c>
      <c r="AQ328">
        <f>'HourGH-FEB'!AE29</f>
        <v>337.87</v>
      </c>
      <c r="AT328">
        <v>11</v>
      </c>
      <c r="AU328">
        <v>18</v>
      </c>
      <c r="AV328">
        <v>324</v>
      </c>
      <c r="AW328" s="117">
        <f>Discharge!M27</f>
        <v>3.6</v>
      </c>
    </row>
    <row r="329" spans="28:49">
      <c r="AB329">
        <v>11</v>
      </c>
      <c r="AC329">
        <v>19</v>
      </c>
      <c r="AD329">
        <v>325</v>
      </c>
      <c r="AE329" s="117">
        <f>DailyMeanGH!M28</f>
        <v>337.87</v>
      </c>
      <c r="AH329">
        <v>11</v>
      </c>
      <c r="AI329">
        <v>19</v>
      </c>
      <c r="AJ329">
        <v>325</v>
      </c>
      <c r="AK329">
        <f>'HourGH-FEB'!AC30</f>
        <v>337.87</v>
      </c>
      <c r="AN329">
        <v>11</v>
      </c>
      <c r="AO329">
        <v>19</v>
      </c>
      <c r="AP329">
        <v>325</v>
      </c>
      <c r="AQ329">
        <f>'HourGH-FEB'!AE30</f>
        <v>337.87</v>
      </c>
      <c r="AT329">
        <v>11</v>
      </c>
      <c r="AU329">
        <v>19</v>
      </c>
      <c r="AV329">
        <v>325</v>
      </c>
      <c r="AW329" s="117">
        <f>Discharge!M28</f>
        <v>3.4</v>
      </c>
    </row>
    <row r="330" spans="28:49">
      <c r="AB330">
        <v>11</v>
      </c>
      <c r="AC330">
        <v>20</v>
      </c>
      <c r="AD330">
        <v>326</v>
      </c>
      <c r="AE330" s="117">
        <f>DailyMeanGH!M29</f>
        <v>337.88</v>
      </c>
      <c r="AH330">
        <v>11</v>
      </c>
      <c r="AI330">
        <v>20</v>
      </c>
      <c r="AJ330">
        <v>326</v>
      </c>
      <c r="AK330">
        <f>'HourGH-FEB'!AC31</f>
        <v>337.88</v>
      </c>
      <c r="AN330">
        <v>11</v>
      </c>
      <c r="AO330">
        <v>20</v>
      </c>
      <c r="AP330">
        <v>326</v>
      </c>
      <c r="AQ330">
        <f>'HourGH-FEB'!AE31</f>
        <v>337.87</v>
      </c>
      <c r="AT330">
        <v>11</v>
      </c>
      <c r="AU330">
        <v>20</v>
      </c>
      <c r="AV330">
        <v>326</v>
      </c>
      <c r="AW330" s="117">
        <f>Discharge!M29</f>
        <v>3.6</v>
      </c>
    </row>
    <row r="331" spans="28:49">
      <c r="AB331">
        <v>11</v>
      </c>
      <c r="AC331">
        <v>21</v>
      </c>
      <c r="AD331">
        <v>327</v>
      </c>
      <c r="AE331" s="117">
        <f>DailyMeanGH!M31</f>
        <v>337.96</v>
      </c>
      <c r="AH331">
        <v>11</v>
      </c>
      <c r="AI331">
        <v>21</v>
      </c>
      <c r="AJ331">
        <v>327</v>
      </c>
      <c r="AK331">
        <f>'HourGH-FEB'!AC33</f>
        <v>338.19</v>
      </c>
      <c r="AN331">
        <v>11</v>
      </c>
      <c r="AO331">
        <v>21</v>
      </c>
      <c r="AP331">
        <v>327</v>
      </c>
      <c r="AQ331">
        <f>'HourGH-FEB'!AE33</f>
        <v>337.86</v>
      </c>
      <c r="AT331">
        <v>11</v>
      </c>
      <c r="AU331">
        <v>21</v>
      </c>
      <c r="AV331">
        <v>327</v>
      </c>
      <c r="AW331" s="117">
        <f>Discharge!M31</f>
        <v>5.5</v>
      </c>
    </row>
    <row r="332" spans="28:49">
      <c r="AB332">
        <v>11</v>
      </c>
      <c r="AC332">
        <v>22</v>
      </c>
      <c r="AD332">
        <v>328</v>
      </c>
      <c r="AE332" s="117">
        <f>DailyMeanGH!M32</f>
        <v>338.26</v>
      </c>
      <c r="AH332">
        <v>11</v>
      </c>
      <c r="AI332">
        <v>22</v>
      </c>
      <c r="AJ332">
        <v>328</v>
      </c>
      <c r="AK332">
        <f>'HourGH-FEB'!AC34</f>
        <v>338.31</v>
      </c>
      <c r="AN332">
        <v>11</v>
      </c>
      <c r="AO332">
        <v>22</v>
      </c>
      <c r="AP332">
        <v>328</v>
      </c>
      <c r="AQ332">
        <f>'HourGH-FEB'!AE34</f>
        <v>338.14000000000004</v>
      </c>
      <c r="AT332">
        <v>11</v>
      </c>
      <c r="AU332">
        <v>22</v>
      </c>
      <c r="AV332">
        <v>328</v>
      </c>
      <c r="AW332" s="117">
        <f>Discharge!M32</f>
        <v>15.7</v>
      </c>
    </row>
    <row r="333" spans="28:49">
      <c r="AB333">
        <v>11</v>
      </c>
      <c r="AC333">
        <v>23</v>
      </c>
      <c r="AD333">
        <v>329</v>
      </c>
      <c r="AE333" s="117">
        <f>DailyMeanGH!M33</f>
        <v>338.1</v>
      </c>
      <c r="AH333">
        <v>11</v>
      </c>
      <c r="AI333">
        <v>23</v>
      </c>
      <c r="AJ333">
        <v>329</v>
      </c>
      <c r="AK333">
        <f>'HourGH-FEB'!AC35</f>
        <v>338.23</v>
      </c>
      <c r="AN333">
        <v>11</v>
      </c>
      <c r="AO333">
        <v>23</v>
      </c>
      <c r="AP333">
        <v>329</v>
      </c>
      <c r="AQ333">
        <f>'HourGH-FEB'!AE35</f>
        <v>338.03000000000003</v>
      </c>
      <c r="AT333">
        <v>11</v>
      </c>
      <c r="AU333">
        <v>23</v>
      </c>
      <c r="AV333">
        <v>329</v>
      </c>
      <c r="AW333" s="117">
        <f>Discharge!M33</f>
        <v>9.75</v>
      </c>
    </row>
    <row r="334" spans="28:49">
      <c r="AB334">
        <v>11</v>
      </c>
      <c r="AC334">
        <v>24</v>
      </c>
      <c r="AD334">
        <v>330</v>
      </c>
      <c r="AE334" s="117">
        <f>DailyMeanGH!M34</f>
        <v>338.15</v>
      </c>
      <c r="AH334">
        <v>11</v>
      </c>
      <c r="AI334">
        <v>24</v>
      </c>
      <c r="AJ334">
        <v>330</v>
      </c>
      <c r="AK334">
        <f>'HourGH-FEB'!AC36</f>
        <v>338.28000000000003</v>
      </c>
      <c r="AN334">
        <v>11</v>
      </c>
      <c r="AO334">
        <v>24</v>
      </c>
      <c r="AP334">
        <v>330</v>
      </c>
      <c r="AQ334">
        <f>'HourGH-FEB'!AE36</f>
        <v>337.93</v>
      </c>
      <c r="AT334">
        <v>11</v>
      </c>
      <c r="AU334">
        <v>24</v>
      </c>
      <c r="AV334">
        <v>330</v>
      </c>
      <c r="AW334" s="117">
        <f>Discharge!M34</f>
        <v>11.37</v>
      </c>
    </row>
    <row r="335" spans="28:49">
      <c r="AB335">
        <v>11</v>
      </c>
      <c r="AC335">
        <v>25</v>
      </c>
      <c r="AD335">
        <v>331</v>
      </c>
      <c r="AE335" s="117">
        <f>DailyMeanGH!M35</f>
        <v>337.87</v>
      </c>
      <c r="AH335">
        <v>11</v>
      </c>
      <c r="AI335">
        <v>25</v>
      </c>
      <c r="AJ335">
        <v>331</v>
      </c>
      <c r="AK335">
        <f>'HourGH-FEB'!AC37</f>
        <v>337.91</v>
      </c>
      <c r="AN335">
        <v>11</v>
      </c>
      <c r="AO335">
        <v>25</v>
      </c>
      <c r="AP335">
        <v>331</v>
      </c>
      <c r="AQ335">
        <f>'HourGH-FEB'!AE37</f>
        <v>337.86</v>
      </c>
      <c r="AT335">
        <v>11</v>
      </c>
      <c r="AU335">
        <v>25</v>
      </c>
      <c r="AV335">
        <v>331</v>
      </c>
      <c r="AW335" s="117">
        <f>Discharge!M35</f>
        <v>3.4</v>
      </c>
    </row>
    <row r="336" spans="28:49">
      <c r="AB336">
        <v>11</v>
      </c>
      <c r="AC336">
        <v>26</v>
      </c>
      <c r="AD336">
        <v>332</v>
      </c>
      <c r="AE336" s="117">
        <f>DailyMeanGH!M36</f>
        <v>337.85</v>
      </c>
      <c r="AH336">
        <v>11</v>
      </c>
      <c r="AI336">
        <v>26</v>
      </c>
      <c r="AJ336">
        <v>332</v>
      </c>
      <c r="AK336">
        <f>'HourGH-FEB'!AC38</f>
        <v>337.85</v>
      </c>
      <c r="AN336">
        <v>11</v>
      </c>
      <c r="AO336">
        <v>26</v>
      </c>
      <c r="AP336">
        <v>332</v>
      </c>
      <c r="AQ336">
        <f>'HourGH-FEB'!AE38</f>
        <v>337.85</v>
      </c>
      <c r="AT336">
        <v>11</v>
      </c>
      <c r="AU336">
        <v>26</v>
      </c>
      <c r="AV336">
        <v>332</v>
      </c>
      <c r="AW336" s="117">
        <f>Discharge!M36</f>
        <v>3</v>
      </c>
    </row>
    <row r="337" spans="28:49">
      <c r="AB337">
        <v>11</v>
      </c>
      <c r="AC337">
        <v>27</v>
      </c>
      <c r="AD337">
        <v>333</v>
      </c>
      <c r="AE337" s="117">
        <f>DailyMeanGH!M37</f>
        <v>337.85</v>
      </c>
      <c r="AH337">
        <v>11</v>
      </c>
      <c r="AI337">
        <v>27</v>
      </c>
      <c r="AJ337">
        <v>333</v>
      </c>
      <c r="AK337">
        <f>'HourGH-FEB'!AC39</f>
        <v>337.85</v>
      </c>
      <c r="AN337">
        <v>11</v>
      </c>
      <c r="AO337">
        <v>27</v>
      </c>
      <c r="AP337">
        <v>333</v>
      </c>
      <c r="AQ337">
        <f>'HourGH-FEB'!AE39</f>
        <v>337.85</v>
      </c>
      <c r="AT337">
        <v>11</v>
      </c>
      <c r="AU337">
        <v>27</v>
      </c>
      <c r="AV337">
        <v>333</v>
      </c>
      <c r="AW337" s="117">
        <f>Discharge!M37</f>
        <v>3</v>
      </c>
    </row>
    <row r="338" spans="28:49">
      <c r="AB338">
        <v>11</v>
      </c>
      <c r="AC338">
        <v>28</v>
      </c>
      <c r="AD338">
        <v>334</v>
      </c>
      <c r="AE338" s="117">
        <f>DailyMeanGH!M38</f>
        <v>337.96</v>
      </c>
      <c r="AH338">
        <v>11</v>
      </c>
      <c r="AI338">
        <v>28</v>
      </c>
      <c r="AJ338">
        <v>334</v>
      </c>
      <c r="AK338">
        <f>'HourGH-FEB'!AC40</f>
        <v>338.17</v>
      </c>
      <c r="AN338">
        <v>11</v>
      </c>
      <c r="AO338">
        <v>28</v>
      </c>
      <c r="AP338">
        <v>334</v>
      </c>
      <c r="AQ338">
        <f>'HourGH-FEB'!AE40</f>
        <v>337.85</v>
      </c>
      <c r="AT338">
        <v>11</v>
      </c>
      <c r="AU338">
        <v>28</v>
      </c>
      <c r="AV338">
        <v>334</v>
      </c>
      <c r="AW338" s="117">
        <f>Discharge!M38</f>
        <v>5.5</v>
      </c>
    </row>
    <row r="339" spans="28:49">
      <c r="AB339">
        <v>11</v>
      </c>
      <c r="AC339">
        <v>29</v>
      </c>
      <c r="AD339">
        <v>335</v>
      </c>
      <c r="AE339" s="117">
        <f>IF(TRIM(DailyMeanGH!M39)="",DailyMeanGH!M38,DailyMeanGH!M39)</f>
        <v>337.96</v>
      </c>
      <c r="AH339">
        <v>11</v>
      </c>
      <c r="AI339">
        <v>29</v>
      </c>
      <c r="AJ339">
        <v>335</v>
      </c>
      <c r="AK339">
        <f>IF('HourGH-FEB'!AC41=" ",'HourGH-FEB'!AC40,'HourGH-FEB'!AC41)</f>
        <v>338.17</v>
      </c>
      <c r="AL339" s="117"/>
      <c r="AN339">
        <v>11</v>
      </c>
      <c r="AO339">
        <v>29</v>
      </c>
      <c r="AP339">
        <v>335</v>
      </c>
      <c r="AQ339">
        <f>IF('HourGH-FEB'!AE41=" ",'HourGH-FEB'!AE40,'HourGH-FEB'!AE41)</f>
        <v>337.85</v>
      </c>
      <c r="AT339">
        <v>11</v>
      </c>
      <c r="AU339">
        <v>29</v>
      </c>
      <c r="AV339">
        <v>335</v>
      </c>
      <c r="AW339" s="117">
        <f>IF(Discharge!M39="",Discharge!M38,Discharge!M39)</f>
        <v>5.5</v>
      </c>
    </row>
    <row r="340" spans="28:49">
      <c r="AB340">
        <v>12</v>
      </c>
      <c r="AC340">
        <v>1</v>
      </c>
      <c r="AD340">
        <v>336</v>
      </c>
      <c r="AE340" s="117">
        <f>DailyMeanGH!N9</f>
        <v>338.24</v>
      </c>
      <c r="AH340">
        <v>12</v>
      </c>
      <c r="AI340">
        <v>1</v>
      </c>
      <c r="AJ340">
        <v>336</v>
      </c>
      <c r="AK340">
        <f>'HourGH-MAR'!AC11</f>
        <v>338.25</v>
      </c>
      <c r="AN340">
        <v>12</v>
      </c>
      <c r="AO340">
        <v>1</v>
      </c>
      <c r="AP340">
        <v>336</v>
      </c>
      <c r="AQ340">
        <f>'HourGH-MAR'!AE11</f>
        <v>338.19</v>
      </c>
      <c r="AT340">
        <v>12</v>
      </c>
      <c r="AU340">
        <v>1</v>
      </c>
      <c r="AV340">
        <v>336</v>
      </c>
      <c r="AW340" s="117">
        <f>Discharge!N9</f>
        <v>14.8</v>
      </c>
    </row>
    <row r="341" spans="28:49">
      <c r="AB341">
        <v>12</v>
      </c>
      <c r="AC341">
        <v>2</v>
      </c>
      <c r="AD341">
        <v>337</v>
      </c>
      <c r="AE341" s="117">
        <f>DailyMeanGH!N10</f>
        <v>338.25</v>
      </c>
      <c r="AH341">
        <v>12</v>
      </c>
      <c r="AI341">
        <v>2</v>
      </c>
      <c r="AJ341">
        <v>337</v>
      </c>
      <c r="AK341">
        <f>'HourGH-MAR'!AC12</f>
        <v>338.25</v>
      </c>
      <c r="AN341">
        <v>12</v>
      </c>
      <c r="AO341">
        <v>2</v>
      </c>
      <c r="AP341">
        <v>337</v>
      </c>
      <c r="AQ341">
        <f>'HourGH-MAR'!AE12</f>
        <v>338.25</v>
      </c>
      <c r="AT341">
        <v>12</v>
      </c>
      <c r="AU341">
        <v>2</v>
      </c>
      <c r="AV341">
        <v>337</v>
      </c>
      <c r="AW341" s="117">
        <f>Discharge!N10</f>
        <v>15.25</v>
      </c>
    </row>
    <row r="342" spans="28:49">
      <c r="AB342">
        <v>12</v>
      </c>
      <c r="AC342">
        <v>3</v>
      </c>
      <c r="AD342">
        <v>338</v>
      </c>
      <c r="AE342" s="117">
        <f>DailyMeanGH!N11</f>
        <v>338.12</v>
      </c>
      <c r="AH342">
        <v>12</v>
      </c>
      <c r="AI342">
        <v>3</v>
      </c>
      <c r="AJ342">
        <v>338</v>
      </c>
      <c r="AK342">
        <f>'HourGH-MAR'!AC13</f>
        <v>338.26000000000005</v>
      </c>
      <c r="AN342">
        <v>12</v>
      </c>
      <c r="AO342">
        <v>3</v>
      </c>
      <c r="AP342">
        <v>338</v>
      </c>
      <c r="AQ342">
        <f>'HourGH-MAR'!AE13</f>
        <v>337.91</v>
      </c>
      <c r="AT342">
        <v>12</v>
      </c>
      <c r="AU342">
        <v>3</v>
      </c>
      <c r="AV342">
        <v>338</v>
      </c>
      <c r="AW342" s="117">
        <f>Discharge!N11</f>
        <v>10.4</v>
      </c>
    </row>
    <row r="343" spans="28:49">
      <c r="AB343">
        <v>12</v>
      </c>
      <c r="AC343">
        <v>4</v>
      </c>
      <c r="AD343">
        <v>339</v>
      </c>
      <c r="AE343" s="117">
        <f>DailyMeanGH!N12</f>
        <v>337.85</v>
      </c>
      <c r="AH343">
        <v>12</v>
      </c>
      <c r="AI343">
        <v>4</v>
      </c>
      <c r="AJ343">
        <v>339</v>
      </c>
      <c r="AK343">
        <f>'HourGH-MAR'!AC14</f>
        <v>337.89000000000004</v>
      </c>
      <c r="AN343">
        <v>12</v>
      </c>
      <c r="AO343">
        <v>4</v>
      </c>
      <c r="AP343">
        <v>339</v>
      </c>
      <c r="AQ343">
        <f>'HourGH-MAR'!AE14</f>
        <v>337.84000000000003</v>
      </c>
      <c r="AT343">
        <v>12</v>
      </c>
      <c r="AU343">
        <v>4</v>
      </c>
      <c r="AV343">
        <v>339</v>
      </c>
      <c r="AW343" s="117">
        <f>Discharge!N12</f>
        <v>3</v>
      </c>
    </row>
    <row r="344" spans="28:49">
      <c r="AB344">
        <v>12</v>
      </c>
      <c r="AC344">
        <v>5</v>
      </c>
      <c r="AD344">
        <v>340</v>
      </c>
      <c r="AE344" s="117">
        <f>DailyMeanGH!N13</f>
        <v>337.86</v>
      </c>
      <c r="AH344">
        <v>12</v>
      </c>
      <c r="AI344">
        <v>5</v>
      </c>
      <c r="AJ344">
        <v>340</v>
      </c>
      <c r="AK344">
        <f>'HourGH-MAR'!AC15</f>
        <v>337.86</v>
      </c>
      <c r="AN344">
        <v>12</v>
      </c>
      <c r="AO344">
        <v>5</v>
      </c>
      <c r="AP344">
        <v>340</v>
      </c>
      <c r="AQ344">
        <f>'HourGH-MAR'!AE15</f>
        <v>337.86</v>
      </c>
      <c r="AT344">
        <v>12</v>
      </c>
      <c r="AU344">
        <v>5</v>
      </c>
      <c r="AV344">
        <v>340</v>
      </c>
      <c r="AW344" s="117">
        <f>Discharge!N13</f>
        <v>3.2</v>
      </c>
    </row>
    <row r="345" spans="28:49">
      <c r="AB345">
        <v>12</v>
      </c>
      <c r="AC345">
        <v>6</v>
      </c>
      <c r="AD345">
        <v>341</v>
      </c>
      <c r="AE345" s="117">
        <f>DailyMeanGH!N14</f>
        <v>337.85</v>
      </c>
      <c r="AH345">
        <v>12</v>
      </c>
      <c r="AI345">
        <v>6</v>
      </c>
      <c r="AJ345">
        <v>341</v>
      </c>
      <c r="AK345">
        <f>'HourGH-MAR'!AC16</f>
        <v>337.86</v>
      </c>
      <c r="AN345">
        <v>12</v>
      </c>
      <c r="AO345">
        <v>6</v>
      </c>
      <c r="AP345">
        <v>341</v>
      </c>
      <c r="AQ345">
        <f>'HourGH-MAR'!AE16</f>
        <v>337.84000000000003</v>
      </c>
      <c r="AT345">
        <v>12</v>
      </c>
      <c r="AU345">
        <v>6</v>
      </c>
      <c r="AV345">
        <v>341</v>
      </c>
      <c r="AW345" s="117">
        <f>Discharge!N14</f>
        <v>3</v>
      </c>
    </row>
    <row r="346" spans="28:49">
      <c r="AB346">
        <v>12</v>
      </c>
      <c r="AC346">
        <v>7</v>
      </c>
      <c r="AD346">
        <v>342</v>
      </c>
      <c r="AE346" s="117">
        <f>DailyMeanGH!N15</f>
        <v>337.93</v>
      </c>
      <c r="AH346">
        <v>12</v>
      </c>
      <c r="AI346">
        <v>7</v>
      </c>
      <c r="AJ346">
        <v>342</v>
      </c>
      <c r="AK346">
        <f>'HourGH-MAR'!AC17</f>
        <v>338.16</v>
      </c>
      <c r="AN346">
        <v>12</v>
      </c>
      <c r="AO346">
        <v>7</v>
      </c>
      <c r="AP346">
        <v>342</v>
      </c>
      <c r="AQ346">
        <f>'HourGH-MAR'!AE17</f>
        <v>337.84000000000003</v>
      </c>
      <c r="AT346">
        <v>12</v>
      </c>
      <c r="AU346">
        <v>7</v>
      </c>
      <c r="AV346">
        <v>342</v>
      </c>
      <c r="AW346" s="117">
        <f>Discharge!N15</f>
        <v>4.75</v>
      </c>
    </row>
    <row r="347" spans="28:49">
      <c r="AB347">
        <v>12</v>
      </c>
      <c r="AC347">
        <v>8</v>
      </c>
      <c r="AD347">
        <v>343</v>
      </c>
      <c r="AE347" s="117">
        <f>DailyMeanGH!N16</f>
        <v>338.24</v>
      </c>
      <c r="AH347">
        <v>12</v>
      </c>
      <c r="AI347">
        <v>8</v>
      </c>
      <c r="AJ347">
        <v>343</v>
      </c>
      <c r="AK347">
        <f>'HourGH-MAR'!AC18</f>
        <v>338.25</v>
      </c>
      <c r="AN347">
        <v>12</v>
      </c>
      <c r="AO347">
        <v>8</v>
      </c>
      <c r="AP347">
        <v>343</v>
      </c>
      <c r="AQ347">
        <f>'HourGH-MAR'!AE18</f>
        <v>338.18</v>
      </c>
      <c r="AT347">
        <v>12</v>
      </c>
      <c r="AU347">
        <v>8</v>
      </c>
      <c r="AV347">
        <v>343</v>
      </c>
      <c r="AW347" s="117">
        <f>Discharge!N16</f>
        <v>14.8</v>
      </c>
    </row>
    <row r="348" spans="28:49">
      <c r="AB348">
        <v>12</v>
      </c>
      <c r="AC348">
        <v>9</v>
      </c>
      <c r="AD348">
        <v>344</v>
      </c>
      <c r="AE348" s="117">
        <f>DailyMeanGH!N17</f>
        <v>338.25</v>
      </c>
      <c r="AH348">
        <v>12</v>
      </c>
      <c r="AI348">
        <v>9</v>
      </c>
      <c r="AJ348">
        <v>344</v>
      </c>
      <c r="AK348">
        <f>'HourGH-MAR'!AC19</f>
        <v>338.25</v>
      </c>
      <c r="AN348">
        <v>12</v>
      </c>
      <c r="AO348">
        <v>9</v>
      </c>
      <c r="AP348">
        <v>344</v>
      </c>
      <c r="AQ348">
        <f>'HourGH-MAR'!AE19</f>
        <v>338.25</v>
      </c>
      <c r="AT348">
        <v>12</v>
      </c>
      <c r="AU348">
        <v>9</v>
      </c>
      <c r="AV348">
        <v>344</v>
      </c>
      <c r="AW348" s="117">
        <f>Discharge!N17</f>
        <v>15.25</v>
      </c>
    </row>
    <row r="349" spans="28:49">
      <c r="AB349">
        <v>12</v>
      </c>
      <c r="AC349">
        <v>10</v>
      </c>
      <c r="AD349">
        <v>345</v>
      </c>
      <c r="AE349" s="117">
        <f>DailyMeanGH!N18</f>
        <v>338.25</v>
      </c>
      <c r="AH349">
        <v>12</v>
      </c>
      <c r="AI349">
        <v>10</v>
      </c>
      <c r="AJ349">
        <v>345</v>
      </c>
      <c r="AK349">
        <f>'HourGH-MAR'!AC20</f>
        <v>338.25</v>
      </c>
      <c r="AN349">
        <v>12</v>
      </c>
      <c r="AO349">
        <v>10</v>
      </c>
      <c r="AP349">
        <v>345</v>
      </c>
      <c r="AQ349">
        <f>'HourGH-MAR'!AE20</f>
        <v>338.25</v>
      </c>
      <c r="AT349">
        <v>12</v>
      </c>
      <c r="AU349">
        <v>10</v>
      </c>
      <c r="AV349">
        <v>345</v>
      </c>
      <c r="AW349" s="117">
        <f>Discharge!N18</f>
        <v>15.25</v>
      </c>
    </row>
    <row r="350" spans="28:49">
      <c r="AB350">
        <v>12</v>
      </c>
      <c r="AC350">
        <v>11</v>
      </c>
      <c r="AD350">
        <v>346</v>
      </c>
      <c r="AE350" s="117">
        <f>DailyMeanGH!N20</f>
        <v>338.17</v>
      </c>
      <c r="AH350">
        <v>12</v>
      </c>
      <c r="AI350">
        <v>11</v>
      </c>
      <c r="AJ350">
        <v>346</v>
      </c>
      <c r="AK350">
        <f>'HourGH-MAR'!AC22</f>
        <v>338.26000000000005</v>
      </c>
      <c r="AN350">
        <v>12</v>
      </c>
      <c r="AO350">
        <v>11</v>
      </c>
      <c r="AP350">
        <v>346</v>
      </c>
      <c r="AQ350">
        <f>'HourGH-MAR'!AE22</f>
        <v>337.95000000000005</v>
      </c>
      <c r="AT350">
        <v>12</v>
      </c>
      <c r="AU350">
        <v>11</v>
      </c>
      <c r="AV350">
        <v>346</v>
      </c>
      <c r="AW350" s="117">
        <f>Discharge!N20</f>
        <v>12.03</v>
      </c>
    </row>
    <row r="351" spans="28:49">
      <c r="AB351">
        <v>12</v>
      </c>
      <c r="AC351">
        <v>12</v>
      </c>
      <c r="AD351">
        <v>347</v>
      </c>
      <c r="AE351" s="117">
        <f>DailyMeanGH!N21</f>
        <v>337.85</v>
      </c>
      <c r="AH351">
        <v>12</v>
      </c>
      <c r="AI351">
        <v>12</v>
      </c>
      <c r="AJ351">
        <v>347</v>
      </c>
      <c r="AK351">
        <f>'HourGH-MAR'!AC23</f>
        <v>337.93</v>
      </c>
      <c r="AN351">
        <v>12</v>
      </c>
      <c r="AO351">
        <v>12</v>
      </c>
      <c r="AP351">
        <v>347</v>
      </c>
      <c r="AQ351">
        <f>'HourGH-MAR'!AE23</f>
        <v>337.84000000000003</v>
      </c>
      <c r="AT351">
        <v>12</v>
      </c>
      <c r="AU351">
        <v>12</v>
      </c>
      <c r="AV351">
        <v>347</v>
      </c>
      <c r="AW351" s="117">
        <f>Discharge!N21</f>
        <v>3</v>
      </c>
    </row>
    <row r="352" spans="28:49">
      <c r="AB352">
        <v>12</v>
      </c>
      <c r="AC352">
        <v>13</v>
      </c>
      <c r="AD352">
        <v>348</v>
      </c>
      <c r="AE352" s="117">
        <f>DailyMeanGH!N22</f>
        <v>337.84</v>
      </c>
      <c r="AH352">
        <v>12</v>
      </c>
      <c r="AI352">
        <v>13</v>
      </c>
      <c r="AJ352">
        <v>348</v>
      </c>
      <c r="AK352">
        <f>'HourGH-MAR'!AC24</f>
        <v>337.84000000000003</v>
      </c>
      <c r="AN352">
        <v>12</v>
      </c>
      <c r="AO352">
        <v>13</v>
      </c>
      <c r="AP352">
        <v>348</v>
      </c>
      <c r="AQ352">
        <f>'HourGH-MAR'!AE24</f>
        <v>337.84000000000003</v>
      </c>
      <c r="AT352">
        <v>12</v>
      </c>
      <c r="AU352">
        <v>13</v>
      </c>
      <c r="AV352">
        <v>348</v>
      </c>
      <c r="AW352" s="117">
        <f>Discharge!N22</f>
        <v>2.8</v>
      </c>
    </row>
    <row r="353" spans="28:49">
      <c r="AB353">
        <v>12</v>
      </c>
      <c r="AC353">
        <v>14</v>
      </c>
      <c r="AD353">
        <v>349</v>
      </c>
      <c r="AE353" s="117">
        <f>DailyMeanGH!N23</f>
        <v>337.93</v>
      </c>
      <c r="AH353">
        <v>12</v>
      </c>
      <c r="AI353">
        <v>14</v>
      </c>
      <c r="AJ353">
        <v>349</v>
      </c>
      <c r="AK353">
        <f>'HourGH-MAR'!AC25</f>
        <v>338.12</v>
      </c>
      <c r="AN353">
        <v>12</v>
      </c>
      <c r="AO353">
        <v>14</v>
      </c>
      <c r="AP353">
        <v>349</v>
      </c>
      <c r="AQ353">
        <f>'HourGH-MAR'!AE25</f>
        <v>337.84000000000003</v>
      </c>
      <c r="AT353">
        <v>12</v>
      </c>
      <c r="AU353">
        <v>14</v>
      </c>
      <c r="AV353">
        <v>349</v>
      </c>
      <c r="AW353" s="117">
        <f>Discharge!N23</f>
        <v>4.75</v>
      </c>
    </row>
    <row r="354" spans="28:49">
      <c r="AB354">
        <v>12</v>
      </c>
      <c r="AC354">
        <v>15</v>
      </c>
      <c r="AD354">
        <v>350</v>
      </c>
      <c r="AE354" s="117">
        <f>DailyMeanGH!N24</f>
        <v>338.29</v>
      </c>
      <c r="AH354">
        <v>12</v>
      </c>
      <c r="AI354">
        <v>15</v>
      </c>
      <c r="AJ354">
        <v>350</v>
      </c>
      <c r="AK354">
        <f>'HourGH-MAR'!AC26</f>
        <v>338.3</v>
      </c>
      <c r="AN354">
        <v>12</v>
      </c>
      <c r="AO354">
        <v>15</v>
      </c>
      <c r="AP354">
        <v>350</v>
      </c>
      <c r="AQ354">
        <f>'HourGH-MAR'!AE26</f>
        <v>338.23</v>
      </c>
      <c r="AT354">
        <v>12</v>
      </c>
      <c r="AU354">
        <v>15</v>
      </c>
      <c r="AV354">
        <v>350</v>
      </c>
      <c r="AW354" s="117">
        <f>Discharge!N24</f>
        <v>17.05</v>
      </c>
    </row>
    <row r="355" spans="28:49">
      <c r="AB355">
        <v>12</v>
      </c>
      <c r="AC355">
        <v>16</v>
      </c>
      <c r="AD355">
        <v>351</v>
      </c>
      <c r="AE355" s="117">
        <f>DailyMeanGH!N25</f>
        <v>338.3</v>
      </c>
      <c r="AH355">
        <v>12</v>
      </c>
      <c r="AI355">
        <v>16</v>
      </c>
      <c r="AJ355">
        <v>351</v>
      </c>
      <c r="AK355">
        <f>'HourGH-MAR'!AC27</f>
        <v>338.3</v>
      </c>
      <c r="AN355">
        <v>12</v>
      </c>
      <c r="AO355">
        <v>16</v>
      </c>
      <c r="AP355">
        <v>351</v>
      </c>
      <c r="AQ355">
        <f>'HourGH-MAR'!AE27</f>
        <v>338.3</v>
      </c>
      <c r="AT355">
        <v>12</v>
      </c>
      <c r="AU355">
        <v>16</v>
      </c>
      <c r="AV355">
        <v>351</v>
      </c>
      <c r="AW355" s="117">
        <f>Discharge!N25</f>
        <v>17.5</v>
      </c>
    </row>
    <row r="356" spans="28:49">
      <c r="AB356">
        <v>12</v>
      </c>
      <c r="AC356">
        <v>17</v>
      </c>
      <c r="AD356">
        <v>352</v>
      </c>
      <c r="AE356" s="117">
        <f>DailyMeanGH!N26</f>
        <v>338.31</v>
      </c>
      <c r="AH356">
        <v>12</v>
      </c>
      <c r="AI356">
        <v>17</v>
      </c>
      <c r="AJ356">
        <v>352</v>
      </c>
      <c r="AK356">
        <f>'HourGH-MAR'!AC28</f>
        <v>338.31</v>
      </c>
      <c r="AN356">
        <v>12</v>
      </c>
      <c r="AO356">
        <v>17</v>
      </c>
      <c r="AP356">
        <v>352</v>
      </c>
      <c r="AQ356">
        <f>'HourGH-MAR'!AE28</f>
        <v>338.31</v>
      </c>
      <c r="AT356">
        <v>12</v>
      </c>
      <c r="AU356">
        <v>17</v>
      </c>
      <c r="AV356">
        <v>352</v>
      </c>
      <c r="AW356" s="117">
        <f>Discharge!N26</f>
        <v>17.95</v>
      </c>
    </row>
    <row r="357" spans="28:49">
      <c r="AB357">
        <v>12</v>
      </c>
      <c r="AC357">
        <v>18</v>
      </c>
      <c r="AD357">
        <v>353</v>
      </c>
      <c r="AE357" s="117">
        <f>DailyMeanGH!N27</f>
        <v>338.18</v>
      </c>
      <c r="AH357">
        <v>12</v>
      </c>
      <c r="AI357">
        <v>18</v>
      </c>
      <c r="AJ357">
        <v>353</v>
      </c>
      <c r="AK357">
        <f>'HourGH-MAR'!AC29</f>
        <v>338.3</v>
      </c>
      <c r="AN357">
        <v>12</v>
      </c>
      <c r="AO357">
        <v>18</v>
      </c>
      <c r="AP357">
        <v>353</v>
      </c>
      <c r="AQ357">
        <f>'HourGH-MAR'!AE29</f>
        <v>337.96000000000004</v>
      </c>
      <c r="AT357">
        <v>12</v>
      </c>
      <c r="AU357">
        <v>18</v>
      </c>
      <c r="AV357">
        <v>353</v>
      </c>
      <c r="AW357" s="117">
        <f>Discharge!N27</f>
        <v>12.35</v>
      </c>
    </row>
    <row r="358" spans="28:49">
      <c r="AB358">
        <v>12</v>
      </c>
      <c r="AC358">
        <v>19</v>
      </c>
      <c r="AD358">
        <v>354</v>
      </c>
      <c r="AE358" s="117">
        <f>DailyMeanGH!N28</f>
        <v>337.83</v>
      </c>
      <c r="AH358">
        <v>12</v>
      </c>
      <c r="AI358">
        <v>19</v>
      </c>
      <c r="AJ358">
        <v>354</v>
      </c>
      <c r="AK358">
        <f>'HourGH-MAR'!AC30</f>
        <v>337.94</v>
      </c>
      <c r="AN358">
        <v>12</v>
      </c>
      <c r="AO358">
        <v>19</v>
      </c>
      <c r="AP358">
        <v>354</v>
      </c>
      <c r="AQ358">
        <f>'HourGH-MAR'!AE30</f>
        <v>337.82000000000005</v>
      </c>
      <c r="AT358">
        <v>12</v>
      </c>
      <c r="AU358">
        <v>19</v>
      </c>
      <c r="AV358">
        <v>354</v>
      </c>
      <c r="AW358" s="117">
        <f>Discharge!N28</f>
        <v>2.6</v>
      </c>
    </row>
    <row r="359" spans="28:49">
      <c r="AB359">
        <v>12</v>
      </c>
      <c r="AC359">
        <v>20</v>
      </c>
      <c r="AD359">
        <v>355</v>
      </c>
      <c r="AE359" s="117">
        <f>DailyMeanGH!N29</f>
        <v>337.81</v>
      </c>
      <c r="AH359">
        <v>12</v>
      </c>
      <c r="AI359">
        <v>20</v>
      </c>
      <c r="AJ359">
        <v>355</v>
      </c>
      <c r="AK359">
        <f>'HourGH-MAR'!AC31</f>
        <v>337.81</v>
      </c>
      <c r="AN359">
        <v>12</v>
      </c>
      <c r="AO359">
        <v>20</v>
      </c>
      <c r="AP359">
        <v>355</v>
      </c>
      <c r="AQ359">
        <f>'HourGH-MAR'!AE31</f>
        <v>337.8</v>
      </c>
      <c r="AT359">
        <v>12</v>
      </c>
      <c r="AU359">
        <v>20</v>
      </c>
      <c r="AV359">
        <v>355</v>
      </c>
      <c r="AW359" s="117">
        <f>Discharge!N29</f>
        <v>2.2000000000000002</v>
      </c>
    </row>
    <row r="360" spans="28:49">
      <c r="AB360">
        <v>12</v>
      </c>
      <c r="AC360">
        <v>21</v>
      </c>
      <c r="AD360">
        <v>356</v>
      </c>
      <c r="AE360" s="117">
        <f>DailyMeanGH!N31</f>
        <v>337.93</v>
      </c>
      <c r="AH360">
        <v>12</v>
      </c>
      <c r="AI360">
        <v>21</v>
      </c>
      <c r="AJ360">
        <v>356</v>
      </c>
      <c r="AK360">
        <f>'HourGH-MAR'!AC33</f>
        <v>338.23</v>
      </c>
      <c r="AN360">
        <v>12</v>
      </c>
      <c r="AO360">
        <v>21</v>
      </c>
      <c r="AP360">
        <v>356</v>
      </c>
      <c r="AQ360">
        <f>'HourGH-MAR'!AE33</f>
        <v>337.79</v>
      </c>
      <c r="AT360">
        <v>12</v>
      </c>
      <c r="AU360">
        <v>21</v>
      </c>
      <c r="AV360">
        <v>356</v>
      </c>
      <c r="AW360" s="117">
        <f>Discharge!N31</f>
        <v>4.75</v>
      </c>
    </row>
    <row r="361" spans="28:49">
      <c r="AB361">
        <v>12</v>
      </c>
      <c r="AC361">
        <v>22</v>
      </c>
      <c r="AD361">
        <v>357</v>
      </c>
      <c r="AE361" s="117">
        <f>DailyMeanGH!N32</f>
        <v>338.28</v>
      </c>
      <c r="AH361">
        <v>12</v>
      </c>
      <c r="AI361">
        <v>22</v>
      </c>
      <c r="AJ361">
        <v>357</v>
      </c>
      <c r="AK361">
        <f>'HourGH-MAR'!AC34</f>
        <v>338.3</v>
      </c>
      <c r="AN361">
        <v>12</v>
      </c>
      <c r="AO361">
        <v>22</v>
      </c>
      <c r="AP361">
        <v>357</v>
      </c>
      <c r="AQ361">
        <f>'HourGH-MAR'!AE34</f>
        <v>338.24</v>
      </c>
      <c r="AT361">
        <v>12</v>
      </c>
      <c r="AU361">
        <v>22</v>
      </c>
      <c r="AV361">
        <v>357</v>
      </c>
      <c r="AW361" s="117">
        <f>Discharge!N32</f>
        <v>16.600000000000001</v>
      </c>
    </row>
    <row r="362" spans="28:49">
      <c r="AB362">
        <v>12</v>
      </c>
      <c r="AC362">
        <v>23</v>
      </c>
      <c r="AD362">
        <v>358</v>
      </c>
      <c r="AE362" s="117">
        <f>DailyMeanGH!N33</f>
        <v>338.24</v>
      </c>
      <c r="AH362">
        <v>12</v>
      </c>
      <c r="AI362">
        <v>23</v>
      </c>
      <c r="AJ362">
        <v>358</v>
      </c>
      <c r="AK362">
        <f>'HourGH-MAR'!AC35</f>
        <v>338.26000000000005</v>
      </c>
      <c r="AN362">
        <v>12</v>
      </c>
      <c r="AO362">
        <v>23</v>
      </c>
      <c r="AP362">
        <v>358</v>
      </c>
      <c r="AQ362">
        <f>'HourGH-MAR'!AE35</f>
        <v>338.24</v>
      </c>
      <c r="AT362">
        <v>12</v>
      </c>
      <c r="AU362">
        <v>23</v>
      </c>
      <c r="AV362">
        <v>358</v>
      </c>
      <c r="AW362" s="117">
        <f>Discharge!N33</f>
        <v>14.8</v>
      </c>
    </row>
    <row r="363" spans="28:49">
      <c r="AB363">
        <v>12</v>
      </c>
      <c r="AC363">
        <v>24</v>
      </c>
      <c r="AD363">
        <v>359</v>
      </c>
      <c r="AE363" s="117">
        <f>DailyMeanGH!N34</f>
        <v>338.19</v>
      </c>
      <c r="AH363">
        <v>12</v>
      </c>
      <c r="AI363">
        <v>24</v>
      </c>
      <c r="AJ363">
        <v>359</v>
      </c>
      <c r="AK363">
        <f>'HourGH-MAR'!AC36</f>
        <v>338.23</v>
      </c>
      <c r="AN363">
        <v>12</v>
      </c>
      <c r="AO363">
        <v>24</v>
      </c>
      <c r="AP363">
        <v>359</v>
      </c>
      <c r="AQ363">
        <f>'HourGH-MAR'!AE36</f>
        <v>338.16</v>
      </c>
      <c r="AT363">
        <v>12</v>
      </c>
      <c r="AU363">
        <v>24</v>
      </c>
      <c r="AV363">
        <v>359</v>
      </c>
      <c r="AW363" s="117">
        <f>Discharge!N34</f>
        <v>12.68</v>
      </c>
    </row>
    <row r="364" spans="28:49">
      <c r="AB364">
        <v>12</v>
      </c>
      <c r="AC364">
        <v>25</v>
      </c>
      <c r="AD364">
        <v>360</v>
      </c>
      <c r="AE364" s="117">
        <f>DailyMeanGH!N35</f>
        <v>338.05</v>
      </c>
      <c r="AH364">
        <v>12</v>
      </c>
      <c r="AI364">
        <v>25</v>
      </c>
      <c r="AJ364">
        <v>360</v>
      </c>
      <c r="AK364">
        <f>'HourGH-MAR'!AC37</f>
        <v>338.18</v>
      </c>
      <c r="AN364">
        <v>12</v>
      </c>
      <c r="AO364">
        <v>25</v>
      </c>
      <c r="AP364">
        <v>360</v>
      </c>
      <c r="AQ364">
        <f>'HourGH-MAR'!AE37</f>
        <v>337.85</v>
      </c>
      <c r="AT364">
        <v>12</v>
      </c>
      <c r="AU364">
        <v>25</v>
      </c>
      <c r="AV364">
        <v>360</v>
      </c>
      <c r="AW364" s="117">
        <f>Discharge!N35</f>
        <v>8.1300000000000008</v>
      </c>
    </row>
    <row r="365" spans="28:49">
      <c r="AB365">
        <v>12</v>
      </c>
      <c r="AC365">
        <v>26</v>
      </c>
      <c r="AD365">
        <v>361</v>
      </c>
      <c r="AE365" s="117">
        <f>DailyMeanGH!N36</f>
        <v>337.8</v>
      </c>
      <c r="AH365">
        <v>12</v>
      </c>
      <c r="AI365">
        <v>26</v>
      </c>
      <c r="AJ365">
        <v>361</v>
      </c>
      <c r="AK365">
        <f>'HourGH-MAR'!AC38</f>
        <v>337.84000000000003</v>
      </c>
      <c r="AN365">
        <v>12</v>
      </c>
      <c r="AO365">
        <v>26</v>
      </c>
      <c r="AP365">
        <v>361</v>
      </c>
      <c r="AQ365">
        <f>'HourGH-MAR'!AE38</f>
        <v>337.8</v>
      </c>
      <c r="AT365">
        <v>12</v>
      </c>
      <c r="AU365">
        <v>26</v>
      </c>
      <c r="AV365">
        <v>361</v>
      </c>
      <c r="AW365" s="117">
        <f>Discharge!N36</f>
        <v>2</v>
      </c>
    </row>
    <row r="366" spans="28:49">
      <c r="AB366">
        <v>12</v>
      </c>
      <c r="AC366">
        <v>27</v>
      </c>
      <c r="AD366">
        <v>362</v>
      </c>
      <c r="AE366" s="117">
        <f>DailyMeanGH!N37</f>
        <v>337.8</v>
      </c>
      <c r="AH366">
        <v>12</v>
      </c>
      <c r="AI366">
        <v>27</v>
      </c>
      <c r="AJ366">
        <v>362</v>
      </c>
      <c r="AK366">
        <f>'HourGH-MAR'!AC39</f>
        <v>337.8</v>
      </c>
      <c r="AN366">
        <v>12</v>
      </c>
      <c r="AO366">
        <v>27</v>
      </c>
      <c r="AP366">
        <v>362</v>
      </c>
      <c r="AQ366">
        <f>'HourGH-MAR'!AE39</f>
        <v>337.8</v>
      </c>
      <c r="AT366">
        <v>12</v>
      </c>
      <c r="AU366">
        <v>27</v>
      </c>
      <c r="AV366">
        <v>362</v>
      </c>
      <c r="AW366" s="117">
        <f>Discharge!N37</f>
        <v>2</v>
      </c>
    </row>
    <row r="367" spans="28:49">
      <c r="AB367">
        <v>12</v>
      </c>
      <c r="AC367">
        <v>28</v>
      </c>
      <c r="AD367">
        <v>363</v>
      </c>
      <c r="AE367" s="117">
        <f>DailyMeanGH!N38</f>
        <v>337.95</v>
      </c>
      <c r="AH367">
        <v>12</v>
      </c>
      <c r="AI367">
        <v>28</v>
      </c>
      <c r="AJ367">
        <v>363</v>
      </c>
      <c r="AK367">
        <f>'HourGH-MAR'!AC40</f>
        <v>338.22</v>
      </c>
      <c r="AN367">
        <v>12</v>
      </c>
      <c r="AO367">
        <v>28</v>
      </c>
      <c r="AP367">
        <v>363</v>
      </c>
      <c r="AQ367">
        <f>'HourGH-MAR'!AE40</f>
        <v>337.79</v>
      </c>
      <c r="AT367">
        <v>12</v>
      </c>
      <c r="AU367">
        <v>28</v>
      </c>
      <c r="AV367">
        <v>363</v>
      </c>
      <c r="AW367" s="117">
        <f>Discharge!N38</f>
        <v>5.25</v>
      </c>
    </row>
    <row r="368" spans="28:49">
      <c r="AB368">
        <v>12</v>
      </c>
      <c r="AC368">
        <v>29</v>
      </c>
      <c r="AD368">
        <v>364</v>
      </c>
      <c r="AE368" s="117">
        <f>DailyMeanGH!N39</f>
        <v>338.29</v>
      </c>
      <c r="AH368">
        <v>12</v>
      </c>
      <c r="AI368">
        <v>29</v>
      </c>
      <c r="AJ368">
        <v>364</v>
      </c>
      <c r="AK368">
        <f>'HourGH-MAR'!AC41</f>
        <v>338.31</v>
      </c>
      <c r="AN368">
        <v>12</v>
      </c>
      <c r="AO368">
        <v>29</v>
      </c>
      <c r="AP368">
        <v>364</v>
      </c>
      <c r="AQ368">
        <f>'HourGH-MAR'!AE41</f>
        <v>338.23</v>
      </c>
      <c r="AT368">
        <v>12</v>
      </c>
      <c r="AU368">
        <v>29</v>
      </c>
      <c r="AV368">
        <v>364</v>
      </c>
      <c r="AW368" s="117">
        <f>Discharge!N39</f>
        <v>17.05</v>
      </c>
    </row>
    <row r="369" spans="28:49">
      <c r="AB369">
        <v>12</v>
      </c>
      <c r="AC369">
        <v>30</v>
      </c>
      <c r="AD369">
        <v>365</v>
      </c>
      <c r="AE369" s="117">
        <f>DailyMeanGH!N40</f>
        <v>338.24</v>
      </c>
      <c r="AH369">
        <v>12</v>
      </c>
      <c r="AI369">
        <v>30</v>
      </c>
      <c r="AJ369">
        <v>365</v>
      </c>
      <c r="AK369">
        <f>'HourGH-MAR'!AC42</f>
        <v>338.26000000000005</v>
      </c>
      <c r="AN369">
        <v>12</v>
      </c>
      <c r="AO369">
        <v>30</v>
      </c>
      <c r="AP369">
        <v>365</v>
      </c>
      <c r="AQ369">
        <f>'HourGH-MAR'!AE42</f>
        <v>338.23</v>
      </c>
      <c r="AT369">
        <v>12</v>
      </c>
      <c r="AU369">
        <v>30</v>
      </c>
      <c r="AV369">
        <v>365</v>
      </c>
      <c r="AW369" s="117">
        <f>Discharge!N40</f>
        <v>14.8</v>
      </c>
    </row>
    <row r="370" spans="28:49">
      <c r="AB370">
        <v>12</v>
      </c>
      <c r="AC370">
        <v>31</v>
      </c>
      <c r="AD370">
        <v>366</v>
      </c>
      <c r="AE370" s="117">
        <f>DailyMeanGH!N41</f>
        <v>338.21</v>
      </c>
      <c r="AH370">
        <v>12</v>
      </c>
      <c r="AI370">
        <v>31</v>
      </c>
      <c r="AJ370">
        <v>366</v>
      </c>
      <c r="AK370">
        <f>'HourGH-MAR'!AC43</f>
        <v>338.22</v>
      </c>
      <c r="AN370">
        <v>12</v>
      </c>
      <c r="AO370">
        <v>31</v>
      </c>
      <c r="AP370">
        <v>366</v>
      </c>
      <c r="AQ370">
        <f>'HourGH-MAR'!AE43</f>
        <v>338.19</v>
      </c>
      <c r="AT370">
        <v>12</v>
      </c>
      <c r="AU370">
        <v>31</v>
      </c>
      <c r="AV370">
        <v>366</v>
      </c>
      <c r="AW370" s="117">
        <f>Discharge!N41</f>
        <v>13.45</v>
      </c>
    </row>
  </sheetData>
  <sheetProtection password="D965" sheet="1" scenarios="1"/>
  <mergeCells count="6">
    <mergeCell ref="A1:O1"/>
    <mergeCell ref="A2:O2"/>
    <mergeCell ref="AU3:AW3"/>
    <mergeCell ref="AC3:AE3"/>
    <mergeCell ref="AI3:AK3"/>
    <mergeCell ref="AO3:AQ3"/>
  </mergeCells>
  <phoneticPr fontId="71" type="noConversion"/>
  <pageMargins left="0.75" right="0.75" top="1" bottom="1" header="0.5" footer="0.5"/>
  <pageSetup paperSize="9" scale="10" orientation="landscape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pageSetUpPr fitToPage="1"/>
  </sheetPr>
  <dimension ref="A1:Y48"/>
  <sheetViews>
    <sheetView showGridLines="0" showRowColHeaders="0" workbookViewId="0">
      <selection activeCell="O6" sqref="O6"/>
    </sheetView>
  </sheetViews>
  <sheetFormatPr defaultRowHeight="12.75"/>
  <cols>
    <col min="1" max="1" width="7.42578125" style="9" customWidth="1"/>
    <col min="2" max="2" width="8.28515625" style="9" customWidth="1"/>
    <col min="3" max="15" width="9.140625" style="9"/>
    <col min="16" max="16" width="1.42578125" style="9" customWidth="1"/>
    <col min="17" max="17" width="8.140625" style="9" customWidth="1"/>
    <col min="18" max="18" width="6.7109375" style="9" hidden="1" customWidth="1"/>
    <col min="19" max="19" width="7.28515625" style="9" hidden="1" customWidth="1"/>
    <col min="20" max="26" width="0" style="9" hidden="1" customWidth="1"/>
    <col min="27" max="16384" width="9.140625" style="9"/>
  </cols>
  <sheetData>
    <row r="1" spans="1:25" ht="17.100000000000001" customHeight="1">
      <c r="A1" s="296" t="s">
        <v>264</v>
      </c>
      <c r="B1" s="297"/>
      <c r="C1" s="295" t="str">
        <f>'c-form'!AG4</f>
        <v>Ban Cho Lae,  Mae Taeng, Chiang Mai,P.75</v>
      </c>
      <c r="D1" s="295"/>
      <c r="E1" s="295"/>
      <c r="F1" s="295"/>
      <c r="G1" s="295"/>
      <c r="H1" s="295"/>
      <c r="I1" s="295"/>
      <c r="J1" s="295"/>
      <c r="K1" s="166"/>
      <c r="M1" s="296" t="s">
        <v>267</v>
      </c>
      <c r="N1" s="297"/>
      <c r="Y1" s="164" t="str">
        <f>name</f>
        <v>P.75</v>
      </c>
    </row>
    <row r="2" spans="1:25" ht="17.100000000000001" customHeight="1">
      <c r="A2" s="296" t="s">
        <v>265</v>
      </c>
      <c r="B2" s="297"/>
      <c r="C2" s="295" t="str">
        <f>'c-form'!AG3</f>
        <v>Nam  Ping</v>
      </c>
      <c r="D2" s="295"/>
      <c r="E2" s="295"/>
      <c r="F2" s="295"/>
      <c r="G2" s="295"/>
      <c r="H2" s="168"/>
      <c r="I2" s="168"/>
      <c r="J2" s="168"/>
      <c r="K2" s="166"/>
      <c r="M2" s="169" t="s">
        <v>94</v>
      </c>
      <c r="N2" s="170"/>
      <c r="Y2" s="164">
        <f>FIND(".",Y1)</f>
        <v>2</v>
      </c>
    </row>
    <row r="3" spans="1:25" ht="17.100000000000001" customHeight="1">
      <c r="A3" s="165" t="s">
        <v>270</v>
      </c>
      <c r="B3" s="165"/>
      <c r="C3" s="295" t="str">
        <f>'c-form'!AH3</f>
        <v>Ping</v>
      </c>
      <c r="D3" s="295"/>
      <c r="E3" s="295"/>
      <c r="F3" s="295"/>
      <c r="G3" s="295"/>
      <c r="H3" s="168"/>
      <c r="I3" s="168"/>
      <c r="J3" s="168"/>
      <c r="K3" s="166"/>
      <c r="M3" s="296" t="s">
        <v>268</v>
      </c>
      <c r="N3" s="296"/>
      <c r="Y3" s="164" t="str">
        <f>LEFT(Y1,Y2-1) &amp; RIGHT(Y1,Y2)</f>
        <v>P75</v>
      </c>
    </row>
    <row r="4" spans="1:25" ht="17.100000000000001" customHeight="1">
      <c r="A4" s="169" t="s">
        <v>271</v>
      </c>
      <c r="B4" s="171"/>
      <c r="C4" s="298" t="str">
        <f>'c-form'!AI3</f>
        <v>Ping</v>
      </c>
      <c r="D4" s="298"/>
      <c r="E4" s="298"/>
      <c r="F4" s="298"/>
      <c r="G4" s="298"/>
      <c r="J4" s="219" t="s">
        <v>300</v>
      </c>
      <c r="K4" s="287"/>
      <c r="L4" s="288"/>
      <c r="M4" s="209" t="s">
        <v>301</v>
      </c>
      <c r="N4" s="289"/>
      <c r="O4" s="290"/>
      <c r="Y4" s="164">
        <f>IF(TRIM('c-form'!C7)="","",'c-form'!C7)</f>
        <v>2013</v>
      </c>
    </row>
    <row r="5" spans="1:25" ht="17.100000000000001" customHeight="1">
      <c r="A5" s="169"/>
      <c r="B5" s="171"/>
      <c r="C5" s="204"/>
      <c r="D5" s="204"/>
      <c r="E5" s="204"/>
      <c r="F5" s="204"/>
      <c r="G5" s="204"/>
      <c r="J5" s="291" t="s">
        <v>302</v>
      </c>
      <c r="K5" s="292"/>
      <c r="L5" s="210"/>
      <c r="M5" s="207" t="s">
        <v>303</v>
      </c>
      <c r="N5" s="210"/>
      <c r="O5" s="205" t="s">
        <v>304</v>
      </c>
      <c r="P5" s="211">
        <v>36</v>
      </c>
      <c r="Q5" s="208" t="s">
        <v>305</v>
      </c>
    </row>
    <row r="6" spans="1:25" ht="17.100000000000001" customHeight="1">
      <c r="A6" s="169"/>
      <c r="B6" s="171"/>
      <c r="C6" s="204"/>
      <c r="D6" s="204"/>
      <c r="E6" s="204"/>
      <c r="F6" s="204"/>
      <c r="G6" s="204"/>
      <c r="H6" s="296" t="str">
        <f>IF(TRIM('c-form'!AJ3)&lt;&gt;"","Water  Year   " &amp; 'c-form'!AJ3,"Water  Year   ")</f>
        <v>Water  Year   2013</v>
      </c>
      <c r="I6" s="296"/>
      <c r="J6" s="172"/>
      <c r="N6" s="217" t="s">
        <v>315</v>
      </c>
      <c r="O6" s="218"/>
    </row>
    <row r="7" spans="1:25" ht="16.5" customHeight="1">
      <c r="B7" s="293" t="str">
        <f>IF(TRIM('c-form'!AJ3)&lt;&gt;"","Suspended Sediment, in Hundred Tons per Day, Water Year April 1, "&amp;'c-form'!AJ3&amp;" to March 31,  "&amp;'c-form'!AJ3+1,"Suspended Sediment, in Hundred Tons per Day, Water Year April 1,         to March 31,  ")</f>
        <v>Suspended Sediment, in Hundred Tons per Day, Water Year April 1, 2013 to March 31,  2014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5" ht="4.5" customHeight="1">
      <c r="B8" s="173"/>
      <c r="C8" s="166"/>
      <c r="D8" s="166"/>
      <c r="E8" s="166"/>
      <c r="F8" s="166"/>
      <c r="G8" s="166"/>
      <c r="H8" s="166"/>
      <c r="I8" s="166"/>
      <c r="J8" s="166"/>
      <c r="K8" s="166"/>
    </row>
    <row r="9" spans="1:25" s="174" customFormat="1" ht="16.5" customHeight="1">
      <c r="B9" s="175" t="s">
        <v>252</v>
      </c>
      <c r="C9" s="191" t="s">
        <v>253</v>
      </c>
      <c r="D9" s="191" t="s">
        <v>254</v>
      </c>
      <c r="E9" s="191" t="s">
        <v>255</v>
      </c>
      <c r="F9" s="191" t="s">
        <v>256</v>
      </c>
      <c r="G9" s="191" t="s">
        <v>257</v>
      </c>
      <c r="H9" s="191" t="s">
        <v>247</v>
      </c>
      <c r="I9" s="191" t="s">
        <v>258</v>
      </c>
      <c r="J9" s="191" t="s">
        <v>259</v>
      </c>
      <c r="K9" s="191" t="s">
        <v>260</v>
      </c>
      <c r="L9" s="191" t="s">
        <v>261</v>
      </c>
      <c r="M9" s="191" t="s">
        <v>262</v>
      </c>
      <c r="N9" s="191" t="s">
        <v>263</v>
      </c>
      <c r="O9" s="301" t="s">
        <v>266</v>
      </c>
      <c r="P9" s="302"/>
    </row>
    <row r="10" spans="1:25" ht="3" customHeight="1"/>
    <row r="11" spans="1:25">
      <c r="B11" s="178">
        <v>1</v>
      </c>
      <c r="C11" s="222" t="str">
        <f>IF(Discharge!C9=0,0,IF(TRIM(Discharge!C9)="","",IF(COUNT(O6)=0,"",IF(O6=1,(((10^K4)*(Discharge!C9^N4))/100),((10^K4)*(Discharge!C9^N4))))))</f>
        <v/>
      </c>
      <c r="D11" s="222" t="str">
        <f>IF(Discharge!D9=0,0,IF(TRIM(Discharge!D9)="","",IF(COUNT(O6)=0,"",IF(O6=1,(((10^K4)*(Discharge!D9^N4))/100),((10^K4)*(Discharge!D9^N4))))))</f>
        <v/>
      </c>
      <c r="E11" s="222" t="str">
        <f>IF(Discharge!E9=0,0,IF(TRIM(Discharge!E9)="","",IF(COUNT(O6)=0,"",IF(O6=1,(((10^K4)*(Discharge!E9^N4))/100),((10^K4)*(Discharge!E9^N4))))))</f>
        <v/>
      </c>
      <c r="F11" s="222" t="str">
        <f>IF(Discharge!F9=0,0,IF(TRIM(Discharge!F9)="","",IF(COUNT(O6)=0,"",IF(O6=1,(((10^K4)*(Discharge!F9^N4))/100),((10^K4)*(Discharge!F9^N4))))))</f>
        <v/>
      </c>
      <c r="G11" s="222" t="str">
        <f>IF(Discharge!G9=0,0,IF(TRIM(Discharge!G9)="","",IF(COUNT(O6)=0,"",IF(O6=1,(((10^K4)*(Discharge!G9^N4))/100),((10^K4)*(Discharge!G9^N4))))))</f>
        <v/>
      </c>
      <c r="H11" s="222" t="str">
        <f>IF(Discharge!H9=0,0,IF(TRIM(Discharge!H9)="","",IF(COUNT(O6)=0,"",IF(O6=1,(((10^K4)*(Discharge!H9^N4))/100),((10^K4)*(Discharge!H9^N4))))))</f>
        <v/>
      </c>
      <c r="I11" s="222" t="str">
        <f>IF(Discharge!I9=0,0,IF(TRIM(Discharge!I9)="","",IF(COUNT(O6)=0,"",IF(O6=1,(((10^K4)*(Discharge!I9^N4))/100),((10^K4)*(Discharge!I9^N4))))))</f>
        <v/>
      </c>
      <c r="J11" s="222" t="str">
        <f>IF(Discharge!J9=0,0,IF(TRIM(Discharge!J9)="","",IF(COUNT(O6)=0,"",IF(O6=1,(((10^K4)*(Discharge!J9^N4))/100),((10^K4)*(Discharge!J9^N4))))))</f>
        <v/>
      </c>
      <c r="K11" s="222" t="str">
        <f>IF(Discharge!K9=0,0,IF(TRIM(Discharge!K9)="","",IF(COUNT(O6)=0,"",IF(O6=1,(((10^K4)*(Discharge!K9^N4))/100),((10^K4)*(Discharge!K9^N4))))))</f>
        <v/>
      </c>
      <c r="L11" s="222" t="str">
        <f>IF(Discharge!L9=0,0,IF(TRIM(Discharge!L9)="","",IF(COUNT(O6)=0,"",IF(O6=1,(((10^K4)*(Discharge!L9^N4))/100),((10^K4)*(Discharge!L9^N4))))))</f>
        <v/>
      </c>
      <c r="M11" s="222" t="str">
        <f>IF(Discharge!M9=0,0,IF(TRIM(Discharge!M9)="","",IF(COUNT(O6)=0,"",IF(O6=1,(((10^K4)*(Discharge!M9^N4))/100),((10^K4)*(Discharge!M9^N4))))))</f>
        <v/>
      </c>
      <c r="N11" s="222" t="str">
        <f>IF(Discharge!N9=0,0,IF(TRIM(Discharge!N9)="","",IF(COUNT(O6)=0,"",IF(O6=1,(((10^K4)*(Discharge!N9^N4))/100),((10^K4)*(Discharge!N9^N4))))))</f>
        <v/>
      </c>
      <c r="O11" s="299" t="str">
        <f>IF(AND(C11="",D11="",E11="",F11="",G11="",H11="",I11="",J11="",K11="",L11="",M11="",N11=""),"",SUM(C11:N11))</f>
        <v/>
      </c>
      <c r="P11" s="300"/>
      <c r="Q11" s="164"/>
      <c r="R11" s="167"/>
      <c r="S11" s="167"/>
    </row>
    <row r="12" spans="1:25">
      <c r="B12" s="178">
        <v>2</v>
      </c>
      <c r="C12" s="222" t="str">
        <f>IF(Discharge!C10=0,0,IF(TRIM(Discharge!C10)="","",IF(COUNT(O6)=0,"",IF(O6=1,(((10^K4)*(Discharge!C10^N4))/100),((10^K4)*(Discharge!C10^N4))))))</f>
        <v/>
      </c>
      <c r="D12" s="222" t="str">
        <f>IF(Discharge!D10=0,0,IF(TRIM(Discharge!D10)="","",IF(COUNT(O6)=0,"",IF(O6=1,(((10^K4)*(Discharge!D10^N4))/100),((10^K4)*(Discharge!D10^N4))))))</f>
        <v/>
      </c>
      <c r="E12" s="222" t="str">
        <f>IF(Discharge!E10=0,0,IF(TRIM(Discharge!E10)="","",IF(COUNT(O6)=0,"",IF(O6=1,(((10^K4)*(Discharge!E10^N4))/100),((10^K4)*(Discharge!E10^N4))))))</f>
        <v/>
      </c>
      <c r="F12" s="222" t="str">
        <f>IF(Discharge!F10=0,0,IF(TRIM(Discharge!F10)="","",IF(COUNT(O6)=0,"",IF(O6=1,(((10^K4)*(Discharge!F10^N4))/100),((10^K4)*(Discharge!F10^N4))))))</f>
        <v/>
      </c>
      <c r="G12" s="222" t="str">
        <f>IF(Discharge!G10=0,0,IF(TRIM(Discharge!G10)="","",IF(COUNT(O6)=0,"",IF(O6=1,(((10^K4)*(Discharge!G10^N4))/100),((10^K4)*(Discharge!G10^N4))))))</f>
        <v/>
      </c>
      <c r="H12" s="222" t="str">
        <f>IF(Discharge!H10=0,0,IF(TRIM(Discharge!H10)="","",IF(COUNT(O6)=0,"",IF(O6=1,(((10^K4)*(Discharge!H10^N4))/100),((10^K4)*(Discharge!H10^N4))))))</f>
        <v/>
      </c>
      <c r="I12" s="222" t="str">
        <f>IF(Discharge!I10=0,0,IF(TRIM(Discharge!I10)="","",IF(COUNT(O6)=0,"",IF(O6=1,(((10^K4)*(Discharge!I10^N4))/100),((10^K4)*(Discharge!I10^N4))))))</f>
        <v/>
      </c>
      <c r="J12" s="222" t="str">
        <f>IF(Discharge!J10=0,0,IF(TRIM(Discharge!J10)="","",IF(COUNT(O6)=0,"",IF(O6=1,(((10^K4)*(Discharge!J10^N4))/100),((10^K4)*(Discharge!J10^N4))))))</f>
        <v/>
      </c>
      <c r="K12" s="222" t="str">
        <f>IF(Discharge!K10=0,0,IF(TRIM(Discharge!K10)="","",IF(COUNT(O6)=0,"",IF(O6=1,(((10^K4)*(Discharge!K10^N4))/100),((10^K4)*(Discharge!K10^N4))))))</f>
        <v/>
      </c>
      <c r="L12" s="222" t="str">
        <f>IF(Discharge!L10=0,0,IF(TRIM(Discharge!L10)="","",IF(COUNT(O6)=0,"",IF(O6=1,(((10^K4)*(Discharge!L10^N4))/100),((10^K4)*(Discharge!L10^N4))))))</f>
        <v/>
      </c>
      <c r="M12" s="222" t="str">
        <f>IF(Discharge!M10=0,0,IF(TRIM(Discharge!M10)="","",IF(COUNT(O6)=0,"",IF(O6=1,(((10^K4)*(Discharge!M10^N4))/100),((10^K4)*(Discharge!M10^N4))))))</f>
        <v/>
      </c>
      <c r="N12" s="222" t="str">
        <f>IF(Discharge!N10=0,0,IF(TRIM(Discharge!N10)="","",IF(COUNT(O6)=0,"",IF(O6=1,(((10^K4)*(Discharge!N10^N4))/100),((10^K4)*(Discharge!N10^N4))))))</f>
        <v/>
      </c>
      <c r="O12" s="299" t="str">
        <f t="shared" ref="O12:O28" si="0">IF(AND(C12="",D12="",E12="",F12="",G12="",H12="",I12="",J12="",K12="",L12="",M12="",N12=""),"",SUM(C12:N12))</f>
        <v/>
      </c>
      <c r="P12" s="300"/>
      <c r="Q12" s="164"/>
      <c r="R12" s="167"/>
      <c r="S12" s="167"/>
    </row>
    <row r="13" spans="1:25">
      <c r="B13" s="178">
        <v>3</v>
      </c>
      <c r="C13" s="222" t="str">
        <f>IF(Discharge!C11=0,0,IF(TRIM(Discharge!C11)="","",IF(COUNT(O6)=0,"",IF(O6=1,(((10^K4)*(Discharge!C11^N4))/100),((10^K4)*(Discharge!C11^N4))))))</f>
        <v/>
      </c>
      <c r="D13" s="222" t="str">
        <f>IF(Discharge!D11=0,0,IF(TRIM(Discharge!D11)="","",IF(COUNT(O6)=0,"",IF(O6=1,(((10^K4)*(Discharge!D11^N4))/100),((10^K4)*(Discharge!D11^N4))))))</f>
        <v/>
      </c>
      <c r="E13" s="222" t="str">
        <f>IF(Discharge!E11=0,0,IF(TRIM(Discharge!E11)="","",IF(COUNT(O6)=0,"",IF(O6=1,(((10^K4)*(Discharge!E11^N4))/100),((10^K4)*(Discharge!E11^N4))))))</f>
        <v/>
      </c>
      <c r="F13" s="222" t="str">
        <f>IF(Discharge!F11=0,0,IF(TRIM(Discharge!F11)="","",IF(COUNT(O6)=0,"",IF(O6=1,(((10^K4)*(Discharge!F11^N4))/100),((10^K4)*(Discharge!F11^N4))))))</f>
        <v/>
      </c>
      <c r="G13" s="222" t="str">
        <f>IF(Discharge!G11=0,0,IF(TRIM(Discharge!G11)="","",IF(COUNT(O6)=0,"",IF(O6=1,(((10^K4)*(Discharge!G11^N4))/100),((10^K4)*(Discharge!G11^N4))))))</f>
        <v/>
      </c>
      <c r="H13" s="222" t="str">
        <f>IF(Discharge!H11=0,0,IF(TRIM(Discharge!H11)="","",IF(COUNT(O6)=0,"",IF(O6=1,(((10^K4)*(Discharge!H11^N4))/100),((10^K4)*(Discharge!H11^N4))))))</f>
        <v/>
      </c>
      <c r="I13" s="222" t="str">
        <f>IF(Discharge!I11=0,0,IF(TRIM(Discharge!I11)="","",IF(COUNT(O6)=0,"",IF(O6=1,(((10^K4)*(Discharge!I11^N4))/100),((10^K4)*(Discharge!I11^N4))))))</f>
        <v/>
      </c>
      <c r="J13" s="222" t="str">
        <f>IF(Discharge!J11=0,0,IF(TRIM(Discharge!J11)="","",IF(COUNT(O6)=0,"",IF(O6=1,(((10^K4)*(Discharge!J11^N4))/100),((10^K4)*(Discharge!J11^N4))))))</f>
        <v/>
      </c>
      <c r="K13" s="222" t="str">
        <f>IF(Discharge!K11=0,0,IF(TRIM(Discharge!K11)="","",IF(COUNT(O6)=0,"",IF(O6=1,(((10^K4)*(Discharge!K11^N4))/100),((10^K4)*(Discharge!K11^N4))))))</f>
        <v/>
      </c>
      <c r="L13" s="222" t="str">
        <f>IF(Discharge!L11=0,0,IF(TRIM(Discharge!L11)="","",IF(COUNT(O6)=0,"",IF(O6=1,(((10^K4)*(Discharge!L11^N4))/100),((10^K4)*(Discharge!L11^N4))))))</f>
        <v/>
      </c>
      <c r="M13" s="222" t="str">
        <f>IF(Discharge!M11=0,0,IF(TRIM(Discharge!M11)="","",IF(COUNT(O6)=0,"",IF(O6=1,(((10^K4)*(Discharge!M11^N4))/100),((10^K4)*(Discharge!M11^N4))))))</f>
        <v/>
      </c>
      <c r="N13" s="222" t="str">
        <f>IF(Discharge!N11=0,0,IF(TRIM(Discharge!N11)="","",IF(COUNT(O6)=0,"",IF(O6=1,(((10^K4)*(Discharge!N11^N4))/100),((10^K4)*(Discharge!N11^N4))))))</f>
        <v/>
      </c>
      <c r="O13" s="299" t="str">
        <f t="shared" si="0"/>
        <v/>
      </c>
      <c r="P13" s="300"/>
      <c r="Q13" s="164"/>
      <c r="R13" s="167"/>
      <c r="S13" s="167"/>
    </row>
    <row r="14" spans="1:25">
      <c r="B14" s="178">
        <v>4</v>
      </c>
      <c r="C14" s="222" t="str">
        <f>IF(Discharge!C12=0,0,IF(TRIM(Discharge!C12)="","",IF(COUNT(O6)=0,"",IF(O6=1,(((10^K4)*(Discharge!C12^N4))/100),((10^K4)*(Discharge!C12^N4))))))</f>
        <v/>
      </c>
      <c r="D14" s="222" t="str">
        <f>IF(Discharge!D12=0,0,IF(TRIM(Discharge!D12)="","",IF(COUNT(O6)=0,"",IF(O6=1,(((10^K4)*(Discharge!D12^N4))/100),((10^K4)*(Discharge!D12^N4))))))</f>
        <v/>
      </c>
      <c r="E14" s="222" t="str">
        <f>IF(Discharge!E12=0,0,IF(TRIM(Discharge!E12)="","",IF(COUNT(O6)=0,"",IF(O6=1,(((10^K4)*(Discharge!E12^N4))/100),((10^K4)*(Discharge!E12^N4))))))</f>
        <v/>
      </c>
      <c r="F14" s="222" t="str">
        <f>IF(Discharge!F12=0,0,IF(TRIM(Discharge!F12)="","",IF(COUNT(O6)=0,"",IF(O6=1,(((10^K4)*(Discharge!F12^N4))/100),((10^K4)*(Discharge!F12^N4))))))</f>
        <v/>
      </c>
      <c r="G14" s="222" t="str">
        <f>IF(Discharge!G12=0,0,IF(TRIM(Discharge!G12)="","",IF(COUNT(O6)=0,"",IF(O6=1,(((10^K4)*(Discharge!G12^N4))/100),((10^K4)*(Discharge!G12^N4))))))</f>
        <v/>
      </c>
      <c r="H14" s="222" t="str">
        <f>IF(Discharge!H12=0,0,IF(TRIM(Discharge!H12)="","",IF(COUNT(O6)=0,"",IF(O6=1,(((10^K4)*(Discharge!H12^N4))/100),((10^K4)*(Discharge!H12^N4))))))</f>
        <v/>
      </c>
      <c r="I14" s="222" t="str">
        <f>IF(Discharge!I12=0,0,IF(TRIM(Discharge!I12)="","",IF(COUNT(O6)=0,"",IF(O6=1,(((10^K4)*(Discharge!I12^N4))/100),((10^K4)*(Discharge!I12^N4))))))</f>
        <v/>
      </c>
      <c r="J14" s="222" t="str">
        <f>IF(Discharge!J12=0,0,IF(TRIM(Discharge!J12)="","",IF(COUNT(O6)=0,"",IF(O6=1,(((10^K4)*(Discharge!J12^N4))/100),((10^K4)*(Discharge!J12^N4))))))</f>
        <v/>
      </c>
      <c r="K14" s="222" t="str">
        <f>IF(Discharge!K12=0,0,IF(TRIM(Discharge!K12)="","",IF(COUNT(O6)=0,"",IF(O6=1,(((10^K4)*(Discharge!K12^N4))/100),((10^K4)*(Discharge!K12^N4))))))</f>
        <v/>
      </c>
      <c r="L14" s="222" t="str">
        <f>IF(Discharge!L12=0,0,IF(TRIM(Discharge!L12)="","",IF(COUNT(O6)=0,"",IF(O6=1,(((10^K4)*(Discharge!L12^N4))/100),((10^K4)*(Discharge!L12^N4))))))</f>
        <v/>
      </c>
      <c r="M14" s="222" t="str">
        <f>IF(Discharge!M12=0,0,IF(TRIM(Discharge!M12)="","",IF(COUNT(O6)=0,"",IF(O6=1,(((10^K4)*(Discharge!M12^N4))/100),((10^K4)*(Discharge!M12^N4))))))</f>
        <v/>
      </c>
      <c r="N14" s="222" t="str">
        <f>IF(Discharge!N12=0,0,IF(TRIM(Discharge!N12)="","",IF(COUNT(O6)=0,"",IF(O6=1,(((10^K4)*(Discharge!N12^N4))/100),((10^K4)*(Discharge!N12^N4))))))</f>
        <v/>
      </c>
      <c r="O14" s="299" t="str">
        <f t="shared" si="0"/>
        <v/>
      </c>
      <c r="P14" s="300"/>
      <c r="Q14" s="164"/>
    </row>
    <row r="15" spans="1:25">
      <c r="B15" s="178">
        <v>5</v>
      </c>
      <c r="C15" s="222" t="str">
        <f>IF(Discharge!C13=0,0,IF(TRIM(Discharge!C13)="","",IF(COUNT(O6)=0,"",IF(O6=1,(((10^K4)*(Discharge!C13^N4))/100),(((10^K4)*(Discharge!C13^N4)))))))</f>
        <v/>
      </c>
      <c r="D15" s="222" t="str">
        <f>IF(Discharge!D13=0,0,IF(TRIM(Discharge!D13)="","",IF(COUNT(O6)=0,"",IF(O6=1,(((10^K4)*(Discharge!D13^N4))/100),((10^K4)*(Discharge!D13^N4))))))</f>
        <v/>
      </c>
      <c r="E15" s="222" t="str">
        <f>IF(Discharge!E13=0,0,IF(TRIM(Discharge!E13)="","",IF(COUNT(O6)=0,"",IF(O6=1,(((10^K4)*(Discharge!E13^N4))/100),((10^K4)*(Discharge!E13^N4))))))</f>
        <v/>
      </c>
      <c r="F15" s="222" t="str">
        <f>IF(Discharge!F13=0,0,IF(TRIM(Discharge!F13)="","",IF(COUNT(O6)=0,"",IF(O6=1,(((10^K4)*(Discharge!F13^N4))/100),((10^K4)*(Discharge!F13^N4))))))</f>
        <v/>
      </c>
      <c r="G15" s="222" t="str">
        <f>IF(Discharge!G13=0,0,IF(TRIM(Discharge!G13)="","",IF(COUNT(O6)=0,"",IF(O6=1,(((10^K4)*(Discharge!G13^N4))/100),((10^K4)*(Discharge!G13^N4))))))</f>
        <v/>
      </c>
      <c r="H15" s="222" t="str">
        <f>IF(Discharge!H13=0,0,IF(TRIM(Discharge!H13)="","",IF(COUNT(O6)=0,"",IF(O6=1,(((10^K4)*(Discharge!H13^N4))/100),((10^K4)*(Discharge!H13^N4))))))</f>
        <v/>
      </c>
      <c r="I15" s="222" t="str">
        <f>IF(Discharge!I13=0,0,IF(TRIM(Discharge!I13)="","",IF(COUNT(O6)=0,"",IF(O6=1,(((10^K4)*(Discharge!I13^N4))/100),((10^K4)*(Discharge!I13^N4))))))</f>
        <v/>
      </c>
      <c r="J15" s="222" t="str">
        <f>IF(Discharge!J13=0,0,IF(TRIM(Discharge!J13)="","",IF(COUNT(O6)=0,"",IF(O6=1,(((10^K4)*(Discharge!J13^N4))/100),((10^K4)*(Discharge!J13^N4))))))</f>
        <v/>
      </c>
      <c r="K15" s="222" t="str">
        <f>IF(Discharge!K13=0,0,IF(TRIM(Discharge!K13)="","",IF(COUNT(O6)=0,"",IF(O6=1,(((10^K4)*(Discharge!K13^N4))/100),((10^K4)*(Discharge!K13^N4))))))</f>
        <v/>
      </c>
      <c r="L15" s="222" t="str">
        <f>IF(Discharge!L13=0,0,IF(TRIM(Discharge!L13)="","",IF(COUNT(O6)=0,"",IF(O6=1,(((10^K4)*(Discharge!L13^N4))/100),((10^K4)*(Discharge!L13^N4))))))</f>
        <v/>
      </c>
      <c r="M15" s="222" t="str">
        <f>IF(Discharge!M13=0,0,IF(TRIM(Discharge!M13)="","",IF(COUNT(O6)=0,"",IF(O6=1,(((10^K4)*(Discharge!M13^N4))/100),((10^K4)*(Discharge!M13^N4))))))</f>
        <v/>
      </c>
      <c r="N15" s="222" t="str">
        <f>IF(Discharge!N13=0,0,IF(TRIM(Discharge!N13)="","",IF(COUNT(O6)=0,"",IF(O6=1,(((10^K4)*(Discharge!N13^N4))/100),((10^K4)*(Discharge!N13^N4))))))</f>
        <v/>
      </c>
      <c r="O15" s="299" t="str">
        <f t="shared" si="0"/>
        <v/>
      </c>
      <c r="P15" s="300"/>
      <c r="Q15" s="164"/>
    </row>
    <row r="16" spans="1:25">
      <c r="B16" s="178">
        <v>6</v>
      </c>
      <c r="C16" s="222" t="str">
        <f>IF(Discharge!C14=0,0,IF(TRIM(Discharge!C14)="","",IF(COUNT(O6)=0,"",IF(O6=1,(((10^K4)*(Discharge!C14^N4))/100),((10^K4)*(Discharge!C14^N4))))))</f>
        <v/>
      </c>
      <c r="D16" s="222" t="str">
        <f>IF(Discharge!D14=0,0,IF(TRIM(Discharge!D14)="","",IF(COUNT(O6)=0,"",IF(O6=1,(((10^K4)*(Discharge!D14^N4))/100),((10^K4)*(Discharge!D14^N4))))))</f>
        <v/>
      </c>
      <c r="E16" s="222" t="str">
        <f>IF(Discharge!E14=0,0,IF(TRIM(Discharge!E14)="","",IF(COUNT(O6)=0,"",IF(O6=1,(((10^K4)*(Discharge!E14^N4))/100),((10^K4)*(Discharge!E14^N4))))))</f>
        <v/>
      </c>
      <c r="F16" s="222" t="str">
        <f>IF(Discharge!F14=0,0,IF(TRIM(Discharge!F14)="","",IF(COUNT(O6)=0,"",IF(O6=1,(((10^K4)*(Discharge!F14^N4))/100),((10^K4)*(Discharge!F14^N4))))))</f>
        <v/>
      </c>
      <c r="G16" s="222" t="str">
        <f>IF(Discharge!G14=0,0,IF(TRIM(Discharge!G14)="","",IF(COUNT(O6)=0,"",IF(O6=1,(((10^K4)*(Discharge!G14^N4))/100),((10^K4)*(Discharge!G14^N4))))))</f>
        <v/>
      </c>
      <c r="H16" s="222" t="str">
        <f>IF(Discharge!H14=0,0,IF(TRIM(Discharge!H14)="","",IF(COUNT(O6)=0,"",IF(O6=1,(((10^K4)*(Discharge!H14^N4))/100),((10^K4)*(Discharge!H14^N4))))))</f>
        <v/>
      </c>
      <c r="I16" s="222" t="str">
        <f>IF(Discharge!I14=0,0,IF(TRIM(Discharge!I14)="","",IF(COUNT(O6)=0,"",IF(O6=1,(((10^K4)*(Discharge!I14^N4))/100),((10^K4)*(Discharge!I14^N4))))))</f>
        <v/>
      </c>
      <c r="J16" s="222" t="str">
        <f>IF(Discharge!J14=0,0,IF(TRIM(Discharge!J14)="","",IF(COUNT(O6)=0,"",IF(O6=1,(((10^K4)*(Discharge!J14^N4))/100),((10^K4)*(Discharge!J14^N4))))))</f>
        <v/>
      </c>
      <c r="K16" s="222" t="str">
        <f>IF(Discharge!K14=0,0,IF(TRIM(Discharge!K14)="","",IF(COUNT(O6)=0,"",IF(O6=1,(((10^K4)*(Discharge!K14^N4))/100),((10^K4)*(Discharge!K14^N4))))))</f>
        <v/>
      </c>
      <c r="L16" s="222" t="str">
        <f>IF(Discharge!L14=0,0,IF(TRIM(Discharge!L14)="","",IF(COUNT(O6)=0,"",IF(O6=1,(((10^K4)*(Discharge!L14^N4))/100),((10^K4)*(Discharge!L14^N4))))))</f>
        <v/>
      </c>
      <c r="M16" s="222" t="str">
        <f>IF(Discharge!M14=0,0,IF(TRIM(Discharge!M14)="","",IF(COUNT(O6)=0,"",IF(O6=1,(((10^K4)*(Discharge!M14^N4))/100),((10^K4)*(Discharge!M14^N4))))))</f>
        <v/>
      </c>
      <c r="N16" s="222" t="str">
        <f>IF(Discharge!N14=0,0,IF(TRIM(Discharge!N14)="","",IF(COUNT(O6)=0,"",IF(O6=1,(((10^K4)*(Discharge!N14^N4))/100),((10^K4)*(Discharge!N14^N4))))))</f>
        <v/>
      </c>
      <c r="O16" s="299" t="str">
        <f t="shared" si="0"/>
        <v/>
      </c>
      <c r="P16" s="300"/>
      <c r="Q16" s="164"/>
    </row>
    <row r="17" spans="2:17">
      <c r="B17" s="178">
        <v>7</v>
      </c>
      <c r="C17" s="222" t="str">
        <f>IF(Discharge!C15=0,0,IF(TRIM(Discharge!C15)="","",IF(COUNT(O6)=0,"",IF(O6=1,(((10^K4)*(Discharge!C15^N4))/100),((10^K4)*(Discharge!C15^N4))))))</f>
        <v/>
      </c>
      <c r="D17" s="222" t="str">
        <f>IF(Discharge!D15=0,0,IF(TRIM(Discharge!D15)="","",IF(COUNT(O6)=0,"",IF(O6=1,(((10^K4)*(Discharge!D15^N4))/100),((10^K4)*(Discharge!D15^N4))))))</f>
        <v/>
      </c>
      <c r="E17" s="222" t="str">
        <f>IF(Discharge!E15=0,0,IF(TRIM(Discharge!E15)="","",IF(COUNT(O6)=0,"",IF(O6=1,(((10^K4)*(Discharge!E15^N4))/100),((10^K4)*(Discharge!E15^N4))))))</f>
        <v/>
      </c>
      <c r="F17" s="222" t="str">
        <f>IF(Discharge!F15=0,0,IF(TRIM(Discharge!F15)="","",IF(COUNT(O6)=0,"",IF(O6=1,(((10^K4)*(Discharge!F15^N4))/100),((10^K4)*(Discharge!F15^N4))))))</f>
        <v/>
      </c>
      <c r="G17" s="222" t="str">
        <f>IF(Discharge!G15=0,0,IF(TRIM(Discharge!G15)="","",IF(COUNT(O6)=0,"",IF(O6=1,(((10^K4)*(Discharge!G15^N4))/100),((10^K4)*(Discharge!G15^N4))))))</f>
        <v/>
      </c>
      <c r="H17" s="222" t="str">
        <f>IF(Discharge!H15=0,0,IF(TRIM(Discharge!H15)="","",IF(COUNT(O6)=0,"",IF(O6=1,(((10^K4)*(Discharge!H15^N4))/100),((10^K4)*(Discharge!H15^N4))))))</f>
        <v/>
      </c>
      <c r="I17" s="222" t="str">
        <f>IF(Discharge!I15=0,0,IF(TRIM(Discharge!I15)="","",IF(COUNT(O6)=0,"",IF(O6=1,(((10^K4)*(Discharge!I15^N4))/100),((10^K4)*(Discharge!I15^N4))))))</f>
        <v/>
      </c>
      <c r="J17" s="222" t="str">
        <f>IF(Discharge!J15=0,0,IF(TRIM(Discharge!J15)="","",IF(COUNT(O6)=0,"",IF(O6=1,(((10^K4)*(Discharge!J15^N4))/100),((10^K4)*(Discharge!J15^N4))))))</f>
        <v/>
      </c>
      <c r="K17" s="222" t="str">
        <f>IF(Discharge!K15=0,0,IF(TRIM(Discharge!K15)="","",IF(COUNT(O6)=0,"",IF(O6=1,(((10^K4)*(Discharge!K15^N4))/100),((10^K4)*(Discharge!K15^N4))))))</f>
        <v/>
      </c>
      <c r="L17" s="222" t="str">
        <f>IF(Discharge!L15=0,0,IF(TRIM(Discharge!L15)="","",IF(COUNT(O6)=0,"",IF(O6=1,(((10^K4)*(Discharge!L15^N4))/100),((10^K4)*(Discharge!L15^N4))))))</f>
        <v/>
      </c>
      <c r="M17" s="222" t="str">
        <f>IF(Discharge!M15=0,0,IF(TRIM(Discharge!M15)="","",IF(COUNT(O6)=0,"",IF(O6=1,(((10^K4)*(Discharge!M15^N4))/100),((10^K4)*(Discharge!M15^N4))))))</f>
        <v/>
      </c>
      <c r="N17" s="222" t="str">
        <f>IF(Discharge!N15=0,0,IF(TRIM(Discharge!N15)="","",IF(COUNT(O6)=0,"",IF(O6=1,(((10^K4)*(Discharge!N15^N4))/100),((10^K4)*(Discharge!N15^N4))))))</f>
        <v/>
      </c>
      <c r="O17" s="299" t="str">
        <f t="shared" si="0"/>
        <v/>
      </c>
      <c r="P17" s="300"/>
      <c r="Q17" s="164"/>
    </row>
    <row r="18" spans="2:17">
      <c r="B18" s="178">
        <v>8</v>
      </c>
      <c r="C18" s="222" t="str">
        <f>IF(Discharge!C16=0,0,IF(TRIM(Discharge!C16)="","",IF(COUNT(O6)=0,"",IF(O6=1,(((10^K4)*(Discharge!C16^N4))/100),((10^K4)*(Discharge!C16^N4))))))</f>
        <v/>
      </c>
      <c r="D18" s="222" t="str">
        <f>IF(Discharge!D16=0,0,IF(TRIM(Discharge!D16)="","",IF(COUNT(O6)=0,"",IF(O6=1,(((10^K4)*(Discharge!D16^N4))/100),((10^K4)*(Discharge!D16^N4))))))</f>
        <v/>
      </c>
      <c r="E18" s="222" t="str">
        <f>IF(Discharge!E16=0,0,IF(TRIM(Discharge!E16)="","",IF(COUNT(O6)=0,"",IF(O6=1,(((10^K4)*(Discharge!E16^N4))/100),((10^K4)*(Discharge!E16^N4))))))</f>
        <v/>
      </c>
      <c r="F18" s="222" t="str">
        <f>IF(Discharge!F16=0,0,IF(TRIM(Discharge!F16)="","",IF(COUNT(O6)=0,"",IF(O6=1,(((10^K4)*(Discharge!F16^N4))/100),((10^K4)*(Discharge!F16^N4))))))</f>
        <v/>
      </c>
      <c r="G18" s="222" t="str">
        <f>IF(Discharge!G16=0,0,IF(TRIM(Discharge!G16)="","",IF(COUNT(O6)=0,"",IF(O6=1,(((10^K4)*(Discharge!G16^N4))/100),((10^K4)*(Discharge!G16^N4))))))</f>
        <v/>
      </c>
      <c r="H18" s="222" t="str">
        <f>IF(Discharge!H16=0,0,IF(TRIM(Discharge!H16)="","",IF(COUNT(O6)=0,"",IF(O6=1,(((10^K4)*(Discharge!H16^N4))/100),((10^K4)*(Discharge!H16^N4))))))</f>
        <v/>
      </c>
      <c r="I18" s="222" t="str">
        <f>IF(Discharge!I16=0,0,IF(TRIM(Discharge!I16)="","",IF(COUNT(O6)=0,"",IF(O6=1,(((10^K4)*(Discharge!I16^N4))/100),((10^K4)*(Discharge!I16^N4))))))</f>
        <v/>
      </c>
      <c r="J18" s="222" t="str">
        <f>IF(Discharge!J16=0,0,IF(TRIM(Discharge!J16)="","",IF(COUNT(O6)=0,"",IF(O6=1,(((10^K4)*(Discharge!J16^N4))/100),((10^K4)*(Discharge!J16^N4))))))</f>
        <v/>
      </c>
      <c r="K18" s="222" t="str">
        <f>IF(Discharge!K16=0,0,IF(TRIM(Discharge!K16)="","",IF(COUNT(O6)=0,"",IF(O6=1,(((10^K4)*(Discharge!K16^N4))/100),((10^K4)*(Discharge!K16^N4))))))</f>
        <v/>
      </c>
      <c r="L18" s="222" t="str">
        <f>IF(Discharge!L16=0,0,IF(TRIM(Discharge!L16)="","",IF(COUNT(O6)=0,"",IF(O6=1,(((10^K4)*(Discharge!L16^N4))/100),((10^K4)*(Discharge!L16^N4))))))</f>
        <v/>
      </c>
      <c r="M18" s="222" t="str">
        <f>IF(Discharge!M16=0,0,IF(TRIM(Discharge!M16)="","",IF(COUNT(O6)=0,"",IF(O6=1,(((10^K4)*(Discharge!M16^N4))/100),((10^K4)*(Discharge!M16^N4))))))</f>
        <v/>
      </c>
      <c r="N18" s="222" t="str">
        <f>IF(Discharge!N16=0,0,IF(TRIM(Discharge!N16)="","",IF(COUNT(O6)=0,"",IF(O6=1,(((10^K4)*(Discharge!N16^N4))/100),((10^K4)*(Discharge!N16^N4))))))</f>
        <v/>
      </c>
      <c r="O18" s="299" t="str">
        <f t="shared" si="0"/>
        <v/>
      </c>
      <c r="P18" s="300"/>
      <c r="Q18" s="164"/>
    </row>
    <row r="19" spans="2:17">
      <c r="B19" s="178">
        <v>9</v>
      </c>
      <c r="C19" s="222" t="str">
        <f>IF(Discharge!C17=0,0,IF(TRIM(Discharge!C17)="","",IF(COUNT(O6)=0,"",IF(O6=1,(((10^K4)*(Discharge!C17^N4))/100),((10^K4)*(Discharge!C17^N4))))))</f>
        <v/>
      </c>
      <c r="D19" s="222" t="str">
        <f>IF(Discharge!D17=0,0,IF(TRIM(Discharge!D17)="","",IF(COUNT(O6)=0,"",IF(O6=1,(((10^K4)*(Discharge!D17^N4))/100),((10^K4)*(Discharge!D17^N4))))))</f>
        <v/>
      </c>
      <c r="E19" s="222" t="str">
        <f>IF(Discharge!E17=0,0,IF(TRIM(Discharge!E17)="","",IF(COUNT(O6)=0,"",IF(O6=1,(((10^K4)*(Discharge!E17^N4))/100),((10^K4)*(Discharge!E17^N4))))))</f>
        <v/>
      </c>
      <c r="F19" s="222" t="str">
        <f>IF(Discharge!F17=0,0,IF(TRIM(Discharge!F17)="","",IF(COUNT(O6)=0,"",IF(O6=1,(((10^K4)*(Discharge!F17^N4))/100),((10^K4)*(Discharge!F17^N4))))))</f>
        <v/>
      </c>
      <c r="G19" s="222" t="str">
        <f>IF(Discharge!G17=0,0,IF(TRIM(Discharge!G17)="","",IF(COUNT(O6)=0,"",IF(O6=1,(((10^K4)*(Discharge!G17^N4))/100),((10^K4)*(Discharge!G17^N4))))))</f>
        <v/>
      </c>
      <c r="H19" s="222" t="str">
        <f>IF(Discharge!H17=0,0,IF(TRIM(Discharge!H17)="","",IF(COUNT(O6)=0,"",IF(O6=1,(((10^K4)*(Discharge!H17^N4))/100),((10^K4)*(Discharge!H17^N4))))))</f>
        <v/>
      </c>
      <c r="I19" s="222" t="str">
        <f>IF(Discharge!I17=0,0,IF(TRIM(Discharge!I17)="","",IF(COUNT(O6)=0,"",IF(O6=1,(((10^K4)*(Discharge!I17^N4))/100),((10^K4)*(Discharge!I17^N4))))))</f>
        <v/>
      </c>
      <c r="J19" s="222" t="str">
        <f>IF(Discharge!J17=0,0,IF(TRIM(Discharge!J17)="","",IF(COUNT(O6)=0,"",IF(O6=1,(((10^K4)*(Discharge!J17^N4))/100),((10^K4)*(Discharge!J17^N4))))))</f>
        <v/>
      </c>
      <c r="K19" s="222" t="str">
        <f>IF(Discharge!K17=0,0,IF(TRIM(Discharge!K17)="","",IF(COUNT(O6)=0,"",IF(O6=1,(((10^K4)*(Discharge!K17^N4))/100),((10^K4)*(Discharge!K17^N4))))))</f>
        <v/>
      </c>
      <c r="L19" s="222" t="str">
        <f>IF(Discharge!L17=0,0,IF(TRIM(Discharge!L17)="","",IF(COUNT(O6)=0,"",IF(O6=1,(((10^K4)*(Discharge!L17^N4))/100),((10^K4)*(Discharge!L17^N4))))))</f>
        <v/>
      </c>
      <c r="M19" s="222" t="str">
        <f>IF(Discharge!M17=0,0,IF(TRIM(Discharge!M17)="","",IF(COUNT(O6)=0,"",IF(O6=1,(((10^K4)*(Discharge!M17^N4))/100),((10^K4)*(Discharge!M17^N4))))))</f>
        <v/>
      </c>
      <c r="N19" s="222" t="str">
        <f>IF(Discharge!N17=0,0,IF(TRIM(Discharge!N17)="","",IF(COUNT(O6)=0,"",IF(O6=1,(((10^K4)*(Discharge!N17^N4))/100),((10^K4)*(Discharge!N17^N4))))))</f>
        <v/>
      </c>
      <c r="O19" s="299" t="str">
        <f t="shared" si="0"/>
        <v/>
      </c>
      <c r="P19" s="300"/>
      <c r="Q19" s="164"/>
    </row>
    <row r="20" spans="2:17">
      <c r="B20" s="178">
        <v>10</v>
      </c>
      <c r="C20" s="222" t="str">
        <f>IF(Discharge!C18=0,0,IF(TRIM(Discharge!C18)="","",IF(COUNT(O6)=0,"",IF(O6=1,(((10^K4)*(Discharge!C18^N4))/100),((10^K4)*(Discharge!C18^N4))))))</f>
        <v/>
      </c>
      <c r="D20" s="222" t="str">
        <f>IF(Discharge!D18=0,0,IF(TRIM(Discharge!D18)="","",IF(COUNT(O6)=0,"",IF(O6=1,(((10^K4)*(Discharge!D18^N4))/100),((10^K4)*(Discharge!D18^N4))))))</f>
        <v/>
      </c>
      <c r="E20" s="222" t="str">
        <f>IF(Discharge!E18=0,0,IF(TRIM(Discharge!E18)="","",IF(COUNT(O6)=0,"",IF(O6=1,(((10^K4)*(Discharge!E18^N4))/100),((10^K4)*(Discharge!E18^N4))))))</f>
        <v/>
      </c>
      <c r="F20" s="222" t="str">
        <f>IF(Discharge!F18=0,0,IF(TRIM(Discharge!F18)="","",IF(COUNT(O6)=0,"",IF(O6=1,(((10^K4)*(Discharge!F18^N4))/100),((10^K4)*(Discharge!F18^N4))))))</f>
        <v/>
      </c>
      <c r="G20" s="222" t="str">
        <f>IF(Discharge!G18=0,0,IF(TRIM(Discharge!G18)="","",IF(COUNT(O6)=0,"",IF(O6=1,(((10^K4)*(Discharge!G18^N4))/100),((10^K4)*(Discharge!G18^N4))))))</f>
        <v/>
      </c>
      <c r="H20" s="222" t="str">
        <f>IF(Discharge!H18=0,0,IF(TRIM(Discharge!H18)="","",IF(COUNT(O6)=0,"",IF(O6=1,(((10^K4)*(Discharge!H18^N4))/100),((10^K4)*(Discharge!H18^N4))))))</f>
        <v/>
      </c>
      <c r="I20" s="222" t="str">
        <f>IF(Discharge!I18=0,0,IF(TRIM(Discharge!I18)="","",IF(COUNT(O6)=0,"",IF(O6=1,(((10^K4)*(Discharge!I18^N4))/100),((10^K4)*(Discharge!I18^N4))))))</f>
        <v/>
      </c>
      <c r="J20" s="222" t="str">
        <f>IF(Discharge!J18=0,0,IF(TRIM(Discharge!J18)="","",IF(COUNT(O6)=0,"",IF(O6=1,(((10^K4)*(Discharge!J18^N4))/100),((10^K4)*(Discharge!J18^N4))))))</f>
        <v/>
      </c>
      <c r="K20" s="222" t="str">
        <f>IF(Discharge!K18=0,0,IF(TRIM(Discharge!K18)="","",IF(COUNT(O6)=0,"",IF(O6=1,(((10^K4)*(Discharge!K18^N4))/100),((10^K4)*(Discharge!K18^N4))))))</f>
        <v/>
      </c>
      <c r="L20" s="222" t="str">
        <f>IF(Discharge!L18=0,0,IF(TRIM(Discharge!L18)="","",IF(COUNT(O6)=0,"",IF(O6=1,(((10^K4)*(Discharge!L18^N4))/100),((10^K4)*(Discharge!L18^N4))))))</f>
        <v/>
      </c>
      <c r="M20" s="222" t="str">
        <f>IF(Discharge!M18=0,0,IF(TRIM(Discharge!M18)="","",IF(COUNT(O6)=0,"",IF(O6=1,(((10^K4)*(Discharge!M18^N4))/100),((10^K4)*(Discharge!M18^N4))))))</f>
        <v/>
      </c>
      <c r="N20" s="222" t="str">
        <f>IF(Discharge!N18=0,0,IF(TRIM(Discharge!N18)="","",IF(COUNT(O6)=0,"",IF(O6=1,(((10^K4)*(Discharge!N18^N4))/100),((10^K4)*(Discharge!N18^N4))))))</f>
        <v/>
      </c>
      <c r="O20" s="299" t="str">
        <f t="shared" si="0"/>
        <v/>
      </c>
      <c r="P20" s="300"/>
      <c r="Q20" s="164"/>
    </row>
    <row r="21" spans="2:17" ht="3.75" customHeight="1">
      <c r="B21" s="178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99"/>
      <c r="P21" s="300"/>
      <c r="Q21" s="164"/>
    </row>
    <row r="22" spans="2:17">
      <c r="B22" s="178">
        <v>11</v>
      </c>
      <c r="C22" s="222" t="str">
        <f>IF(Discharge!C20=0,0,IF(TRIM(Discharge!C20)="","",IF(COUNT(O6)=0,"",IF(O6=1,(((10^K4)*(Discharge!C20^N4))/100),((10^K4)*(Discharge!C20^N4))))))</f>
        <v/>
      </c>
      <c r="D22" s="222" t="str">
        <f>IF(Discharge!D20=0,0,IF(TRIM(Discharge!D20)="","",IF(COUNT(O6)=0,"",IF(O6=1,(((10^K4)*(Discharge!D20^N4))/100),((10^K4)*(Discharge!D20^N4))))))</f>
        <v/>
      </c>
      <c r="E22" s="222" t="str">
        <f>IF(Discharge!E20=0,0,IF(TRIM(Discharge!E20)="","",IF(COUNT(O6)=0,"",IF(O6=1,(((10^K4)*(Discharge!E20^N4))/100),((10^K4)*(Discharge!E20^N4))))))</f>
        <v/>
      </c>
      <c r="F22" s="222" t="str">
        <f>IF(Discharge!F20=0,0,IF(TRIM(Discharge!F20)="","",IF(COUNT(O6)=0,"",IF(O6=1,(((10^K4)*(Discharge!F20^N4))/100),((10^K4)*(Discharge!F20^N4))))))</f>
        <v/>
      </c>
      <c r="G22" s="222" t="str">
        <f>IF(Discharge!G20=0,0,IF(TRIM(Discharge!G20)="","",IF(COUNT(O6)=0,"",IF(O6=1,(((10^K4)*(Discharge!G20^N4))/100),((10^K4)*(Discharge!G20^N4))))))</f>
        <v/>
      </c>
      <c r="H22" s="222" t="str">
        <f>IF(Discharge!H20=0,0,IF(TRIM(Discharge!H20)="","",IF(COUNT(O6)=0,"",IF(O6=1,(((10^K4)*(Discharge!H20^N4))/100),((10^K4)*(Discharge!H20^N4))))))</f>
        <v/>
      </c>
      <c r="I22" s="222" t="str">
        <f>IF(Discharge!I20=0,0,IF(TRIM(Discharge!I20)="","",IF(COUNT(O6)=0,"",IF(O6=1,(((10^K4)*(Discharge!I20^N4))/100),((10^K4)*(Discharge!I20^N4))))))</f>
        <v/>
      </c>
      <c r="J22" s="222" t="str">
        <f>IF(Discharge!J20=0,0,IF(TRIM(Discharge!J20)="","",IF(COUNT(O6)=0,"",IF(O6=1,(((10^K4)*(Discharge!J20^N4))/100),((10^K4)*(Discharge!J20^N4))))))</f>
        <v/>
      </c>
      <c r="K22" s="222" t="str">
        <f>IF(Discharge!K20=0,0,IF(TRIM(Discharge!K20)="","",IF(COUNT(O6)=0,"",IF(O6=1,(((10^K4)*(Discharge!K20^N4))/100),((10^K4)*(Discharge!K20^N4))))))</f>
        <v/>
      </c>
      <c r="L22" s="222" t="str">
        <f>IF(Discharge!L20=0,0,IF(TRIM(Discharge!L20)="","",IF(COUNT(O6)=0,"",IF(O6=1,(((10^K4)*(Discharge!L20^N4))/100),((10^K4)*(Discharge!L20^N4))))))</f>
        <v/>
      </c>
      <c r="M22" s="222" t="str">
        <f>IF(Discharge!M20=0,0,IF(TRIM(Discharge!M20)="","",IF(COUNT(O6)=0,"",IF(O6=1,(((10^K4)*(Discharge!M20^N4))/100),((10^K4)*(Discharge!M20^N4))))))</f>
        <v/>
      </c>
      <c r="N22" s="222" t="str">
        <f>IF(Discharge!N20=0,0,IF(TRIM(Discharge!N20)="","",IF(COUNT(O6)=0,"",IF(O6=1,(((10^K4)*(Discharge!N20^N4))/100),((10^K4)*(Discharge!N20^N4))))))</f>
        <v/>
      </c>
      <c r="O22" s="299" t="str">
        <f t="shared" si="0"/>
        <v/>
      </c>
      <c r="P22" s="300"/>
      <c r="Q22" s="164"/>
    </row>
    <row r="23" spans="2:17">
      <c r="B23" s="178">
        <v>12</v>
      </c>
      <c r="C23" s="222" t="str">
        <f>IF(Discharge!C21=0,0,IF(TRIM(Discharge!C21)="","",IF(COUNT(O6)=0,"",IF(O6=1,(((10^K4)*(Discharge!C21^N4))/100),((10^K4)*(Discharge!C21^N4))))))</f>
        <v/>
      </c>
      <c r="D23" s="222" t="str">
        <f>IF(Discharge!D21=0,0,IF(TRIM(Discharge!D21)="","",IF(COUNT(O6)=0,"",IF(O6=1,(((10^K4)*(Discharge!D21^N4))/100),((10^K4)*(Discharge!D21^N4))))))</f>
        <v/>
      </c>
      <c r="E23" s="222" t="str">
        <f>IF(Discharge!E21=0,0,IF(TRIM(Discharge!E21)="","",IF(COUNT(O6)=0,"",IF(O6=1,(((10^K4)*(Discharge!E21^N4))/100),((10^K4)*(Discharge!E21^N4))))))</f>
        <v/>
      </c>
      <c r="F23" s="222" t="str">
        <f>IF(Discharge!F21=0,0,IF(TRIM(Discharge!F21)="","",IF(COUNT(O6)=0,"",IF(O6=1,(((10^K4)*(Discharge!F21^N4))/100),((10^K4)*(Discharge!F21^N4))))))</f>
        <v/>
      </c>
      <c r="G23" s="222" t="str">
        <f>IF(Discharge!G21=0,0,IF(TRIM(Discharge!G21)="","",IF(COUNT(O6)=0,"",IF(O6=1,(((10^K4)*(Discharge!G21^N4))/100),((10^K4)*(Discharge!G21^N4))))))</f>
        <v/>
      </c>
      <c r="H23" s="222" t="str">
        <f>IF(Discharge!H21=0,0,IF(TRIM(Discharge!H21)="","",IF(COUNT(O6)=0,"",IF(O6=1,(((10^K4)*(Discharge!H21^N4))/100),((10^K4)*(Discharge!H21^N4))))))</f>
        <v/>
      </c>
      <c r="I23" s="222" t="str">
        <f>IF(Discharge!I21=0,0,IF(TRIM(Discharge!I21)="","",IF(COUNT(O6)=0,"",IF(O6=1,(((10^K4)*(Discharge!I21^N4))/100),((10^K4)*(Discharge!I21^N4))))))</f>
        <v/>
      </c>
      <c r="J23" s="222" t="str">
        <f>IF(Discharge!J21=0,0,IF(TRIM(Discharge!J21)="","",IF(COUNT(O6)=0,"",IF(O6=1,(((10^K4)*(Discharge!J21^N4))/100),((10^K4)*(Discharge!J21^N4))))))</f>
        <v/>
      </c>
      <c r="K23" s="222" t="str">
        <f>IF(Discharge!K21=0,0,IF(TRIM(Discharge!K21)="","",IF(COUNT(O6)=0,"",IF(O6=1,(((10^K4)*(Discharge!K21^N4))/100),((10^K4)*(Discharge!K21^N4))))))</f>
        <v/>
      </c>
      <c r="L23" s="222" t="str">
        <f>IF(Discharge!L21=0,0,IF(TRIM(Discharge!L21)="","",IF(COUNT(O6)=0,"",IF(O6=1,(((10^K4)*(Discharge!L21^N4))/100),((10^K4)*(Discharge!L21^N4))))))</f>
        <v/>
      </c>
      <c r="M23" s="222" t="str">
        <f>IF(Discharge!M21=0,0,IF(TRIM(Discharge!M21)="","",IF(COUNT(O6)=0,"",IF(O6=1,(((10^K4)*(Discharge!M21^N4))/100),((10^K4)*(Discharge!M21^N4))))))</f>
        <v/>
      </c>
      <c r="N23" s="222" t="str">
        <f>IF(Discharge!N21=0,0,IF(TRIM(Discharge!N21)="","",IF(COUNT(O6)=0,"",IF(O6=1,(((10^K4)*(Discharge!N21^N4))/100),((10^K4)*(Discharge!N21^N4))))))</f>
        <v/>
      </c>
      <c r="O23" s="299" t="str">
        <f t="shared" si="0"/>
        <v/>
      </c>
      <c r="P23" s="300"/>
      <c r="Q23" s="164"/>
    </row>
    <row r="24" spans="2:17">
      <c r="B24" s="178">
        <v>13</v>
      </c>
      <c r="C24" s="222" t="str">
        <f>IF(Discharge!C10=0,0,IF(TRIM(Discharge!C22)="","",IF(COUNT(O6)=0,"",IF(O6=1,(((10^K4)*(Discharge!C22^N4))/100),((10^K4)*(Discharge!C22^N4))))))</f>
        <v/>
      </c>
      <c r="D24" s="222" t="str">
        <f>IF(Discharge!D22=0,0,IF(TRIM(Discharge!D22)="","",IF(COUNT(O6)=0,"",IF(O6=1,(((10^K4)*(Discharge!D22^N4))/100),((10^K4)*(Discharge!D22^N4))))))</f>
        <v/>
      </c>
      <c r="E24" s="222" t="str">
        <f>IF(Discharge!E22=0,0,IF(TRIM(Discharge!E22)="","",IF(COUNT(O6)=0,"",IF(O6=1,(((10^K4)*(Discharge!E22^N4))/100),((10^K4)*(Discharge!E22^N4))))))</f>
        <v/>
      </c>
      <c r="F24" s="222" t="str">
        <f>IF(Discharge!F22=0,0,IF(TRIM(Discharge!F22)="","",IF(COUNT(O6)=0,"",IF(O6=1,(((10^K4)*(Discharge!F22^N4))/100),((10^K4)*(Discharge!F22^N4))))))</f>
        <v/>
      </c>
      <c r="G24" s="222" t="str">
        <f>IF(Discharge!G22=0,0,IF(TRIM(Discharge!G22)="","",IF(COUNT(O6)=0,"",IF(O6=1,(((10^K4)*(Discharge!G22^N4))/100),((10^K4)*(Discharge!G22^N4))))))</f>
        <v/>
      </c>
      <c r="H24" s="222" t="str">
        <f>IF(Discharge!H22=0,0,IF(TRIM(Discharge!H22)="","",IF(COUNT(O6)=0,"",IF(O6=1,(((10^K4)*(Discharge!H22^N4))/100),((10^K4)*(Discharge!H22^N4))))))</f>
        <v/>
      </c>
      <c r="I24" s="222" t="str">
        <f>IF(Discharge!I22=0,0,IF(TRIM(Discharge!I22)="","",IF(COUNT(O6)=0,"",IF(O6=1,(((10^K4)*(Discharge!I22^N4))/100),((10^K4)*(Discharge!I22^N4))))))</f>
        <v/>
      </c>
      <c r="J24" s="222" t="str">
        <f>IF(Discharge!J22=0,0,IF(TRIM(Discharge!J22)="","",IF(COUNT(O6)=0,"",IF(O6=1,(((10^K4)*(Discharge!J22^N4))/100),((10^K4)*(Discharge!J22^N4))))))</f>
        <v/>
      </c>
      <c r="K24" s="222" t="str">
        <f>IF(Discharge!K22=0,0,IF(TRIM(Discharge!K22)="","",IF(COUNT(O6)=0,"",IF(O6=1,(((10^K4)*(Discharge!K22^N4))/100),((10^K4)*(Discharge!K22^N4))))))</f>
        <v/>
      </c>
      <c r="L24" s="222" t="str">
        <f>IF(Discharge!L22=0,0,IF(TRIM(Discharge!L22)="","",IF(COUNT(O6)=0,"",IF(O6=1,(((10^K4)*(Discharge!L22^N4))/100),((10^K4)*(Discharge!L22^N4))))))</f>
        <v/>
      </c>
      <c r="M24" s="222" t="str">
        <f>IF(Discharge!M22=0,0,IF(TRIM(Discharge!M22)="","",IF(COUNT(O6)=0,"",IF(O6=1,(((10^K4)*(Discharge!M22^N4))/100),((10^K4)*(Discharge!M22^N4))))))</f>
        <v/>
      </c>
      <c r="N24" s="222" t="str">
        <f>IF(Discharge!N22=0,0,IF(TRIM(Discharge!N22)="","",IF(COUNT(O6)=0,"",IF(O6=1,(((10^K4)*(Discharge!N22^N4))/100),((10^K4)*(Discharge!N22^N4))))))</f>
        <v/>
      </c>
      <c r="O24" s="299" t="str">
        <f t="shared" si="0"/>
        <v/>
      </c>
      <c r="P24" s="300"/>
      <c r="Q24" s="164"/>
    </row>
    <row r="25" spans="2:17">
      <c r="B25" s="178">
        <v>14</v>
      </c>
      <c r="C25" s="222" t="str">
        <f>IF(Discharge!C10=0,0,IF(TRIM(Discharge!C23)="","",IF(COUNT(O6)=0,"",IF(O6=1,(((10^K4)*(Discharge!C23^N4))/100),((10^K4)*(Discharge!C23^N4))))))</f>
        <v/>
      </c>
      <c r="D25" s="222" t="str">
        <f>IF(Discharge!D23=0,0,IF(TRIM(Discharge!D23)="","",IF(COUNT(O6)=0,"",IF(O6=1,(((10^K4)*(Discharge!D23^N4))/100),((10^K4)*(Discharge!D23^N4))))))</f>
        <v/>
      </c>
      <c r="E25" s="222" t="str">
        <f>IF(Discharge!E23=0,0,IF(TRIM(Discharge!E23)="","",IF(COUNT(O6)=0,"",IF(O6=1,(((10^K4)*(Discharge!E23^N4))/100),((10^K4)*(Discharge!E23^N4))))))</f>
        <v/>
      </c>
      <c r="F25" s="222" t="str">
        <f>IF(Discharge!F23=0,0,IF(TRIM(Discharge!F23)="","",IF(COUNT(O6)=0,"",IF(O6=1,(((10^K4)*(Discharge!F23^N4))/100),((10^K4)*(Discharge!F23^N4))))))</f>
        <v/>
      </c>
      <c r="G25" s="222" t="str">
        <f>IF(Discharge!G23=0,0,IF(TRIM(Discharge!G23)="","",IF(COUNT(O6)=0,"",IF(O6=1,(((10^K4)*(Discharge!G23^N4))/100),((10^K4)*(Discharge!G23^N4))))))</f>
        <v/>
      </c>
      <c r="H25" s="222" t="str">
        <f>IF(Discharge!H23=0,0,IF(TRIM(Discharge!H23)="","",IF(COUNT(O6)=0,"",IF(O6=1,(((10^K4)*(Discharge!H23^N4))/100),((10^K4)*(Discharge!H23^N4))))))</f>
        <v/>
      </c>
      <c r="I25" s="222" t="str">
        <f>IF(Discharge!I23=0,0,IF(TRIM(Discharge!I23)="","",IF(COUNT(O6)=0,"",IF(O6=1,(((10^K4)*(Discharge!I23^N4))/100),((10^K4)*(Discharge!I23^N4))))))</f>
        <v/>
      </c>
      <c r="J25" s="222" t="str">
        <f>IF(Discharge!J23=0,0,IF(TRIM(Discharge!J23)="","",IF(COUNT(O6)=0,"",IF(O6=1,(((10^K4)*(Discharge!J23^N4))/100),((10^K4)*(Discharge!J23^N4))))))</f>
        <v/>
      </c>
      <c r="K25" s="222" t="str">
        <f>IF(Discharge!K23=0,0,IF(TRIM(Discharge!K23)="","",IF(COUNT(O6)=0,"",IF(O6=1,(((10^K4)*(Discharge!K23^N4))/100),((10^K4)*(Discharge!K23^N4))))))</f>
        <v/>
      </c>
      <c r="L25" s="222" t="str">
        <f>IF(Discharge!L23=0,0,IF(TRIM(Discharge!L23)="","",IF(COUNT(O6)=0,"",IF(O6=1,(((10^K4)*(Discharge!L23^N4))/100),((10^K4)*(Discharge!L23^N4))))))</f>
        <v/>
      </c>
      <c r="M25" s="222" t="str">
        <f>IF(Discharge!M23=0,0,IF(TRIM(Discharge!M23)="","",IF(COUNT(O6)=0,"",IF(O6=1,(((10^K4)*(Discharge!M23^N4))/100),((10^K4)*(Discharge!M23^N4))))))</f>
        <v/>
      </c>
      <c r="N25" s="222" t="str">
        <f>IF(Discharge!N23=0,0,IF(TRIM(Discharge!N23)="","",IF(COUNT(O6)=0,"",IF(O6=1,(((10^K4)*(Discharge!N23^N4))/100),((10^K4)*(Discharge!N23^N4))))))</f>
        <v/>
      </c>
      <c r="O25" s="299" t="str">
        <f t="shared" si="0"/>
        <v/>
      </c>
      <c r="P25" s="300"/>
      <c r="Q25" s="164"/>
    </row>
    <row r="26" spans="2:17">
      <c r="B26" s="178">
        <v>15</v>
      </c>
      <c r="C26" s="222" t="str">
        <f>IF(Discharge!C24=0,0,IF(TRIM(Discharge!C24)="","",IF(COUNT(O6)=0,"",IF(O6=1,(((10^K4)*(Discharge!C24^N4))/100),((10^K4)*(Discharge!C24^N4))))))</f>
        <v/>
      </c>
      <c r="D26" s="222" t="str">
        <f>IF(Discharge!D24=0,0,IF(TRIM(Discharge!D24)="","",IF(COUNT(O6)=0,"",IF(O6=1,(((10^K4)*(Discharge!D24^N4))/100),((10^K4)*(Discharge!D24^N4))))))</f>
        <v/>
      </c>
      <c r="E26" s="222" t="str">
        <f>IF(Discharge!E24=0,0,IF(TRIM(Discharge!E24)="","",IF(COUNT(O6)=0,"",IF(O6=1,(((10^K4)*(Discharge!E24^N4))/100),((10^K4)*(Discharge!E24^N4))))))</f>
        <v/>
      </c>
      <c r="F26" s="222" t="str">
        <f>IF(Discharge!F24=0,0,IF(TRIM(Discharge!F24)="","",IF(COUNT(O6)=0,"",IF(O6=1,(((10^K4)*(Discharge!F24^N4))/100),((10^K4)*(Discharge!F24^N4))))))</f>
        <v/>
      </c>
      <c r="G26" s="222" t="str">
        <f>IF(Discharge!G24=0,0,IF(TRIM(Discharge!G24)="","",IF(COUNT(O6)=0,"",IF(O6=1,(((10^K4)*(Discharge!G24^N4))/100),((10^K4)*(Discharge!G24^N4))))))</f>
        <v/>
      </c>
      <c r="H26" s="222" t="str">
        <f>IF(Discharge!H24=0,0,IF(TRIM(Discharge!H24)="","",IF(COUNT(O6)=0,"",IF(O6=1,(((10^K4)*(Discharge!H24^N4))/100),((10^K4)*(Discharge!H24^N4))))))</f>
        <v/>
      </c>
      <c r="I26" s="222" t="str">
        <f>IF(Discharge!I24=0,0,IF(TRIM(Discharge!I24)="","",IF(COUNT(O6)=0,"",IF(O6=1,(((10^K4)*(Discharge!I24^N4))/100),((10^K4)*(Discharge!I24^N4))))))</f>
        <v/>
      </c>
      <c r="J26" s="222" t="str">
        <f>IF(Discharge!J24=0,0,IF(TRIM(Discharge!J24)="","",IF(COUNT(O6)=0,"",IF(O6=1,(((10^K4)*(Discharge!J24^N4))/100),((10^K4)*(Discharge!J24^N4))))))</f>
        <v/>
      </c>
      <c r="K26" s="222" t="str">
        <f>IF(Discharge!K24=0,0,IF(TRIM(Discharge!K24)="","",IF(COUNT(O6)=0,"",IF(O6=1,(((10^K4)*(Discharge!K24^N4))/100),((10^K4)*(Discharge!K24^N4))))))</f>
        <v/>
      </c>
      <c r="L26" s="222" t="str">
        <f>IF(Discharge!L24=0,0,IF(TRIM(Discharge!L24)="","",IF(COUNT(O6)=0,"",IF(O6=1,(((10^K4)*(Discharge!L24^N4))/100),((10^K4)*(Discharge!L24^N4))))))</f>
        <v/>
      </c>
      <c r="M26" s="222" t="str">
        <f>IF(Discharge!M24=0,0,IF(TRIM(Discharge!M24)="","",IF(COUNT(O6)=0,"",IF(O6=1,(((10^K4)*(Discharge!M24^N4))/100),((10^K4)*(Discharge!M24^N4))))))</f>
        <v/>
      </c>
      <c r="N26" s="222" t="str">
        <f>IF(Discharge!N24=0,0,IF(TRIM(Discharge!N24)="","",IF(COUNT(O6)=0,"",IF(O6=1,(((10^K4)*(Discharge!N24^N4))/100),((10^K4)*(Discharge!N24^N4))))))</f>
        <v/>
      </c>
      <c r="O26" s="299" t="str">
        <f t="shared" si="0"/>
        <v/>
      </c>
      <c r="P26" s="300"/>
      <c r="Q26" s="164"/>
    </row>
    <row r="27" spans="2:17">
      <c r="B27" s="178">
        <v>16</v>
      </c>
      <c r="C27" s="222" t="str">
        <f>IF(Discharge!C25=0,0,IF(TRIM(Discharge!C25)="","",IF(COUNT(O6)=0,"",IF(O6=1,(((10^K4)*(Discharge!C25^N4))/100),((10^K4)*(Discharge!C25^N4))))))</f>
        <v/>
      </c>
      <c r="D27" s="222" t="str">
        <f>IF(Discharge!D25=0,0,IF(TRIM(Discharge!D25)="","",IF(COUNT(O6)=0,"",IF(O6=1,(((10^K4)*(Discharge!D25^N4))/100),((10^K4)*(Discharge!D25^N4))))))</f>
        <v/>
      </c>
      <c r="E27" s="222" t="str">
        <f>IF(Discharge!E25=0,0,IF(TRIM(Discharge!E25)="","",IF(COUNT(O6)=0,"",IF(O6=1,(((10^K4)*(Discharge!E25^N4))/100),((10^K4)*(Discharge!E25^N4))))))</f>
        <v/>
      </c>
      <c r="F27" s="222" t="str">
        <f>IF(Discharge!F25=0,0,IF(TRIM(Discharge!F25)="","",IF(COUNT(O6)=0,"",IF(O6=1,(((10^K4)*(Discharge!F25^N4))/100),((10^K4)*(Discharge!F25^N4))))))</f>
        <v/>
      </c>
      <c r="G27" s="222" t="str">
        <f>IF(Discharge!G25=0,0,IF(TRIM(Discharge!G25)="","",IF(COUNT(O6)=0,"",IF(O6=1,(((10^K4)*(Discharge!G25^N4))/100),((10^K4)*(Discharge!G25^N4))))))</f>
        <v/>
      </c>
      <c r="H27" s="222" t="str">
        <f>IF(Discharge!H25=0,0,IF(TRIM(Discharge!H25)="","",IF(COUNT(O6)=0,"",IF(O6=1,(((10^K4)*(Discharge!H25^N4))/100),((10^K4)*(Discharge!H25^N4))))))</f>
        <v/>
      </c>
      <c r="I27" s="222" t="str">
        <f>IF(Discharge!I25=0,0,IF(TRIM(Discharge!I25)="","",IF(COUNT(O6)=0,"",IF(O6=1,(((10^K4)*(Discharge!I25^N4))/100),((10^K4)*(Discharge!I25^N4))))))</f>
        <v/>
      </c>
      <c r="J27" s="222" t="str">
        <f>IF(Discharge!J25=0,0,IF(TRIM(Discharge!J25)="","",IF(COUNT(O6)=0,"",IF(O6=1,(((10^K4)*(Discharge!J25^N4))/100),((10^K4)*(Discharge!J25^N4))))))</f>
        <v/>
      </c>
      <c r="K27" s="222" t="str">
        <f>IF(Discharge!K25=0,0,IF(TRIM(Discharge!K25)="","",IF(COUNT(O6)=0,"",IF(O6=1,(((10^K4)*(Discharge!K25^N4))/100),((10^K4)*(Discharge!K25^N4))))))</f>
        <v/>
      </c>
      <c r="L27" s="222" t="str">
        <f>IF(Discharge!L25=0,0,IF(TRIM(Discharge!L25)="","",IF(COUNT(O6)=0,"",IF(O6=1,(((10^K4)*(Discharge!L25^N4))/100),((10^K4)*(Discharge!L25^N4))))))</f>
        <v/>
      </c>
      <c r="M27" s="222" t="str">
        <f>IF(Discharge!M25=0,0,IF(TRIM(Discharge!M25)="","",IF(COUNT(O6)=0,"",IF(O6=1,(((10^K4)*(Discharge!M25^N4))/100),((10^K4)*(Discharge!M25^N4))))))</f>
        <v/>
      </c>
      <c r="N27" s="222" t="str">
        <f>IF(Discharge!N25=0,0,IF(TRIM(Discharge!N25)="","",IF(COUNT(O6)=0,"",IF(O6=1,(((10^K4)*(Discharge!N25^N4))/100),((10^K4)*(Discharge!N25^N4))))))</f>
        <v/>
      </c>
      <c r="O27" s="299" t="str">
        <f t="shared" si="0"/>
        <v/>
      </c>
      <c r="P27" s="300"/>
      <c r="Q27" s="164"/>
    </row>
    <row r="28" spans="2:17">
      <c r="B28" s="178">
        <v>17</v>
      </c>
      <c r="C28" s="222" t="str">
        <f>IF(Discharge!C26=0,0,IF(TRIM(Discharge!C26)="","",IF(COUNT(O6)=0,"",IF(O6=1,(((10^K4)*(Discharge!C26^N4))/100),((10^K4)*(Discharge!C26^N4))))))</f>
        <v/>
      </c>
      <c r="D28" s="222" t="str">
        <f>IF(Discharge!D26=0,0,IF(TRIM(Discharge!D26)="","",IF(COUNT(O6)=0,"",IF(O6=1,(((10^K4)*(Discharge!D26^N4))/100),((10^K4)*(Discharge!D26^N4))))))</f>
        <v/>
      </c>
      <c r="E28" s="222" t="str">
        <f>IF(Discharge!E26=0,0,IF(TRIM(Discharge!E26)="","",IF(COUNT(O6)=0,"",IF(O6=1,(((10^K4)*(Discharge!E26^N4))/100),((10^K4)*(Discharge!E26^N4))))))</f>
        <v/>
      </c>
      <c r="F28" s="222" t="str">
        <f>IF(Discharge!F26=0,0,IF(TRIM(Discharge!F26)="","",IF(COUNT(O6)=0,"",IF(O6=1,(((10^K4)*(Discharge!F26^N4))/100),((10^K4)*(Discharge!F26^N4))))))</f>
        <v/>
      </c>
      <c r="G28" s="222" t="str">
        <f>IF(Discharge!G26=0,0,IF(TRIM(Discharge!G26)="","",IF(COUNT(O6)=0,"",IF(O6=1,(((10^K4)*(Discharge!G26^N4))/100),((10^K4)*(Discharge!G26^N4))))))</f>
        <v/>
      </c>
      <c r="H28" s="222" t="str">
        <f>IF(Discharge!H26=0,0,IF(TRIM(Discharge!H26)="","",IF(COUNT(O6)=0,"",IF(O6=1,(((10^K4)*(Discharge!H26^N4))/100),((10^K4)*(Discharge!H26^N4))))))</f>
        <v/>
      </c>
      <c r="I28" s="222" t="str">
        <f>IF(Discharge!I26=0,0,IF(TRIM(Discharge!I26)="","",IF(COUNT(O6)=0,"",IF(O6=1,(((10^K4)*(Discharge!I26^N4))/100),((10^K4)*(Discharge!I26^N4))))))</f>
        <v/>
      </c>
      <c r="J28" s="222" t="str">
        <f>IF(Discharge!J26=0,0,IF(TRIM(Discharge!J26)="","",IF(COUNT(O6)=0,"",IF(O6=1,(((10^K4)*(Discharge!J26^N4))/100),((10^K4)*(Discharge!J26^N4))))))</f>
        <v/>
      </c>
      <c r="K28" s="222" t="str">
        <f>IF(Discharge!K26=0,0,IF(TRIM(Discharge!K26)="","",IF(COUNT(O6)=0,"",IF(O6=1,(((10^K4)*(Discharge!K26^N4))/100),((10^K4)*(Discharge!K26^N4))))))</f>
        <v/>
      </c>
      <c r="L28" s="222" t="str">
        <f>IF(Discharge!L26=0,0,IF(TRIM(Discharge!L26)="","",IF(COUNT(O6)=0,"",IF(O6=1,(((10^K4)*(Discharge!L26^N4))/100),((10^K4)*(Discharge!L26^N4))))))</f>
        <v/>
      </c>
      <c r="M28" s="222" t="str">
        <f>IF(Discharge!M26=0,0,IF(TRIM(Discharge!M26)="","",IF(COUNT(O6)=0,"",IF(O6=1,(((10^K4)*(Discharge!M26^N4))/100),((10^K4)*(Discharge!M26^N4))))))</f>
        <v/>
      </c>
      <c r="N28" s="222" t="str">
        <f>IF(Discharge!N26=0,0,IF(TRIM(Discharge!N26)="","",IF(COUNT(O6)=0,"",IF(O6=1,(((10^K4)*(Discharge!N26^N4))/100),((10^K4)*(Discharge!N26^N4))))))</f>
        <v/>
      </c>
      <c r="O28" s="299" t="str">
        <f t="shared" si="0"/>
        <v/>
      </c>
      <c r="P28" s="300"/>
      <c r="Q28" s="164"/>
    </row>
    <row r="29" spans="2:17">
      <c r="B29" s="178">
        <v>18</v>
      </c>
      <c r="C29" s="222" t="str">
        <f>IF(Discharge!C27=0,0,IF(TRIM(Discharge!C27)="","",IF(COUNT(O6)=0,"",IF(O6=1,(((10^K4)*(Discharge!C27^N4))/100),((10^K4)*(Discharge!C27^N4))))))</f>
        <v/>
      </c>
      <c r="D29" s="222" t="str">
        <f>IF(Discharge!D27=0,0,IF(TRIM(Discharge!D27)="","",IF(COUNT(O6)=0,"",IF(O6=1,(((10^K4)*(Discharge!D27^N4))/100),((10^K4)*(Discharge!D27^N4))))))</f>
        <v/>
      </c>
      <c r="E29" s="222" t="str">
        <f>IF(Discharge!E27=0,0,IF(TRIM(Discharge!E27)="","",IF(COUNT(O6)=0,"",IF(O6=1,(((10^K4)*(Discharge!E27^N4))/100),((10^K4)*(Discharge!E27^N4))))))</f>
        <v/>
      </c>
      <c r="F29" s="222" t="str">
        <f>IF(Discharge!F27=0,0,IF(TRIM(Discharge!F27)="","",IF(COUNT(O6)=0,"",IF(O6=1,(((10^K4)*(Discharge!F27^N4))/100),((10^K4)*(Discharge!F27^N4))))))</f>
        <v/>
      </c>
      <c r="G29" s="222" t="str">
        <f>IF(Discharge!G27=0,0,IF(TRIM(Discharge!G27)="","",IF(COUNT(O6)=0,"",IF(O6=1,(((10^K4)*(Discharge!G27^N4))/100),((10^K4)*(Discharge!G27^N4))))))</f>
        <v/>
      </c>
      <c r="H29" s="222" t="str">
        <f>IF(Discharge!H27=0,0,IF(TRIM(Discharge!H27)="","",IF(COUNT(O6)=0,"",IF(O6=1,(((10^K4)*(Discharge!H27^N4))/100),((10^K4)*(Discharge!H27^N4))))))</f>
        <v/>
      </c>
      <c r="I29" s="222" t="str">
        <f>IF(Discharge!I27=0,0,IF(TRIM(Discharge!I27)="","",IF(COUNT(O6)=0,"",IF(O6=1,(((10^K4)*(Discharge!I27^N4))/100),((10^K4)*(Discharge!I27^N4))))))</f>
        <v/>
      </c>
      <c r="J29" s="222" t="str">
        <f>IF(Discharge!J27=0,0,IF(TRIM(Discharge!J27)="","",IF(COUNT(O6)=0,"",IF(O6=1,(((10^K4)*(Discharge!J27^N4))/100),((10^K4)*(Discharge!J27^N4))))))</f>
        <v/>
      </c>
      <c r="K29" s="222" t="str">
        <f>IF(Discharge!K27=0,0,IF(TRIM(Discharge!K27)="","",IF(COUNT(O6)=0,"",IF(O6=1,(((10^K4)*(Discharge!K27^N4))/100),((10^K4)*(Discharge!K27^N4))))))</f>
        <v/>
      </c>
      <c r="L29" s="222" t="str">
        <f>IF(Discharge!L27=0,0,IF(TRIM(Discharge!L27)="","",IF(COUNT(O6)=0,"",IF(O6=1,(((10^K4)*(Discharge!L27^N4))/100),((10^K4)*(Discharge!L27^N4))))))</f>
        <v/>
      </c>
      <c r="M29" s="222" t="str">
        <f>IF(Discharge!M27=0,0,IF(TRIM(Discharge!M27)="","",IF(COUNT(O6)=0,"",IF(O6=1,(((10^K4)*(Discharge!M27^N4))/100),((10^K4)*(Discharge!M27^N4))))))</f>
        <v/>
      </c>
      <c r="N29" s="222" t="str">
        <f>IF(Discharge!N27=0,0,IF(TRIM(Discharge!N27)="","",IF(COUNT(O6)=0,"",IF(O6=1,(((10^K4)*(Discharge!N27^N4))/100),((10^K4)*(Discharge!N27^N4))))))</f>
        <v/>
      </c>
      <c r="O29" s="299" t="str">
        <f t="shared" ref="O29:O43" si="1">IF(AND(C29="",D29="",E29="",F29="",G29="",H29="",I29="",J29="",K29="",L29="",M29="",N29=""),"",SUM(C29:N29))</f>
        <v/>
      </c>
      <c r="P29" s="300"/>
      <c r="Q29" s="164"/>
    </row>
    <row r="30" spans="2:17">
      <c r="B30" s="178">
        <v>19</v>
      </c>
      <c r="C30" s="222" t="str">
        <f>IF(Discharge!C28=0,0,IF(TRIM(Discharge!C28)="","",IF(COUNT(O6)=0,"",IF(O6=1,(((10^K4)*(Discharge!C28^N4))/100),((10^K4)*(Discharge!C28^N4))))))</f>
        <v/>
      </c>
      <c r="D30" s="222" t="str">
        <f>IF(Discharge!D28=0,0,IF(TRIM(Discharge!D28)="","",IF(COUNT(O6)=0,"",IF(O6=1,(((10^K4)*(Discharge!D28^N4))/100),((10^K4)*(Discharge!D28^N4))))))</f>
        <v/>
      </c>
      <c r="E30" s="222" t="str">
        <f>IF(Discharge!E28=0,0,IF(Discharge!E28=0,0,IF(TRIM(Discharge!E28)="","",IF(COUNT(O6)=0,"",IF(O6=1,(((10^K4)*(Discharge!E28^N4))/100),((10^K4)*(Discharge!E28^N4)))))))</f>
        <v/>
      </c>
      <c r="F30" s="222" t="str">
        <f>IF(Discharge!F28=0,0,IF(TRIM(Discharge!F28)="","",IF(COUNT(O6)=0,"",IF(O6=1,(((10^K4)*(Discharge!F28^N4))/100),((10^K4)*(Discharge!F28^N4))))))</f>
        <v/>
      </c>
      <c r="G30" s="222" t="str">
        <f>IF(Discharge!G28=0,0,IF(TRIM(Discharge!G28)="","",IF(COUNT(O6)=0,"",IF(O6=1,(((10^K4)*(Discharge!G28^N4))/100),((10^K4)*(Discharge!G28^N4))))))</f>
        <v/>
      </c>
      <c r="H30" s="222" t="str">
        <f>IF(Discharge!H28=0,0,IF(TRIM(Discharge!H28)="","",IF(COUNT(O6)=0,"",IF(O6=1,(((10^K4)*(Discharge!H28^N4))/100),((10^K4)*(Discharge!H28^N4))))))</f>
        <v/>
      </c>
      <c r="I30" s="222" t="str">
        <f>IF(Discharge!I28=0,0,IF(TRIM(Discharge!I28)="","",IF(COUNT(O6)=0,"",IF(O6=1,(((10^K4)*(Discharge!I28^N4))/100),((10^K4)*(Discharge!I28^N4))))))</f>
        <v/>
      </c>
      <c r="J30" s="222" t="str">
        <f>IF(Discharge!J28=0,0,IF(TRIM(Discharge!J28)="","",IF(COUNT(O6)=0,"",IF(O6=1,(((10^K4)*(Discharge!J28^N4))/100),((10^K4)*(Discharge!J28^N4))))))</f>
        <v/>
      </c>
      <c r="K30" s="222" t="str">
        <f>IF(Discharge!K28=0,0,IF(TRIM(Discharge!K28)="","",IF(COUNT(O6)=0,"",IF(O6=1,(((10^K4)*(Discharge!K28^N4))/100),((10^K4)*(Discharge!K28^N4))))))</f>
        <v/>
      </c>
      <c r="L30" s="222" t="str">
        <f>IF(Discharge!L28=0,0,IF(TRIM(Discharge!L28)="","",IF(COUNT(O6)=0,"",IF(O6=1,(((10^K4)*(Discharge!L28^N4))/100),((10^K4)*(Discharge!L28^N4))))))</f>
        <v/>
      </c>
      <c r="M30" s="222" t="str">
        <f>IF(Discharge!M28=0,0,IF(TRIM(Discharge!M28)="","",IF(COUNT(O6)=0,"",IF(O6=1,(((10^K4)*(Discharge!M28^N4))/100),((10^K4)*(Discharge!M28^N4))))))</f>
        <v/>
      </c>
      <c r="N30" s="222" t="str">
        <f>IF(Discharge!N28=0,0,IF(TRIM(Discharge!N28)="","",IF(COUNT(O6)=0,"",IF(O6=1,(((10^K4)*(Discharge!N28^N4))/100),((10^K4)*(Discharge!N28^N4))))))</f>
        <v/>
      </c>
      <c r="O30" s="299" t="str">
        <f t="shared" si="1"/>
        <v/>
      </c>
      <c r="P30" s="300"/>
      <c r="Q30" s="164"/>
    </row>
    <row r="31" spans="2:17">
      <c r="B31" s="178">
        <v>20</v>
      </c>
      <c r="C31" s="222" t="str">
        <f>IF(Discharge!C29=0,0,IF(TRIM(Discharge!C29)="","",IF(COUNT(O6)=0,"",IF(O6=1,(((10^K4)*(Discharge!C29^N4))/100),((10^K4)*(Discharge!C29^N4))))))</f>
        <v/>
      </c>
      <c r="D31" s="222" t="str">
        <f>IF(Discharge!D29=0,0,IF(TRIM(Discharge!D29)="","",IF(COUNT(O6)=0,"",IF(O6=1,(((10^K4)*(Discharge!D29^N4))/100),((10^K4)*(Discharge!D29^N4))))))</f>
        <v/>
      </c>
      <c r="E31" s="222" t="str">
        <f>IF(Discharge!E29=0,0,IF(TRIM(Discharge!E29)="","",IF(COUNT(O6)=0,"",IF(O6=1,(((10^K4)*(Discharge!E29^N4))/100),((10^K4)*(Discharge!E29^N4))))))</f>
        <v/>
      </c>
      <c r="F31" s="222" t="str">
        <f>IF(Discharge!F29=0,0,IF(TRIM(Discharge!F29)="","",IF(COUNT(O6)=0,"",IF(O6=1,(((10^K4)*(Discharge!F29^N4))/100),((10^K4)*(Discharge!F29^N4))))))</f>
        <v/>
      </c>
      <c r="G31" s="222" t="str">
        <f>IF(Discharge!G29=0,0,IF(TRIM(Discharge!G29)="","",IF(COUNT(O6)=0,"",IF(O6=1,(((10^K4)*(Discharge!G29^N4))/100),((10^K4)*(Discharge!G29^N4))))))</f>
        <v/>
      </c>
      <c r="H31" s="222" t="str">
        <f>IF(Discharge!H29=0,0,IF(TRIM(Discharge!H29)="","",IF(COUNT(O6)=0,"",IF(O6=1,(((10^K4)*(Discharge!H29^N4))/100),((10^K4)*(Discharge!H29^N4))))))</f>
        <v/>
      </c>
      <c r="I31" s="222" t="str">
        <f>IF(Discharge!I29=0,0,IF(TRIM(Discharge!I29)="","",IF(COUNT(O6)=0,"",IF(O6=1,(((10^K4)*(Discharge!I29^N4))/100),((10^K4)*(Discharge!I29^N4))))))</f>
        <v/>
      </c>
      <c r="J31" s="222" t="str">
        <f>IF(Discharge!J29=0,0,IF(TRIM(Discharge!J29)="","",IF(COUNT(O6)=0,"",IF(O6=1,(((10^K4)*(Discharge!J29^N4))/100),((10^K4)*(Discharge!J29^N4))))))</f>
        <v/>
      </c>
      <c r="K31" s="222" t="str">
        <f>IF(Discharge!K29=0,0,IF(TRIM(Discharge!K29)="","",IF(COUNT(O6)=0,"",IF(O6=1,(((10^K4)*(Discharge!K29^N4))/100),((10^K4)*(Discharge!K29^N4))))))</f>
        <v/>
      </c>
      <c r="L31" s="222" t="str">
        <f>IF(Discharge!L29=0,0,IF(TRIM(Discharge!L29)="","",IF(COUNT(O6)=0,"",IF(O6=1,(((10^K4)*(Discharge!L29^N4))/100),((10^K4)*(Discharge!L29^N4))))))</f>
        <v/>
      </c>
      <c r="M31" s="222" t="str">
        <f>IF(Discharge!M29=0,0,IF(TRIM(Discharge!M29)="","",IF(COUNT(O6)=0,"",IF(O6=1,(((10^K4)*(Discharge!M29^N4))/100),((10^K4)*(Discharge!M29^N4))))))</f>
        <v/>
      </c>
      <c r="N31" s="222" t="str">
        <f>IF(Discharge!N29=0,0,IF(TRIM(Discharge!N29)="","",IF(COUNT(O6)=0,"",IF(O6=1,(((10^K4)*(Discharge!N29^N4))/100),((10^K4)*(Discharge!N29^N4))))))</f>
        <v/>
      </c>
      <c r="O31" s="299" t="str">
        <f t="shared" si="1"/>
        <v/>
      </c>
      <c r="P31" s="300"/>
      <c r="Q31" s="164"/>
    </row>
    <row r="32" spans="2:17" ht="3.75" customHeight="1">
      <c r="B32" s="178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99"/>
      <c r="P32" s="300"/>
      <c r="Q32" s="164"/>
    </row>
    <row r="33" spans="2:17">
      <c r="B33" s="178">
        <v>21</v>
      </c>
      <c r="C33" s="222" t="str">
        <f>IF(Discharge!C31=0,0,IF(TRIM(Discharge!C31)="","",IF(COUNT(O6)=0,"",IF(O6=1,(((10^K4)*(Discharge!C31^N4))/100),((10^K4)*(Discharge!C31^N4))))))</f>
        <v/>
      </c>
      <c r="D33" s="222" t="str">
        <f>IF(Discharge!D31=0,0,IF(TRIM(Discharge!D31)="","",IF(COUNT(O6)=0,"",IF(O6=1,(((10^K4)*(Discharge!D31^N4))/100),((10^K4)*(Discharge!D31^N4))))))</f>
        <v/>
      </c>
      <c r="E33" s="222" t="str">
        <f>IF(Discharge!E31=0,0,IF(TRIM(Discharge!E31)="","",IF(COUNT(O6)=0,"",IF(O6=1,(((10^K4)*(Discharge!E31^N4))/100),((10^K4)*(Discharge!E31^N4))))))</f>
        <v/>
      </c>
      <c r="F33" s="222" t="str">
        <f>IF(Discharge!F31=0,0,IF(TRIM(Discharge!F31)="","",IF(COUNT(O6)=0,"",IF(O6=1,(((10^K4)*(Discharge!F31^N4))/100),((10^K4)*(Discharge!F31^N4))))))</f>
        <v/>
      </c>
      <c r="G33" s="222" t="str">
        <f>IF(Discharge!G31=0,0,IF(TRIM(Discharge!G31)="","",IF(COUNT(O6)=0,"",IF(O6=1,(((10^K4)*(Discharge!G31^N4))/100),((10^K4)*(Discharge!G31^N4))))))</f>
        <v/>
      </c>
      <c r="H33" s="222" t="str">
        <f>IF(Discharge!H31=0,0,IF(TRIM(Discharge!H31)="","",IF(COUNT(O6)=0,"",IF(O6=1,(((10^K4)*(Discharge!H31^N4))/100),((10^K4)*(Discharge!H31^N4))))))</f>
        <v/>
      </c>
      <c r="I33" s="222" t="str">
        <f>IF(Discharge!I31=0,0,IF(TRIM(Discharge!I31)="","",IF(COUNT(O6)=0,"",IF(O6=1,(((10^K4)*(Discharge!I31^N4))/100),((10^K4)*(Discharge!I31^N4))))))</f>
        <v/>
      </c>
      <c r="J33" s="222" t="str">
        <f>IF(Discharge!J31=0,0,IF(TRIM(Discharge!J31)="","",IF(COUNT(O6)=0,"",IF(O6=1,(((10^K4)*(Discharge!J31^N4))/100),((10^K4)*(Discharge!J31^N4))))))</f>
        <v/>
      </c>
      <c r="K33" s="222" t="str">
        <f>IF(Discharge!K31=0,0,IF(TRIM(Discharge!K31)="","",IF(COUNT(O6)=0,"",IF(O6=1,(((10^K4)*(Discharge!K31^N4))/100),((10^K4)*(Discharge!K31^N4))))))</f>
        <v/>
      </c>
      <c r="L33" s="222" t="str">
        <f>IF(Discharge!L31=0,0,IF(TRIM(Discharge!L31)="","",IF(COUNT(O6)=0,"",IF(O6=1,(((10^K4)*(Discharge!L31^N4))/100),((10^K4)*(Discharge!L31^N4))))))</f>
        <v/>
      </c>
      <c r="M33" s="222" t="str">
        <f>IF(Discharge!M31=0,0,IF(TRIM(Discharge!M31)="","",IF(COUNT(O6)=0,"",IF(O6=1,(((10^K4)*(Discharge!M31^N4))/100),((10^K4)*(Discharge!M31^N4))))))</f>
        <v/>
      </c>
      <c r="N33" s="222" t="str">
        <f>IF(Discharge!N31=0,0,IF(TRIM(Discharge!N31)="","",IF(COUNT(O6)=0,"",IF(O6=1,(((10^K4)*(Discharge!N31^N4))/100),((10^K4)*(Discharge!N31^N4))))))</f>
        <v/>
      </c>
      <c r="O33" s="299" t="str">
        <f t="shared" si="1"/>
        <v/>
      </c>
      <c r="P33" s="300"/>
      <c r="Q33" s="164"/>
    </row>
    <row r="34" spans="2:17">
      <c r="B34" s="178">
        <v>22</v>
      </c>
      <c r="C34" s="222" t="str">
        <f>IF(Discharge!C32=0,0,IF(TRIM(Discharge!C32)="","",IF(COUNT(O6)=0,"",IF(O6=1,(((10^K4)*(Discharge!C32^N4))/100),((10^K4)*(Discharge!C32^N4))))))</f>
        <v/>
      </c>
      <c r="D34" s="222" t="str">
        <f>IF(Discharge!D32=0,0,IF(TRIM(Discharge!D32)="","",IF(COUNT(O6)=0,"",IF(O6=1,(((10^K4)*(Discharge!D32^N4))/100),((10^K4)*(Discharge!D32^N4))))))</f>
        <v/>
      </c>
      <c r="E34" s="222" t="str">
        <f>IF(Discharge!E32=0,0,IF(TRIM(Discharge!E32)="","",IF(COUNT(O6)=0,"",IF(O6=1,(((10^K4)*(Discharge!E32^N4))/100),((10^K4)*(Discharge!E32^N4))))))</f>
        <v/>
      </c>
      <c r="F34" s="222" t="str">
        <f>IF(Discharge!F32=0,0,IF(TRIM(Discharge!F32)="","",IF(COUNT(O6)=0,"",IF(O6=1,(((10^K4)*(Discharge!F32^N4))/100),((10^K4)*(Discharge!F32^N4))))))</f>
        <v/>
      </c>
      <c r="G34" s="222" t="str">
        <f>IF(Discharge!G32=0,0,IF(TRIM(Discharge!G32)="","",IF(COUNT(O6)=0,"",IF(O6=1,(((10^K4)*(Discharge!G32^N4))/100),((10^K4)*(Discharge!G32^N4))))))</f>
        <v/>
      </c>
      <c r="H34" s="222" t="str">
        <f>IF(Discharge!H32=0,0,IF(TRIM(Discharge!H32)="","",IF(COUNT(O6)=0,"",IF(O6=1,(((10^K4)*(Discharge!H32^N4))/100),((10^K4)*(Discharge!H32^N4))))))</f>
        <v/>
      </c>
      <c r="I34" s="222" t="str">
        <f>IF(Discharge!I32=0,0,IF(TRIM(Discharge!I32)="","",IF(COUNT(O6)=0,"",IF(O6=1,(((10^K4)*(Discharge!I32^N4))/100),((10^K4)*(Discharge!I32^N4))))))</f>
        <v/>
      </c>
      <c r="J34" s="222" t="str">
        <f>IF(Discharge!J32=0,0,IF(TRIM(Discharge!J32)="","",IF(COUNT(O6)=0,"",IF(O6=1,(((10^K4)*(Discharge!J32^N4))/100),((10^K4)*(Discharge!J32^N4))))))</f>
        <v/>
      </c>
      <c r="K34" s="222" t="str">
        <f>IF(Discharge!K32=0,0,IF(TRIM(Discharge!K32)="","",IF(COUNT(O6)=0,"",IF(O6=1,(((10^K4)*(Discharge!K32^N4))/100),((10^K4)*(Discharge!K32^N4))))))</f>
        <v/>
      </c>
      <c r="L34" s="222" t="str">
        <f>IF(Discharge!L32=0,0,IF(TRIM(Discharge!L32)="","",IF(COUNT(O6)=0,"",IF(O6=1,(((10^K4)*(Discharge!L32^N4))/100),((10^K4)*(Discharge!L32^N4))))))</f>
        <v/>
      </c>
      <c r="M34" s="222" t="str">
        <f>IF(Discharge!M32=0,0,IF(TRIM(Discharge!M32)="","",IF(COUNT(O6)=0,"",IF(O6=1,(((10^K4)*(Discharge!M32^N4))/100),((10^K4)*(Discharge!M32^N4))))))</f>
        <v/>
      </c>
      <c r="N34" s="222" t="str">
        <f>IF(Discharge!N32=0,0,IF(TRIM(Discharge!N32)="","",IF(COUNT(O6)=0,"",IF(O6=1,(((10^K4)*(Discharge!N32^N4))/100),((10^K4)*(Discharge!N32^N4))))))</f>
        <v/>
      </c>
      <c r="O34" s="299" t="str">
        <f t="shared" si="1"/>
        <v/>
      </c>
      <c r="P34" s="300"/>
      <c r="Q34" s="164"/>
    </row>
    <row r="35" spans="2:17">
      <c r="B35" s="178">
        <v>23</v>
      </c>
      <c r="C35" s="222" t="str">
        <f>IF(Discharge!C33=0,0,IF(TRIM(Discharge!C33)="","",IF(COUNT(O6)=0,"",IF(O6=1,(((10^K4)*(Discharge!C33^N4))/100),((10^K4)*(Discharge!C33^N4))))))</f>
        <v/>
      </c>
      <c r="D35" s="222" t="str">
        <f>IF(Discharge!D33=0,0,IF(TRIM(Discharge!D33)="","",IF(COUNT(O6)=0,"",IF(O6=1,(((10^K4)*(Discharge!D33^N4))/100),((10^K4)*(Discharge!D33^N4))))))</f>
        <v/>
      </c>
      <c r="E35" s="222" t="str">
        <f>IF(Discharge!E33=0,0,IF(TRIM(Discharge!E33)="","",IF(COUNT(O6)=0,"",IF(O6=1,(((10^K4)*(Discharge!E33^N4))/100),((10^K4)*(Discharge!E33^N4))))))</f>
        <v/>
      </c>
      <c r="F35" s="222" t="str">
        <f>IF(Discharge!F33=0,0,IF(TRIM(Discharge!F33)="","",IF(COUNT(O6)=0,"",IF(O6=1,(((10^K4)*(Discharge!F33^N4))/100),((10^K4)*(Discharge!F33^N4))))))</f>
        <v/>
      </c>
      <c r="G35" s="222" t="str">
        <f>IF(Discharge!G33=0,0,IF(TRIM(Discharge!G33)="","",IF(COUNT(O6)=0,"",IF(O6=1,(((10^K4)*(Discharge!G33^N4))/100),((10^K4)*(Discharge!G33^N4))))))</f>
        <v/>
      </c>
      <c r="H35" s="222" t="str">
        <f>IF(Discharge!H33=0,0,IF(TRIM(Discharge!H33)="","",IF(COUNT(O6)=0,"",IF(O6=1,(((10^K4)*(Discharge!H33^N4))/100),((10^K4)*(Discharge!H33^N4))))))</f>
        <v/>
      </c>
      <c r="I35" s="222" t="str">
        <f>IF(Discharge!I33=0,0,IF(TRIM(Discharge!I33)="","",IF(COUNT(O6)=0,"",IF(O6=1,(((10^K4)*(Discharge!I33^N4))/100),((10^K4)*(Discharge!I33^N4))))))</f>
        <v/>
      </c>
      <c r="J35" s="222" t="str">
        <f>IF(Discharge!J33=0,0,IF(TRIM(Discharge!J33)="","",IF(COUNT(O6)=0,"",IF(O6=1,(((10^K4)*(Discharge!J33^N4))/100),((10^K4)*(Discharge!J33^N4))))))</f>
        <v/>
      </c>
      <c r="K35" s="222" t="str">
        <f>IF(Discharge!K33=0,0,IF(TRIM(Discharge!K33)="","",IF(COUNT(O6)=0,"",IF(O6=1,(((10^K4)*(Discharge!K33^N4))/100),((10^K4)*(Discharge!K33^N4))))))</f>
        <v/>
      </c>
      <c r="L35" s="222" t="str">
        <f>IF(Discharge!L33=0,0,IF(TRIM(Discharge!L33)="","",IF(COUNT(O6)=0,"",IF(O6=1,(((10^K4)*(Discharge!L33^N4))/100),((10^K4)*(Discharge!L33^N4))))))</f>
        <v/>
      </c>
      <c r="M35" s="222" t="str">
        <f>IF(Discharge!M33=0,0,IF(TRIM(Discharge!M33)="","",IF(COUNT(O6)=0,"",IF(O6=1,(((10^K4)*(Discharge!M33^N4))/100),((10^K4)*(Discharge!M33^N4))))))</f>
        <v/>
      </c>
      <c r="N35" s="222" t="str">
        <f>IF(Discharge!N33=0,0,IF(TRIM(Discharge!N33)="","",IF(COUNT(O6)=0,"",IF(O6=1,(((10^K4)*(Discharge!N33^N4))/100),((10^K4)*(Discharge!N33^N4))))))</f>
        <v/>
      </c>
      <c r="O35" s="299" t="str">
        <f t="shared" si="1"/>
        <v/>
      </c>
      <c r="P35" s="300"/>
      <c r="Q35" s="164"/>
    </row>
    <row r="36" spans="2:17">
      <c r="B36" s="178">
        <v>24</v>
      </c>
      <c r="C36" s="222" t="str">
        <f>IF(Discharge!C34=0,0,IF(TRIM(Discharge!C34)="","",IF(COUNT(O6)=0,"",IF(O6=1,(((10^K4)*(Discharge!C34^N4))/100),((10^K4)*(Discharge!C34^N4))))))</f>
        <v/>
      </c>
      <c r="D36" s="222" t="str">
        <f>IF(Discharge!D34=0,0,IF(TRIM(Discharge!D34)="","",IF(COUNT(O6)=0,"",IF(O6=1,(((10^K4)*(Discharge!D34^N4))/100),((10^K4)*(Discharge!D34^N4))))))</f>
        <v/>
      </c>
      <c r="E36" s="222" t="str">
        <f>IF(Discharge!E34=0,0,IF(TRIM(Discharge!E34)="","",IF(COUNT(O6)=0,"",IF(O6=1,(((10^K4)*(Discharge!E34^N4))/100),((10^K4)*(Discharge!E34^N4))))))</f>
        <v/>
      </c>
      <c r="F36" s="222" t="str">
        <f>IF(Discharge!F34=0,0,IF(TRIM(Discharge!F34)="","",IF(COUNT(O6)=0,"",IF(O6=1,(((10^K4)*(Discharge!F34^N4))/100),((10^K4)*(Discharge!F34^N4))))))</f>
        <v/>
      </c>
      <c r="G36" s="222" t="str">
        <f>IF(Discharge!G34=0,0,IF(TRIM(Discharge!G34)="","",IF(COUNT(O6)=0,"",IF(O6=1,(((10^K4)*(Discharge!G34^N4))/100),((10^K4)*(Discharge!G34^N4))))))</f>
        <v/>
      </c>
      <c r="H36" s="222" t="str">
        <f>IF(Discharge!H34=0,0,IF(TRIM(Discharge!H34)="","",IF(COUNT(O6)=0,"",IF(O6=1,(((10^K4)*(Discharge!H34^N4))/100),((10^K4)*(Discharge!H34^N4))))))</f>
        <v/>
      </c>
      <c r="I36" s="222" t="str">
        <f>IF(Discharge!I34=0,0,IF(TRIM(Discharge!I34)="","",IF(COUNT(O6)=0,"",IF(O6=1,(((10^K4)*(Discharge!I34^N4))/100),((10^K4)*(Discharge!I34^N4))))))</f>
        <v/>
      </c>
      <c r="J36" s="222" t="str">
        <f>IF(Discharge!J34=0,0,IF(TRIM(Discharge!J34)="","",IF(COUNT(O6)=0,"",IF(O6=1,(((10^K4)*(Discharge!J34^N4))/100),((10^K4)*(Discharge!J34^N4))))))</f>
        <v/>
      </c>
      <c r="K36" s="222" t="str">
        <f>IF(Discharge!K34=0,0,IF(TRIM(Discharge!K34)="","",IF(COUNT(O6)=0,"",IF(O6=1,(((10^K4)*(Discharge!K34^N4))/100),((10^K4)*(Discharge!K34^N4))))))</f>
        <v/>
      </c>
      <c r="L36" s="222" t="str">
        <f>IF(Discharge!L34=0,0,IF(TRIM(Discharge!L34)="","",IF(COUNT(O6)=0,"",IF(O6=1,(((10^K4)*(Discharge!L34^N4))/100),((10^K4)*(Discharge!L34^N4))))))</f>
        <v/>
      </c>
      <c r="M36" s="222" t="str">
        <f>IF(Discharge!M34=0,0,IF(TRIM(Discharge!M34)="","",IF(COUNT(O6)=0,"",IF(O6=1,(((10^K4)*(Discharge!M34^N4))/100),((10^K4)*(Discharge!M34^N4))))))</f>
        <v/>
      </c>
      <c r="N36" s="222" t="str">
        <f>IF(Discharge!N34=0,0,IF(TRIM(Discharge!N34)="","",IF(COUNT(O6)=0,"",IF(O6=1,(((10^K4)*(Discharge!N34^N4))/100),((10^K4)*(Discharge!N34^N4))))))</f>
        <v/>
      </c>
      <c r="O36" s="299" t="str">
        <f t="shared" si="1"/>
        <v/>
      </c>
      <c r="P36" s="300"/>
      <c r="Q36" s="164"/>
    </row>
    <row r="37" spans="2:17">
      <c r="B37" s="178">
        <v>25</v>
      </c>
      <c r="C37" s="222" t="str">
        <f>IF(Discharge!C35=0,0,IF(TRIM(Discharge!C35)="","",IF(COUNT(O6)=0,"",IF(O6=1,(((10^K4)*(Discharge!C35^N4))/100),((10^K4)*(Discharge!C35^N4))))))</f>
        <v/>
      </c>
      <c r="D37" s="222" t="str">
        <f>IF(Discharge!D35=0,0,IF(TRIM(Discharge!D35)="","",IF(COUNT(O6)=0,"",IF(O6=1,(((10^K4)*(Discharge!D35^N4))/100),((10^K4)*(Discharge!D35^N4))))))</f>
        <v/>
      </c>
      <c r="E37" s="222" t="str">
        <f>IF(Discharge!E35=0,0,IF(TRIM(Discharge!E35)="","",IF(COUNT(O6)=0,"",IF(O6=1,(((10^K4)*(Discharge!E35^N4))/100),((10^K4)*(Discharge!E35^N4))))))</f>
        <v/>
      </c>
      <c r="F37" s="222" t="str">
        <f>IF(Discharge!F35=0,0,IF(TRIM(Discharge!F35)="","",IF(COUNT(O6)=0,"",IF(O6=1,(((10^K4)*(Discharge!F35^N4))/100),((10^K4)*(Discharge!F35^N4))))))</f>
        <v/>
      </c>
      <c r="G37" s="222" t="str">
        <f>IF(Discharge!G35=0,0,IF(TRIM(Discharge!G35)="","",IF(COUNT(O6)=0,"",IF(O6=1,(((10^K4)*(Discharge!G35^N4))/100),((10^K4)*(Discharge!G35^N4))))))</f>
        <v/>
      </c>
      <c r="H37" s="222" t="str">
        <f>IF(Discharge!H35=0,0,IF(TRIM(Discharge!H35)="","",IF(COUNT(O6)=0,"",IF(O6=1,(((10^K4)*(Discharge!H35^N4))/100),((10^K4)*(Discharge!H35^N4))))))</f>
        <v/>
      </c>
      <c r="I37" s="222" t="str">
        <f>IF(Discharge!I35=0,0,IF(TRIM(Discharge!I35)="","",IF(COUNT(O6)=0,"",IF(O6=1,(((10^K4)*(Discharge!I35^N4))/100),((10^K4)*(Discharge!I35^N4))))))</f>
        <v/>
      </c>
      <c r="J37" s="222" t="str">
        <f>IF(Discharge!J35=0,0,IF(TRIM(Discharge!J35)="","",IF(COUNT(O6)=0,"",IF(O6=1,(((10^K4)*(Discharge!J35^N4))/100),((10^K4)*(Discharge!J35^N4))))))</f>
        <v/>
      </c>
      <c r="K37" s="222" t="str">
        <f>IF(Discharge!K35=0,0,IF(TRIM(Discharge!K35)="","",IF(COUNT(O6)=0,"",IF(O6=1,(((10^K4)*(Discharge!K35^N4))/100),((10^K4)*(Discharge!K35^N4))))))</f>
        <v/>
      </c>
      <c r="L37" s="222" t="str">
        <f>IF(Discharge!L35=0,0,IF(TRIM(Discharge!L35)="","",IF(COUNT(O6)=0,"",IF(O6=1,(((10^K4)*(Discharge!L35^N4))/100),((10^K4)*(Discharge!L35^N4))))))</f>
        <v/>
      </c>
      <c r="M37" s="222" t="str">
        <f>IF(Discharge!M35=0,0,IF(TRIM(Discharge!M35)="","",IF(COUNT(O6)=0,"",IF(O6=1,(((10^K4)*(Discharge!M35^N4))/100),((10^K4)*(Discharge!M35^N4))))))</f>
        <v/>
      </c>
      <c r="N37" s="222" t="str">
        <f>IF(Discharge!N35=0,0,IF(TRIM(Discharge!N35)="","",IF(COUNT(O6)=0,"",IF(O6=1,(((10^K4)*(Discharge!N35^N4))/100),((10^K4)*(Discharge!N35^N4))))))</f>
        <v/>
      </c>
      <c r="O37" s="299" t="str">
        <f t="shared" si="1"/>
        <v/>
      </c>
      <c r="P37" s="300"/>
      <c r="Q37" s="164"/>
    </row>
    <row r="38" spans="2:17">
      <c r="B38" s="178">
        <v>26</v>
      </c>
      <c r="C38" s="222" t="str">
        <f>IF(Discharge!C36=0,0,IF(TRIM(Discharge!C36)="","",IF(COUNT(O6)=0,"",IF(O6=1,(((10^K4)*(Discharge!C36^N4))/100),((10^K4)*(Discharge!C36^N4))))))</f>
        <v/>
      </c>
      <c r="D38" s="222" t="str">
        <f>IF(Discharge!D36=0,0,IF(TRIM(Discharge!D36)="","",IF(COUNT(O6)=0,"",IF(O6=1,(((10^K4)*(Discharge!D36^N4))/100),((10^K4)*(Discharge!D36^N4))))))</f>
        <v/>
      </c>
      <c r="E38" s="222" t="str">
        <f>IF(Discharge!E36=0,0,IF(TRIM(Discharge!E36)="","",IF(COUNT(O6)=0,"",IF(O6=1,(((10^K4)*(Discharge!E36^N4))/100),((10^K4)*(Discharge!E36^N4))))))</f>
        <v/>
      </c>
      <c r="F38" s="222" t="str">
        <f>IF(Discharge!F36=0,0,IF(TRIM(Discharge!F36)="","",IF(COUNT(O6)=0,"",IF(O6=1,(((10^K4)*(Discharge!F36^N4))/100),((10^K4)*(Discharge!F36^N4))))))</f>
        <v/>
      </c>
      <c r="G38" s="222" t="str">
        <f>IF(Discharge!G36=0,0,IF(TRIM(Discharge!G36)="","",IF(COUNT(O6)=0,"",IF(O6=1,(((10^K4)*(Discharge!G36^N4))/100),((10^K4)*(Discharge!G36^N4))))))</f>
        <v/>
      </c>
      <c r="H38" s="222" t="str">
        <f>IF(Discharge!H36=0,0,IF(TRIM(Discharge!H36)="","",IF(COUNT(O6)=0,"",IF(O6=1,(((10^K4)*(Discharge!H36^N4))/100),((10^K4)*(Discharge!H36^N4))))))</f>
        <v/>
      </c>
      <c r="I38" s="222" t="str">
        <f>IF(Discharge!I36=0,0,IF(TRIM(Discharge!I36)="","",IF(COUNT(O6)=0,"",IF(O6=1,(((10^K4)*(Discharge!I36^N4))/100),((10^K4)*(Discharge!I36^N4))))))</f>
        <v/>
      </c>
      <c r="J38" s="222" t="str">
        <f>IF(Discharge!J36=0,0,IF(TRIM(Discharge!J36)="","",IF(COUNT(O6)=0,"",IF(O6=1,(((10^K4)*(Discharge!J36^N4))/100),((10^K4)*(Discharge!J36^N4))))))</f>
        <v/>
      </c>
      <c r="K38" s="222" t="str">
        <f>IF(Discharge!K36=0,0,IF(TRIM(Discharge!K36)="","",IF(COUNT(O6)=0,"",IF(O6=1,(((10^K4)*(Discharge!K36^N4))/100),((10^K4)*(Discharge!K36^N4))))))</f>
        <v/>
      </c>
      <c r="L38" s="222" t="str">
        <f>IF(Discharge!L36=0,0,IF(TRIM(Discharge!L36)="","",IF(COUNT(O6)=0,"",IF(O6=1,(((10^K4)*(Discharge!L36^N4))/100),((10^K4)*(Discharge!L36^N4))))))</f>
        <v/>
      </c>
      <c r="M38" s="222" t="str">
        <f>IF(Discharge!M36=0,0,IF(TRIM(Discharge!M36)="","",IF(COUNT(O6)=0,"",IF(O6=1,(((10^K4)*(Discharge!M36^N4))/100),((10^K4)*(Discharge!M36^N4))))))</f>
        <v/>
      </c>
      <c r="N38" s="222" t="str">
        <f>IF(Discharge!N36=0,0,IF(TRIM(Discharge!N36)="","",IF(COUNT(O6)=0,"",IF(O6=1,(((10^K4)*(Discharge!N36^N4))/100),((10^K4)*(Discharge!N36^N4))))))</f>
        <v/>
      </c>
      <c r="O38" s="299" t="str">
        <f t="shared" si="1"/>
        <v/>
      </c>
      <c r="P38" s="300"/>
      <c r="Q38" s="164"/>
    </row>
    <row r="39" spans="2:17">
      <c r="B39" s="178">
        <v>27</v>
      </c>
      <c r="C39" s="222" t="str">
        <f>IF(Discharge!C37=0,0,IF(TRIM(Discharge!C37)="","",IF(COUNT(O6)=0,"",IF(O6=1,(((10^K4)*(Discharge!C37^N4))/100),((10^K4)*(Discharge!C37^N4))))))</f>
        <v/>
      </c>
      <c r="D39" s="222" t="str">
        <f>IF(Discharge!D37=0,0,IF(TRIM(Discharge!D37)="","",IF(COUNT(O6)=0,"",IF(O6=1,(((10^K4)*(Discharge!D37^N4))/100),((10^K4)*(Discharge!D37^N4))))))</f>
        <v/>
      </c>
      <c r="E39" s="222" t="str">
        <f>IF(Discharge!E37=0,0,IF(TRIM(Discharge!E37)="","",IF(COUNT(O6)=0,"",IF(O6=1,(((10^K4)*(Discharge!E37^N4))/100),((10^K4)*(Discharge!E37^N4))))))</f>
        <v/>
      </c>
      <c r="F39" s="222" t="str">
        <f>IF(Discharge!F37=0,0,IF(TRIM(Discharge!F37)="","",IF(COUNT(O6)=0,"",IF(O6=1,(((10^K4)*(Discharge!F37^N4))/100),((10^K4)*(Discharge!F37^N4))))))</f>
        <v/>
      </c>
      <c r="G39" s="222" t="str">
        <f>IF(Discharge!G37=0,0,IF(TRIM(Discharge!G37)="","",IF(COUNT(O6)=0,"",IF(O6=1,(((10^K4)*(Discharge!G37^N4))/100),((10^K4)*(Discharge!G37^N4))))))</f>
        <v/>
      </c>
      <c r="H39" s="222" t="str">
        <f>IF(Discharge!H37=0,0,IF(TRIM(Discharge!H37)="","",IF(COUNT(O6)=0,"",IF(O6=1,(((10^K4)*(Discharge!H37^N4))/100),((10^K4)*(Discharge!H37^N4))))))</f>
        <v/>
      </c>
      <c r="I39" s="222" t="str">
        <f>IF(Discharge!I37=0,0,IF(TRIM(Discharge!I37)="","",IF(COUNT(O6)=0,"",IF(O6=1,(((10^K4)*(Discharge!I37^N4))/100),((10^K4)*(Discharge!I37^N4))))))</f>
        <v/>
      </c>
      <c r="J39" s="222" t="str">
        <f>IF(Discharge!J37=0,0,IF(TRIM(Discharge!J37)="","",IF(COUNT(O6)=0,"",IF(O6=1,(((10^K4)*(Discharge!J37^N4))/100),((10^K4)*(Discharge!J37^N4))))))</f>
        <v/>
      </c>
      <c r="K39" s="222" t="str">
        <f>IF(Discharge!K37=0,0,IF(TRIM(Discharge!K37)="","",IF(COUNT(O6)=0,"",IF(O6=1,(((10^K4)*(Discharge!K37^N4))/100),((10^K4)*(Discharge!K37^N4))))))</f>
        <v/>
      </c>
      <c r="L39" s="222" t="str">
        <f>IF(Discharge!L37=0,0,IF(TRIM(Discharge!L37)="","",IF(COUNT(O6)=0,"",IF(O6=1,(((10^K4)*(Discharge!L37^N4))/100),((10^K4)*(Discharge!L37^N4))))))</f>
        <v/>
      </c>
      <c r="M39" s="222" t="str">
        <f>IF(Discharge!M37=0,0,IF(TRIM(Discharge!M37)="","",IF(COUNT(O6)=0,"",IF(O6=1,(((10^K4)*(Discharge!M37^N4))/100),((10^K4)*(Discharge!M37^N4))))))</f>
        <v/>
      </c>
      <c r="N39" s="222" t="str">
        <f>IF(Discharge!N37=0,0,IF(TRIM(Discharge!N37)="","",IF(COUNT(O6)=0,"",IF(O6=1,(((10^K4)*(Discharge!N37^N4))/100),((10^K4)*(Discharge!N37^N4))))))</f>
        <v/>
      </c>
      <c r="O39" s="299" t="str">
        <f t="shared" si="1"/>
        <v/>
      </c>
      <c r="P39" s="300"/>
      <c r="Q39" s="164"/>
    </row>
    <row r="40" spans="2:17">
      <c r="B40" s="178">
        <v>28</v>
      </c>
      <c r="C40" s="222" t="str">
        <f>IF(Discharge!C38=0,0,IF(TRIM(Discharge!C38)="","",IF(COUNT(O6)=0,"",IF(O6=1,(((10^K4)*(Discharge!C38^N4))/100),((10^K4)*(Discharge!C38^N4))))))</f>
        <v/>
      </c>
      <c r="D40" s="222" t="str">
        <f>IF(Discharge!D38=0,0,IF(TRIM(Discharge!D38)="","",IF(COUNT(O6)=0,"",IF(O6=1,(((10^K4)*(Discharge!D38^N4))/100),((10^K4)*(Discharge!D38^N4))))))</f>
        <v/>
      </c>
      <c r="E40" s="222" t="str">
        <f>IF(Discharge!E38=0,0,IF(TRIM(Discharge!E38)="","",IF(COUNT(O6)=0,"",IF(O6=1,(((10^K4)*(Discharge!E38^N4))/100),((10^K4)*(Discharge!E38^N4))))))</f>
        <v/>
      </c>
      <c r="F40" s="222" t="str">
        <f>IF(Discharge!F38=0,0,IF(TRIM(Discharge!F38)="","",IF(COUNT(O6)=0,"",IF(O6=1,(((10^K4)*(Discharge!F38^N4))/100),((10^K4)*(Discharge!F38^N4))))))</f>
        <v/>
      </c>
      <c r="G40" s="222" t="str">
        <f>IF(Discharge!G38=0,0,IF(TRIM(Discharge!G38)="","",IF(COUNT(O6)=0,"",IF(O6=1,(((10^K4)*(Discharge!G38^N4))/100),((10^K4)*(Discharge!G38^N4))))))</f>
        <v/>
      </c>
      <c r="H40" s="222" t="str">
        <f>IF(Discharge!H38=0,0,IF(TRIM(Discharge!H38)="","",IF(COUNT(O6)=0,"",IF(O6=1,(((10^K4)*(Discharge!H38^N4))/100),((10^K4)*(Discharge!H38^N4))))))</f>
        <v/>
      </c>
      <c r="I40" s="222" t="str">
        <f>IF(Discharge!I38=0,0,IF(TRIM(Discharge!I38)="","",IF(COUNT(O6)=0,"",IF(O6=1,(((10^K4)*(Discharge!I38^N4))/100),((10^K4)*(Discharge!I38^N4))))))</f>
        <v/>
      </c>
      <c r="J40" s="222" t="str">
        <f>IF(Discharge!J38=0,0,IF(TRIM(Discharge!J38)="","",IF(COUNT(O6)=0,"",IF(O6=1,(((10^K4)*(Discharge!J38^N4))/100),((10^K4)*(Discharge!J38^N4))))))</f>
        <v/>
      </c>
      <c r="K40" s="222" t="str">
        <f>IF(Discharge!K38=0,0,IF(TRIM(Discharge!K38)="","",IF(COUNT(O6)=0,"",IF(O6=1,(((10^K4)*(Discharge!K38^N4))/100),((10^K4)*(Discharge!K38^N4))))))</f>
        <v/>
      </c>
      <c r="L40" s="222" t="str">
        <f>IF(Discharge!L38=0,0,IF(TRIM(Discharge!L38)="","",IF(COUNT(O6)=0,"",IF(O6=1,(((10^K4)*(Discharge!L38^N4))/100),((10^K4)*(Discharge!L38^N4))))))</f>
        <v/>
      </c>
      <c r="M40" s="222" t="str">
        <f>IF(Discharge!M38=0,0,IF(TRIM(Discharge!M38)="","",IF(COUNT(O6)=0,"",IF(O6=1,(((10^K4)*(Discharge!M38^N4))/100),((10^K4)*(Discharge!M38^N4))))))</f>
        <v/>
      </c>
      <c r="N40" s="222" t="str">
        <f>IF(Discharge!N38=0,0,IF(TRIM(Discharge!N38)="","",IF(COUNT(O6)=0,"",IF(O6=1,(((10^K4)*(Discharge!N38^N4))/100),((10^K4)*(Discharge!N38^N4))))))</f>
        <v/>
      </c>
      <c r="O40" s="299" t="str">
        <f t="shared" si="1"/>
        <v/>
      </c>
      <c r="P40" s="300"/>
      <c r="Q40" s="164"/>
    </row>
    <row r="41" spans="2:17">
      <c r="B41" s="178">
        <v>29</v>
      </c>
      <c r="C41" s="222" t="str">
        <f>IF(Discharge!C39=0,0,IF(TRIM(Discharge!C39)="","",IF(COUNT(O6)=0,"",IF(O6=1,(((10^K4)*(Discharge!C39^N4))/100),((10^K4)*(Discharge!C39^N4))))))</f>
        <v/>
      </c>
      <c r="D41" s="222" t="str">
        <f>IF(Discharge!D39=0,0,IF(TRIM(Discharge!D39)="","",IF(COUNT(O6)=0,"",IF(O6=1,(((10^K4)*(Discharge!D39^N4))/100),((10^K4)*(Discharge!D39^N4))))))</f>
        <v/>
      </c>
      <c r="E41" s="222" t="str">
        <f>IF(Discharge!E39=0,0,IF(TRIM(Discharge!E39)="","",IF(COUNT(O6)=0,"",IF(O6=1,(((10^K4)*(Discharge!E39^N4))/100),((10^K4)*(Discharge!E39^N4))))))</f>
        <v/>
      </c>
      <c r="F41" s="222" t="str">
        <f>IF(Discharge!F39=0,0,IF(TRIM(Discharge!F39)="","",IF(COUNT(O6)=0,"",IF(O6=1,(((10^K4)*(Discharge!F39^N4))/100),((10^K4)*(Discharge!F39^N4))))))</f>
        <v/>
      </c>
      <c r="G41" s="222" t="str">
        <f>IF(Discharge!G39=0,0,IF(TRIM(Discharge!G39)="","",IF(COUNT(O6)=0,"",IF(O6=1,(((10^K4)*(Discharge!G39^N4))/100),((10^K4)*(Discharge!G39^N4))))))</f>
        <v/>
      </c>
      <c r="H41" s="222" t="str">
        <f>IF(Discharge!H39=0,0,IF(TRIM(Discharge!H39)="","",IF(COUNT(O6)=0,"",IF(O6=1,(((10^K4)*(Discharge!H39^N4))/100),((10^K4)*(Discharge!H39^N4))))))</f>
        <v/>
      </c>
      <c r="I41" s="222" t="str">
        <f>IF(Discharge!I39=0,0,IF(TRIM(Discharge!I39)="","",IF(COUNT(O6)=0,"",IF(O6=1,(((10^K4)*(Discharge!I39^N4))/100),((10^K4)*(Discharge!I39^N4))))))</f>
        <v/>
      </c>
      <c r="J41" s="222" t="str">
        <f>IF(Discharge!J39=0,0,IF(TRIM(Discharge!J39)="","",IF(COUNT(O6)=0,"",IF(O6=1,(((10^K4)*(Discharge!J39^N4))/100),((10^K4)*(Discharge!J39^N4))))))</f>
        <v/>
      </c>
      <c r="K41" s="222" t="str">
        <f>IF(Discharge!K39=0,0,IF(TRIM(Discharge!K39)="","",IF(COUNT(O6)=0,"",IF(O6=1,(((10^K4)*(Discharge!K39^N4))/100),((10^K4)*(Discharge!K39^N4))))))</f>
        <v/>
      </c>
      <c r="L41" s="222" t="str">
        <f>IF(Discharge!L39=0,0,IF(TRIM(Discharge!L39)="","",IF(COUNT(O6)=0,"",IF(O6=1,(((10^K4)*(Discharge!L39^N4))/100),((10^K4)*(Discharge!L39^N4))))))</f>
        <v/>
      </c>
      <c r="M41" s="222" t="str">
        <f>IF(Discharge!M39=0,0,IF(TRIM(Discharge!M39)="","",IF(COUNT(O6)=0,"",IF(O6=1,(((10^K4)*(Discharge!M39^N4))/100),((10^K4)*(Discharge!M39^N4))))))</f>
        <v/>
      </c>
      <c r="N41" s="222" t="str">
        <f>IF(Discharge!N39=0,0,IF(TRIM(Discharge!N39)="","",IF(COUNT(O6)=0,"",IF(O6=1,(((10^K4)*(Discharge!N39^N4))/100),((10^K4)*(Discharge!N39^N4))))))</f>
        <v/>
      </c>
      <c r="O41" s="299" t="str">
        <f t="shared" si="1"/>
        <v/>
      </c>
      <c r="P41" s="300"/>
      <c r="Q41" s="164"/>
    </row>
    <row r="42" spans="2:17">
      <c r="B42" s="178">
        <v>30</v>
      </c>
      <c r="C42" s="222" t="str">
        <f>IF(Discharge!C40=0,0,IF(TRIM(Discharge!C40)="","",IF(COUNT(O6)=0,"",IF(O6=1,(((10^K4)*(Discharge!C40^N4))/100),((10^K4)*(Discharge!C40^N4))))))</f>
        <v/>
      </c>
      <c r="D42" s="222" t="str">
        <f>IF(Discharge!D40=0,0,IF(TRIM(Discharge!D40)="","",IF(COUNT(O6)=0,"",IF(O6=1,(((10^K4)*(Discharge!D40^N4))/100),((10^K4)*(Discharge!D40^N4))))))</f>
        <v/>
      </c>
      <c r="E42" s="222" t="str">
        <f>IF(Discharge!E40=0,0,IF(TRIM(Discharge!E40)="","",IF(COUNT(O6)=0,"",IF(O6=1,(((10^K4)*(Discharge!E40^N4))/100),((10^K4)*(Discharge!E40^N4))))))</f>
        <v/>
      </c>
      <c r="F42" s="222" t="str">
        <f>IF(Discharge!F40=0,0,IF(TRIM(Discharge!F40)="","",IF(COUNT(O6)=0,"",IF(O6=1,(((10^K4)*(Discharge!F40^N4))/100),((10^K4)*(Discharge!F40^N4))))))</f>
        <v/>
      </c>
      <c r="G42" s="222" t="str">
        <f>IF(Discharge!G40=0,0,IF(TRIM(Discharge!G40)="","",IF(COUNT(O6)=0,"",IF(O6=1,(((10^K4)*(Discharge!G40^N4))/100),((10^K4)*(Discharge!G40^N4))))))</f>
        <v/>
      </c>
      <c r="H42" s="222" t="str">
        <f>IF(Discharge!H40=0,0,IF(TRIM(Discharge!H40)="","",IF(COUNT(O6)=0,"",IF(O6=1,(((10^K4)*(Discharge!H40^N4))/100),((10^K4)*(Discharge!H40^N4))))))</f>
        <v/>
      </c>
      <c r="I42" s="222" t="str">
        <f>IF(Discharge!I40=0,0,IF(TRIM(Discharge!I40)="","",IF(COUNT(O6)=0,"",IF(O6=1,(((10^K4)*(Discharge!I40^N4))/100),((10^K4)*(Discharge!I40^N4))))))</f>
        <v/>
      </c>
      <c r="J42" s="222" t="str">
        <f>IF(Discharge!J40=0,0,IF(TRIM(Discharge!J40)="","",IF(COUNT(O6)=0,"",IF(O6=1,(((10^K4)*(Discharge!J40^N4))/100),((10^K4)*(Discharge!J40^N4))))))</f>
        <v/>
      </c>
      <c r="K42" s="222" t="str">
        <f>IF(Discharge!K40=0,0,IF(TRIM(Discharge!K40)="","",IF(COUNT(O6)=0,"",IF(O6=1,(((10^K4)*(Discharge!K40^N4))/100),((10^K4)*(Discharge!K40^N4))))))</f>
        <v/>
      </c>
      <c r="L42" s="222" t="str">
        <f>IF(Discharge!L40=0,0,IF(TRIM(Discharge!L40)="","",IF(COUNT(O6)=0,"",IF(O6=1,(((10^K4)*(Discharge!L40^N4))/100),((10^K4)*(Discharge!L40^N4))))))</f>
        <v/>
      </c>
      <c r="M42" s="222"/>
      <c r="N42" s="222" t="str">
        <f>IF(Discharge!N40=0,0,IF(TRIM(Discharge!N40)="","",IF(COUNT(O6)=0,"",IF(O6=1,(((10^K4)*(Discharge!N40^N4))/100),((10^K4)*(Discharge!N40^N4))))))</f>
        <v/>
      </c>
      <c r="O42" s="299" t="str">
        <f>IF(AND(C42="",D42="",E42="",F42="",G42="",H42="",I42="",J42="",K42="",L42="",M42="",N42=""),"",SUM(C42:N42))</f>
        <v/>
      </c>
      <c r="P42" s="300"/>
      <c r="Q42" s="164"/>
    </row>
    <row r="43" spans="2:17">
      <c r="B43" s="178">
        <v>31</v>
      </c>
      <c r="C43" s="222"/>
      <c r="D43" s="222" t="str">
        <f>IF(Discharge!D41=0,0,IF(TRIM(Discharge!D41)="","",IF(COUNT(O6)=0,"",IF(O6=1,(((10^K4)*(Discharge!D41^N4))/100),((10^K4)*(Discharge!D41^N4))))))</f>
        <v/>
      </c>
      <c r="E43" s="222"/>
      <c r="F43" s="222" t="str">
        <f>IF(Discharge!F41=0,0,IF(TRIM(Discharge!F41)="","",IF(COUNT(O6)=0,"",IF(O6=1,(((10^K4)*(Discharge!F41^N4))/100),((10^K4)*(Discharge!F41^N4))))))</f>
        <v/>
      </c>
      <c r="G43" s="222" t="str">
        <f>IF(Discharge!G41=0,0,IF(TRIM(Discharge!G41)="","",IF(COUNT(O6)=0,"",IF(O6=1,(((10^K4)*(Discharge!G41^N4))/100),((10^K4)*(Discharge!G41^N4))))))</f>
        <v/>
      </c>
      <c r="H43" s="222"/>
      <c r="I43" s="222" t="str">
        <f>IF(Discharge!I41=0,0,IF(TRIM(Discharge!I41)="","",IF(COUNT(O6)=0,"",IF(O6=1,(((10^K4)*(Discharge!I41^N4))/100),((10^K4)*(Discharge!I41^N4))))))</f>
        <v/>
      </c>
      <c r="J43" s="222"/>
      <c r="K43" s="222" t="str">
        <f>IF(Discharge!K41=0,0,IF(TRIM(Discharge!K41)="","",IF(COUNT(O6)=0,"",IF(O6=1,(((10^K4)*(Discharge!K41^N4))/100),((10^K4)*(Discharge!K41^N4))))))</f>
        <v/>
      </c>
      <c r="L43" s="222" t="str">
        <f>IF(TRIM(Discharge!L41)="","",IF(COUNT(O6)=0,"",IF(O6=1,(((10^K4)*(Discharge!L41^N4))/100),((10^K4)*(Discharge!L41^N4)))))</f>
        <v/>
      </c>
      <c r="M43" s="222"/>
      <c r="N43" s="265" t="str">
        <f>IF(Discharge!N41=0,0,IF(TRIM(Discharge!N41)="","",IF(COUNT(O6)=0,"",IF(O6=1,(((10^K4)*(Discharge!N41^N4))/100),((10^K4)*(Discharge!N41^N4))))))</f>
        <v/>
      </c>
      <c r="O43" s="299" t="str">
        <f t="shared" si="1"/>
        <v/>
      </c>
      <c r="P43" s="300"/>
      <c r="Q43" s="164"/>
    </row>
    <row r="44" spans="2:17" ht="2.25" customHeight="1">
      <c r="B44" s="190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190"/>
      <c r="Q44" s="164"/>
    </row>
    <row r="45" spans="2:17">
      <c r="B45" s="165" t="s">
        <v>272</v>
      </c>
      <c r="C45" s="222" t="str">
        <f>IF(COUNT(C11:C43)=0,"",SUM(C11:C43))</f>
        <v/>
      </c>
      <c r="D45" s="222" t="str">
        <f t="shared" ref="D45:M45" si="2">IF(COUNT(D11:D43)=0,"",SUM(D11:D43))</f>
        <v/>
      </c>
      <c r="E45" s="222" t="str">
        <f t="shared" si="2"/>
        <v/>
      </c>
      <c r="F45" s="222" t="str">
        <f t="shared" si="2"/>
        <v/>
      </c>
      <c r="G45" s="222" t="str">
        <f t="shared" si="2"/>
        <v/>
      </c>
      <c r="H45" s="222" t="str">
        <f t="shared" si="2"/>
        <v/>
      </c>
      <c r="I45" s="222" t="str">
        <f t="shared" si="2"/>
        <v/>
      </c>
      <c r="J45" s="222" t="str">
        <f t="shared" si="2"/>
        <v/>
      </c>
      <c r="K45" s="222" t="str">
        <f t="shared" si="2"/>
        <v/>
      </c>
      <c r="L45" s="222" t="str">
        <f t="shared" si="2"/>
        <v/>
      </c>
      <c r="M45" s="222" t="str">
        <f t="shared" si="2"/>
        <v/>
      </c>
      <c r="N45" s="222" t="str">
        <f>IF(COUNT(N11:N43)=0,"",SUM(N11:N43))</f>
        <v/>
      </c>
      <c r="O45" s="299" t="str">
        <f>IF(COUNT(C45:N45)=0,"",SUM(C45:N45))</f>
        <v/>
      </c>
      <c r="P45" s="300"/>
      <c r="Q45" s="236" t="s">
        <v>306</v>
      </c>
    </row>
    <row r="46" spans="2:17">
      <c r="B46" s="165" t="s">
        <v>274</v>
      </c>
      <c r="C46" s="222" t="str">
        <f>IF(COUNT(C11:C43)=0,"",AVERAGE(C11:C43))</f>
        <v/>
      </c>
      <c r="D46" s="222" t="str">
        <f t="shared" ref="D46:N46" si="3">IF(COUNT(D11:D43)=0,"",AVERAGE(D11:D43))</f>
        <v/>
      </c>
      <c r="E46" s="222" t="str">
        <f t="shared" si="3"/>
        <v/>
      </c>
      <c r="F46" s="222" t="str">
        <f t="shared" si="3"/>
        <v/>
      </c>
      <c r="G46" s="222" t="str">
        <f t="shared" si="3"/>
        <v/>
      </c>
      <c r="H46" s="222" t="str">
        <f t="shared" si="3"/>
        <v/>
      </c>
      <c r="I46" s="222" t="str">
        <f t="shared" si="3"/>
        <v/>
      </c>
      <c r="J46" s="222" t="str">
        <f t="shared" si="3"/>
        <v/>
      </c>
      <c r="K46" s="222" t="str">
        <f t="shared" si="3"/>
        <v/>
      </c>
      <c r="L46" s="222" t="str">
        <f t="shared" si="3"/>
        <v/>
      </c>
      <c r="M46" s="222" t="str">
        <f t="shared" si="3"/>
        <v/>
      </c>
      <c r="N46" s="222" t="str">
        <f t="shared" si="3"/>
        <v/>
      </c>
      <c r="O46" s="299" t="str">
        <f>IF(COUNT(C46:N46)=0,"",SUM(C46:N46))</f>
        <v/>
      </c>
      <c r="P46" s="300"/>
      <c r="Q46" s="164"/>
    </row>
    <row r="47" spans="2:17">
      <c r="B47" s="165" t="s">
        <v>276</v>
      </c>
      <c r="C47" s="222" t="str">
        <f>IF(COUNT(C11:C43)=0,"",MAX(C11:C43))</f>
        <v/>
      </c>
      <c r="D47" s="222" t="str">
        <f t="shared" ref="D47:N47" si="4">IF(COUNT(D11:D43)=0,"",MAX(D11:D43))</f>
        <v/>
      </c>
      <c r="E47" s="222" t="str">
        <f t="shared" si="4"/>
        <v/>
      </c>
      <c r="F47" s="222" t="str">
        <f t="shared" si="4"/>
        <v/>
      </c>
      <c r="G47" s="222" t="str">
        <f t="shared" si="4"/>
        <v/>
      </c>
      <c r="H47" s="222" t="str">
        <f t="shared" si="4"/>
        <v/>
      </c>
      <c r="I47" s="222" t="str">
        <f t="shared" si="4"/>
        <v/>
      </c>
      <c r="J47" s="222" t="str">
        <f t="shared" si="4"/>
        <v/>
      </c>
      <c r="K47" s="222" t="str">
        <f t="shared" si="4"/>
        <v/>
      </c>
      <c r="L47" s="222" t="str">
        <f t="shared" si="4"/>
        <v/>
      </c>
      <c r="M47" s="222" t="str">
        <f t="shared" si="4"/>
        <v/>
      </c>
      <c r="N47" s="222" t="str">
        <f t="shared" si="4"/>
        <v/>
      </c>
      <c r="O47" s="299" t="str">
        <f>IF(COUNT(C47:N47)=0,"",MAX(C47:N47))</f>
        <v/>
      </c>
      <c r="P47" s="300"/>
      <c r="Q47" s="164"/>
    </row>
    <row r="48" spans="2:17">
      <c r="B48" s="165" t="s">
        <v>277</v>
      </c>
      <c r="C48" s="222" t="str">
        <f>IF(COUNT(C11:C43)=0,"",MIN(C11:C43))</f>
        <v/>
      </c>
      <c r="D48" s="222" t="str">
        <f t="shared" ref="D48:N48" si="5">IF(COUNT(D11:D43)=0,"",MIN(D11:D43))</f>
        <v/>
      </c>
      <c r="E48" s="222" t="str">
        <f t="shared" si="5"/>
        <v/>
      </c>
      <c r="F48" s="222" t="str">
        <f t="shared" si="5"/>
        <v/>
      </c>
      <c r="G48" s="222" t="str">
        <f t="shared" si="5"/>
        <v/>
      </c>
      <c r="H48" s="222" t="str">
        <f t="shared" si="5"/>
        <v/>
      </c>
      <c r="I48" s="222" t="str">
        <f t="shared" si="5"/>
        <v/>
      </c>
      <c r="J48" s="222" t="str">
        <f t="shared" si="5"/>
        <v/>
      </c>
      <c r="K48" s="222" t="str">
        <f t="shared" si="5"/>
        <v/>
      </c>
      <c r="L48" s="222" t="str">
        <f t="shared" si="5"/>
        <v/>
      </c>
      <c r="M48" s="222" t="str">
        <f t="shared" si="5"/>
        <v/>
      </c>
      <c r="N48" s="222" t="str">
        <f t="shared" si="5"/>
        <v/>
      </c>
      <c r="O48" s="299" t="str">
        <f>IF(COUNT(C48:N48)=0,"",MIN(C48:N48))</f>
        <v/>
      </c>
      <c r="P48" s="300"/>
      <c r="Q48" s="164"/>
    </row>
  </sheetData>
  <sheetProtection password="D965" sheet="1" objects="1" scenarios="1"/>
  <mergeCells count="51">
    <mergeCell ref="O40:P40"/>
    <mergeCell ref="O41:P41"/>
    <mergeCell ref="O42:P42"/>
    <mergeCell ref="O48:P48"/>
    <mergeCell ref="O43:P43"/>
    <mergeCell ref="O45:P45"/>
    <mergeCell ref="O46:P46"/>
    <mergeCell ref="O47:P47"/>
    <mergeCell ref="O36:P36"/>
    <mergeCell ref="O37:P37"/>
    <mergeCell ref="O38:P38"/>
    <mergeCell ref="O39:P39"/>
    <mergeCell ref="O32:P32"/>
    <mergeCell ref="O33:P33"/>
    <mergeCell ref="O34:P34"/>
    <mergeCell ref="O35:P35"/>
    <mergeCell ref="O28:P28"/>
    <mergeCell ref="O29:P29"/>
    <mergeCell ref="O30:P30"/>
    <mergeCell ref="O31:P31"/>
    <mergeCell ref="O24:P24"/>
    <mergeCell ref="O25:P25"/>
    <mergeCell ref="O26:P26"/>
    <mergeCell ref="O27:P27"/>
    <mergeCell ref="O9:P9"/>
    <mergeCell ref="O20:P20"/>
    <mergeCell ref="O21:P21"/>
    <mergeCell ref="O22:P22"/>
    <mergeCell ref="O23:P23"/>
    <mergeCell ref="O16:P16"/>
    <mergeCell ref="O17:P17"/>
    <mergeCell ref="O18:P18"/>
    <mergeCell ref="O19:P19"/>
    <mergeCell ref="O12:P12"/>
    <mergeCell ref="O13:P13"/>
    <mergeCell ref="O14:P14"/>
    <mergeCell ref="O15:P15"/>
    <mergeCell ref="O11:P11"/>
    <mergeCell ref="A1:B1"/>
    <mergeCell ref="C1:J1"/>
    <mergeCell ref="M1:N1"/>
    <mergeCell ref="A2:B2"/>
    <mergeCell ref="C2:G2"/>
    <mergeCell ref="K4:L4"/>
    <mergeCell ref="N4:O4"/>
    <mergeCell ref="J5:K5"/>
    <mergeCell ref="B7:O7"/>
    <mergeCell ref="C3:G3"/>
    <mergeCell ref="M3:N3"/>
    <mergeCell ref="C4:G4"/>
    <mergeCell ref="H6:I6"/>
  </mergeCells>
  <phoneticPr fontId="71" type="noConversion"/>
  <pageMargins left="0.19685039370078741" right="0.15748031496062992" top="0.39370078740157483" bottom="0.39370078740157483" header="0.11811023622047245" footer="0.11811023622047245"/>
  <pageSetup scale="95" orientation="landscape" verticalDpi="18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BI390"/>
  <sheetViews>
    <sheetView showGridLines="0" topLeftCell="A28" workbookViewId="0">
      <selection activeCell="K394" sqref="K394"/>
    </sheetView>
  </sheetViews>
  <sheetFormatPr defaultRowHeight="17.100000000000001" customHeight="1"/>
  <cols>
    <col min="1" max="1" width="9.140625" style="164"/>
    <col min="2" max="2" width="7.7109375" style="250" customWidth="1"/>
    <col min="3" max="11" width="9" style="236" customWidth="1"/>
    <col min="12" max="14" width="9" style="164" customWidth="1"/>
    <col min="15" max="15" width="10" style="164" customWidth="1"/>
    <col min="16" max="16" width="9.140625" style="164"/>
    <col min="17" max="25" width="9.140625" style="164" hidden="1" customWidth="1"/>
    <col min="26" max="28" width="9.140625" style="176" hidden="1" customWidth="1"/>
    <col min="29" max="32" width="9.140625" style="164" hidden="1" customWidth="1"/>
    <col min="33" max="33" width="9.140625" style="179" hidden="1" customWidth="1"/>
    <col min="34" max="49" width="9.140625" style="164" hidden="1" customWidth="1"/>
    <col min="50" max="57" width="9.140625" style="176" hidden="1" customWidth="1"/>
    <col min="58" max="61" width="9.140625" style="164" hidden="1" customWidth="1"/>
    <col min="62" max="16384" width="9.140625" style="164"/>
  </cols>
  <sheetData>
    <row r="1" spans="1:59" ht="17.100000000000001" customHeight="1">
      <c r="A1" s="296" t="s">
        <v>264</v>
      </c>
      <c r="B1" s="297"/>
      <c r="C1" s="306" t="str">
        <f>'c-form'!AG4</f>
        <v>Ban Cho Lae,  Mae Taeng, Chiang Mai,P.75</v>
      </c>
      <c r="D1" s="306"/>
      <c r="E1" s="306"/>
      <c r="F1" s="306"/>
      <c r="G1" s="306"/>
      <c r="H1" s="306"/>
      <c r="I1" s="306"/>
      <c r="J1" s="306"/>
      <c r="M1" s="296" t="s">
        <v>316</v>
      </c>
      <c r="N1" s="297"/>
      <c r="O1" s="282"/>
      <c r="Y1" s="164" t="str">
        <f>name</f>
        <v>P.75</v>
      </c>
      <c r="Z1" s="176">
        <f t="shared" ref="Z1:Z64" si="0">IF(TRIM(AG1)="","",IF(AL1="r1",IF(COUNT(AA1)=0,0,AA1),IF(AL1="n",0,IF(COUNT(AB1)=0,0,AB1))))</f>
        <v>8.1250000000004619</v>
      </c>
      <c r="AA1" s="183">
        <f>IF(TRIM(AG1)="","",IF(INDEX(AZ1:AZ51,AC1)=AG1,INDEX(BA1:BA51,AC1),((AG1-INDEX(AZ1:AZ51,AC1))*(INDEX(BA1:BA51,AC1+1)-INDEX(BA1:BA51,AC1)))/(INDEX(AZ1:AZ51,AC1+1)-INDEX(AZ1:AZ51,AC1))+INDEX(BA1:BA51,AC1)))</f>
        <v>8.1250000000004619</v>
      </c>
      <c r="AB1" s="183" t="e">
        <f>IF(TRIM(AG1)="","",IF(INDEX(BD1:BD51,AD1)=AG1,INDEX(BE1:BE51,AD1),((AG1-INDEX(BD1:BD51,AD1))*(INDEX(BE1:BE51,AD1+1)-INDEX(BE1:BE51,AD1)))/(INDEX(BD1:BD51,AD1+1)-INDEX(BD1:BD51,AD1))+INDEX(BE1:BE51,AD1)))</f>
        <v>#N/A</v>
      </c>
      <c r="AC1" s="164">
        <f>MATCH(AG1,AZ1:AZ51,1)</f>
        <v>5</v>
      </c>
      <c r="AD1" s="164" t="e">
        <f>MATCH(AG1,BD1:BD51,1)</f>
        <v>#N/A</v>
      </c>
      <c r="AE1" s="164">
        <v>1</v>
      </c>
      <c r="AF1" s="164">
        <v>1</v>
      </c>
      <c r="AG1" s="179">
        <f>FIXED('HourGH-APR'!AB11)*1</f>
        <v>338.05</v>
      </c>
      <c r="AH1" s="164" t="str">
        <f>IF(AND(AE1=AP5,AE1=AR5,AF1&gt;=AQ5,AF1&lt;=AS5),"r1",IF(AND(AE1&gt;AP5,AE1&lt;AR5),"r1",IF(AND(AE1&gt;AP5,AE1=AR5,AF1&lt;=AS5),"r1",IF(AND(AE1=AP5,AE1&lt;AR5,AF1&gt;=AQ5),"r1","n"))))</f>
        <v>r1</v>
      </c>
      <c r="AI1" s="164" t="str">
        <f>IF(AH1&lt;&gt;"n",AH1,IF(AND(AE1=AT5,AE1=AV5,AF1&gt;=AU5,AF1&lt;=AW5),"r2",IF(AND(AE1&gt;AT5,AE1&lt;AV5),"r2",IF(AND(AE1&gt;AT5,AE1=AV5,AF1&lt;=AW5),"r2",IF(AND(AE1=AT5,AE1&lt;AV5,AF1&gt;=AU5),"r2","n")))))</f>
        <v>r1</v>
      </c>
      <c r="AJ1" s="164" t="str">
        <f>IF(AI1&lt;&gt;"n",AI1,IF(AND(AE1=AP6,AE1=AR6,AF1&gt;=AQ6,AF1&lt;=AS6),"r1",IF(AND(AE1&gt;AP6,AE1&lt;AR6),"r1",IF(AND(AE1&gt;AP6,AE1=AR6,AF1&lt;=AS6),"r1",IF(AND(AE1=AP6,AE1&lt;AR6,AF1&gt;=AQ6),"r1","n")))))</f>
        <v>r1</v>
      </c>
      <c r="AK1" s="164" t="str">
        <f>IF(AJ1&lt;&gt;"n",AJ1,IF(AND(AE1=AT6,AE1=AV6,AF1&gt;=AU6,AF1&lt;=AW6),"r2",IF(AND(AE1&gt;AT6,AE1&lt;AV6),"r2",IF(AND(AE1&gt;AT6,AE1=AV6,AF1&lt;=AW6),"r2",IF(AND(AE1=AT6,AE1&lt;AV6,AF1&gt;=AU6),"r2","n")))))</f>
        <v>r1</v>
      </c>
      <c r="AL1" s="164" t="str">
        <f>IF(AK1&lt;&gt;"n",AK1,IF(AND(AE1=AP7,AE1=AR7,AF1&gt;=AQ7,AF1&lt;=AS7),"r1",IF(AND(AE1&gt;AP7,AE1&lt;AR7),"r1",IF(AND(AE1&gt;AP7,AE1=AR7,AF1&lt;=AS7),"r1",IF(AND(AE1=AP7,AE1&lt;AR7,AF1&gt;=AQ7),"r1","n")))))</f>
        <v>r1</v>
      </c>
      <c r="AP1" s="164">
        <f>IF('c-form'!N18="","",'c-form'!N18)</f>
        <v>101</v>
      </c>
      <c r="AR1" s="164">
        <f>IF('c-form'!P18="","",'c-form'!P18)</f>
        <v>3112</v>
      </c>
      <c r="AT1" s="164" t="str">
        <f>IF('c-form'!Q18="","",'c-form'!Q18)</f>
        <v/>
      </c>
      <c r="AV1" s="164" t="str">
        <f>IF('c-form'!R18="","",'c-form'!R18)</f>
        <v/>
      </c>
      <c r="AX1" s="176" t="s">
        <v>249</v>
      </c>
      <c r="AY1" s="176" t="s">
        <v>248</v>
      </c>
      <c r="AZ1" s="176">
        <f>IF(OR(AX2*1&lt;&gt;0,AY2*1&lt;&gt;0),AX2,0)</f>
        <v>337.6</v>
      </c>
      <c r="BA1" s="176">
        <f>IF(OR(AX2*1&lt;&gt;0,AY2*1&lt;&gt;0),AY2,0)</f>
        <v>0</v>
      </c>
      <c r="BB1" s="176" t="s">
        <v>250</v>
      </c>
      <c r="BC1" s="176" t="s">
        <v>251</v>
      </c>
      <c r="BD1" s="176" t="str">
        <f>IF(OR(BB2*1&lt;&gt;0,BC2*1&lt;&gt;0),BB2,"")</f>
        <v/>
      </c>
      <c r="BE1" s="176" t="str">
        <f t="shared" ref="BE1:BE32" si="1">IF(OR(BB2*1&lt;&gt;0,BC2*1&lt;&gt;0),BC2,"")</f>
        <v/>
      </c>
    </row>
    <row r="2" spans="1:59" ht="17.100000000000001" customHeight="1">
      <c r="A2" s="296" t="s">
        <v>265</v>
      </c>
      <c r="B2" s="297"/>
      <c r="C2" s="295" t="str">
        <f>'c-form'!AG3</f>
        <v>Nam  Ping</v>
      </c>
      <c r="D2" s="295"/>
      <c r="E2" s="295"/>
      <c r="F2" s="295"/>
      <c r="G2" s="295"/>
      <c r="H2" s="246"/>
      <c r="I2" s="246"/>
      <c r="J2" s="246"/>
      <c r="M2" s="165" t="s">
        <v>94</v>
      </c>
      <c r="N2" s="235"/>
      <c r="Y2" s="164">
        <f>FIND(".",Y1)</f>
        <v>2</v>
      </c>
      <c r="Z2" s="176">
        <f t="shared" si="0"/>
        <v>18.40000000000051</v>
      </c>
      <c r="AA2" s="247">
        <f>IF(TRIM(AG2)="","",IF(INDEX(AZ1:AZ51,AC2)=AG2,INDEX(BA1:BA51,AC2),((AG2-INDEX(AZ1:AZ51,AC2))*(INDEX(BA1:BA51,AC2+1)-INDEX(BA1:BA51,AC2)))/(INDEX(AZ1:AZ51,AC2+1)-INDEX(AZ1:AZ51,AC2))+INDEX(BA1:BA51,AC2)))</f>
        <v>18.40000000000051</v>
      </c>
      <c r="AB2" s="247" t="e">
        <f>IF(TRIM(AG2)="","",IF(INDEX(BD1:BD51,AD2)=AG2,INDEX(BE1:BE51,AD2),((AG2-INDEX(BD1:BD51,AD2))*(INDEX(BE1:BE51,AD2+1)-INDEX(BE1:BE51,AD2)))/(INDEX(BD1:BD51,AD2+1)-INDEX(BD1:BD51,AD2))+INDEX(BE1:BE51,AD2)))</f>
        <v>#N/A</v>
      </c>
      <c r="AC2" s="164">
        <f>MATCH(AG2,AZ1:AZ51,1)</f>
        <v>6</v>
      </c>
      <c r="AD2" s="164" t="e">
        <f>MATCH(AG2,BD1:BD51,1)</f>
        <v>#N/A</v>
      </c>
      <c r="AE2" s="164">
        <v>1</v>
      </c>
      <c r="AF2" s="164">
        <v>2</v>
      </c>
      <c r="AG2" s="179">
        <f>FIXED('HourGH-APR'!AB12)*1</f>
        <v>338.32</v>
      </c>
      <c r="AH2" s="164" t="str">
        <f>IF(AND(AE2=AP5,AE2=AR5,AF2&gt;=AQ5,AF2&lt;=AS5),"r1",IF(AND(AE2&gt;AP5,AE2&lt;AR5),"r1",IF(AND(AE2&gt;AP5,AE2=AR5,AF2&lt;=AS5),"r1",IF(AND(AE2=AP5,AE2&lt;AR5,AF2&gt;=AQ5),"r1","n"))))</f>
        <v>r1</v>
      </c>
      <c r="AI2" s="164" t="str">
        <f>IF(AH2&lt;&gt;"n",AH2,IF(AND(AE2=AT5,AE2=AV5,AF2&gt;=AU5,AF2&lt;=AW5),"r2",IF(AND(AE2&gt;AT5,AE2&lt;AV5),"r2",IF(AND(AE2&gt;AT5,AE2=AV5,AF2&lt;=AW5),"r2",IF(AND(AE2=AT5,AE2&lt;AV5,AF2&gt;=AU5),"r2","n")))))</f>
        <v>r1</v>
      </c>
      <c r="AJ2" s="164" t="str">
        <f>IF(AI2&lt;&gt;"n",AI2,IF(AND(AE2=AP6,AE2=AR6,AF2&gt;=AQ6,AF2&lt;=AS6),"r1",IF(AND(AE2&gt;AP6,AE2&lt;AR6),"r1",IF(AND(AE2&gt;AP6,AE2=AR6,AF2&lt;=AS6),"r1",IF(AND(AE2=AP6,AE2&lt;AR6,AF2&gt;=AQ6),"r1","n")))))</f>
        <v>r1</v>
      </c>
      <c r="AK2" s="164" t="str">
        <f>IF(AJ2&lt;&gt;"n",AJ2,IF(AND(AE2=AT6,AE2=AV6,AF2&gt;=AU6,AF2&lt;=AW6),"r2",IF(AND(AE2&gt;AT6,AE2&lt;AV6),"r2",IF(AND(AE2&gt;AT6,AE2=AV6,AF2&lt;=AW6),"r2",IF(AND(AE2=AT6,AE2&lt;AV6,AF2&gt;=AU6),"r2","n")))))</f>
        <v>r1</v>
      </c>
      <c r="AL2" s="164" t="str">
        <f>IF(AK2&lt;&gt;"n",AK2,IF(AND(AE2=AP7,AE2=AR7,AF2&gt;=AQ7,AF2&lt;=AS7),"r1",IF(AND(AE2&gt;AP7,AE2&lt;AR7),"r1",IF(AND(AE2&gt;AP7,AE2=AR7,AF2&lt;=AS7),"r1",IF(AND(AE2=AP7,AE2&lt;AR7,AF2&gt;=AQ7),"r1","n")))))</f>
        <v>r1</v>
      </c>
      <c r="AP2" s="164" t="str">
        <f>IF('c-form'!S18="","",'c-form'!S18)</f>
        <v/>
      </c>
      <c r="AR2" s="164" t="str">
        <f>IF('c-form'!V18="","",'c-form'!V18)</f>
        <v/>
      </c>
      <c r="AT2" s="164" t="str">
        <f>IF('c-form'!W18="","",'c-form'!W18)</f>
        <v/>
      </c>
      <c r="AV2" s="164" t="str">
        <f>IF('c-form'!Y18="","",'c-form'!Y18)</f>
        <v/>
      </c>
      <c r="AX2" s="176">
        <f>'c-form'!D21</f>
        <v>337.6</v>
      </c>
      <c r="AY2" s="176">
        <f>'c-form'!F21</f>
        <v>0</v>
      </c>
      <c r="AZ2" s="176">
        <f>IF(OR(AX3*1&lt;&gt;0,AY3*1&lt;&gt;0),AX3,0)</f>
        <v>337.7</v>
      </c>
      <c r="BA2" s="176">
        <f>IF(OR(AX3*1&lt;&gt;0,AY3*1&lt;&gt;0),AY3,0)</f>
        <v>0.5</v>
      </c>
      <c r="BB2" s="176">
        <f>'c-form'!D63</f>
        <v>0</v>
      </c>
      <c r="BC2" s="176">
        <f>'c-form'!F63</f>
        <v>0</v>
      </c>
      <c r="BD2" s="176" t="str">
        <f t="shared" ref="BD2:BD51" si="2">IF(OR(BB3*1&lt;&gt;0,BC3*1&lt;&gt;0),BB3,"")</f>
        <v/>
      </c>
      <c r="BE2" s="176" t="str">
        <f t="shared" si="1"/>
        <v/>
      </c>
    </row>
    <row r="3" spans="1:59" ht="17.100000000000001" customHeight="1">
      <c r="A3" s="165" t="s">
        <v>270</v>
      </c>
      <c r="B3" s="165"/>
      <c r="C3" s="295" t="str">
        <f>'c-form'!AH3</f>
        <v>Ping</v>
      </c>
      <c r="D3" s="295"/>
      <c r="E3" s="295"/>
      <c r="F3" s="295"/>
      <c r="G3" s="295"/>
      <c r="H3" s="246"/>
      <c r="I3" s="246"/>
      <c r="J3" s="246"/>
      <c r="M3" s="296" t="s">
        <v>268</v>
      </c>
      <c r="N3" s="296"/>
      <c r="Y3" s="164" t="str">
        <f>LEFT(Y1,Y2-1) &amp; RIGHT(Y1,Y2)</f>
        <v>P75</v>
      </c>
      <c r="Z3" s="176">
        <f t="shared" si="0"/>
        <v>13.449999999999616</v>
      </c>
      <c r="AA3" s="176">
        <f>IF(TRIM(AG3)="","",IF(INDEX(AZ1:AZ51,AC3)=AG3,INDEX(BA1:BA51,AC3),((AG3-INDEX(AZ1:AZ51,AC3))*(INDEX(BA1:BA51,AC3+1)-INDEX(BA1:BA51,AC3)))/(INDEX(AZ1:AZ51,AC3+1)-INDEX(AZ1:AZ51,AC3))+INDEX(BA1:BA51,AC3)))</f>
        <v>13.449999999999616</v>
      </c>
      <c r="AB3" s="176" t="e">
        <f>IF(TRIM(AG3)="","",IF(INDEX(BD1:BD51,AD3)=AG3,INDEX(BE1:BE51,AD3),((AG3-INDEX(BD1:BD51,AD3))*(INDEX(BE1:BE51,AD3+1)-INDEX(BE1:BE51,AD3)))/(INDEX(BD1:BD51,AD3+1)-INDEX(BD1:BD51,AD3))+INDEX(BE1:BE51,AD3)))</f>
        <v>#N/A</v>
      </c>
      <c r="AC3" s="164">
        <f>MATCH(AG3,AZ1:AZ51,1)</f>
        <v>6</v>
      </c>
      <c r="AD3" s="164" t="e">
        <f>MATCH(AG3,BD1:BD51,1)</f>
        <v>#N/A</v>
      </c>
      <c r="AE3" s="164">
        <v>1</v>
      </c>
      <c r="AF3" s="164">
        <v>3</v>
      </c>
      <c r="AG3" s="179">
        <f>FIXED('HourGH-APR'!AB13)*1</f>
        <v>338.21</v>
      </c>
      <c r="AH3" s="164" t="str">
        <f>IF(AND(AE3=AP5,AE3=AR5,AF3&gt;=AQ5,AF3&lt;=AS5),"r1",IF(AND(AE3&gt;AP5,AE3&lt;AR5),"r1",IF(AND(AE3&gt;AP5,AE3=AR5,AF3&lt;=AS5),"r1",IF(AND(AE3=AP5,AE3&lt;AR5,AF3&gt;=AQ5),"r1","n"))))</f>
        <v>r1</v>
      </c>
      <c r="AI3" s="164" t="str">
        <f>IF(AH3&lt;&gt;"n",AH3,IF(AND(AE3=AT5,AE3=AV5,AF3&gt;=AU5,AF3&lt;=AW5),"r2",IF(AND(AE3&gt;AT5,AE3&lt;AV5),"r2",IF(AND(AE3&gt;AT5,AE3=AV5,AF3&lt;=AW5),"r2",IF(AND(AE3=AT5,AE3&lt;AV5,AF3&gt;=AU5),"r2","n")))))</f>
        <v>r1</v>
      </c>
      <c r="AJ3" s="164" t="str">
        <f>IF(AI3&lt;&gt;"n",AI3,IF(AND(AE3=AP6,AE3=AR6,AF3&gt;=AQ6,AF3&lt;=AS6),"r1",IF(AND(AE3&gt;AP6,AE3&lt;AR6),"r1",IF(AND(AE3&gt;AP6,AE3=AR6,AF3&lt;=AS6),"r1",IF(AND(AE3=AP6,AE3&lt;AR6,AF3&gt;=AQ6),"r1","n")))))</f>
        <v>r1</v>
      </c>
      <c r="AK3" s="164" t="str">
        <f>IF(AJ3&lt;&gt;"n",AJ3,IF(AND(AE3=AT6,AE3=AV6,AF3&gt;=AU6,AF3&lt;=AW6),"r2",IF(AND(AE3&gt;AT6,AE3&lt;AV6),"r2",IF(AND(AE3&gt;AT6,AE3=AV6,AF3&lt;=AW6),"r2",IF(AND(AE3=AT6,AE3&lt;AV6,AF3&gt;=AU6),"r2","n")))))</f>
        <v>r1</v>
      </c>
      <c r="AL3" s="164" t="str">
        <f>IF(AK3&lt;&gt;"n",AK3,IF(AND(AE3=AP7,AE3=AR7,AF3&gt;=AQ7,AF3&lt;=AS7),"r1",IF(AND(AE3&gt;AP7,AE3&lt;AR7),"r1",IF(AND(AE3&gt;AP7,AE3=AR7,AF3&lt;=AS7),"r1",IF(AND(AE3=AP7,AE3&lt;AR7,AF3&gt;=AQ7),"r1","n")))))</f>
        <v>r1</v>
      </c>
      <c r="AP3" s="164" t="str">
        <f>IF('c-form'!AA18="","",'c-form'!AA18)</f>
        <v/>
      </c>
      <c r="AR3" s="164" t="str">
        <f>IF('c-form'!AB18="","",'c-form'!AB18)</f>
        <v/>
      </c>
      <c r="AT3" s="164" t="str">
        <f>IF('c-form'!AA18="","",'c-form'!AA18)</f>
        <v/>
      </c>
      <c r="AV3" s="164" t="str">
        <f>IF('c-form'!AB18="","",'c-form'!AB18)</f>
        <v/>
      </c>
      <c r="AX3" s="176">
        <f>'c-form'!H21</f>
        <v>337.7</v>
      </c>
      <c r="AY3" s="176">
        <f>'c-form'!J21</f>
        <v>0.5</v>
      </c>
      <c r="AZ3" s="176">
        <f t="shared" ref="AZ3:AZ51" si="3">IF(OR(AX4*1&lt;&gt;0,AY4*1&lt;&gt;0),AX4,"")</f>
        <v>337.8</v>
      </c>
      <c r="BA3" s="176">
        <f t="shared" ref="BA3:BA50" si="4">IF(OR(AX4*1&lt;&gt;0,AY4*1&lt;&gt;0),AY4,"")</f>
        <v>2</v>
      </c>
      <c r="BB3" s="176">
        <f>'c-form'!H63</f>
        <v>0</v>
      </c>
      <c r="BC3" s="176">
        <f>'c-form'!J63</f>
        <v>0</v>
      </c>
      <c r="BD3" s="176" t="str">
        <f t="shared" si="2"/>
        <v/>
      </c>
      <c r="BE3" s="176" t="str">
        <f t="shared" si="1"/>
        <v/>
      </c>
    </row>
    <row r="4" spans="1:59" ht="17.100000000000001" customHeight="1">
      <c r="A4" s="165" t="s">
        <v>271</v>
      </c>
      <c r="B4" s="248"/>
      <c r="C4" s="298" t="str">
        <f>'c-form'!AI3</f>
        <v>Ping</v>
      </c>
      <c r="D4" s="298"/>
      <c r="E4" s="298"/>
      <c r="F4" s="298"/>
      <c r="G4" s="298"/>
      <c r="H4" s="296" t="str">
        <f>IF(TRIM('c-form'!AJ3)&lt;&gt;"","Water  Year   " &amp; 'c-form'!AJ3,"Water  Year   ")</f>
        <v>Water  Year   2013</v>
      </c>
      <c r="I4" s="296"/>
      <c r="J4" s="249"/>
      <c r="M4" s="296" t="str">
        <f>"Rating  Curve" &amp;"  " &amp; BG4</f>
        <v>Rating  Curve  HC.1/2424</v>
      </c>
      <c r="N4" s="270"/>
      <c r="O4" s="282"/>
      <c r="P4" s="254"/>
      <c r="Y4" s="164">
        <f>IF(TRIM('c-form'!C7)="","",'c-form'!C7)</f>
        <v>2013</v>
      </c>
      <c r="Z4" s="176">
        <f t="shared" si="0"/>
        <v>11.374999999999538</v>
      </c>
      <c r="AA4" s="176">
        <f>IF(TRIM(AG4)="","",IF(INDEX(AZ1:AZ51,AC4)=AG4,INDEX(BA1:BA51,AC4),((AG4-INDEX(AZ1:AZ51,AC4))*(INDEX(BA1:BA51,AC4+1)-INDEX(BA1:BA51,AC4)))/(INDEX(AZ1:AZ51,AC4+1)-INDEX(AZ1:AZ51,AC4))+INDEX(BA1:BA51,AC4)))</f>
        <v>11.374999999999538</v>
      </c>
      <c r="AB4" s="176" t="e">
        <f>IF(TRIM(AG4)="","",IF(INDEX(BD1:BD51,AD4)=AG4,INDEX(BE1:BE51,AD4),((AG4-INDEX(BD1:BD51,AD4))*(INDEX(BE1:BE51,AD4+1)-INDEX(BE1:BE51,AD4)))/(INDEX(BD1:BD51,AD4+1)-INDEX(BD1:BD51,AD4))+INDEX(BE1:BE51,AD4)))</f>
        <v>#N/A</v>
      </c>
      <c r="AC4" s="164">
        <f>MATCH(AG4,AZ1:AZ51,1)</f>
        <v>5</v>
      </c>
      <c r="AD4" s="164" t="e">
        <f>MATCH(AG4,BD1:BD51,1)</f>
        <v>#N/A</v>
      </c>
      <c r="AE4" s="164">
        <v>1</v>
      </c>
      <c r="AF4" s="164">
        <v>4</v>
      </c>
      <c r="AG4" s="179">
        <f>FIXED('HourGH-APR'!AB14)*1</f>
        <v>338.15</v>
      </c>
      <c r="AH4" s="164" t="str">
        <f>IF(AND(AE4=AP5,AE4=AR5,AF4&gt;=AQ5,AF4&lt;=AS5),"r1",IF(AND(AE4&gt;AP5,AE4&lt;AR5),"r1",IF(AND(AE4&gt;AP5,AE4=AR5,AF4&lt;=AS5),"r1",IF(AND(AE4=AP5,AE4&lt;AR5,AF4&gt;=AQ5),"r1","n"))))</f>
        <v>r1</v>
      </c>
      <c r="AI4" s="164" t="str">
        <f>IF(AH4&lt;&gt;"n",AH4,IF(AND(AE4=AT5,AE4=AV5,AF4&gt;=AU5,AF4&lt;=AW5),"r2",IF(AND(AE4&gt;AT5,AE4&lt;AV5),"r2",IF(AND(AE4&gt;AT5,AE4=AV5,AF4&lt;=AW5),"r2",IF(AND(AE4=AT5,AE4&lt;AV5,AF4&gt;=AU5),"r2","n")))))</f>
        <v>r1</v>
      </c>
      <c r="AJ4" s="164" t="str">
        <f>IF(AI4&lt;&gt;"n",AI4,IF(AND(AE4=AP6,AE4=AR6,AF4&gt;=AQ6,AF4&lt;=AS6),"r1",IF(AND(AE4&gt;AP6,AE4&lt;AR6),"r1",IF(AND(AE4&gt;AP6,AE4=AR6,AF4&lt;=AS6),"r1",IF(AND(AE4=AP6,AE4&lt;AR6,AF4&gt;=AQ6),"r1","n")))))</f>
        <v>r1</v>
      </c>
      <c r="AK4" s="164" t="str">
        <f>IF(AJ4&lt;&gt;"n",AJ4,IF(AND(AE4=AT6,AE4=AV6,AF4&gt;=AU6,AF4&lt;=AW6),"r2",IF(AND(AE4&gt;AT6,AE4&lt;AV6),"r2",IF(AND(AE4&gt;AT6,AE4=AV6,AF4&lt;=AW6),"r2",IF(AND(AE4=AT6,AE4&lt;AV6,AF4&gt;=AU6),"r2","n")))))</f>
        <v>r1</v>
      </c>
      <c r="AL4" s="164" t="str">
        <f>IF(AK4&lt;&gt;"n",AK4,IF(AND(AE4=AP7,AE4=AR7,AF4&gt;=AQ7,AF4&lt;=AS7),"r1",IF(AND(AE4&gt;AP7,AE4&lt;AR7),"r1",IF(AND(AE4&gt;AP7,AE4=AR7,AF4&lt;=AS7),"r1",IF(AND(AE4=AP7,AE4&lt;AR7,AF4&gt;=AQ7),"r1","n")))))</f>
        <v>r1</v>
      </c>
      <c r="AV4" s="164" t="str">
        <f>IF('c-form'!Y60="","",'c-form'!Y60)</f>
        <v/>
      </c>
      <c r="AX4" s="176">
        <f>'c-form'!M21</f>
        <v>337.8</v>
      </c>
      <c r="AY4" s="176">
        <f>'c-form'!P21</f>
        <v>2</v>
      </c>
      <c r="AZ4" s="176">
        <f t="shared" si="3"/>
        <v>337.9</v>
      </c>
      <c r="BA4" s="176">
        <f t="shared" si="4"/>
        <v>4</v>
      </c>
      <c r="BB4" s="176">
        <f>'c-form'!M63</f>
        <v>0</v>
      </c>
      <c r="BC4" s="176">
        <f>'c-form'!P63</f>
        <v>0</v>
      </c>
      <c r="BD4" s="176" t="str">
        <f t="shared" si="2"/>
        <v/>
      </c>
      <c r="BE4" s="176" t="str">
        <f t="shared" si="1"/>
        <v/>
      </c>
      <c r="BG4" s="164" t="str">
        <f>IF(TRIM('c-form'!C18)="","",TRIM('c-form'!C18))</f>
        <v>HC.1/2424</v>
      </c>
    </row>
    <row r="5" spans="1:59" ht="16.5" customHeight="1">
      <c r="B5" s="293" t="str">
        <f>IF(TRIM('c-form'!AJ3)&lt;&gt;"","Discharge,  in  Cubic Meter per Second, Water Year April 1, "&amp;'c-form'!AJ3&amp;" to March 31,  "&amp;'c-form'!AJ3+1,"Discharge,  in  Cubic Meter per Second, Water Year April 1,         to March 31,  ")</f>
        <v>Discharge,  in  Cubic Meter per Second, Water Year April 1, 2013 to March 31,  2014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Z5" s="176">
        <f t="shared" si="0"/>
        <v>12.350000000000554</v>
      </c>
      <c r="AA5" s="176">
        <f>IF(TRIM(AG5)="","",IF(INDEX(AZ1:AZ51,AC5)=AG5,INDEX(BA1:BA51,AC5),((AG5-INDEX(AZ1:AZ51,AC5))*(INDEX(BA1:BA51,AC5+1)-INDEX(BA1:BA51,AC5)))/(INDEX(AZ1:AZ51,AC5+1)-INDEX(AZ1:AZ51,AC5))+INDEX(BA1:BA51,AC5)))</f>
        <v>12.350000000000554</v>
      </c>
      <c r="AB5" s="176" t="e">
        <f>IF(TRIM(AG5)="","",IF(INDEX(BD1:BD51,AD5)=AG5,INDEX(BE1:BE51,AD5),((AG5-INDEX(BD1:BD51,AD5))*(INDEX(BE1:BE51,AD5+1)-INDEX(BE1:BE51,AD5)))/(INDEX(BD1:BD51,AD5+1)-INDEX(BD1:BD51,AD5))+INDEX(BE1:BE51,AD5)))</f>
        <v>#N/A</v>
      </c>
      <c r="AC5" s="164">
        <f>MATCH(AG5,AZ1:AZ51,1)</f>
        <v>5</v>
      </c>
      <c r="AD5" s="164" t="e">
        <f>MATCH(AG5,BD1:BD51,1)</f>
        <v>#N/A</v>
      </c>
      <c r="AE5" s="164">
        <v>1</v>
      </c>
      <c r="AF5" s="164">
        <v>5</v>
      </c>
      <c r="AG5" s="179">
        <f>FIXED('HourGH-APR'!AB15)*1</f>
        <v>338.18</v>
      </c>
      <c r="AH5" s="164" t="str">
        <f>IF(AND(AE5=AP5,AE5=AR5,AF5&gt;=AQ5,AF5&lt;=AS5),"r1",IF(AND(AE5&gt;AP5,AE5&lt;AR5),"r1",IF(AND(AE5&gt;AP5,AE5=AR5,AF5&lt;=AS5),"r1",IF(AND(AE5=AP5,AE5&lt;AR5,AF5&gt;=AQ5),"r1","n"))))</f>
        <v>r1</v>
      </c>
      <c r="AI5" s="164" t="str">
        <f>IF(AH5&lt;&gt;"n",AH5,IF(AND(AE5=AT5,AE5=AV5,AF5&gt;=AU5,AF5&lt;=AW5),"r2",IF(AND(AE5&gt;AT5,AE5&lt;AV5),"r2",IF(AND(AE5&gt;AT5,AE5=AV5,AF5&lt;=AW5),"r2",IF(AND(AE5=AT5,AE5&lt;AV5,AF5&gt;=AU5),"r2","n")))))</f>
        <v>r1</v>
      </c>
      <c r="AJ5" s="164" t="str">
        <f>IF(AI5&lt;&gt;"n",AI5,IF(AND(AE5=AP6,AE5=AR6,AF5&gt;=AQ6,AF5&lt;=AS6),"r1",IF(AND(AE5&gt;AP6,AE5&lt;AR6),"r1",IF(AND(AE5&gt;AP6,AE5=AR6,AF5&lt;=AS6),"r1",IF(AND(AE5=AP6,AE5&lt;AR6,AF5&gt;=AQ6),"r1","n")))))</f>
        <v>r1</v>
      </c>
      <c r="AK5" s="164" t="str">
        <f>IF(AJ5&lt;&gt;"n",AJ5,IF(AND(AE5=AT6,AE5=AV6,AF5&gt;=AU6,AF5&lt;=AW6),"r2",IF(AND(AE5&gt;AT6,AE5&lt;AV6),"r2",IF(AND(AE5&gt;AT6,AE5=AV6,AF5&lt;=AW6),"r2",IF(AND(AE5=AT6,AE5&lt;AV6,AF5&gt;=AU6),"r2","n")))))</f>
        <v>r1</v>
      </c>
      <c r="AL5" s="164" t="str">
        <f>IF(AK5&lt;&gt;"n",AK5,IF(AND(AE5=AP7,AE5=AR7,AF5&gt;=AQ7,AF5&lt;=AS7),"r1",IF(AND(AE5&gt;AP7,AE5&lt;AR7),"r1",IF(AND(AE5&gt;AP7,AE5=AR7,AF5&lt;=AS7),"r1",IF(AND(AE5=AP7,AE5&lt;AR7,AF5&gt;=AQ7),"r1","n")))))</f>
        <v>r1</v>
      </c>
      <c r="AP5" s="164">
        <f>IF(AP1="","",RIGHT(AP1,2)*1)</f>
        <v>1</v>
      </c>
      <c r="AQ5" s="164">
        <f>IF(AP1="","",LEFT(AP1,LEN(AP1)-2)*1)</f>
        <v>1</v>
      </c>
      <c r="AR5" s="164">
        <f>IF(AR1="","",RIGHT(AR1,2)*1)</f>
        <v>12</v>
      </c>
      <c r="AS5" s="164">
        <f>IF(AR1="","",LEFT(AR1,LEN(AR1)-2)*1)</f>
        <v>31</v>
      </c>
      <c r="AT5" s="164" t="str">
        <f>IF(AT1="","",RIGHT(AT1,2)*1)</f>
        <v/>
      </c>
      <c r="AU5" s="164" t="str">
        <f>IF(AT1="","",LEFT(AT1,LEN(AT1)-2)*1)</f>
        <v/>
      </c>
      <c r="AV5" s="164" t="str">
        <f>IF(AV1="","",RIGHT(AV1,2)*1)</f>
        <v/>
      </c>
      <c r="AW5" s="164" t="str">
        <f>IF(AV1="","",LEFT(AV1,LEN(AV1)-2)*1)</f>
        <v/>
      </c>
      <c r="AX5" s="176">
        <f>'c-form'!R21</f>
        <v>337.9</v>
      </c>
      <c r="AY5" s="176">
        <f>'c-form'!T21</f>
        <v>4</v>
      </c>
      <c r="AZ5" s="176">
        <f t="shared" si="3"/>
        <v>338</v>
      </c>
      <c r="BA5" s="176">
        <f t="shared" si="4"/>
        <v>6.5</v>
      </c>
      <c r="BB5" s="176">
        <f>'c-form'!R63</f>
        <v>0</v>
      </c>
      <c r="BC5" s="176">
        <f>'c-form'!T63</f>
        <v>0</v>
      </c>
      <c r="BD5" s="176" t="str">
        <f t="shared" si="2"/>
        <v/>
      </c>
      <c r="BE5" s="176" t="str">
        <f t="shared" si="1"/>
        <v/>
      </c>
    </row>
    <row r="6" spans="1:59" ht="16.5" customHeight="1">
      <c r="Z6" s="176">
        <f t="shared" si="0"/>
        <v>13</v>
      </c>
      <c r="AA6" s="176">
        <f>IF(TRIM(AG6)="","",IF(INDEX(AZ1:AZ51,AC6)=AG6,INDEX(BA1:BA51,AC6),((AG6-INDEX(AZ1:AZ51,AC6))*(INDEX(BA1:BA51,AC6+1)-INDEX(BA1:BA51,AC6)))/(INDEX(AZ1:AZ51,AC6+1)-INDEX(AZ1:AZ51,AC6))+INDEX(BA1:BA51,AC6)))</f>
        <v>13</v>
      </c>
      <c r="AB6" s="176" t="e">
        <f>IF(TRIM(AG6)="","",IF(INDEX(BD1:BD51,AD6)=AG6,INDEX(BE1:BE51,AD6),((AG6-INDEX(BD1:BD51,AD6))*(INDEX(BE1:BE51,AD6+1)-INDEX(BE1:BE51,AD6)))/(INDEX(BD1:BD51,AD6+1)-INDEX(BD1:BD51,AD6))+INDEX(BE1:BE51,AD6)))</f>
        <v>#N/A</v>
      </c>
      <c r="AC6" s="164">
        <f>MATCH(AG6,AZ1:AZ51,1)</f>
        <v>6</v>
      </c>
      <c r="AD6" s="164" t="e">
        <f>MATCH(AG6,BD1:BD51,1)</f>
        <v>#N/A</v>
      </c>
      <c r="AE6" s="164">
        <v>1</v>
      </c>
      <c r="AF6" s="164">
        <v>6</v>
      </c>
      <c r="AG6" s="179">
        <f>FIXED('HourGH-APR'!AB16)*1</f>
        <v>338.2</v>
      </c>
      <c r="AH6" s="164" t="str">
        <f>IF(AND(AE6=AP5,AE6=AR5,AF6&gt;=AQ5,AF6&lt;=AS5),"r1",IF(AND(AE6&gt;AP5,AE6&lt;AR5),"r1",IF(AND(AE6&gt;AP5,AE6=AR5,AF6&lt;=AS5),"r1",IF(AND(AE6=AP5,AE6&lt;AR5,AF6&gt;=AQ5),"r1","n"))))</f>
        <v>r1</v>
      </c>
      <c r="AI6" s="164" t="str">
        <f>IF(AH6&lt;&gt;"n",AH6,IF(AND(AE6=AT5,AE6=AV5,AF6&gt;=AU5,AF6&lt;=AW5),"r2",IF(AND(AE6&gt;AT5,AE6&lt;AV5),"r2",IF(AND(AE6&gt;AT5,AE6=AV5,AF6&lt;=AW5),"r2",IF(AND(AE6=AT5,AE6&lt;AV5,AF6&gt;=AU5),"r2","n")))))</f>
        <v>r1</v>
      </c>
      <c r="AJ6" s="164" t="str">
        <f>IF(AI6&lt;&gt;"n",AI6,IF(AND(AE6=AP6,AE6=AR6,AF6&gt;=AQ6,AF6&lt;=AS6),"r1",IF(AND(AE6&gt;AP6,AE6&lt;AR6),"r1",IF(AND(AE6&gt;AP6,AE6=AR6,AF6&lt;=AS6),"r1",IF(AND(AE6=AP6,AE6&lt;AR6,AF6&gt;=AQ6),"r1","n")))))</f>
        <v>r1</v>
      </c>
      <c r="AK6" s="164" t="str">
        <f>IF(AJ6&lt;&gt;"n",AJ6,IF(AND(AE6=AT6,AE6=AV6,AF6&gt;=AU6,AF6&lt;=AW6),"r2",IF(AND(AE6&gt;AT6,AE6&lt;AV6),"r2",IF(AND(AE6&gt;AT6,AE6=AV6,AF6&lt;=AW6),"r2",IF(AND(AE6=AT6,AE6&lt;AV6,AF6&gt;=AU6),"r2","n")))))</f>
        <v>r1</v>
      </c>
      <c r="AL6" s="164" t="str">
        <f>IF(AK6&lt;&gt;"n",AK6,IF(AND(AE6=AP7,AE6=AR7,AF6&gt;=AQ7,AF6&lt;=AS7),"r1",IF(AND(AE6&gt;AP7,AE6&lt;AR7),"r1",IF(AND(AE6&gt;AP7,AE6=AR7,AF6&lt;=AS7),"r1",IF(AND(AE6=AP7,AE6&lt;AR7,AF6&gt;=AQ7),"r1","n")))))</f>
        <v>r1</v>
      </c>
      <c r="AP6" s="164" t="str">
        <f>IF(AP2="","",RIGHT(AP2,2)*1)</f>
        <v/>
      </c>
      <c r="AQ6" s="164" t="str">
        <f>IF(AP2="","",LEFT(AP2,LEN(AP2)-2)*1)</f>
        <v/>
      </c>
      <c r="AR6" s="164" t="str">
        <f>IF(AR2="","",RIGHT(AR2,2)*1)</f>
        <v/>
      </c>
      <c r="AS6" s="164" t="str">
        <f>IF(AR2="","",LEFT(AR2,LEN(AR2)-2)*1)</f>
        <v/>
      </c>
      <c r="AT6" s="164" t="str">
        <f>IF(AT2="","",RIGHT(AT2,2)*1)</f>
        <v/>
      </c>
      <c r="AU6" s="164" t="str">
        <f>IF(AT2="","",LEFT(AT2,LEN(AT2)-2)*1)</f>
        <v/>
      </c>
      <c r="AV6" s="164" t="str">
        <f>IF(AV2="","",RIGHT(AV2,2)*1)</f>
        <v/>
      </c>
      <c r="AW6" s="164" t="str">
        <f>IF(AV2="","",LEFT(AV2,LEN(AV2)-2)*1)</f>
        <v/>
      </c>
      <c r="AX6" s="176">
        <f>'c-form'!W21</f>
        <v>338</v>
      </c>
      <c r="AY6" s="176">
        <f>'c-form'!AA21</f>
        <v>6.5</v>
      </c>
      <c r="AZ6" s="176">
        <f t="shared" si="3"/>
        <v>338.2</v>
      </c>
      <c r="BA6" s="176">
        <f t="shared" si="4"/>
        <v>13</v>
      </c>
      <c r="BB6" s="176">
        <f>'c-form'!W63</f>
        <v>0</v>
      </c>
      <c r="BC6" s="176">
        <f>'c-form'!AA63</f>
        <v>0</v>
      </c>
      <c r="BD6" s="176" t="str">
        <f t="shared" si="2"/>
        <v/>
      </c>
      <c r="BE6" s="176" t="str">
        <f t="shared" si="1"/>
        <v/>
      </c>
    </row>
    <row r="7" spans="1:59" s="174" customFormat="1" ht="16.5" customHeight="1">
      <c r="B7" s="251" t="s">
        <v>252</v>
      </c>
      <c r="C7" s="252" t="s">
        <v>253</v>
      </c>
      <c r="D7" s="252" t="s">
        <v>254</v>
      </c>
      <c r="E7" s="252" t="s">
        <v>255</v>
      </c>
      <c r="F7" s="252" t="s">
        <v>256</v>
      </c>
      <c r="G7" s="252" t="s">
        <v>257</v>
      </c>
      <c r="H7" s="252" t="s">
        <v>247</v>
      </c>
      <c r="I7" s="252" t="s">
        <v>258</v>
      </c>
      <c r="J7" s="252" t="s">
        <v>259</v>
      </c>
      <c r="K7" s="252" t="s">
        <v>260</v>
      </c>
      <c r="L7" s="252" t="s">
        <v>261</v>
      </c>
      <c r="M7" s="252" t="s">
        <v>262</v>
      </c>
      <c r="N7" s="252" t="s">
        <v>263</v>
      </c>
      <c r="O7" s="252" t="s">
        <v>266</v>
      </c>
      <c r="Z7" s="176">
        <f t="shared" si="0"/>
        <v>17.050000000001663</v>
      </c>
      <c r="AA7" s="176">
        <f>IF(TRIM(AG7)="","",IF(INDEX(AZ1:AZ51,AC7)=AG7,INDEX(BA1:BA51,AC7),((AG7-INDEX(AZ1:AZ51,AC7))*(INDEX(BA1:BA51,AC7+1)-INDEX(BA1:BA51,AC7)))/(INDEX(AZ1:AZ51,AC7+1)-INDEX(AZ1:AZ51,AC7))+INDEX(BA1:BA51,AC7)))</f>
        <v>17.050000000001663</v>
      </c>
      <c r="AB7" s="177" t="e">
        <f>IF(TRIM(AG7)="","",IF(INDEX(BD1:BD51,AD7)=AG7,INDEX(BE1:BE51,AD7),((AG7-INDEX(BD1:BD51,AD7))*(INDEX(BE1:BE51,AD7+1)-INDEX(BE1:BE51,AD7)))/(INDEX(BD1:BD51,AD7+1)-INDEX(BD1:BD51,AD7))+INDEX(BE1:BE51,AD7)))</f>
        <v>#N/A</v>
      </c>
      <c r="AC7" s="174">
        <f>MATCH(AG7,AZ1:AZ51,1)</f>
        <v>6</v>
      </c>
      <c r="AD7" s="174" t="e">
        <f>MATCH(AG7,BD1:BD51,1)</f>
        <v>#N/A</v>
      </c>
      <c r="AE7" s="174">
        <v>1</v>
      </c>
      <c r="AF7" s="174">
        <v>7</v>
      </c>
      <c r="AG7" s="179">
        <f>FIXED('HourGH-APR'!AB17)*1</f>
        <v>338.29</v>
      </c>
      <c r="AH7" s="174" t="str">
        <f>IF(AND(AE7=AP5,AE7=AR5,AF7&gt;=AQ5,AF7&lt;=AS5),"r1",IF(AND(AE7&gt;AP5,AE7&lt;AR5),"r1",IF(AND(AE7&gt;AP5,AE7=AR5,AF7&lt;=AS5),"r1",IF(AND(AE7=AP5,AE7&lt;AR5,AF7&gt;=AQ5),"r1","n"))))</f>
        <v>r1</v>
      </c>
      <c r="AI7" s="174" t="str">
        <f>IF(AH7&lt;&gt;"n",AH7,IF(AND(AE7=AT5,AE7=AV5,AF7&gt;=AU5,AF7&lt;=AW5),"r2",IF(AND(AE7&gt;AT5,AE7&lt;AV5),"r2",IF(AND(AE7&gt;AT5,AE7=AV5,AF7&lt;=AW5),"r2",IF(AND(AE7=AT5,AE7&lt;AV5,AF7&gt;=AU5),"r2","n")))))</f>
        <v>r1</v>
      </c>
      <c r="AJ7" s="174" t="str">
        <f>IF(AI7&lt;&gt;"n",AI7,IF(AND(AE7=AP6,AE7=AR6,AF7&gt;=AQ6,AF7&lt;=AS6),"r1",IF(AND(AE7&gt;AP6,AE7&lt;AR6),"r1",IF(AND(AE7&gt;AP6,AE7=AR6,AF7&lt;=AS6),"r1",IF(AND(AE7=AP6,AE7&lt;AR6,AF7&gt;=AQ6),"r1","n")))))</f>
        <v>r1</v>
      </c>
      <c r="AK7" s="174" t="str">
        <f>IF(AJ7&lt;&gt;"n",AJ7,IF(AND(AE7=AT6,AE7=AV6,AF7&gt;=AU6,AF7&lt;=AW6),"r2",IF(AND(AE7&gt;AT6,AE7&lt;AV6),"r2",IF(AND(AE7&gt;AT6,AE7=AV6,AF7&lt;=AW6),"r2",IF(AND(AE7=AT6,AE7&lt;AV6,AF7&gt;=AU6),"r2","n")))))</f>
        <v>r1</v>
      </c>
      <c r="AL7" s="174" t="str">
        <f>IF(AK7&lt;&gt;"n",AK7,IF(AND(AE7=AP7,AE7=AR7,AF7&gt;=AQ7,AF7&lt;=AS7),"r1",IF(AND(AE7&gt;AP7,AE7&lt;AR7),"r1",IF(AND(AE7&gt;AP7,AE7=AR7,AF7&lt;=AS7),"r1",IF(AND(AE7=AP7,AE7&lt;AR7,AF7&gt;=AQ7),"r1","n")))))</f>
        <v>r1</v>
      </c>
      <c r="AP7" s="174" t="str">
        <f>IF(AP3="","",RIGHT(AP3,2)*1)</f>
        <v/>
      </c>
      <c r="AQ7" s="174" t="str">
        <f>IF(AP3="","",LEFT(AP3,LEN(AP3)-2)*1)</f>
        <v/>
      </c>
      <c r="AR7" s="174" t="str">
        <f>IF(AR3="","",RIGHT(AR3,2)*1)</f>
        <v/>
      </c>
      <c r="AS7" s="174" t="str">
        <f>IF(AR3="","",LEFT(AR3,LEN(AR3)-2)*1)</f>
        <v/>
      </c>
      <c r="AT7" s="174" t="str">
        <f>IF(AT3="","",RIGHT(AT3,2)*1)</f>
        <v/>
      </c>
      <c r="AU7" s="174" t="str">
        <f>IF(AT3="","",LEFT(AT3,LEN(AT3)-2)*1)</f>
        <v/>
      </c>
      <c r="AV7" s="164" t="str">
        <f>IF(AV3="","",RIGHT(AV3,2)*1)</f>
        <v/>
      </c>
      <c r="AW7" s="164" t="str">
        <f>IF(AV3="","",LEFT(AV3,LEN(AV3)-2)*1)</f>
        <v/>
      </c>
      <c r="AX7" s="177">
        <f>'c-form'!D22</f>
        <v>338.2</v>
      </c>
      <c r="AY7" s="177">
        <f>'c-form'!F22</f>
        <v>13</v>
      </c>
      <c r="AZ7" s="177">
        <f>IF(OR(AX8*1&lt;&gt;0,AY8*1&lt;&gt;0),AX8,"")</f>
        <v>338.4</v>
      </c>
      <c r="BA7" s="177">
        <f>IF(OR(AX8*1&lt;&gt;0,AY8*1&lt;&gt;0),AY8,"")</f>
        <v>22</v>
      </c>
      <c r="BB7" s="177">
        <f>'c-form'!D64</f>
        <v>0</v>
      </c>
      <c r="BC7" s="177">
        <f>'c-form'!F64</f>
        <v>0</v>
      </c>
      <c r="BD7" s="177" t="str">
        <f>IF(OR(BB8*1&lt;&gt;0,BC8*1&lt;&gt;0),BB8,"")</f>
        <v/>
      </c>
      <c r="BE7" s="177" t="str">
        <f>IF(OR(BB8*1&lt;&gt;0,BC8*1&lt;&gt;0),BC8,"")</f>
        <v/>
      </c>
    </row>
    <row r="8" spans="1:59" ht="2.25" customHeight="1">
      <c r="Z8" s="176">
        <f t="shared" si="0"/>
        <v>14.350000000001407</v>
      </c>
      <c r="AA8" s="176">
        <f>IF(TRIM(AG8)="","",IF(INDEX(AZ1:AZ51,AC8)=AG8,INDEX(BA1:BA51,AC8),((AG8-INDEX(AZ1:AZ51,AC8))*(INDEX(BA1:BA51,AC8+1)-INDEX(BA1:BA51,AC8)))/(INDEX(AZ1:AZ51,AC8+1)-INDEX(AZ1:AZ51,AC8))+INDEX(BA1:BA51,AC8)))</f>
        <v>14.350000000001407</v>
      </c>
      <c r="AB8" s="176" t="e">
        <f>IF(TRIM(AG8)="","",IF(INDEX(BD1:BD51,AD8)=AG8,INDEX(BE1:BE51,AD8),((AG8-INDEX(BD1:BD51,AD8))*(INDEX(BE1:BE51,AD8+1)-INDEX(BE1:BE51,AD8)))/(INDEX(BD1:BD51,AD8+1)-INDEX(BD1:BD51,AD8))+INDEX(BE1:BE51,AD8)))</f>
        <v>#N/A</v>
      </c>
      <c r="AC8" s="164">
        <f>MATCH(AG8,AZ1:AZ51,1)</f>
        <v>6</v>
      </c>
      <c r="AD8" s="164" t="e">
        <f>MATCH(AG8,BD1:BD51,1)</f>
        <v>#N/A</v>
      </c>
      <c r="AE8" s="164">
        <v>1</v>
      </c>
      <c r="AF8" s="164">
        <v>8</v>
      </c>
      <c r="AG8" s="179">
        <f>FIXED('HourGH-APR'!AB18)*1</f>
        <v>338.23</v>
      </c>
      <c r="AH8" s="164" t="str">
        <f>IF(AND(AE8=AP5,AE8=AR5,AF8&gt;=AQ5,AF8&lt;=AS5),"r1",IF(AND(AE8&gt;AP5,AE8&lt;AR5),"r1",IF(AND(AE8&gt;AP5,AE8=AR5,AF8&lt;=AS5),"r1",IF(AND(AE8=AP5,AE8&lt;AR5,AF8&gt;=AQ5),"r1","n"))))</f>
        <v>r1</v>
      </c>
      <c r="AI8" s="164" t="str">
        <f>IF(AH8&lt;&gt;"n",AH8,IF(AND(AE8=AT5,AE8=AV5,AF8&gt;=AU5,AF8&lt;=AW5),"r2",IF(AND(AE8&gt;AT5,AE8&lt;AV5),"r2",IF(AND(AE8&gt;AT5,AE8=AV5,AF8&lt;=AW5),"r2",IF(AND(AE8=AT5,AE8&lt;AV5,AF8&gt;=AU5),"r2","n")))))</f>
        <v>r1</v>
      </c>
      <c r="AJ8" s="164" t="str">
        <f>IF(AI8&lt;&gt;"n",AI8,IF(AND(AE8=AP6,AE8=AR6,AF8&gt;=AQ6,AF8&lt;=AS6),"r1",IF(AND(AE8&gt;AP6,AE8&lt;AR6),"r1",IF(AND(AE8&gt;AP6,AE8=AR6,AF8&lt;=AS6),"r1",IF(AND(AE8=AP6,AE8&lt;AR6,AF8&gt;=AQ6),"r1","n")))))</f>
        <v>r1</v>
      </c>
      <c r="AK8" s="164" t="str">
        <f>IF(AJ8&lt;&gt;"n",AJ8,IF(AND(AE8=AT6,AE8=AV6,AF8&gt;=AU6,AF8&lt;=AW6),"r2",IF(AND(AE8&gt;AT6,AE8&lt;AV6),"r2",IF(AND(AE8&gt;AT6,AE8=AV6,AF8&lt;=AW6),"r2",IF(AND(AE8=AT6,AE8&lt;AV6,AF8&gt;=AU6),"r2","n")))))</f>
        <v>r1</v>
      </c>
      <c r="AL8" s="164" t="str">
        <f>IF(AK8&lt;&gt;"n",AK8,IF(AND(AE8=AP7,AE8=AR7,AF8&gt;=AQ7,AF8&lt;=AS7),"r1",IF(AND(AE8&gt;AP7,AE8&lt;AR7),"r1",IF(AND(AE8&gt;AP7,AE8=AR7,AF8&lt;=AS7),"r1",IF(AND(AE8=AP7,AE8&lt;AR7,AF8&gt;=AQ7),"r1","n")))))</f>
        <v>r1</v>
      </c>
      <c r="AP8" s="164" t="str">
        <f>IF(AP4="","",RIGHT(AP4,2)*1)</f>
        <v/>
      </c>
      <c r="AX8" s="176">
        <f>'c-form'!H22</f>
        <v>338.4</v>
      </c>
      <c r="AY8" s="176">
        <f>'c-form'!J22</f>
        <v>22</v>
      </c>
      <c r="AZ8" s="176">
        <f t="shared" si="3"/>
        <v>338.8</v>
      </c>
      <c r="BA8" s="176">
        <f t="shared" si="4"/>
        <v>42</v>
      </c>
      <c r="BB8" s="176">
        <f>'c-form'!H64</f>
        <v>0</v>
      </c>
      <c r="BC8" s="176">
        <f>'c-form'!J64</f>
        <v>0</v>
      </c>
      <c r="BD8" s="176" t="str">
        <f t="shared" si="2"/>
        <v/>
      </c>
      <c r="BE8" s="176" t="str">
        <f t="shared" si="1"/>
        <v/>
      </c>
    </row>
    <row r="9" spans="1:59" ht="12.6" customHeight="1">
      <c r="B9" s="178">
        <v>1</v>
      </c>
      <c r="C9" s="176">
        <f>IF(COUNT(Z1)=0,"",ROUND(Z1,('c-form'!AB15)*1))</f>
        <v>8.1300000000000008</v>
      </c>
      <c r="D9" s="176">
        <f>IF(COUNT(Z31)=0,"",ROUND(Z31,('c-form'!AB15)*1))</f>
        <v>12.03</v>
      </c>
      <c r="E9" s="176">
        <f>IF(COUNT(Z63)=0,"",ROUND(Z63,('c-form'!AB15)*1))</f>
        <v>2.6</v>
      </c>
      <c r="F9" s="176">
        <f>IF(COUNT(Z93)=0,"",ROUND(Z93,('c-form'!AB15)*1))</f>
        <v>2.6</v>
      </c>
      <c r="G9" s="176">
        <f>IF(COUNT(Z124)=0,"",ROUND(Z124,('c-form'!AB15)*1))</f>
        <v>12.35</v>
      </c>
      <c r="H9" s="176">
        <f>IF(COUNT(Z155)=0,"",ROUND(Z155,('c-form'!AB15)*1))</f>
        <v>47.17</v>
      </c>
      <c r="I9" s="176">
        <f>IF(COUNT(Z185)=0,"",ROUND(Z185,('c-form'!AB15)*1))</f>
        <v>32.5</v>
      </c>
      <c r="J9" s="176">
        <f>IF(COUNT(Z216)=0,"",ROUND(Z216,('c-form'!AB15)*1))</f>
        <v>33</v>
      </c>
      <c r="K9" s="176">
        <f>IF(COUNT(Z246)=0,"",ROUND(Z246,('c-form'!AB15)*1))</f>
        <v>11.7</v>
      </c>
      <c r="L9" s="176">
        <f>IF(COUNT(Z277)=0,"",ROUND(Z277,('c-form'!AB15)*1))</f>
        <v>7.8</v>
      </c>
      <c r="M9" s="176">
        <f>IF(COUNT(Z308)=0,"",ROUND(Z308,('c-form'!AB15)*1))</f>
        <v>17.95</v>
      </c>
      <c r="N9" s="176">
        <f>IF(COUNT(Z337)=0,"",ROUND(Z337,('c-form'!AB15)*1))</f>
        <v>14.8</v>
      </c>
      <c r="O9" s="176"/>
      <c r="Z9" s="176">
        <f t="shared" si="0"/>
        <v>13</v>
      </c>
      <c r="AA9" s="176">
        <f>IF(TRIM(AG9)="","",IF(INDEX(AZ1:AZ51,AC9)=AG9,INDEX(BA1:BA51,AC9),((AG9-INDEX(AZ1:AZ51,AC9))*(INDEX(BA1:BA51,AC9+1)-INDEX(BA1:BA51,AC9)))/(INDEX(AZ1:AZ51,AC9+1)-INDEX(AZ1:AZ51,AC9))+INDEX(BA1:BA51,AC9)))</f>
        <v>13</v>
      </c>
      <c r="AB9" s="176" t="e">
        <f>IF(TRIM(AG9)="","",IF(INDEX(BD1:BD51,AD9)=AG9,INDEX(BE1:BE51,AD9),((AG9-INDEX(BD1:BD51,AD9))*(INDEX(BE1:BE51,AD9+1)-INDEX(BE1:BE51,AD9)))/(INDEX(BD1:BD51,AD9+1)-INDEX(BD1:BD51,AD9))+INDEX(BE1:BE51,AD9)))</f>
        <v>#N/A</v>
      </c>
      <c r="AC9" s="164">
        <f>MATCH(AG9,AZ1:AZ51,1)</f>
        <v>6</v>
      </c>
      <c r="AD9" s="164" t="e">
        <f>MATCH(AG9,BD1:BD51,1)</f>
        <v>#N/A</v>
      </c>
      <c r="AE9" s="164">
        <v>1</v>
      </c>
      <c r="AF9" s="164">
        <v>9</v>
      </c>
      <c r="AG9" s="179">
        <f>FIXED('HourGH-APR'!AB19)*1</f>
        <v>338.2</v>
      </c>
      <c r="AH9" s="164" t="str">
        <f>IF(AND(AE9=AP5,AE9=AR5,AF9&gt;=AQ5,AF9&lt;=AS5),"r1",IF(AND(AE9&gt;AP5,AE9&lt;AR5),"r1",IF(AND(AE9&gt;AP5,AE9=AR5,AF9&lt;=AS5),"r1",IF(AND(AE9=AP5,AE9&lt;AR5,AF9&gt;=AQ5),"r1","n"))))</f>
        <v>r1</v>
      </c>
      <c r="AI9" s="164" t="str">
        <f>IF(AH9&lt;&gt;"n",AH9,IF(AND(AE9=AT5,AE9=AV5,AF9&gt;=AU5,AF9&lt;=AW5),"r2",IF(AND(AE9&gt;AT5,AE9&lt;AV5),"r2",IF(AND(AE9&gt;AT5,AE9=AV5,AF9&lt;=AW5),"r2",IF(AND(AE9=AT5,AE9&lt;AV5,AF9&gt;=AU5),"r2","n")))))</f>
        <v>r1</v>
      </c>
      <c r="AJ9" s="164" t="str">
        <f>IF(AI9&lt;&gt;"n",AI9,IF(AND(AE9=AP6,AE9=AR6,AF9&gt;=AQ6,AF9&lt;=AS6),"r1",IF(AND(AE9&gt;AP6,AE9&lt;AR6),"r1",IF(AND(AE9&gt;AP6,AE9=AR6,AF9&lt;=AS6),"r1",IF(AND(AE9=AP6,AE9&lt;AR6,AF9&gt;=AQ6),"r1","n")))))</f>
        <v>r1</v>
      </c>
      <c r="AK9" s="164" t="str">
        <f>IF(AJ9&lt;&gt;"n",AJ9,IF(AND(AE9=AT6,AE9=AV6,AF9&gt;=AU6,AF9&lt;=AW6),"r2",IF(AND(AE9&gt;AT6,AE9&lt;AV6),"r2",IF(AND(AE9&gt;AT6,AE9=AV6,AF9&lt;=AW6),"r2",IF(AND(AE9=AT6,AE9&lt;AV6,AF9&gt;=AU6),"r2","n")))))</f>
        <v>r1</v>
      </c>
      <c r="AL9" s="164" t="str">
        <f>IF(AK9&lt;&gt;"n",AK9,IF(AND(AE9=AP7,AE9=AR7,AF9&gt;=AQ7,AF9&lt;=AS7),"r1",IF(AND(AE9&gt;AP7,AE9&lt;AR7),"r1",IF(AND(AE9&gt;AP7,AE9=AR7,AF9&lt;=AS7),"r1",IF(AND(AE9=AP7,AE9&lt;AR7,AF9&gt;=AQ7),"r1","n")))))</f>
        <v>r1</v>
      </c>
      <c r="AX9" s="176">
        <f>'c-form'!M22</f>
        <v>338.8</v>
      </c>
      <c r="AY9" s="176">
        <f>'c-form'!P22</f>
        <v>42</v>
      </c>
      <c r="AZ9" s="176">
        <f t="shared" si="3"/>
        <v>339</v>
      </c>
      <c r="BA9" s="176">
        <f t="shared" si="4"/>
        <v>53.5</v>
      </c>
      <c r="BB9" s="176">
        <f>'c-form'!M64</f>
        <v>0</v>
      </c>
      <c r="BC9" s="176">
        <f>'c-form'!P64</f>
        <v>0</v>
      </c>
      <c r="BD9" s="176" t="str">
        <f t="shared" si="2"/>
        <v/>
      </c>
      <c r="BE9" s="176" t="str">
        <f t="shared" si="1"/>
        <v/>
      </c>
    </row>
    <row r="10" spans="1:59" ht="12.6" customHeight="1">
      <c r="B10" s="178">
        <v>2</v>
      </c>
      <c r="C10" s="176">
        <f>IF(COUNT(Z2)=0,"",ROUND(Z2,('c-form'!AB15)*1))</f>
        <v>18.399999999999999</v>
      </c>
      <c r="D10" s="176">
        <f>IF(COUNT(Z32)=0,"",ROUND(Z32,('c-form'!AB15)*1))</f>
        <v>12.03</v>
      </c>
      <c r="E10" s="176">
        <f>IF(COUNT(Z64)=0,"",ROUND(Z64,('c-form'!AB15)*1))</f>
        <v>2.6</v>
      </c>
      <c r="F10" s="176">
        <f>IF(COUNT(Z94)=0,"",ROUND(Z94,('c-form'!AB15)*1))</f>
        <v>2.6</v>
      </c>
      <c r="G10" s="176">
        <f>IF(COUNT(Z125)=0,"",ROUND(Z125,('c-form'!AB15)*1))</f>
        <v>11.37</v>
      </c>
      <c r="H10" s="176">
        <f>IF(COUNT(Z156)=0,"",ROUND(Z156,('c-form'!AB15)*1))</f>
        <v>40</v>
      </c>
      <c r="I10" s="176">
        <f>IF(COUNT(Z186)=0,"",ROUND(Z186,('c-form'!AB15)*1))</f>
        <v>30.5</v>
      </c>
      <c r="J10" s="176">
        <f>IF(COUNT(Z217)=0,"",ROUND(Z217,('c-form'!AB15)*1))</f>
        <v>29.5</v>
      </c>
      <c r="K10" s="176">
        <f>IF(COUNT(Z247)=0,"",ROUND(Z247,('c-form'!AB15)*1))</f>
        <v>11.05</v>
      </c>
      <c r="L10" s="176">
        <f>IF(COUNT(Z278)=0,"",ROUND(Z278,('c-form'!AB15)*1))</f>
        <v>7.47</v>
      </c>
      <c r="M10" s="176">
        <f>IF(COUNT(Z309)=0,"",ROUND(Z309,('c-form'!AB15)*1))</f>
        <v>14.8</v>
      </c>
      <c r="N10" s="176">
        <f>IF(COUNT(Z338)=0,"",ROUND(Z338,('c-form'!AB15)*1))</f>
        <v>15.25</v>
      </c>
      <c r="O10" s="176"/>
      <c r="Z10" s="176">
        <f t="shared" si="0"/>
        <v>13.449999999999616</v>
      </c>
      <c r="AA10" s="176">
        <f>IF(TRIM(AG10)="","",IF(INDEX(AZ1:AZ51,AC10)=AG10,INDEX(BA1:BA51,AC10),((AG10-INDEX(AZ1:AZ51,AC10))*(INDEX(BA1:BA51,AC10+1)-INDEX(BA1:BA51,AC10)))/(INDEX(AZ1:AZ51,AC10+1)-INDEX(AZ1:AZ51,AC10))+INDEX(BA1:BA51,AC10)))</f>
        <v>13.449999999999616</v>
      </c>
      <c r="AB10" s="176" t="e">
        <f>IF(TRIM(AG10)="","",IF(INDEX(BD1:BD51,AD10)=AG10,INDEX(BE1:BE51,AD10),((AG10-INDEX(BD1:BD51,AD10))*(INDEX(BE1:BE51,AD10+1)-INDEX(BE1:BE51,AD10)))/(INDEX(BD1:BD51,AD10+1)-INDEX(BD1:BD51,AD10))+INDEX(BE1:BE51,AD10)))</f>
        <v>#N/A</v>
      </c>
      <c r="AC10" s="164">
        <f>MATCH(AG10,AZ1:AZ51,1)</f>
        <v>6</v>
      </c>
      <c r="AD10" s="164" t="e">
        <f>MATCH(AG10,BD1:BD51,1)</f>
        <v>#N/A</v>
      </c>
      <c r="AE10" s="164">
        <v>1</v>
      </c>
      <c r="AF10" s="164">
        <v>10</v>
      </c>
      <c r="AG10" s="179">
        <f>FIXED('HourGH-APR'!AB20)*1</f>
        <v>338.21</v>
      </c>
      <c r="AH10" s="164" t="str">
        <f>IF(AND(AE10=AP5,AE10=AR5,AF10&gt;=AQ5,AF10&lt;=AS5),"r1",IF(AND(AE10&gt;AP5,AE10&lt;AR5),"r1",IF(AND(AE10&gt;AP5,AE10=AR5,AF10&lt;=AS5),"r1",IF(AND(AE10=AP5,AE10&lt;AR5,AF10&gt;=AQ5),"r1","n"))))</f>
        <v>r1</v>
      </c>
      <c r="AI10" s="164" t="str">
        <f>IF(AH10&lt;&gt;"n",AH10,IF(AND(AE10=AT5,AE10=AV5,AF10&gt;=AU5,AF10&lt;=AW5),"r2",IF(AND(AE10&gt;AT5,AE10&lt;AV5),"r2",IF(AND(AE10&gt;AT5,AE10=AV5,AF10&lt;=AW5),"r2",IF(AND(AE10=AT5,AE10&lt;AV5,AF10&gt;=AU5),"r2","n")))))</f>
        <v>r1</v>
      </c>
      <c r="AJ10" s="164" t="str">
        <f>IF(AI10&lt;&gt;"n",AI10,IF(AND(AE10=AP6,AE10=AR6,AF10&gt;=AQ6,AF10&lt;=AS6),"r1",IF(AND(AE10&gt;AP6,AE10&lt;AR6),"r1",IF(AND(AE10&gt;AP6,AE10=AR6,AF10&lt;=AS6),"r1",IF(AND(AE10=AP6,AE10&lt;AR6,AF10&gt;=AQ6),"r1","n")))))</f>
        <v>r1</v>
      </c>
      <c r="AK10" s="164" t="str">
        <f>IF(AJ10&lt;&gt;"n",AJ10,IF(AND(AE10=AT6,AE10=AV6,AF10&gt;=AU6,AF10&lt;=AW6),"r2",IF(AND(AE10&gt;AT6,AE10&lt;AV6),"r2",IF(AND(AE10&gt;AT6,AE10=AV6,AF10&lt;=AW6),"r2",IF(AND(AE10=AT6,AE10&lt;AV6,AF10&gt;=AU6),"r2","n")))))</f>
        <v>r1</v>
      </c>
      <c r="AL10" s="164" t="str">
        <f>IF(AK10&lt;&gt;"n",AK10,IF(AND(AE10=AP7,AE10=AR7,AF10&gt;=AQ7,AF10&lt;=AS7),"r1",IF(AND(AE10&gt;AP7,AE10&lt;AR7),"r1",IF(AND(AE10&gt;AP7,AE10=AR7,AF10&lt;=AS7),"r1",IF(AND(AE10=AP7,AE10&lt;AR7,AF10&gt;=AQ7),"r1","n")))))</f>
        <v>r1</v>
      </c>
      <c r="AX10" s="176">
        <f>'c-form'!R22</f>
        <v>339</v>
      </c>
      <c r="AY10" s="176">
        <f>'c-form'!T22</f>
        <v>53.5</v>
      </c>
      <c r="AZ10" s="176">
        <f t="shared" si="3"/>
        <v>339.2</v>
      </c>
      <c r="BA10" s="176">
        <f t="shared" si="4"/>
        <v>66</v>
      </c>
      <c r="BB10" s="176">
        <f>'c-form'!R64</f>
        <v>0</v>
      </c>
      <c r="BC10" s="176">
        <f>'c-form'!T64</f>
        <v>0</v>
      </c>
      <c r="BD10" s="176" t="str">
        <f t="shared" si="2"/>
        <v/>
      </c>
      <c r="BE10" s="176" t="str">
        <f t="shared" si="1"/>
        <v/>
      </c>
    </row>
    <row r="11" spans="1:59" ht="12.6" customHeight="1">
      <c r="B11" s="178">
        <v>3</v>
      </c>
      <c r="C11" s="176">
        <f>IF(COUNT(Z3)=0,"",ROUND(Z3,('c-form'!AB15)*1))</f>
        <v>13.45</v>
      </c>
      <c r="D11" s="176">
        <f>IF(COUNT(Z33)=0,"",ROUND(Z33,('c-form'!AB15)*1))</f>
        <v>12.35</v>
      </c>
      <c r="E11" s="176">
        <f>IF(COUNT(Z65)=0,"",ROUND(Z65,('c-form'!AB15)*1))</f>
        <v>2.4</v>
      </c>
      <c r="F11" s="176">
        <f>IF(COUNT(Z95)=0,"",ROUND(Z95,('c-form'!AB15)*1))</f>
        <v>2.6</v>
      </c>
      <c r="G11" s="176">
        <f>IF(COUNT(Z126)=0,"",ROUND(Z126,('c-form'!AB15)*1))</f>
        <v>10.08</v>
      </c>
      <c r="H11" s="176">
        <f>IF(COUNT(Z157)=0,"",ROUND(Z157,('c-form'!AB15)*1))</f>
        <v>22.5</v>
      </c>
      <c r="I11" s="176">
        <f>IF(COUNT(Z187)=0,"",ROUND(Z187,('c-form'!AB15)*1))</f>
        <v>31.5</v>
      </c>
      <c r="J11" s="176">
        <f>IF(COUNT(Z218)=0,"",ROUND(Z218,('c-form'!AB15)*1))</f>
        <v>26.5</v>
      </c>
      <c r="K11" s="176">
        <f>IF(COUNT(Z248)=0,"",ROUND(Z248,('c-form'!AB15)*1))</f>
        <v>11.05</v>
      </c>
      <c r="L11" s="176">
        <f>IF(COUNT(Z279)=0,"",ROUND(Z279,('c-form'!AB15)*1))</f>
        <v>7.47</v>
      </c>
      <c r="M11" s="176">
        <f>IF(COUNT(Z310)=0,"",ROUND(Z310,('c-form'!AB15)*1))</f>
        <v>6</v>
      </c>
      <c r="N11" s="176">
        <f>IF(COUNT(Z339)=0,"",ROUND(Z339,('c-form'!AB15)*1))</f>
        <v>10.4</v>
      </c>
      <c r="O11" s="176"/>
      <c r="Z11" s="176">
        <f t="shared" si="0"/>
        <v>13.900000000001791</v>
      </c>
      <c r="AA11" s="176">
        <f>IF(TRIM(AG11)="","",IF(INDEX(AZ1:AZ51,AC11)=AG11,INDEX(BA1:BA51,AC11),((AG11-INDEX(AZ1:AZ51,AC11))*(INDEX(BA1:BA51,AC11+1)-INDEX(BA1:BA51,AC11)))/(INDEX(AZ1:AZ51,AC11+1)-INDEX(AZ1:AZ51,AC11))+INDEX(BA1:BA51,AC11)))</f>
        <v>13.900000000001791</v>
      </c>
      <c r="AB11" s="176" t="e">
        <f>IF(TRIM(AG11)="","",IF(INDEX(BD1:BD51,AD11)=AG11,INDEX(BE1:BE51,AD11),((AG11-INDEX(BD1:BD51,AD11))*(INDEX(BE1:BE51,AD11+1)-INDEX(BE1:BE51,AD11)))/(INDEX(BD1:BD51,AD11+1)-INDEX(BD1:BD51,AD11))+INDEX(BE1:BE51,AD11)))</f>
        <v>#N/A</v>
      </c>
      <c r="AC11" s="164">
        <f>MATCH(AG11,AZ1:AZ51,1)</f>
        <v>6</v>
      </c>
      <c r="AD11" s="164" t="e">
        <f>MATCH(AG11,BD1:BD51,1)</f>
        <v>#N/A</v>
      </c>
      <c r="AE11" s="164">
        <v>1</v>
      </c>
      <c r="AF11" s="164">
        <v>11</v>
      </c>
      <c r="AG11" s="179">
        <f>FIXED('HourGH-APR'!AB22)*1</f>
        <v>338.22</v>
      </c>
      <c r="AH11" s="164" t="str">
        <f>IF(AND(AE11=AP5,AE11=AR5,AF11&gt;=AQ5,AF11&lt;=AS5),"r1",IF(AND(AE11&gt;AP5,AE11&lt;AR5),"r1",IF(AND(AE11&gt;AP5,AE11=AR5,AF11&lt;=AS5),"r1",IF(AND(AE11=AP5,AE11&lt;AR5,AF11&gt;=AQ5),"r1","n"))))</f>
        <v>r1</v>
      </c>
      <c r="AI11" s="164" t="str">
        <f>IF(AH11&lt;&gt;"n",AH11,IF(AND(AE11=AT5,AE11=AV5,AF11&gt;=AU5,AF11&lt;=AW5),"r2",IF(AND(AE11&gt;AT5,AE11&lt;AV5),"r2",IF(AND(AE11&gt;AT5,AE11=AV5,AF11&lt;=AW5),"r2",IF(AND(AE11=AT5,AE11&lt;AV5,AF11&gt;=AU5),"r2","n")))))</f>
        <v>r1</v>
      </c>
      <c r="AJ11" s="164" t="str">
        <f>IF(AI11&lt;&gt;"n",AI11,IF(AND(AE11=AP6,AE11=AR6,AF11&gt;=AQ6,AF11&lt;=AS6),"r1",IF(AND(AE11&gt;AP6,AE11&lt;AR6),"r1",IF(AND(AE11&gt;AP6,AE11=AR6,AF11&lt;=AS6),"r1",IF(AND(AE11=AP6,AE11&lt;AR6,AF11&gt;=AQ6),"r1","n")))))</f>
        <v>r1</v>
      </c>
      <c r="AK11" s="164" t="str">
        <f>IF(AJ11&lt;&gt;"n",AJ11,IF(AND(AE11=AT6,AE11=AV6,AF11&gt;=AU6,AF11&lt;=AW6),"r2",IF(AND(AE11&gt;AT6,AE11&lt;AV6),"r2",IF(AND(AE11&gt;AT6,AE11=AV6,AF11&lt;=AW6),"r2",IF(AND(AE11=AT6,AE11&lt;AV6,AF11&gt;=AU6),"r2","n")))))</f>
        <v>r1</v>
      </c>
      <c r="AL11" s="164" t="str">
        <f>IF(AK11&lt;&gt;"n",AK11,IF(AND(AE11=AP7,AE11=AR7,AF11&gt;=AQ7,AF11&lt;=AS7),"r1",IF(AND(AE11&gt;AP7,AE11&lt;AR7),"r1",IF(AND(AE11&gt;AP7,AE11=AR7,AF11&lt;=AS7),"r1",IF(AND(AE11=AP7,AE11&lt;AR7,AF11&gt;=AQ7),"r1","n")))))</f>
        <v>r1</v>
      </c>
      <c r="AX11" s="176">
        <f>'c-form'!W22</f>
        <v>339.2</v>
      </c>
      <c r="AY11" s="176">
        <f>'c-form'!AA22</f>
        <v>66</v>
      </c>
      <c r="AZ11" s="176">
        <f t="shared" si="3"/>
        <v>339.4</v>
      </c>
      <c r="BA11" s="176">
        <f t="shared" si="4"/>
        <v>79</v>
      </c>
      <c r="BB11" s="176">
        <f>'c-form'!W64</f>
        <v>0</v>
      </c>
      <c r="BC11" s="176">
        <f>'c-form'!AA64</f>
        <v>0</v>
      </c>
      <c r="BD11" s="176" t="str">
        <f t="shared" si="2"/>
        <v/>
      </c>
      <c r="BE11" s="176" t="str">
        <f t="shared" si="1"/>
        <v/>
      </c>
    </row>
    <row r="12" spans="1:59" ht="12.6" customHeight="1">
      <c r="B12" s="178">
        <v>4</v>
      </c>
      <c r="C12" s="176">
        <f>IF(COUNT(Z4)=0,"",ROUND(Z4,('c-form'!AB15)*1))</f>
        <v>11.37</v>
      </c>
      <c r="D12" s="176">
        <f>IF(COUNT(Z34)=0,"",ROUND(Z34,('c-form'!AB15)*1))</f>
        <v>11.7</v>
      </c>
      <c r="E12" s="176">
        <f>IF(COUNT(Z66)=0,"",ROUND(Z66,('c-form'!AB15)*1))</f>
        <v>2.2000000000000002</v>
      </c>
      <c r="F12" s="176">
        <f>IF(COUNT(Z96)=0,"",ROUND(Z96,('c-form'!AB15)*1))</f>
        <v>3</v>
      </c>
      <c r="G12" s="176">
        <f>IF(COUNT(Z127)=0,"",ROUND(Z127,('c-form'!AB15)*1))</f>
        <v>9.42</v>
      </c>
      <c r="H12" s="176">
        <f>IF(COUNT(Z158)=0,"",ROUND(Z158,('c-form'!AB15)*1))</f>
        <v>16.149999999999999</v>
      </c>
      <c r="I12" s="176">
        <f>IF(COUNT(Z188)=0,"",ROUND(Z188,('c-form'!AB15)*1))</f>
        <v>29.5</v>
      </c>
      <c r="J12" s="176">
        <f>IF(COUNT(Z219)=0,"",ROUND(Z219,('c-form'!AB15)*1))</f>
        <v>24.5</v>
      </c>
      <c r="K12" s="176">
        <f>IF(COUNT(Z249)=0,"",ROUND(Z249,('c-form'!AB15)*1))</f>
        <v>10.73</v>
      </c>
      <c r="L12" s="176">
        <f>IF(COUNT(Z280)=0,"",ROUND(Z280,('c-form'!AB15)*1))</f>
        <v>7.47</v>
      </c>
      <c r="M12" s="176">
        <f>IF(COUNT(Z311)=0,"",ROUND(Z311,('c-form'!AB15)*1))</f>
        <v>8.1300000000000008</v>
      </c>
      <c r="N12" s="176">
        <f>IF(COUNT(Z340)=0,"",ROUND(Z340,('c-form'!AB15)*1))</f>
        <v>3</v>
      </c>
      <c r="O12" s="176"/>
      <c r="Z12" s="176">
        <f t="shared" si="0"/>
        <v>12.350000000000554</v>
      </c>
      <c r="AA12" s="176">
        <f>IF(TRIM(AG12)="","",IF(INDEX(AZ1:AZ51,AC12)=AG12,INDEX(BA1:BA51,AC12),((AG12-INDEX(AZ1:AZ51,AC12))*(INDEX(BA1:BA51,AC12+1)-INDEX(BA1:BA51,AC12)))/(INDEX(AZ1:AZ51,AC12+1)-INDEX(AZ1:AZ51,AC12))+INDEX(BA1:BA51,AC12)))</f>
        <v>12.350000000000554</v>
      </c>
      <c r="AB12" s="176" t="e">
        <f>IF(TRIM(AG12)="","",IF(INDEX(BD1:BD51,AD12)=AG12,INDEX(BE1:BE51,AD12),((AG12-INDEX(BD1:BD51,AD12))*(INDEX(BE1:BE51,AD12+1)-INDEX(BE1:BE51,AD12)))/(INDEX(BD1:BD51,AD12+1)-INDEX(BD1:BD51,AD12))+INDEX(BE1:BE51,AD12)))</f>
        <v>#N/A</v>
      </c>
      <c r="AC12" s="164">
        <f>MATCH(AG12,AZ1:AZ51,1)</f>
        <v>5</v>
      </c>
      <c r="AD12" s="164" t="e">
        <f>MATCH(AG12,BD1:BD51,1)</f>
        <v>#N/A</v>
      </c>
      <c r="AE12" s="164">
        <v>1</v>
      </c>
      <c r="AF12" s="164">
        <v>12</v>
      </c>
      <c r="AG12" s="179">
        <f>FIXED('HourGH-APR'!AB23)*1</f>
        <v>338.18</v>
      </c>
      <c r="AH12" s="164" t="str">
        <f>IF(AND(AE12=AP5,AE12=AR5,AF12&gt;=AQ5,AF12&lt;=AS5),"r1",IF(AND(AE12&gt;AP5,AE12&lt;AR5),"r1",IF(AND(AE12&gt;AP5,AE12=AR5,AF12&lt;=AS5),"r1",IF(AND(AE12=AP5,AE12&lt;AR5,AF12&gt;=AQ5),"r1","n"))))</f>
        <v>r1</v>
      </c>
      <c r="AI12" s="164" t="str">
        <f>IF(AH12&lt;&gt;"n",AH12,IF(AND(AE12=AT5,AE12=AV5,AF12&gt;=AU5,AF12&lt;=AW5),"r2",IF(AND(AE12&gt;AT5,AE12&lt;AV5),"r2",IF(AND(AE12&gt;AT5,AE12=AV5,AF12&lt;=AW5),"r2",IF(AND(AE12=AT5,AE12&lt;AV5,AF12&gt;=AU5),"r2","n")))))</f>
        <v>r1</v>
      </c>
      <c r="AJ12" s="164" t="str">
        <f>IF(AI12&lt;&gt;"n",AI12,IF(AND(AE12=AP6,AE12=AR6,AF12&gt;=AQ6,AF12&lt;=AS6),"r1",IF(AND(AE12&gt;AP6,AE12&lt;AR6),"r1",IF(AND(AE12&gt;AP6,AE12=AR6,AF12&lt;=AS6),"r1",IF(AND(AE12=AP6,AE12&lt;AR6,AF12&gt;=AQ6),"r1","n")))))</f>
        <v>r1</v>
      </c>
      <c r="AK12" s="164" t="str">
        <f>IF(AJ12&lt;&gt;"n",AJ12,IF(AND(AE12=AT6,AE12=AV6,AF12&gt;=AU6,AF12&lt;=AW6),"r2",IF(AND(AE12&gt;AT6,AE12&lt;AV6),"r2",IF(AND(AE12&gt;AT6,AE12=AV6,AF12&lt;=AW6),"r2",IF(AND(AE12=AT6,AE12&lt;AV6,AF12&gt;=AU6),"r2","n")))))</f>
        <v>r1</v>
      </c>
      <c r="AL12" s="164" t="str">
        <f>IF(AK12&lt;&gt;"n",AK12,IF(AND(AE12=AP7,AE12=AR7,AF12&gt;=AQ7,AF12&lt;=AS7),"r1",IF(AND(AE12&gt;AP7,AE12&lt;AR7),"r1",IF(AND(AE12&gt;AP7,AE12=AR7,AF12&lt;=AS7),"r1",IF(AND(AE12=AP7,AE12&lt;AR7,AF12&gt;=AQ7),"r1","n")))))</f>
        <v>r1</v>
      </c>
      <c r="AX12" s="176">
        <f>'c-form'!D23</f>
        <v>339.4</v>
      </c>
      <c r="AY12" s="176">
        <f>'c-form'!F23</f>
        <v>79</v>
      </c>
      <c r="AZ12" s="176">
        <f t="shared" si="3"/>
        <v>339.6</v>
      </c>
      <c r="BA12" s="176">
        <f t="shared" si="4"/>
        <v>92.5</v>
      </c>
      <c r="BB12" s="176">
        <f>'c-form'!D65</f>
        <v>0</v>
      </c>
      <c r="BC12" s="176">
        <f>'c-form'!F65</f>
        <v>0</v>
      </c>
      <c r="BD12" s="176" t="str">
        <f t="shared" si="2"/>
        <v/>
      </c>
      <c r="BE12" s="176" t="str">
        <f t="shared" si="1"/>
        <v/>
      </c>
    </row>
    <row r="13" spans="1:59" ht="12.6" customHeight="1">
      <c r="B13" s="178">
        <v>5</v>
      </c>
      <c r="C13" s="176">
        <f>IF(COUNT(Z5)=0,"",ROUND(Z5,('c-form'!AB15)*1))</f>
        <v>12.35</v>
      </c>
      <c r="D13" s="176">
        <f>IF(COUNT(Z35)=0,"",ROUND(Z35,('c-form'!AB15)*1))</f>
        <v>11.7</v>
      </c>
      <c r="E13" s="176">
        <f>IF(COUNT(Z67)=0,"",ROUND(Z67,('c-form'!AB15)*1))</f>
        <v>2</v>
      </c>
      <c r="F13" s="176">
        <f>IF(COUNT(Z97)=0,"",ROUND(Z97,('c-form'!AB15)*1))</f>
        <v>3.4</v>
      </c>
      <c r="G13" s="176">
        <f>IF(COUNT(Z128)=0,"",ROUND(Z128,('c-form'!AB15)*1))</f>
        <v>10.4</v>
      </c>
      <c r="H13" s="176">
        <f>IF(COUNT(Z159)=0,"",ROUND(Z159,('c-form'!AB15)*1))</f>
        <v>13.45</v>
      </c>
      <c r="I13" s="176">
        <f>IF(COUNT(Z189)=0,"",ROUND(Z189,('c-form'!AB15)*1))</f>
        <v>26.5</v>
      </c>
      <c r="J13" s="176">
        <f>IF(COUNT(Z220)=0,"",ROUND(Z220,('c-form'!AB15)*1))</f>
        <v>22</v>
      </c>
      <c r="K13" s="176">
        <f>IF(COUNT(Z250)=0,"",ROUND(Z250,('c-form'!AB15)*1))</f>
        <v>10.4</v>
      </c>
      <c r="L13" s="176">
        <f>IF(COUNT(Z281)=0,"",ROUND(Z281,('c-form'!AB15)*1))</f>
        <v>7.47</v>
      </c>
      <c r="M13" s="176">
        <f>IF(COUNT(Z312)=0,"",ROUND(Z312,('c-form'!AB15)*1))</f>
        <v>4.75</v>
      </c>
      <c r="N13" s="176">
        <f>IF(COUNT(Z341)=0,"",ROUND(Z341,('c-form'!AB15)*1))</f>
        <v>3.2</v>
      </c>
      <c r="O13" s="176"/>
      <c r="Z13" s="176">
        <f t="shared" si="0"/>
        <v>11.700000000001108</v>
      </c>
      <c r="AA13" s="176">
        <f>IF(TRIM(AG13)="","",IF(INDEX(AZ1:AZ51,AC13)=AG13,INDEX(BA1:BA51,AC13),((AG13-INDEX(AZ1:AZ51,AC13))*(INDEX(BA1:BA51,AC13+1)-INDEX(BA1:BA51,AC13)))/(INDEX(AZ1:AZ51,AC13+1)-INDEX(AZ1:AZ51,AC13))+INDEX(BA1:BA51,AC13)))</f>
        <v>11.700000000001108</v>
      </c>
      <c r="AB13" s="176" t="e">
        <f>IF(TRIM(AG13)="","",IF(INDEX(BD1:BD51,AD13)=AG13,INDEX(BE1:BE51,AD13),((AG13-INDEX(BD1:BD51,AD13))*(INDEX(BE1:BE51,AD13+1)-INDEX(BE1:BE51,AD13)))/(INDEX(BD1:BD51,AD13+1)-INDEX(BD1:BD51,AD13))+INDEX(BE1:BE51,AD13)))</f>
        <v>#N/A</v>
      </c>
      <c r="AC13" s="164">
        <f>MATCH(AG13,AZ1:AZ51,1)</f>
        <v>5</v>
      </c>
      <c r="AD13" s="164" t="e">
        <f>MATCH(AG13,BD1:BD51,1)</f>
        <v>#N/A</v>
      </c>
      <c r="AE13" s="164">
        <v>1</v>
      </c>
      <c r="AF13" s="164">
        <v>13</v>
      </c>
      <c r="AG13" s="179">
        <f>FIXED('HourGH-APR'!AB24)*1</f>
        <v>338.16</v>
      </c>
      <c r="AH13" s="164" t="str">
        <f>IF(AND(AE13=AP5,AE13=AR5,AF13&gt;=AQ5,AF13&lt;=AS5),"r1",IF(AND(AE13&gt;AP5,AE13&lt;AR5),"r1",IF(AND(AE13&gt;AP5,AE13=AR5,AF13&lt;=AS5),"r1",IF(AND(AE13=AP5,AE13&lt;AR5,AF13&gt;=AQ5),"r1","n"))))</f>
        <v>r1</v>
      </c>
      <c r="AI13" s="164" t="str">
        <f>IF(AH13&lt;&gt;"n",AH13,IF(AND(AE13=AT5,AE13=AV5,AF13&gt;=AU5,AF13&lt;=AW5),"r2",IF(AND(AE13&gt;AT5,AE13&lt;AV5),"r2",IF(AND(AE13&gt;AT5,AE13=AV5,AF13&lt;=AW5),"r2",IF(AND(AE13=AT5,AE13&lt;AV5,AF13&gt;=AU5),"r2","n")))))</f>
        <v>r1</v>
      </c>
      <c r="AJ13" s="164" t="str">
        <f>IF(AI13&lt;&gt;"n",AI13,IF(AND(AE13=AP6,AE13=AR6,AF13&gt;=AQ6,AF13&lt;=AS6),"r1",IF(AND(AE13&gt;AP6,AE13&lt;AR6),"r1",IF(AND(AE13&gt;AP6,AE13=AR6,AF13&lt;=AS6),"r1",IF(AND(AE13=AP6,AE13&lt;AR6,AF13&gt;=AQ6),"r1","n")))))</f>
        <v>r1</v>
      </c>
      <c r="AK13" s="164" t="str">
        <f>IF(AJ13&lt;&gt;"n",AJ13,IF(AND(AE13=AT6,AE13=AV6,AF13&gt;=AU6,AF13&lt;=AW6),"r2",IF(AND(AE13&gt;AT6,AE13&lt;AV6),"r2",IF(AND(AE13&gt;AT6,AE13=AV6,AF13&lt;=AW6),"r2",IF(AND(AE13=AT6,AE13&lt;AV6,AF13&gt;=AU6),"r2","n")))))</f>
        <v>r1</v>
      </c>
      <c r="AL13" s="164" t="str">
        <f>IF(AK13&lt;&gt;"n",AK13,IF(AND(AE13=AP7,AE13=AR7,AF13&gt;=AQ7,AF13&lt;=AS7),"r1",IF(AND(AE13&gt;AP7,AE13&lt;AR7),"r1",IF(AND(AE13&gt;AP7,AE13=AR7,AF13&lt;=AS7),"r1",IF(AND(AE13=AP7,AE13&lt;AR7,AF13&gt;=AQ7),"r1","n")))))</f>
        <v>r1</v>
      </c>
      <c r="AX13" s="176">
        <f>'c-form'!H23</f>
        <v>339.6</v>
      </c>
      <c r="AY13" s="176">
        <f>'c-form'!J23</f>
        <v>92.5</v>
      </c>
      <c r="AZ13" s="176">
        <f t="shared" si="3"/>
        <v>340.2</v>
      </c>
      <c r="BA13" s="176">
        <f t="shared" si="4"/>
        <v>134.5</v>
      </c>
      <c r="BB13" s="176">
        <f>'c-form'!H65</f>
        <v>0</v>
      </c>
      <c r="BC13" s="176">
        <f>'c-form'!J65</f>
        <v>0</v>
      </c>
      <c r="BD13" s="176" t="str">
        <f t="shared" si="2"/>
        <v/>
      </c>
      <c r="BE13" s="176" t="str">
        <f t="shared" si="1"/>
        <v/>
      </c>
    </row>
    <row r="14" spans="1:59" ht="12.6" customHeight="1">
      <c r="B14" s="178">
        <v>6</v>
      </c>
      <c r="C14" s="176">
        <f>IF(COUNT(Z6)=0,"",ROUND(Z6,('c-form'!AB15)*1))</f>
        <v>13</v>
      </c>
      <c r="D14" s="176">
        <f>IF(COUNT(Z36)=0,"",ROUND(Z36,('c-form'!AB15)*1))</f>
        <v>10.4</v>
      </c>
      <c r="E14" s="176">
        <f>IF(COUNT(Z68)=0,"",ROUND(Z68,('c-form'!AB15)*1))</f>
        <v>2.4</v>
      </c>
      <c r="F14" s="176">
        <f>IF(COUNT(Z98)=0,"",ROUND(Z98,('c-form'!AB15)*1))</f>
        <v>3.2</v>
      </c>
      <c r="G14" s="176">
        <f>IF(COUNT(Z129)=0,"",ROUND(Z129,('c-form'!AB15)*1))</f>
        <v>15.7</v>
      </c>
      <c r="H14" s="176">
        <f>IF(COUNT(Z160)=0,"",ROUND(Z160,('c-form'!AB15)*1))</f>
        <v>17.05</v>
      </c>
      <c r="I14" s="176">
        <f>IF(COUNT(Z190)=0,"",ROUND(Z190,('c-form'!AB15)*1))</f>
        <v>32.5</v>
      </c>
      <c r="J14" s="176">
        <f>IF(COUNT(Z221)=0,"",ROUND(Z221,('c-form'!AB15)*1))</f>
        <v>20.65</v>
      </c>
      <c r="K14" s="176">
        <f>IF(COUNT(Z251)=0,"",ROUND(Z251,('c-form'!AB15)*1))</f>
        <v>10.08</v>
      </c>
      <c r="L14" s="176">
        <f>IF(COUNT(Z282)=0,"",ROUND(Z282,('c-form'!AB15)*1))</f>
        <v>6.82</v>
      </c>
      <c r="M14" s="176">
        <f>IF(COUNT(Z313)=0,"",ROUND(Z313,('c-form'!AB15)*1))</f>
        <v>4.5</v>
      </c>
      <c r="N14" s="176">
        <f>IF(COUNT(Z342)=0,"",ROUND(Z342,('c-form'!AB15)*1))</f>
        <v>3</v>
      </c>
      <c r="O14" s="176"/>
      <c r="Z14" s="176">
        <f t="shared" si="0"/>
        <v>13</v>
      </c>
      <c r="AA14" s="176">
        <f>IF(TRIM(AG14)="","",IF(INDEX(AZ1:AZ51,AC14)=AG14,INDEX(BA1:BA51,AC14),((AG14-INDEX(AZ1:AZ51,AC14))*(INDEX(BA1:BA51,AC14+1)-INDEX(BA1:BA51,AC14)))/(INDEX(AZ1:AZ51,AC14+1)-INDEX(AZ1:AZ51,AC14))+INDEX(BA1:BA51,AC14)))</f>
        <v>13</v>
      </c>
      <c r="AB14" s="176" t="e">
        <f>IF(TRIM(AG14)="","",IF(INDEX(BD1:BD51,AD14)=AG14,INDEX(BE1:BE51,AD14),((AG14-INDEX(BD1:BD51,AD14))*(INDEX(BE1:BE51,AD14+1)-INDEX(BE1:BE51,AD14)))/(INDEX(BD1:BD51,AD14+1)-INDEX(BD1:BD51,AD14))+INDEX(BE1:BE51,AD14)))</f>
        <v>#N/A</v>
      </c>
      <c r="AC14" s="164">
        <f>MATCH(AG14,AZ1:AZ51,1)</f>
        <v>6</v>
      </c>
      <c r="AD14" s="164" t="e">
        <f>MATCH(AG14,BD1:BD51,1)</f>
        <v>#N/A</v>
      </c>
      <c r="AE14" s="164">
        <v>1</v>
      </c>
      <c r="AF14" s="164">
        <v>14</v>
      </c>
      <c r="AG14" s="179">
        <f>FIXED('HourGH-APR'!AB25)*1</f>
        <v>338.2</v>
      </c>
      <c r="AH14" s="164" t="str">
        <f>IF(AND(AE14=AP5,AE14=AR5,AF14&gt;=AQ5,AF14&lt;=AS5),"r1",IF(AND(AE14&gt;AP5,AE14&lt;AR5),"r1",IF(AND(AE14&gt;AP5,AE14=AR5,AF14&lt;=AS5),"r1",IF(AND(AE14=AP5,AE14&lt;AR5,AF14&gt;=AQ5),"r1","n"))))</f>
        <v>r1</v>
      </c>
      <c r="AI14" s="164" t="str">
        <f>IF(AH14&lt;&gt;"n",AH14,IF(AND(AE14=AT5,AE14=AV5,AF14&gt;=AU5,AF14&lt;=AW5),"r2",IF(AND(AE14&gt;AT5,AE14&lt;AV5),"r2",IF(AND(AE14&gt;AT5,AE14=AV5,AF14&lt;=AW5),"r2",IF(AND(AE14=AT5,AE14&lt;AV5,AF14&gt;=AU5),"r2","n")))))</f>
        <v>r1</v>
      </c>
      <c r="AJ14" s="164" t="str">
        <f>IF(AI14&lt;&gt;"n",AI14,IF(AND(AE14=AP6,AE14=AR6,AF14&gt;=AQ6,AF14&lt;=AS6),"r1",IF(AND(AE14&gt;AP6,AE14&lt;AR6),"r1",IF(AND(AE14&gt;AP6,AE14=AR6,AF14&lt;=AS6),"r1",IF(AND(AE14=AP6,AE14&lt;AR6,AF14&gt;=AQ6),"r1","n")))))</f>
        <v>r1</v>
      </c>
      <c r="AK14" s="164" t="str">
        <f>IF(AJ14&lt;&gt;"n",AJ14,IF(AND(AE14=AT6,AE14=AV6,AF14&gt;=AU6,AF14&lt;=AW6),"r2",IF(AND(AE14&gt;AT6,AE14&lt;AV6),"r2",IF(AND(AE14&gt;AT6,AE14=AV6,AF14&lt;=AW6),"r2",IF(AND(AE14=AT6,AE14&lt;AV6,AF14&gt;=AU6),"r2","n")))))</f>
        <v>r1</v>
      </c>
      <c r="AL14" s="164" t="str">
        <f>IF(AK14&lt;&gt;"n",AK14,IF(AND(AE14=AP7,AE14=AR7,AF14&gt;=AQ7,AF14&lt;=AS7),"r1",IF(AND(AE14&gt;AP7,AE14&lt;AR7),"r1",IF(AND(AE14&gt;AP7,AE14=AR7,AF14&lt;=AS7),"r1",IF(AND(AE14=AP7,AE14&lt;AR7,AF14&gt;=AQ7),"r1","n")))))</f>
        <v>r1</v>
      </c>
      <c r="AX14" s="176">
        <f>'c-form'!M23</f>
        <v>340.2</v>
      </c>
      <c r="AY14" s="176">
        <f>'c-form'!P23</f>
        <v>134.5</v>
      </c>
      <c r="AZ14" s="176">
        <f t="shared" si="3"/>
        <v>340.3</v>
      </c>
      <c r="BA14" s="176">
        <f t="shared" si="4"/>
        <v>142</v>
      </c>
      <c r="BB14" s="176">
        <f>'c-form'!M65</f>
        <v>0</v>
      </c>
      <c r="BC14" s="176">
        <f>'c-form'!P65</f>
        <v>0</v>
      </c>
      <c r="BD14" s="176" t="str">
        <f t="shared" si="2"/>
        <v/>
      </c>
      <c r="BE14" s="176" t="str">
        <f t="shared" si="1"/>
        <v/>
      </c>
    </row>
    <row r="15" spans="1:59" ht="12.6" customHeight="1">
      <c r="B15" s="178">
        <v>7</v>
      </c>
      <c r="C15" s="176">
        <f>IF(COUNT(Z7)=0,"",ROUND(Z7,('c-form'!AB15)*1))</f>
        <v>17.05</v>
      </c>
      <c r="D15" s="176">
        <f>IF(COUNT(Z37)=0,"",ROUND(Z37,('c-form'!AB15)*1))</f>
        <v>9.1</v>
      </c>
      <c r="E15" s="176">
        <f>IF(COUNT(Z69)=0,"",ROUND(Z69,('c-form'!AB15)*1))</f>
        <v>2.8</v>
      </c>
      <c r="F15" s="176">
        <f>IF(COUNT(Z99)=0,"",ROUND(Z99,('c-form'!AB15)*1))</f>
        <v>3.2</v>
      </c>
      <c r="G15" s="176">
        <f>IF(COUNT(Z130)=0,"",ROUND(Z130,('c-form'!AB15)*1))</f>
        <v>12.35</v>
      </c>
      <c r="H15" s="176">
        <f>IF(COUNT(Z161)=0,"",ROUND(Z161,('c-form'!AB15)*1))</f>
        <v>41</v>
      </c>
      <c r="I15" s="176">
        <f>IF(COUNT(Z191)=0,"",ROUND(Z191,('c-form'!AB15)*1))</f>
        <v>26.5</v>
      </c>
      <c r="J15" s="176">
        <f>IF(COUNT(Z222)=0,"",ROUND(Z222,('c-form'!AB15)*1))</f>
        <v>19.3</v>
      </c>
      <c r="K15" s="176">
        <f>IF(COUNT(Z252)=0,"",ROUND(Z252,('c-form'!AB15)*1))</f>
        <v>9.75</v>
      </c>
      <c r="L15" s="176">
        <f>IF(COUNT(Z283)=0,"",ROUND(Z283,('c-form'!AB15)*1))</f>
        <v>7.15</v>
      </c>
      <c r="M15" s="176">
        <f>IF(COUNT(Z314)=0,"",ROUND(Z314,('c-form'!AB15)*1))</f>
        <v>6.82</v>
      </c>
      <c r="N15" s="176">
        <f>IF(COUNT(Z343)=0,"",ROUND(Z343,('c-form'!AB15)*1))</f>
        <v>4.75</v>
      </c>
      <c r="O15" s="176"/>
      <c r="Z15" s="176">
        <f t="shared" si="0"/>
        <v>13</v>
      </c>
      <c r="AA15" s="176">
        <f>IF(TRIM(AG15)="","",IF(INDEX(AZ1:AZ51,AC15)=AG15,INDEX(BA1:BA51,AC15),((AG15-INDEX(AZ1:AZ51,AC15))*(INDEX(BA1:BA51,AC15+1)-INDEX(BA1:BA51,AC15)))/(INDEX(AZ1:AZ51,AC15+1)-INDEX(AZ1:AZ51,AC15))+INDEX(BA1:BA51,AC15)))</f>
        <v>13</v>
      </c>
      <c r="AB15" s="176" t="e">
        <f>IF(TRIM(AG15)="","",IF(INDEX(BD1:BD51,AD15)=AG15,INDEX(BE1:BE51,AD15),((AG15-INDEX(BD1:BD51,AD15))*(INDEX(BE1:BE51,AD15+1)-INDEX(BE1:BE51,AD15)))/(INDEX(BD1:BD51,AD15+1)-INDEX(BD1:BD51,AD15))+INDEX(BE1:BE51,AD15)))</f>
        <v>#N/A</v>
      </c>
      <c r="AC15" s="164">
        <f>MATCH(AG15,AZ1:AZ51,1)</f>
        <v>6</v>
      </c>
      <c r="AD15" s="164" t="e">
        <f>MATCH(AG15,BD1:BD51,1)</f>
        <v>#N/A</v>
      </c>
      <c r="AE15" s="164">
        <v>1</v>
      </c>
      <c r="AF15" s="164">
        <v>15</v>
      </c>
      <c r="AG15" s="179">
        <f>FIXED('HourGH-APR'!AB26)*1</f>
        <v>338.2</v>
      </c>
      <c r="AH15" s="164" t="str">
        <f>IF(AND(AE15=AP5,AE15=AR5,AF15&gt;=AQ5,AF15&lt;=AS5),"r1",IF(AND(AE15&gt;AP5,AE15&lt;AR5),"r1",IF(AND(AE15&gt;AP5,AE15=AR5,AF15&lt;=AS5),"r1",IF(AND(AE15=AP5,AE15&lt;AR5,AF15&gt;=AQ5),"r1","n"))))</f>
        <v>r1</v>
      </c>
      <c r="AI15" s="164" t="str">
        <f>IF(AH15&lt;&gt;"n",AH15,IF(AND(AE15=AT5,AE15=AV5,AF15&gt;=AU5,AF15&lt;=AW5),"r2",IF(AND(AE15&gt;AT5,AE15&lt;AV5),"r2",IF(AND(AE15&gt;AT5,AE15=AV5,AF15&lt;=AW5),"r2",IF(AND(AE15=AT5,AE15&lt;AV5,AF15&gt;=AU5),"r2","n")))))</f>
        <v>r1</v>
      </c>
      <c r="AJ15" s="164" t="str">
        <f>IF(AI15&lt;&gt;"n",AI15,IF(AND(AE15=AP6,AE15=AR6,AF15&gt;=AQ6,AF15&lt;=AS6),"r1",IF(AND(AE15&gt;AP6,AE15&lt;AR6),"r1",IF(AND(AE15&gt;AP6,AE15=AR6,AF15&lt;=AS6),"r1",IF(AND(AE15=AP6,AE15&lt;AR6,AF15&gt;=AQ6),"r1","n")))))</f>
        <v>r1</v>
      </c>
      <c r="AK15" s="164" t="str">
        <f>IF(AJ15&lt;&gt;"n",AJ15,IF(AND(AE15=AT6,AE15=AV6,AF15&gt;=AU6,AF15&lt;=AW6),"r2",IF(AND(AE15&gt;AT6,AE15&lt;AV6),"r2",IF(AND(AE15&gt;AT6,AE15=AV6,AF15&lt;=AW6),"r2",IF(AND(AE15=AT6,AE15&lt;AV6,AF15&gt;=AU6),"r2","n")))))</f>
        <v>r1</v>
      </c>
      <c r="AL15" s="164" t="str">
        <f>IF(AK15&lt;&gt;"n",AK15,IF(AND(AE15=AP7,AE15=AR7,AF15&gt;=AQ7,AF15&lt;=AS7),"r1",IF(AND(AE15&gt;AP7,AE15&lt;AR7),"r1",IF(AND(AE15&gt;AP7,AE15=AR7,AF15&lt;=AS7),"r1",IF(AND(AE15=AP7,AE15&lt;AR7,AF15&gt;=AQ7),"r1","n")))))</f>
        <v>r1</v>
      </c>
      <c r="AX15" s="176">
        <f>'c-form'!R23</f>
        <v>340.3</v>
      </c>
      <c r="AY15" s="176">
        <f>'c-form'!T23</f>
        <v>142</v>
      </c>
      <c r="AZ15" s="176" t="str">
        <f t="shared" si="3"/>
        <v/>
      </c>
      <c r="BA15" s="176" t="str">
        <f t="shared" si="4"/>
        <v/>
      </c>
      <c r="BB15" s="176">
        <f>'c-form'!R65</f>
        <v>0</v>
      </c>
      <c r="BC15" s="176">
        <f>'c-form'!T65</f>
        <v>0</v>
      </c>
      <c r="BD15" s="176" t="str">
        <f t="shared" si="2"/>
        <v/>
      </c>
      <c r="BE15" s="176" t="str">
        <f t="shared" si="1"/>
        <v/>
      </c>
    </row>
    <row r="16" spans="1:59" ht="12.6" customHeight="1">
      <c r="B16" s="178">
        <v>8</v>
      </c>
      <c r="C16" s="176">
        <f>IF(COUNT(Z8)=0,"",ROUND(Z8,('c-form'!AB15)*1))</f>
        <v>14.35</v>
      </c>
      <c r="D16" s="176">
        <f>IF(COUNT(Z38)=0,"",ROUND(Z38,('c-form'!AB15)*1))</f>
        <v>9.42</v>
      </c>
      <c r="E16" s="176">
        <f>IF(COUNT(Z70)=0,"",ROUND(Z70,('c-form'!AB15)*1))</f>
        <v>2.8</v>
      </c>
      <c r="F16" s="176">
        <f>IF(COUNT(Z100)=0,"",ROUND(Z100,('c-form'!AB15)*1))</f>
        <v>3.6</v>
      </c>
      <c r="G16" s="176">
        <f>IF(COUNT(Z131)=0,"",ROUND(Z131,('c-form'!AB15)*1))</f>
        <v>12.03</v>
      </c>
      <c r="H16" s="176">
        <f>IF(COUNT(Z162)=0,"",ROUND(Z162,('c-form'!AB15)*1))</f>
        <v>73.150000000000006</v>
      </c>
      <c r="I16" s="176">
        <f>IF(COUNT(Z192)=0,"",ROUND(Z192,('c-form'!AB15)*1))</f>
        <v>23</v>
      </c>
      <c r="J16" s="176">
        <f>IF(COUNT(Z223)=0,"",ROUND(Z223,('c-form'!AB15)*1))</f>
        <v>18.399999999999999</v>
      </c>
      <c r="K16" s="176">
        <f>IF(COUNT(Z253)=0,"",ROUND(Z253,('c-form'!AB15)*1))</f>
        <v>9.75</v>
      </c>
      <c r="L16" s="176">
        <f>IF(COUNT(Z284)=0,"",ROUND(Z284,('c-form'!AB15)*1))</f>
        <v>7.15</v>
      </c>
      <c r="M16" s="176">
        <f>IF(COUNT(Z315)=0,"",ROUND(Z315,('c-form'!AB15)*1))</f>
        <v>15.7</v>
      </c>
      <c r="N16" s="176">
        <f>IF(COUNT(Z344)=0,"",ROUND(Z344,('c-form'!AB15)*1))</f>
        <v>14.8</v>
      </c>
      <c r="O16" s="176"/>
      <c r="Z16" s="176">
        <f t="shared" si="0"/>
        <v>13</v>
      </c>
      <c r="AA16" s="176">
        <f>IF(TRIM(AG16)="","",IF(INDEX(AZ1:AZ51,AC16)=AG16,INDEX(BA1:BA51,AC16),((AG16-INDEX(AZ1:AZ51,AC16))*(INDEX(BA1:BA51,AC16+1)-INDEX(BA1:BA51,AC16)))/(INDEX(AZ1:AZ51,AC16+1)-INDEX(AZ1:AZ51,AC16))+INDEX(BA1:BA51,AC16)))</f>
        <v>13</v>
      </c>
      <c r="AB16" s="176" t="e">
        <f>IF(TRIM(AG16)="","",IF(INDEX(BD1:BD51,AD16)=AG16,INDEX(BE1:BE51,AD16),((AG16-INDEX(BD1:BD51,AD16))*(INDEX(BE1:BE51,AD16+1)-INDEX(BE1:BE51,AD16)))/(INDEX(BD1:BD51,AD16+1)-INDEX(BD1:BD51,AD16))+INDEX(BE1:BE51,AD16)))</f>
        <v>#N/A</v>
      </c>
      <c r="AC16" s="164">
        <f>MATCH(AG16,AZ1:AZ51,1)</f>
        <v>6</v>
      </c>
      <c r="AD16" s="164" t="e">
        <f>MATCH(AG16,BD1:BD51,1)</f>
        <v>#N/A</v>
      </c>
      <c r="AE16" s="164">
        <v>1</v>
      </c>
      <c r="AF16" s="164">
        <v>16</v>
      </c>
      <c r="AG16" s="179">
        <f>FIXED('HourGH-APR'!AB27)*1</f>
        <v>338.2</v>
      </c>
      <c r="AH16" s="164" t="str">
        <f>IF(AND(AE16=AP5,AE16=AR5,AF16&gt;=AQ5,AF16&lt;=AS5),"r1",IF(AND(AE16&gt;AP5,AE16&lt;AR5),"r1",IF(AND(AE16&gt;AP5,AE16=AR5,AF16&lt;=AS5),"r1",IF(AND(AE16=AP5,AE16&lt;AR5,AF16&gt;=AQ5),"r1","n"))))</f>
        <v>r1</v>
      </c>
      <c r="AI16" s="164" t="str">
        <f>IF(AH16&lt;&gt;"n",AH16,IF(AND(AE16=AT5,AE16=AV5,AF16&gt;=AU5,AF16&lt;=AW5),"r2",IF(AND(AE16&gt;AT5,AE16&lt;AV5),"r2",IF(AND(AE16&gt;AT5,AE16=AV5,AF16&lt;=AW5),"r2",IF(AND(AE16=AT5,AE16&lt;AV5,AF16&gt;=AU5),"r2","n")))))</f>
        <v>r1</v>
      </c>
      <c r="AJ16" s="164" t="str">
        <f>IF(AI16&lt;&gt;"n",AI16,IF(AND(AE16=AP6,AE16=AR6,AF16&gt;=AQ6,AF16&lt;=AS6),"r1",IF(AND(AE16&gt;AP6,AE16&lt;AR6),"r1",IF(AND(AE16&gt;AP6,AE16=AR6,AF16&lt;=AS6),"r1",IF(AND(AE16=AP6,AE16&lt;AR6,AF16&gt;=AQ6),"r1","n")))))</f>
        <v>r1</v>
      </c>
      <c r="AK16" s="164" t="str">
        <f>IF(AJ16&lt;&gt;"n",AJ16,IF(AND(AE16=AT6,AE16=AV6,AF16&gt;=AU6,AF16&lt;=AW6),"r2",IF(AND(AE16&gt;AT6,AE16&lt;AV6),"r2",IF(AND(AE16&gt;AT6,AE16=AV6,AF16&lt;=AW6),"r2",IF(AND(AE16=AT6,AE16&lt;AV6,AF16&gt;=AU6),"r2","n")))))</f>
        <v>r1</v>
      </c>
      <c r="AL16" s="164" t="str">
        <f>IF(AK16&lt;&gt;"n",AK16,IF(AND(AE16=AP7,AE16=AR7,AF16&gt;=AQ7,AF16&lt;=AS7),"r1",IF(AND(AE16&gt;AP7,AE16&lt;AR7),"r1",IF(AND(AE16&gt;AP7,AE16=AR7,AF16&lt;=AS7),"r1",IF(AND(AE16=AP7,AE16&lt;AR7,AF16&gt;=AQ7),"r1","n")))))</f>
        <v>r1</v>
      </c>
      <c r="AX16" s="176">
        <f>'c-form'!W23</f>
        <v>0</v>
      </c>
      <c r="AY16" s="176">
        <f>'c-form'!AA23</f>
        <v>0</v>
      </c>
      <c r="AZ16" s="176" t="str">
        <f t="shared" si="3"/>
        <v/>
      </c>
      <c r="BA16" s="176" t="str">
        <f t="shared" si="4"/>
        <v/>
      </c>
      <c r="BB16" s="176">
        <f>'c-form'!W65</f>
        <v>0</v>
      </c>
      <c r="BC16" s="176">
        <f>'c-form'!AA65</f>
        <v>0</v>
      </c>
      <c r="BD16" s="176" t="str">
        <f t="shared" si="2"/>
        <v/>
      </c>
      <c r="BE16" s="176" t="str">
        <f t="shared" si="1"/>
        <v/>
      </c>
    </row>
    <row r="17" spans="2:57" ht="12.6" customHeight="1">
      <c r="B17" s="178">
        <v>9</v>
      </c>
      <c r="C17" s="176">
        <f>IF(COUNT(Z9)=0,"",ROUND(Z9,('c-form'!AB15)*1))</f>
        <v>13</v>
      </c>
      <c r="D17" s="176">
        <f>IF(COUNT(Z39)=0,"",ROUND(Z39,('c-form'!AB15)*1))</f>
        <v>10.08</v>
      </c>
      <c r="E17" s="176">
        <f>IF(COUNT(Z71)=0,"",ROUND(Z71,('c-form'!AB15)*1))</f>
        <v>2.4</v>
      </c>
      <c r="F17" s="176">
        <f>IF(COUNT(Z101)=0,"",ROUND(Z101,('c-form'!AB15)*1))</f>
        <v>3.6</v>
      </c>
      <c r="G17" s="176">
        <f>IF(COUNT(Z132)=0,"",ROUND(Z132,('c-form'!AB15)*1))</f>
        <v>24</v>
      </c>
      <c r="H17" s="176">
        <f>IF(COUNT(Z163)=0,"",ROUND(Z163,('c-form'!AB15)*1))</f>
        <v>120.5</v>
      </c>
      <c r="I17" s="176">
        <f>IF(COUNT(Z193)=0,"",ROUND(Z193,('c-form'!AB15)*1))</f>
        <v>19.75</v>
      </c>
      <c r="J17" s="176">
        <f>IF(COUNT(Z224)=0,"",ROUND(Z224,('c-form'!AB15)*1))</f>
        <v>17.5</v>
      </c>
      <c r="K17" s="176">
        <f>IF(COUNT(Z254)=0,"",ROUND(Z254,('c-form'!AB15)*1))</f>
        <v>9.42</v>
      </c>
      <c r="L17" s="176">
        <f>IF(COUNT(Z285)=0,"",ROUND(Z285,('c-form'!AB15)*1))</f>
        <v>6.82</v>
      </c>
      <c r="M17" s="176">
        <f>IF(COUNT(Z316)=0,"",ROUND(Z316,('c-form'!AB15)*1))</f>
        <v>16.149999999999999</v>
      </c>
      <c r="N17" s="176">
        <f>IF(COUNT(Z345)=0,"",ROUND(Z345,('c-form'!AB15)*1))</f>
        <v>15.25</v>
      </c>
      <c r="O17" s="176"/>
      <c r="Z17" s="176">
        <f t="shared" si="0"/>
        <v>13</v>
      </c>
      <c r="AA17" s="176">
        <f>IF(TRIM(AG17)="","",IF(INDEX(AZ1:AZ51,AC17)=AG17,INDEX(BA1:BA51,AC17),((AG17-INDEX(AZ1:AZ51,AC17))*(INDEX(BA1:BA51,AC17+1)-INDEX(BA1:BA51,AC17)))/(INDEX(AZ1:AZ51,AC17+1)-INDEX(AZ1:AZ51,AC17))+INDEX(BA1:BA51,AC17)))</f>
        <v>13</v>
      </c>
      <c r="AB17" s="176" t="e">
        <f>IF(TRIM(AG17)="","",IF(INDEX(BD1:BD51,AD17)=AG17,INDEX(BE1:BE51,AD17),((AG17-INDEX(BD1:BD51,AD17))*(INDEX(BE1:BE51,AD17+1)-INDEX(BE1:BE51,AD17)))/(INDEX(BD1:BD51,AD17+1)-INDEX(BD1:BD51,AD17))+INDEX(BE1:BE51,AD17)))</f>
        <v>#N/A</v>
      </c>
      <c r="AC17" s="164">
        <f>MATCH(AG17,AZ1:AZ51,1)</f>
        <v>6</v>
      </c>
      <c r="AD17" s="164" t="e">
        <f>MATCH(AG17,BD1:BD51,1)</f>
        <v>#N/A</v>
      </c>
      <c r="AE17" s="164">
        <v>1</v>
      </c>
      <c r="AF17" s="164">
        <v>17</v>
      </c>
      <c r="AG17" s="179">
        <f>FIXED('HourGH-APR'!AB28)*1</f>
        <v>338.2</v>
      </c>
      <c r="AH17" s="164" t="str">
        <f>IF(AND(AE17=AP5,AE17=AR5,AF17&gt;=AQ5,AF17&lt;=AS5),"r1",IF(AND(AE17&gt;AP5,AE17&lt;AR5),"r1",IF(AND(AE17&gt;AP5,AE17=AR5,AF17&lt;=AS5),"r1",IF(AND(AE17=AP5,AE17&lt;AR5,AF17&gt;=AQ5),"r1","n"))))</f>
        <v>r1</v>
      </c>
      <c r="AI17" s="164" t="str">
        <f>IF(AH17&lt;&gt;"n",AH17,IF(AND(AE17=AT5,AE17=AV5,AF17&gt;=AU5,AF17&lt;=AW5),"r2",IF(AND(AE17&gt;AT5,AE17&lt;AV5),"r2",IF(AND(AE17&gt;AT5,AE17=AV5,AF17&lt;=AW5),"r2",IF(AND(AE17=AT5,AE17&lt;AV5,AF17&gt;=AU5),"r2","n")))))</f>
        <v>r1</v>
      </c>
      <c r="AJ17" s="164" t="str">
        <f>IF(AI17&lt;&gt;"n",AI17,IF(AND(AE17=AP6,AE17=AR6,AF17&gt;=AQ6,AF17&lt;=AS6),"r1",IF(AND(AE17&gt;AP6,AE17&lt;AR6),"r1",IF(AND(AE17&gt;AP6,AE17=AR6,AF17&lt;=AS6),"r1",IF(AND(AE17=AP6,AE17&lt;AR6,AF17&gt;=AQ6),"r1","n")))))</f>
        <v>r1</v>
      </c>
      <c r="AK17" s="164" t="str">
        <f>IF(AJ17&lt;&gt;"n",AJ17,IF(AND(AE17=AT6,AE17=AV6,AF17&gt;=AU6,AF17&lt;=AW6),"r2",IF(AND(AE17&gt;AT6,AE17&lt;AV6),"r2",IF(AND(AE17&gt;AT6,AE17=AV6,AF17&lt;=AW6),"r2",IF(AND(AE17=AT6,AE17&lt;AV6,AF17&gt;=AU6),"r2","n")))))</f>
        <v>r1</v>
      </c>
      <c r="AL17" s="164" t="str">
        <f>IF(AK17&lt;&gt;"n",AK17,IF(AND(AE17=AP7,AE17=AR7,AF17&gt;=AQ7,AF17&lt;=AS7),"r1",IF(AND(AE17&gt;AP7,AE17&lt;AR7),"r1",IF(AND(AE17&gt;AP7,AE17=AR7,AF17&lt;=AS7),"r1",IF(AND(AE17=AP7,AE17&lt;AR7,AF17&gt;=AQ7),"r1","n")))))</f>
        <v>r1</v>
      </c>
      <c r="AX17" s="176">
        <f>'c-form'!D24</f>
        <v>0</v>
      </c>
      <c r="AY17" s="176">
        <f>'c-form'!F24</f>
        <v>0</v>
      </c>
      <c r="AZ17" s="176" t="str">
        <f t="shared" si="3"/>
        <v/>
      </c>
      <c r="BA17" s="176" t="str">
        <f t="shared" si="4"/>
        <v/>
      </c>
      <c r="BB17" s="176">
        <f>'c-form'!D66</f>
        <v>0</v>
      </c>
      <c r="BC17" s="176">
        <f>'c-form'!F66</f>
        <v>0</v>
      </c>
      <c r="BD17" s="176" t="str">
        <f t="shared" si="2"/>
        <v/>
      </c>
      <c r="BE17" s="176" t="str">
        <f t="shared" si="1"/>
        <v/>
      </c>
    </row>
    <row r="18" spans="2:57" ht="12.6" customHeight="1">
      <c r="B18" s="178">
        <v>10</v>
      </c>
      <c r="C18" s="176">
        <f>IF(COUNT(Z10)=0,"",ROUND(Z10,('c-form'!AB15)*1))</f>
        <v>13.45</v>
      </c>
      <c r="D18" s="176">
        <f>IF(COUNT(Z40)=0,"",ROUND(Z40,('c-form'!AB15)*1))</f>
        <v>12.35</v>
      </c>
      <c r="E18" s="176">
        <f>IF(COUNT(Z72)=0,"",ROUND(Z72,('c-form'!AB15)*1))</f>
        <v>1.55</v>
      </c>
      <c r="F18" s="176">
        <f>IF(COUNT(Z102)=0,"",ROUND(Z102,('c-form'!AB15)*1))</f>
        <v>6.82</v>
      </c>
      <c r="G18" s="176">
        <f>IF(COUNT(Z133)=0,"",ROUND(Z133,('c-form'!AB15)*1))</f>
        <v>98.1</v>
      </c>
      <c r="H18" s="176">
        <f>IF(COUNT(Z164)=0,"",ROUND(Z164,('c-form'!AB15)*1))</f>
        <v>100.9</v>
      </c>
      <c r="I18" s="176">
        <f>IF(COUNT(Z194)=0,"",ROUND(Z194,('c-form'!AB15)*1))</f>
        <v>17.05</v>
      </c>
      <c r="J18" s="176">
        <f>IF(COUNT(Z225)=0,"",ROUND(Z225,('c-form'!AB15)*1))</f>
        <v>16.600000000000001</v>
      </c>
      <c r="K18" s="176">
        <f>IF(COUNT(Z255)=0,"",ROUND(Z255,('c-form'!AB15)*1))</f>
        <v>9.1</v>
      </c>
      <c r="L18" s="176">
        <f>IF(COUNT(Z286)=0,"",ROUND(Z286,('c-form'!AB15)*1))</f>
        <v>6.82</v>
      </c>
      <c r="M18" s="176">
        <f>IF(COUNT(Z317)=0,"",ROUND(Z317,('c-form'!AB15)*1))</f>
        <v>12.03</v>
      </c>
      <c r="N18" s="176">
        <f>IF(COUNT(Z346)=0,"",ROUND(Z346,('c-form'!AB15)*1))</f>
        <v>15.25</v>
      </c>
      <c r="O18" s="176"/>
      <c r="Z18" s="176">
        <f t="shared" si="0"/>
        <v>13</v>
      </c>
      <c r="AA18" s="176">
        <f>IF(TRIM(AG18)="","",IF(INDEX(AZ1:AZ51,AC18)=AG18,INDEX(BA1:BA51,AC18),((AG18-INDEX(AZ1:AZ51,AC18))*(INDEX(BA1:BA51,AC18+1)-INDEX(BA1:BA51,AC18)))/(INDEX(AZ1:AZ51,AC18+1)-INDEX(AZ1:AZ51,AC18))+INDEX(BA1:BA51,AC18)))</f>
        <v>13</v>
      </c>
      <c r="AB18" s="176" t="e">
        <f>IF(TRIM(AG18)="","",IF(INDEX(BD1:BD51,AD18)=AG18,INDEX(BE1:BE51,AD18),((AG18-INDEX(BD1:BD51,AD18))*(INDEX(BE1:BE51,AD18+1)-INDEX(BE1:BE51,AD18)))/(INDEX(BD1:BD51,AD18+1)-INDEX(BD1:BD51,AD18))+INDEX(BE1:BE51,AD18)))</f>
        <v>#N/A</v>
      </c>
      <c r="AC18" s="164">
        <f>MATCH(AG18,AZ1:AZ51,1)</f>
        <v>6</v>
      </c>
      <c r="AD18" s="164" t="e">
        <f>MATCH(AG18,BD1:BD51,1)</f>
        <v>#N/A</v>
      </c>
      <c r="AE18" s="164">
        <v>1</v>
      </c>
      <c r="AF18" s="164">
        <v>18</v>
      </c>
      <c r="AG18" s="179">
        <f>FIXED('HourGH-APR'!AB29)*1</f>
        <v>338.2</v>
      </c>
      <c r="AH18" s="164" t="str">
        <f>IF(AND(AE18=AP5,AE18=AR5,AF18&gt;=AQ5,AF18&lt;=AS5),"r1",IF(AND(AE18&gt;AP5,AE18&lt;AR5),"r1",IF(AND(AE18&gt;AP5,AE18=AR5,AF18&lt;=AS5),"r1",IF(AND(AE18=AP5,AE18&lt;AR5,AF18&gt;=AQ5),"r1","n"))))</f>
        <v>r1</v>
      </c>
      <c r="AI18" s="164" t="str">
        <f>IF(AH18&lt;&gt;"n",AH18,IF(AND(AE18=AT5,AE18=AV5,AF18&gt;=AU5,AF18&lt;=AW5),"r2",IF(AND(AE18&gt;AT5,AE18&lt;AV5),"r2",IF(AND(AE18&gt;AT5,AE18=AV5,AF18&lt;=AW5),"r2",IF(AND(AE18=AT5,AE18&lt;AV5,AF18&gt;=AU5),"r2","n")))))</f>
        <v>r1</v>
      </c>
      <c r="AJ18" s="164" t="str">
        <f>IF(AI18&lt;&gt;"n",AI18,IF(AND(AE18=AP6,AE18=AR6,AF18&gt;=AQ6,AF18&lt;=AS6),"r1",IF(AND(AE18&gt;AP6,AE18&lt;AR6),"r1",IF(AND(AE18&gt;AP6,AE18=AR6,AF18&lt;=AS6),"r1",IF(AND(AE18=AP6,AE18&lt;AR6,AF18&gt;=AQ6),"r1","n")))))</f>
        <v>r1</v>
      </c>
      <c r="AK18" s="164" t="str">
        <f>IF(AJ18&lt;&gt;"n",AJ18,IF(AND(AE18=AT6,AE18=AV6,AF18&gt;=AU6,AF18&lt;=AW6),"r2",IF(AND(AE18&gt;AT6,AE18&lt;AV6),"r2",IF(AND(AE18&gt;AT6,AE18=AV6,AF18&lt;=AW6),"r2",IF(AND(AE18=AT6,AE18&lt;AV6,AF18&gt;=AU6),"r2","n")))))</f>
        <v>r1</v>
      </c>
      <c r="AL18" s="164" t="str">
        <f>IF(AK18&lt;&gt;"n",AK18,IF(AND(AE18=AP7,AE18=AR7,AF18&gt;=AQ7,AF18&lt;=AS7),"r1",IF(AND(AE18&gt;AP7,AE18&lt;AR7),"r1",IF(AND(AE18&gt;AP7,AE18=AR7,AF18&lt;=AS7),"r1",IF(AND(AE18=AP7,AE18&lt;AR7,AF18&gt;=AQ7),"r1","n")))))</f>
        <v>r1</v>
      </c>
      <c r="AX18" s="176">
        <f>'c-form'!H24</f>
        <v>0</v>
      </c>
      <c r="AY18" s="176">
        <f>'c-form'!J24</f>
        <v>0</v>
      </c>
      <c r="AZ18" s="176" t="str">
        <f t="shared" si="3"/>
        <v/>
      </c>
      <c r="BA18" s="176" t="str">
        <f t="shared" si="4"/>
        <v/>
      </c>
      <c r="BB18" s="176">
        <f>'c-form'!H66</f>
        <v>0</v>
      </c>
      <c r="BC18" s="176">
        <f>'c-form'!J66</f>
        <v>0</v>
      </c>
      <c r="BD18" s="176" t="str">
        <f t="shared" si="2"/>
        <v/>
      </c>
      <c r="BE18" s="176" t="str">
        <f t="shared" si="1"/>
        <v/>
      </c>
    </row>
    <row r="19" spans="2:57" ht="3.75" customHeight="1">
      <c r="B19" s="178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Z19" s="176">
        <f t="shared" si="0"/>
        <v>12.675000000000278</v>
      </c>
      <c r="AA19" s="176">
        <f>IF(TRIM(AG19)="","",IF(INDEX(AZ1:AZ51,AC19)=AG19,INDEX(BA1:BA51,AC19),((AG19-INDEX(AZ1:AZ51,AC19))*(INDEX(BA1:BA51,AC19+1)-INDEX(BA1:BA51,AC19)))/(INDEX(AZ1:AZ51,AC19+1)-INDEX(AZ1:AZ51,AC19))+INDEX(BA1:BA51,AC19)))</f>
        <v>12.675000000000278</v>
      </c>
      <c r="AB19" s="176" t="e">
        <f>IF(TRIM(AG19)="","",IF(INDEX(BD1:BD51,AD19)=AG19,INDEX(BE1:BE51,AD19),((AG19-INDEX(BD1:BD51,AD19))*(INDEX(BE1:BE51,AD19+1)-INDEX(BE1:BE51,AD19)))/(INDEX(BD1:BD51,AD19+1)-INDEX(BD1:BD51,AD19))+INDEX(BE1:BE51,AD19)))</f>
        <v>#N/A</v>
      </c>
      <c r="AC19" s="164">
        <f>MATCH(AG19,AZ1:AZ51,1)</f>
        <v>5</v>
      </c>
      <c r="AD19" s="164" t="e">
        <f>MATCH(AG19,BD1:BD51,1)</f>
        <v>#N/A</v>
      </c>
      <c r="AE19" s="164">
        <v>1</v>
      </c>
      <c r="AF19" s="164">
        <v>19</v>
      </c>
      <c r="AG19" s="179">
        <f>FIXED('HourGH-APR'!AB30)*1</f>
        <v>338.19</v>
      </c>
      <c r="AH19" s="164" t="str">
        <f>IF(AND(AE19=AP5,AE19=AR5,AF19&gt;=AQ5,AF19&lt;=AS5),"r1",IF(AND(AE19&gt;AP5,AE19&lt;AR5),"r1",IF(AND(AE19&gt;AP5,AE19=AR5,AF19&lt;=AS5),"r1",IF(AND(AE19=AP5,AE19&lt;AR5,AF19&gt;=AQ5),"r1","n"))))</f>
        <v>r1</v>
      </c>
      <c r="AI19" s="164" t="str">
        <f>IF(AH19&lt;&gt;"n",AH19,IF(AND(AE19=AT5,AE19=AV5,AF19&gt;=AU5,AF19&lt;=AW5),"r2",IF(AND(AE19&gt;AT5,AE19&lt;AV5),"r2",IF(AND(AE19&gt;AT5,AE19=AV5,AF19&lt;=AW5),"r2",IF(AND(AE19=AT5,AE19&lt;AV5,AF19&gt;=AU5),"r2","n")))))</f>
        <v>r1</v>
      </c>
      <c r="AJ19" s="164" t="str">
        <f>IF(AI19&lt;&gt;"n",AI19,IF(AND(AE19=AP6,AE19=AR6,AF19&gt;=AQ6,AF19&lt;=AS6),"r1",IF(AND(AE19&gt;AP6,AE19&lt;AR6),"r1",IF(AND(AE19&gt;AP6,AE19=AR6,AF19&lt;=AS6),"r1",IF(AND(AE19=AP6,AE19&lt;AR6,AF19&gt;=AQ6),"r1","n")))))</f>
        <v>r1</v>
      </c>
      <c r="AK19" s="164" t="str">
        <f>IF(AJ19&lt;&gt;"n",AJ19,IF(AND(AE19=AT6,AE19=AV6,AF19&gt;=AU6,AF19&lt;=AW6),"r2",IF(AND(AE19&gt;AT6,AE19&lt;AV6),"r2",IF(AND(AE19&gt;AT6,AE19=AV6,AF19&lt;=AW6),"r2",IF(AND(AE19=AT6,AE19&lt;AV6,AF19&gt;=AU6),"r2","n")))))</f>
        <v>r1</v>
      </c>
      <c r="AL19" s="164" t="str">
        <f>IF(AK19&lt;&gt;"n",AK19,IF(AND(AE19=AP7,AE19=AR7,AF19&gt;=AQ7,AF19&lt;=AS7),"r1",IF(AND(AE19&gt;AP7,AE19&lt;AR7),"r1",IF(AND(AE19&gt;AP7,AE19=AR7,AF19&lt;=AS7),"r1",IF(AND(AE19=AP7,AE19&lt;AR7,AF19&gt;=AQ7),"r1","n")))))</f>
        <v>r1</v>
      </c>
      <c r="AX19" s="176">
        <f>'c-form'!M24</f>
        <v>0</v>
      </c>
      <c r="AY19" s="176">
        <f>'c-form'!P24</f>
        <v>0</v>
      </c>
      <c r="AZ19" s="176" t="str">
        <f t="shared" si="3"/>
        <v/>
      </c>
      <c r="BA19" s="176" t="str">
        <f t="shared" si="4"/>
        <v/>
      </c>
      <c r="BB19" s="176">
        <f>'c-form'!M66</f>
        <v>0</v>
      </c>
      <c r="BC19" s="176">
        <f>'c-form'!P66</f>
        <v>0</v>
      </c>
      <c r="BD19" s="176" t="str">
        <f t="shared" si="2"/>
        <v/>
      </c>
      <c r="BE19" s="176" t="str">
        <f t="shared" si="1"/>
        <v/>
      </c>
    </row>
    <row r="20" spans="2:57" ht="12.6" customHeight="1">
      <c r="B20" s="178">
        <v>11</v>
      </c>
      <c r="C20" s="176">
        <f>IF(COUNT(Z11)=0,"",ROUND(Z11,('c-form'!AB15)*1))</f>
        <v>13.9</v>
      </c>
      <c r="D20" s="176">
        <f>IF(COUNT(Z41)=0,"",ROUND(Z41,('c-form'!AB15)*1))</f>
        <v>12.35</v>
      </c>
      <c r="E20" s="176">
        <f>IF(COUNT(Z73)=0,"",ROUND(Z73,('c-form'!AB15)*1))</f>
        <v>4</v>
      </c>
      <c r="F20" s="176">
        <f>IF(COUNT(Z103)=0,"",ROUND(Z103,('c-form'!AB15)*1))</f>
        <v>8.77</v>
      </c>
      <c r="G20" s="176">
        <f>IF(COUNT(Z134)=0,"",ROUND(Z134,('c-form'!AB15)*1))</f>
        <v>124</v>
      </c>
      <c r="H20" s="176">
        <f>IF(COUNT(Z165)=0,"",ROUND(Z165,('c-form'!AB15)*1))</f>
        <v>54.12</v>
      </c>
      <c r="I20" s="176">
        <f>IF(COUNT(Z195)=0,"",ROUND(Z195,('c-form'!AB15)*1))</f>
        <v>15.25</v>
      </c>
      <c r="J20" s="176">
        <f>IF(COUNT(Z226)=0,"",ROUND(Z226,('c-form'!AB15)*1))</f>
        <v>15.7</v>
      </c>
      <c r="K20" s="176">
        <f>IF(COUNT(Z256)=0,"",ROUND(Z256,('c-form'!AB15)*1))</f>
        <v>9.1</v>
      </c>
      <c r="L20" s="176">
        <f>IF(COUNT(Z287)=0,"",ROUND(Z287,('c-form'!AB15)*1))</f>
        <v>6.5</v>
      </c>
      <c r="M20" s="176">
        <f>IF(COUNT(Z318)=0,"",ROUND(Z318,('c-form'!AB15)*1))</f>
        <v>4</v>
      </c>
      <c r="N20" s="176">
        <f>IF(COUNT(Z347)=0,"",ROUND(Z347,('c-form'!AB15)*1))</f>
        <v>12.03</v>
      </c>
      <c r="O20" s="176"/>
      <c r="Z20" s="176">
        <f t="shared" si="0"/>
        <v>12.025000000000832</v>
      </c>
      <c r="AA20" s="176">
        <f>IF(TRIM(AG20)="","",IF(INDEX(AZ1:AZ51,AC20)=AG20,INDEX(BA1:BA51,AC20),((AG20-INDEX(AZ1:AZ51,AC20))*(INDEX(BA1:BA51,AC20+1)-INDEX(BA1:BA51,AC20)))/(INDEX(AZ1:AZ51,AC20+1)-INDEX(AZ1:AZ51,AC20))+INDEX(BA1:BA51,AC20)))</f>
        <v>12.025000000000832</v>
      </c>
      <c r="AB20" s="176" t="e">
        <f>IF(TRIM(AG20)="","",IF(INDEX(BD1:BD51,AD20)=AG20,INDEX(BE1:BE51,AD20),((AG20-INDEX(BD1:BD51,AD20))*(INDEX(BE1:BE51,AD20+1)-INDEX(BE1:BE51,AD20)))/(INDEX(BD1:BD51,AD20+1)-INDEX(BD1:BD51,AD20))+INDEX(BE1:BE51,AD20)))</f>
        <v>#N/A</v>
      </c>
      <c r="AC20" s="164">
        <f>MATCH(AG20,AZ1:AZ51,1)</f>
        <v>5</v>
      </c>
      <c r="AD20" s="164" t="e">
        <f>MATCH(AG20,BD1:BD51,1)</f>
        <v>#N/A</v>
      </c>
      <c r="AE20" s="164">
        <v>1</v>
      </c>
      <c r="AF20" s="164">
        <v>20</v>
      </c>
      <c r="AG20" s="179">
        <f>FIXED('HourGH-APR'!AB31)*1</f>
        <v>338.17</v>
      </c>
      <c r="AH20" s="164" t="str">
        <f>IF(AND(AE20=AP5,AE20=AR5,AF20&gt;=AQ5,AF20&lt;=AS5),"r1",IF(AND(AE20&gt;AP5,AE20&lt;AR5),"r1",IF(AND(AE20&gt;AP5,AE20=AR5,AF20&lt;=AS5),"r1",IF(AND(AE20=AP5,AE20&lt;AR5,AF20&gt;=AQ5),"r1","n"))))</f>
        <v>r1</v>
      </c>
      <c r="AI20" s="164" t="str">
        <f>IF(AH20&lt;&gt;"n",AH20,IF(AND(AE20=AT5,AE20=AV5,AF20&gt;=AU5,AF20&lt;=AW5),"r2",IF(AND(AE20&gt;AT5,AE20&lt;AV5),"r2",IF(AND(AE20&gt;AT5,AE20=AV5,AF20&lt;=AW5),"r2",IF(AND(AE20=AT5,AE20&lt;AV5,AF20&gt;=AU5),"r2","n")))))</f>
        <v>r1</v>
      </c>
      <c r="AJ20" s="164" t="str">
        <f>IF(AI20&lt;&gt;"n",AI20,IF(AND(AE20=AP6,AE20=AR6,AF20&gt;=AQ6,AF20&lt;=AS6),"r1",IF(AND(AE20&gt;AP6,AE20&lt;AR6),"r1",IF(AND(AE20&gt;AP6,AE20=AR6,AF20&lt;=AS6),"r1",IF(AND(AE20=AP6,AE20&lt;AR6,AF20&gt;=AQ6),"r1","n")))))</f>
        <v>r1</v>
      </c>
      <c r="AK20" s="164" t="str">
        <f>IF(AJ20&lt;&gt;"n",AJ20,IF(AND(AE20=AT6,AE20=AV6,AF20&gt;=AU6,AF20&lt;=AW6),"r2",IF(AND(AE20&gt;AT6,AE20&lt;AV6),"r2",IF(AND(AE20&gt;AT6,AE20=AV6,AF20&lt;=AW6),"r2",IF(AND(AE20=AT6,AE20&lt;AV6,AF20&gt;=AU6),"r2","n")))))</f>
        <v>r1</v>
      </c>
      <c r="AL20" s="164" t="str">
        <f>IF(AK20&lt;&gt;"n",AK20,IF(AND(AE20=AP7,AE20=AR7,AF20&gt;=AQ7,AF20&lt;=AS7),"r1",IF(AND(AE20&gt;AP7,AE20&lt;AR7),"r1",IF(AND(AE20&gt;AP7,AE20=AR7,AF20&lt;=AS7),"r1",IF(AND(AE20=AP7,AE20&lt;AR7,AF20&gt;=AQ7),"r1","n")))))</f>
        <v>r1</v>
      </c>
      <c r="AX20" s="176">
        <f>'c-form'!R24</f>
        <v>0</v>
      </c>
      <c r="AY20" s="176">
        <f>'c-form'!T24</f>
        <v>0</v>
      </c>
      <c r="AZ20" s="176" t="str">
        <f t="shared" si="3"/>
        <v/>
      </c>
      <c r="BA20" s="176" t="str">
        <f t="shared" si="4"/>
        <v/>
      </c>
      <c r="BB20" s="176">
        <f>'c-form'!R66</f>
        <v>0</v>
      </c>
      <c r="BC20" s="176">
        <f>'c-form'!T66</f>
        <v>0</v>
      </c>
      <c r="BD20" s="176" t="str">
        <f t="shared" si="2"/>
        <v/>
      </c>
      <c r="BE20" s="176" t="str">
        <f t="shared" si="1"/>
        <v/>
      </c>
    </row>
    <row r="21" spans="2:57" ht="12.6" customHeight="1">
      <c r="B21" s="178">
        <v>12</v>
      </c>
      <c r="C21" s="176">
        <f>IF(COUNT(Z12)=0,"",ROUND(Z12,('c-form'!AB15)*1))</f>
        <v>12.35</v>
      </c>
      <c r="D21" s="176">
        <f>IF(COUNT(Z43)=0,"",ROUND(Z43,('c-form'!AB15)*1))</f>
        <v>12.03</v>
      </c>
      <c r="E21" s="176">
        <f>IF(COUNT(Z74)=0,"",ROUND(Z74,('c-form'!AB15)*1))</f>
        <v>16.149999999999999</v>
      </c>
      <c r="F21" s="176">
        <f>IF(COUNT(Z104)=0,"",ROUND(Z104,('c-form'!AB15)*1))</f>
        <v>8.4499999999999993</v>
      </c>
      <c r="G21" s="176">
        <f>IF(COUNT(Z135)=0,"",ROUND(Z135,('c-form'!AB15)*1))</f>
        <v>91.15</v>
      </c>
      <c r="H21" s="176">
        <f>IF(COUNT(Z166)=0,"",ROUND(Z166,('c-form'!AB15)*1))</f>
        <v>42</v>
      </c>
      <c r="I21" s="176">
        <f>IF(COUNT(Z196)=0,"",ROUND(Z196,('c-form'!AB15)*1))</f>
        <v>14.8</v>
      </c>
      <c r="J21" s="176">
        <f>IF(COUNT(Z227)=0,"",ROUND(Z227,('c-form'!AB15)*1))</f>
        <v>15.7</v>
      </c>
      <c r="K21" s="176">
        <f>IF(COUNT(Z257)=0,"",ROUND(Z257,('c-form'!AB15)*1))</f>
        <v>9.42</v>
      </c>
      <c r="L21" s="176">
        <f>IF(COUNT(Z288)=0,"",ROUND(Z288,('c-form'!AB15)*1))</f>
        <v>6.5</v>
      </c>
      <c r="M21" s="176">
        <f>IF(COUNT(Z319)=0,"",ROUND(Z319,('c-form'!AB15)*1))</f>
        <v>3.8</v>
      </c>
      <c r="N21" s="176">
        <f>IF(COUNT(Z348)=0,"",ROUND(Z348,('c-form'!AB15)*1))</f>
        <v>3</v>
      </c>
      <c r="O21" s="176"/>
      <c r="Z21" s="176">
        <f t="shared" si="0"/>
        <v>12.025000000000832</v>
      </c>
      <c r="AA21" s="176">
        <f>IF(TRIM(AG21)="","",IF(INDEX(AZ1:AZ51,AC21)=AG21,INDEX(BA1:BA51,AC21),((AG21-INDEX(AZ1:AZ51,AC21))*(INDEX(BA1:BA51,AC21+1)-INDEX(BA1:BA51,AC21)))/(INDEX(AZ1:AZ51,AC21+1)-INDEX(AZ1:AZ51,AC21))+INDEX(BA1:BA51,AC21)))</f>
        <v>12.025000000000832</v>
      </c>
      <c r="AB21" s="176" t="e">
        <f>IF(TRIM(AG21)="","",IF(INDEX(BD1:BD51,AD21)=AG21,INDEX(BE1:BE51,AD21),((AG21-INDEX(BD1:BD51,AD21))*(INDEX(BE1:BE51,AD21+1)-INDEX(BE1:BE51,AD21)))/(INDEX(BD1:BD51,AD21+1)-INDEX(BD1:BD51,AD21))+INDEX(BE1:BE51,AD21)))</f>
        <v>#N/A</v>
      </c>
      <c r="AC21" s="164">
        <f>MATCH(AG21,AZ1:AZ51,1)</f>
        <v>5</v>
      </c>
      <c r="AD21" s="164" t="e">
        <f>MATCH(AG21,BD1:BD51,1)</f>
        <v>#N/A</v>
      </c>
      <c r="AE21" s="164">
        <v>1</v>
      </c>
      <c r="AF21" s="164">
        <v>21</v>
      </c>
      <c r="AG21" s="179">
        <f>FIXED('HourGH-APR'!AB33)*1</f>
        <v>338.17</v>
      </c>
      <c r="AH21" s="164" t="str">
        <f>IF(AND(AE21=AP5,AE21=AR5,AF21&gt;=AQ5,AF21&lt;=AS5),"r1",IF(AND(AE21&gt;AP5,AE21&lt;AR5),"r1",IF(AND(AE21&gt;AP5,AE21=AR5,AF21&lt;=AS5),"r1",IF(AND(AE21=AP5,AE21&lt;AR5,AF21&gt;=AQ5),"r1","n"))))</f>
        <v>r1</v>
      </c>
      <c r="AI21" s="164" t="str">
        <f>IF(AH21&lt;&gt;"n",AH21,IF(AND(AE21=AT5,AE21=AV5,AF21&gt;=AU5,AF21&lt;=AW5),"r2",IF(AND(AE21&gt;AT5,AE21&lt;AV5),"r2",IF(AND(AE21&gt;AT5,AE21=AV5,AF21&lt;=AW5),"r2",IF(AND(AE21=AT5,AE21&lt;AV5,AF21&gt;=AU5),"r2","n")))))</f>
        <v>r1</v>
      </c>
      <c r="AJ21" s="164" t="str">
        <f>IF(AI21&lt;&gt;"n",AI21,IF(AND(AE21=AP6,AE21=AR6,AF21&gt;=AQ6,AF21&lt;=AS6),"r1",IF(AND(AE21&gt;AP6,AE21&lt;AR6),"r1",IF(AND(AE21&gt;AP6,AE21=AR6,AF21&lt;=AS6),"r1",IF(AND(AE21=AP6,AE21&lt;AR6,AF21&gt;=AQ6),"r1","n")))))</f>
        <v>r1</v>
      </c>
      <c r="AK21" s="164" t="str">
        <f>IF(AJ21&lt;&gt;"n",AJ21,IF(AND(AE21=AT6,AE21=AV6,AF21&gt;=AU6,AF21&lt;=AW6),"r2",IF(AND(AE21&gt;AT6,AE21&lt;AV6),"r2",IF(AND(AE21&gt;AT6,AE21=AV6,AF21&lt;=AW6),"r2",IF(AND(AE21=AT6,AE21&lt;AV6,AF21&gt;=AU6),"r2","n")))))</f>
        <v>r1</v>
      </c>
      <c r="AL21" s="164" t="str">
        <f>IF(AK21&lt;&gt;"n",AK21,IF(AND(AE21=AP7,AE21=AR7,AF21&gt;=AQ7,AF21&lt;=AS7),"r1",IF(AND(AE21&gt;AP7,AE21&lt;AR7),"r1",IF(AND(AE21&gt;AP7,AE21=AR7,AF21&lt;=AS7),"r1",IF(AND(AE21=AP7,AE21&lt;AR7,AF21&gt;=AQ7),"r1","n")))))</f>
        <v>r1</v>
      </c>
      <c r="AX21" s="176">
        <f>'c-form'!W24</f>
        <v>0</v>
      </c>
      <c r="AY21" s="176">
        <f>'c-form'!AA24</f>
        <v>0</v>
      </c>
      <c r="AZ21" s="176" t="str">
        <f t="shared" si="3"/>
        <v/>
      </c>
      <c r="BA21" s="176" t="str">
        <f t="shared" si="4"/>
        <v/>
      </c>
      <c r="BB21" s="176">
        <f>'c-form'!W66</f>
        <v>0</v>
      </c>
      <c r="BC21" s="176">
        <f>'c-form'!AA66</f>
        <v>0</v>
      </c>
      <c r="BD21" s="176" t="str">
        <f t="shared" si="2"/>
        <v/>
      </c>
      <c r="BE21" s="176" t="str">
        <f t="shared" si="1"/>
        <v/>
      </c>
    </row>
    <row r="22" spans="2:57" ht="12.6" customHeight="1">
      <c r="B22" s="178">
        <v>13</v>
      </c>
      <c r="C22" s="176">
        <f>IF(COUNT(Z13)=0,"",ROUND(Z13,('c-form'!AB15)*1))</f>
        <v>11.7</v>
      </c>
      <c r="D22" s="176">
        <f>IF(COUNT(Z44)=0,"",ROUND(Z44,('c-form'!AB15)*1))</f>
        <v>11.37</v>
      </c>
      <c r="E22" s="176">
        <f>IF(COUNT(Z75)=0,"",ROUND(Z75,('c-form'!AB15)*1))</f>
        <v>6.82</v>
      </c>
      <c r="F22" s="176">
        <f>IF(COUNT(Z105)=0,"",ROUND(Z105,('c-form'!AB15)*1))</f>
        <v>6.82</v>
      </c>
      <c r="G22" s="176">
        <f>IF(COUNT(Z136)=0,"",ROUND(Z136,('c-form'!AB15)*1))</f>
        <v>57.25</v>
      </c>
      <c r="H22" s="176">
        <f>IF(COUNT(Z167)=0,"",ROUND(Z167,('c-form'!AB15)*1))</f>
        <v>54.12</v>
      </c>
      <c r="I22" s="176">
        <f>IF(COUNT(Z197)=0,"",ROUND(Z197,('c-form'!AB15)*1))</f>
        <v>14.8</v>
      </c>
      <c r="J22" s="176">
        <f>IF(COUNT(Z228)=0,"",ROUND(Z228,('c-form'!AB15)*1))</f>
        <v>14.8</v>
      </c>
      <c r="K22" s="176">
        <f>IF(COUNT(Z258)=0,"",ROUND(Z258,('c-form'!AB15)*1))</f>
        <v>10.4</v>
      </c>
      <c r="L22" s="176">
        <f>IF(COUNT(Z289)=0,"",ROUND(Z289,('c-form'!AB15)*1))</f>
        <v>6.25</v>
      </c>
      <c r="M22" s="176">
        <f>IF(COUNT(Z320)=0,"",ROUND(Z320,('c-form'!AB15)*1))</f>
        <v>4</v>
      </c>
      <c r="N22" s="176">
        <f>IF(COUNT(Z349)=0,"",ROUND(Z349,('c-form'!AB15)*1))</f>
        <v>2.8</v>
      </c>
      <c r="O22" s="176"/>
      <c r="Z22" s="176">
        <f t="shared" si="0"/>
        <v>12.350000000000554</v>
      </c>
      <c r="AA22" s="176">
        <f>IF(TRIM(AG22)="","",IF(INDEX(AZ1:AZ51,AC22)=AG22,INDEX(BA1:BA51,AC22),((AG22-INDEX(AZ1:AZ51,AC22))*(INDEX(BA1:BA51,AC22+1)-INDEX(BA1:BA51,AC22)))/(INDEX(AZ1:AZ51,AC22+1)-INDEX(AZ1:AZ51,AC22))+INDEX(BA1:BA51,AC22)))</f>
        <v>12.350000000000554</v>
      </c>
      <c r="AB22" s="176" t="e">
        <f>IF(TRIM(AG22)="","",IF(INDEX(BD1:BD51,AD22)=AG22,INDEX(BE1:BE51,AD22),((AG22-INDEX(BD1:BD51,AD22))*(INDEX(BE1:BE51,AD22+1)-INDEX(BE1:BE51,AD22)))/(INDEX(BD1:BD51,AD22+1)-INDEX(BD1:BD51,AD22))+INDEX(BE1:BE51,AD22)))</f>
        <v>#N/A</v>
      </c>
      <c r="AC22" s="164">
        <f>MATCH(AG22,AZ1:AZ51,1)</f>
        <v>5</v>
      </c>
      <c r="AD22" s="164" t="e">
        <f>MATCH(AG22,BD1:BD51,1)</f>
        <v>#N/A</v>
      </c>
      <c r="AE22" s="164">
        <v>1</v>
      </c>
      <c r="AF22" s="164">
        <v>22</v>
      </c>
      <c r="AG22" s="179">
        <f>FIXED('HourGH-APR'!AB34)*1</f>
        <v>338.18</v>
      </c>
      <c r="AH22" s="164" t="str">
        <f>IF(AND(AE22=AP5,AE22=AR5,AF22&gt;=AQ5,AF22&lt;=AS5),"r1",IF(AND(AE22&gt;AP5,AE22&lt;AR5),"r1",IF(AND(AE22&gt;AP5,AE22=AR5,AF22&lt;=AS5),"r1",IF(AND(AE22=AP5,AE22&lt;AR5,AF22&gt;=AQ5),"r1","n"))))</f>
        <v>r1</v>
      </c>
      <c r="AI22" s="164" t="str">
        <f>IF(AH22&lt;&gt;"n",AH22,IF(AND(AE22=AT5,AE22=AV5,AF22&gt;=AU5,AF22&lt;=AW5),"r2",IF(AND(AE22&gt;AT5,AE22&lt;AV5),"r2",IF(AND(AE22&gt;AT5,AE22=AV5,AF22&lt;=AW5),"r2",IF(AND(AE22=AT5,AE22&lt;AV5,AF22&gt;=AU5),"r2","n")))))</f>
        <v>r1</v>
      </c>
      <c r="AJ22" s="164" t="str">
        <f>IF(AI22&lt;&gt;"n",AI22,IF(AND(AE22=AP6,AE22=AR6,AF22&gt;=AQ6,AF22&lt;=AS6),"r1",IF(AND(AE22&gt;AP6,AE22&lt;AR6),"r1",IF(AND(AE22&gt;AP6,AE22=AR6,AF22&lt;=AS6),"r1",IF(AND(AE22=AP6,AE22&lt;AR6,AF22&gt;=AQ6),"r1","n")))))</f>
        <v>r1</v>
      </c>
      <c r="AK22" s="164" t="str">
        <f>IF(AJ22&lt;&gt;"n",AJ22,IF(AND(AE22=AT6,AE22=AV6,AF22&gt;=AU6,AF22&lt;=AW6),"r2",IF(AND(AE22&gt;AT6,AE22&lt;AV6),"r2",IF(AND(AE22&gt;AT6,AE22=AV6,AF22&lt;=AW6),"r2",IF(AND(AE22=AT6,AE22&lt;AV6,AF22&gt;=AU6),"r2","n")))))</f>
        <v>r1</v>
      </c>
      <c r="AL22" s="164" t="str">
        <f>IF(AK22&lt;&gt;"n",AK22,IF(AND(AE22=AP7,AE22=AR7,AF22&gt;=AQ7,AF22&lt;=AS7),"r1",IF(AND(AE22&gt;AP7,AE22&lt;AR7),"r1",IF(AND(AE22&gt;AP7,AE22=AR7,AF22&lt;=AS7),"r1",IF(AND(AE22=AP7,AE22&lt;AR7,AF22&gt;=AQ7),"r1","n")))))</f>
        <v>r1</v>
      </c>
      <c r="AX22" s="176">
        <f>'c-form'!D25</f>
        <v>0</v>
      </c>
      <c r="AY22" s="176">
        <f>'c-form'!F25</f>
        <v>0</v>
      </c>
      <c r="AZ22" s="176" t="str">
        <f t="shared" si="3"/>
        <v/>
      </c>
      <c r="BA22" s="176" t="str">
        <f t="shared" si="4"/>
        <v/>
      </c>
      <c r="BB22" s="176">
        <f>'c-form'!D67</f>
        <v>0</v>
      </c>
      <c r="BC22" s="176">
        <f>'c-form'!F67</f>
        <v>0</v>
      </c>
      <c r="BD22" s="176" t="str">
        <f t="shared" si="2"/>
        <v/>
      </c>
      <c r="BE22" s="176" t="str">
        <f t="shared" si="1"/>
        <v/>
      </c>
    </row>
    <row r="23" spans="2:57" ht="12.6" customHeight="1">
      <c r="B23" s="178">
        <v>14</v>
      </c>
      <c r="C23" s="176">
        <f>IF(COUNT(Z14)=0,"",ROUND(Z14,('c-form'!AB15)*1))</f>
        <v>13</v>
      </c>
      <c r="D23" s="176">
        <f>IF(COUNT(Z45)=0,"",ROUND(Z45,('c-form'!AB15)*1))</f>
        <v>9.75</v>
      </c>
      <c r="E23" s="176">
        <f>IF(COUNT(Z76)=0,"",ROUND(Z76,('c-form'!AB15)*1))</f>
        <v>3.6</v>
      </c>
      <c r="F23" s="176">
        <f>IF(COUNT(Z106)=0,"",ROUND(Z106,('c-form'!AB15)*1))</f>
        <v>6.25</v>
      </c>
      <c r="G23" s="176">
        <f>IF(COUNT(Z137)=0,"",ROUND(Z137,('c-form'!AB15)*1))</f>
        <v>34.5</v>
      </c>
      <c r="H23" s="176">
        <f>IF(COUNT(Z168)=0,"",ROUND(Z168,('c-form'!AB15)*1))</f>
        <v>57.87</v>
      </c>
      <c r="I23" s="176">
        <f>IF(COUNT(Z198)=0,"",ROUND(Z198,('c-form'!AB15)*1))</f>
        <v>13.9</v>
      </c>
      <c r="J23" s="176">
        <f>IF(COUNT(Z229)=0,"",ROUND(Z229,('c-form'!AB15)*1))</f>
        <v>15.7</v>
      </c>
      <c r="K23" s="176">
        <f>IF(COUNT(Z259)=0,"",ROUND(Z259,('c-form'!AB15)*1))</f>
        <v>19.3</v>
      </c>
      <c r="L23" s="176">
        <f>IF(COUNT(Z290)=0,"",ROUND(Z290,('c-form'!AB15)*1))</f>
        <v>6.5</v>
      </c>
      <c r="M23" s="176">
        <f>IF(COUNT(Z321)=0,"",ROUND(Z321,('c-form'!AB15)*1))</f>
        <v>5.75</v>
      </c>
      <c r="N23" s="176">
        <f>IF(COUNT(Z350)=0,"",ROUND(Z350,('c-form'!AB15)*1))</f>
        <v>4.75</v>
      </c>
      <c r="O23" s="176"/>
      <c r="Z23" s="176">
        <f t="shared" si="0"/>
        <v>12.025000000000832</v>
      </c>
      <c r="AA23" s="176">
        <f>IF(TRIM(AG23)="","",IF(INDEX(AZ1:AZ51,AC23)=AG23,INDEX(BA1:BA51,AC23),((AG23-INDEX(AZ1:AZ51,AC23))*(INDEX(BA1:BA51,AC23+1)-INDEX(BA1:BA51,AC23)))/(INDEX(AZ1:AZ51,AC23+1)-INDEX(AZ1:AZ51,AC23))+INDEX(BA1:BA51,AC23)))</f>
        <v>12.025000000000832</v>
      </c>
      <c r="AB23" s="176" t="e">
        <f>IF(TRIM(AG23)="","",IF(INDEX(BD1:BD51,AD23)=AG23,INDEX(BE1:BE51,AD23),((AG23-INDEX(BD1:BD51,AD23))*(INDEX(BE1:BE51,AD23+1)-INDEX(BE1:BE51,AD23)))/(INDEX(BD1:BD51,AD23+1)-INDEX(BD1:BD51,AD23))+INDEX(BE1:BE51,AD23)))</f>
        <v>#N/A</v>
      </c>
      <c r="AC23" s="164">
        <f>MATCH(AG23,AZ1:AZ51,1)</f>
        <v>5</v>
      </c>
      <c r="AD23" s="164" t="e">
        <f>MATCH(AG23,BD1:BD51,1)</f>
        <v>#N/A</v>
      </c>
      <c r="AE23" s="164">
        <v>1</v>
      </c>
      <c r="AF23" s="164">
        <v>23</v>
      </c>
      <c r="AG23" s="179">
        <f>FIXED('HourGH-APR'!AB35)*1</f>
        <v>338.17</v>
      </c>
      <c r="AH23" s="164" t="str">
        <f>IF(AND(AE23=AP5,AE23=AR5,AF23&gt;=AQ5,AF23&lt;=AS5),"r1",IF(AND(AE23&gt;AP5,AE23&lt;AR5),"r1",IF(AND(AE23&gt;AP5,AE23=AR5,AF23&lt;=AS5),"r1",IF(AND(AE23=AP5,AE23&lt;AR5,AF23&gt;=AQ5),"r1","n"))))</f>
        <v>r1</v>
      </c>
      <c r="AI23" s="164" t="str">
        <f>IF(AH23&lt;&gt;"n",AH23,IF(AND(AE23=AT5,AE23=AV5,AF23&gt;=AU5,AF23&lt;=AW5),"r2",IF(AND(AE23&gt;AT5,AE23&lt;AV5),"r2",IF(AND(AE23&gt;AT5,AE23=AV5,AF23&lt;=AW5),"r2",IF(AND(AE23=AT5,AE23&lt;AV5,AF23&gt;=AU5),"r2","n")))))</f>
        <v>r1</v>
      </c>
      <c r="AJ23" s="164" t="str">
        <f>IF(AI23&lt;&gt;"n",AI23,IF(AND(AE23=AP6,AE23=AR6,AF23&gt;=AQ6,AF23&lt;=AS6),"r1",IF(AND(AE23&gt;AP6,AE23&lt;AR6),"r1",IF(AND(AE23&gt;AP6,AE23=AR6,AF23&lt;=AS6),"r1",IF(AND(AE23=AP6,AE23&lt;AR6,AF23&gt;=AQ6),"r1","n")))))</f>
        <v>r1</v>
      </c>
      <c r="AK23" s="164" t="str">
        <f>IF(AJ23&lt;&gt;"n",AJ23,IF(AND(AE23=AT6,AE23=AV6,AF23&gt;=AU6,AF23&lt;=AW6),"r2",IF(AND(AE23&gt;AT6,AE23&lt;AV6),"r2",IF(AND(AE23&gt;AT6,AE23=AV6,AF23&lt;=AW6),"r2",IF(AND(AE23=AT6,AE23&lt;AV6,AF23&gt;=AU6),"r2","n")))))</f>
        <v>r1</v>
      </c>
      <c r="AL23" s="164" t="str">
        <f>IF(AK23&lt;&gt;"n",AK23,IF(AND(AE23=AP7,AE23=AR7,AF23&gt;=AQ7,AF23&lt;=AS7),"r1",IF(AND(AE23&gt;AP7,AE23&lt;AR7),"r1",IF(AND(AE23&gt;AP7,AE23=AR7,AF23&lt;=AS7),"r1",IF(AND(AE23=AP7,AE23&lt;AR7,AF23&gt;=AQ7),"r1","n")))))</f>
        <v>r1</v>
      </c>
      <c r="AX23" s="176">
        <f>'c-form'!H25</f>
        <v>0</v>
      </c>
      <c r="AY23" s="176">
        <f>'c-form'!J25</f>
        <v>0</v>
      </c>
      <c r="AZ23" s="176" t="str">
        <f t="shared" si="3"/>
        <v/>
      </c>
      <c r="BA23" s="176" t="str">
        <f t="shared" si="4"/>
        <v/>
      </c>
      <c r="BB23" s="176">
        <f>'c-form'!H67</f>
        <v>0</v>
      </c>
      <c r="BC23" s="176">
        <f>'c-form'!J67</f>
        <v>0</v>
      </c>
      <c r="BD23" s="176" t="str">
        <f t="shared" si="2"/>
        <v/>
      </c>
      <c r="BE23" s="176" t="str">
        <f t="shared" si="1"/>
        <v/>
      </c>
    </row>
    <row r="24" spans="2:57" ht="12.6" customHeight="1">
      <c r="B24" s="178">
        <v>15</v>
      </c>
      <c r="C24" s="176">
        <f>IF(COUNT(Z15)=0,"",ROUND(Z15,('c-form'!AB15)*1))</f>
        <v>13</v>
      </c>
      <c r="D24" s="176">
        <f>IF(COUNT(Z46)=0,"",ROUND(Z46,('c-form'!AB15)*1))</f>
        <v>9.75</v>
      </c>
      <c r="E24" s="176">
        <f>IF(COUNT(Z77)=0,"",ROUND(Z77,('c-form'!AB15)*1))</f>
        <v>2.4</v>
      </c>
      <c r="F24" s="176">
        <f>IF(COUNT(Z107)=0,"",ROUND(Z107,('c-form'!AB15)*1))</f>
        <v>12.03</v>
      </c>
      <c r="G24" s="176">
        <f>IF(COUNT(Z138)=0,"",ROUND(Z138,('c-form'!AB15)*1))</f>
        <v>37</v>
      </c>
      <c r="H24" s="176">
        <f>IF(COUNT(Z169)=0,"",ROUND(Z169,('c-form'!AB15)*1))</f>
        <v>83.05</v>
      </c>
      <c r="I24" s="176">
        <f>IF(COUNT(Z199)=0,"",ROUND(Z199,('c-form'!AB15)*1))</f>
        <v>13</v>
      </c>
      <c r="J24" s="176">
        <f>IF(COUNT(Z230)=0,"",ROUND(Z230,('c-form'!AB15)*1))</f>
        <v>23.5</v>
      </c>
      <c r="K24" s="176">
        <f>IF(COUNT(Z260)=0,"",ROUND(Z260,('c-form'!AB15)*1))</f>
        <v>29</v>
      </c>
      <c r="L24" s="176">
        <f>IF(COUNT(Z291)=0,"",ROUND(Z291,('c-form'!AB15)*1))</f>
        <v>6.5</v>
      </c>
      <c r="M24" s="176">
        <f>IF(COUNT(Z322)=0,"",ROUND(Z322,('c-form'!AB15)*1))</f>
        <v>18.850000000000001</v>
      </c>
      <c r="N24" s="176">
        <f>IF(COUNT(Z351)=0,"",ROUND(Z351,('c-form'!AB15)*1))</f>
        <v>17.05</v>
      </c>
      <c r="O24" s="176"/>
      <c r="Z24" s="176">
        <f t="shared" si="0"/>
        <v>12.025000000000832</v>
      </c>
      <c r="AA24" s="176">
        <f>IF(TRIM(AG24)="","",IF(INDEX(AZ1:AZ51,AC24)=AG24,INDEX(BA1:BA51,AC24),((AG24-INDEX(AZ1:AZ51,AC24))*(INDEX(BA1:BA51,AC24+1)-INDEX(BA1:BA51,AC24)))/(INDEX(AZ1:AZ51,AC24+1)-INDEX(AZ1:AZ51,AC24))+INDEX(BA1:BA51,AC24)))</f>
        <v>12.025000000000832</v>
      </c>
      <c r="AB24" s="176" t="e">
        <f>IF(TRIM(AG24)="","",IF(INDEX(BD1:BD51,AD24)=AG24,INDEX(BE1:BE51,AD24),((AG24-INDEX(BD1:BD51,AD24))*(INDEX(BE1:BE51,AD24+1)-INDEX(BE1:BE51,AD24)))/(INDEX(BD1:BD51,AD24+1)-INDEX(BD1:BD51,AD24))+INDEX(BE1:BE51,AD24)))</f>
        <v>#N/A</v>
      </c>
      <c r="AC24" s="164">
        <f>MATCH(AG24,AZ1:AZ51,1)</f>
        <v>5</v>
      </c>
      <c r="AD24" s="164" t="e">
        <f>MATCH(AG24,BD1:BD51,1)</f>
        <v>#N/A</v>
      </c>
      <c r="AE24" s="164">
        <v>1</v>
      </c>
      <c r="AF24" s="164">
        <v>24</v>
      </c>
      <c r="AG24" s="179">
        <f>FIXED('HourGH-APR'!AB36)*1</f>
        <v>338.17</v>
      </c>
      <c r="AH24" s="164" t="str">
        <f>IF(AND(AE24=AP5,AE24=AR5,AF24&gt;=AQ5,AF24&lt;=AS5),"r1",IF(AND(AE24&gt;AP5,AE24&lt;AR5),"r1",IF(AND(AE24&gt;AP5,AE24=AR5,AF24&lt;=AS5),"r1",IF(AND(AE24=AP5,AE24&lt;AR5,AF24&gt;=AQ5),"r1","n"))))</f>
        <v>r1</v>
      </c>
      <c r="AI24" s="164" t="str">
        <f>IF(AH24&lt;&gt;"n",AH24,IF(AND(AE24=AT5,AE24=AV5,AF24&gt;=AU5,AF24&lt;=AW5),"r2",IF(AND(AE24&gt;AT5,AE24&lt;AV5),"r2",IF(AND(AE24&gt;AT5,AE24=AV5,AF24&lt;=AW5),"r2",IF(AND(AE24=AT5,AE24&lt;AV5,AF24&gt;=AU5),"r2","n")))))</f>
        <v>r1</v>
      </c>
      <c r="AJ24" s="164" t="str">
        <f>IF(AI24&lt;&gt;"n",AI24,IF(AND(AE24=AP6,AE24=AR6,AF24&gt;=AQ6,AF24&lt;=AS6),"r1",IF(AND(AE24&gt;AP6,AE24&lt;AR6),"r1",IF(AND(AE24&gt;AP6,AE24=AR6,AF24&lt;=AS6),"r1",IF(AND(AE24=AP6,AE24&lt;AR6,AF24&gt;=AQ6),"r1","n")))))</f>
        <v>r1</v>
      </c>
      <c r="AK24" s="164" t="str">
        <f>IF(AJ24&lt;&gt;"n",AJ24,IF(AND(AE24=AT6,AE24=AV6,AF24&gt;=AU6,AF24&lt;=AW6),"r2",IF(AND(AE24&gt;AT6,AE24&lt;AV6),"r2",IF(AND(AE24&gt;AT6,AE24=AV6,AF24&lt;=AW6),"r2",IF(AND(AE24=AT6,AE24&lt;AV6,AF24&gt;=AU6),"r2","n")))))</f>
        <v>r1</v>
      </c>
      <c r="AL24" s="164" t="str">
        <f>IF(AK24&lt;&gt;"n",AK24,IF(AND(AE24=AP7,AE24=AR7,AF24&gt;=AQ7,AF24&lt;=AS7),"r1",IF(AND(AE24&gt;AP7,AE24&lt;AR7),"r1",IF(AND(AE24&gt;AP7,AE24=AR7,AF24&lt;=AS7),"r1",IF(AND(AE24=AP7,AE24&lt;AR7,AF24&gt;=AQ7),"r1","n")))))</f>
        <v>r1</v>
      </c>
      <c r="AX24" s="176">
        <f>'c-form'!M25</f>
        <v>0</v>
      </c>
      <c r="AY24" s="176">
        <f>'c-form'!P25</f>
        <v>0</v>
      </c>
      <c r="AZ24" s="176" t="str">
        <f t="shared" si="3"/>
        <v/>
      </c>
      <c r="BA24" s="176" t="str">
        <f t="shared" si="4"/>
        <v/>
      </c>
      <c r="BB24" s="176">
        <f>'c-form'!M67</f>
        <v>0</v>
      </c>
      <c r="BC24" s="176">
        <f>'c-form'!P67</f>
        <v>0</v>
      </c>
      <c r="BD24" s="176" t="str">
        <f t="shared" si="2"/>
        <v/>
      </c>
      <c r="BE24" s="176" t="str">
        <f t="shared" si="1"/>
        <v/>
      </c>
    </row>
    <row r="25" spans="2:57" ht="12.6" customHeight="1">
      <c r="B25" s="178">
        <v>16</v>
      </c>
      <c r="C25" s="176">
        <f>IF(COUNT(Z16)=0,"",ROUND(Z16,('c-form'!AB15)*1))</f>
        <v>13</v>
      </c>
      <c r="D25" s="176">
        <f>IF(COUNT(Z47)=0,"",ROUND(Z47,('c-form'!AB15)*1))</f>
        <v>9.42</v>
      </c>
      <c r="E25" s="176">
        <f>IF(COUNT(Z78)=0,"",ROUND(Z78,('c-form'!AB15)*1))</f>
        <v>2</v>
      </c>
      <c r="F25" s="176">
        <f>IF(COUNT(Z108)=0,"",ROUND(Z108,('c-form'!AB15)*1))</f>
        <v>10.08</v>
      </c>
      <c r="G25" s="176">
        <f>IF(COUNT(Z139)=0,"",ROUND(Z139,('c-form'!AB15)*1))</f>
        <v>28.5</v>
      </c>
      <c r="H25" s="176">
        <f>IF(COUNT(Z170)=0,"",ROUND(Z170,('c-form'!AB15)*1))</f>
        <v>71.2</v>
      </c>
      <c r="I25" s="176">
        <f>IF(COUNT(Z200)=0,"",ROUND(Z200,('c-form'!AB15)*1))</f>
        <v>12.35</v>
      </c>
      <c r="J25" s="176">
        <f>IF(COUNT(Z231)=0,"",ROUND(Z231,('c-form'!AB15)*1))</f>
        <v>16.600000000000001</v>
      </c>
      <c r="K25" s="176">
        <f>IF(COUNT(Z261)=0,"",ROUND(Z261,('c-form'!AB15)*1))</f>
        <v>27.5</v>
      </c>
      <c r="L25" s="176">
        <f>IF(COUNT(Z292)=0,"",ROUND(Z292,('c-form'!AB15)*1))</f>
        <v>6.5</v>
      </c>
      <c r="M25" s="176">
        <f>IF(COUNT(Z323)=0,"",ROUND(Z323,('c-form'!AB15)*1))</f>
        <v>24</v>
      </c>
      <c r="N25" s="176">
        <f>IF(COUNT(Z352)=0,"",ROUND(Z352,('c-form'!AB15)*1))</f>
        <v>17.5</v>
      </c>
      <c r="O25" s="176"/>
      <c r="Z25" s="176">
        <f t="shared" si="0"/>
        <v>12.025000000000832</v>
      </c>
      <c r="AA25" s="176">
        <f>IF(TRIM(AG25)="","",IF(INDEX(AZ1:AZ51,AC25)=AG25,INDEX(BA1:BA51,AC25),((AG25-INDEX(AZ1:AZ51,AC25))*(INDEX(BA1:BA51,AC25+1)-INDEX(BA1:BA51,AC25)))/(INDEX(AZ1:AZ51,AC25+1)-INDEX(AZ1:AZ51,AC25))+INDEX(BA1:BA51,AC25)))</f>
        <v>12.025000000000832</v>
      </c>
      <c r="AB25" s="176" t="e">
        <f>IF(TRIM(AG25)="","",IF(INDEX(BD1:BD51,AD25)=AG25,INDEX(BE1:BE51,AD25),((AG25-INDEX(BD1:BD51,AD25))*(INDEX(BE1:BE51,AD25+1)-INDEX(BE1:BE51,AD25)))/(INDEX(BD1:BD51,AD25+1)-INDEX(BD1:BD51,AD25))+INDEX(BE1:BE51,AD25)))</f>
        <v>#N/A</v>
      </c>
      <c r="AC25" s="164">
        <f>MATCH(AG25,AZ1:AZ51,1)</f>
        <v>5</v>
      </c>
      <c r="AD25" s="164" t="e">
        <f>MATCH(AG25,BD1:BD51,1)</f>
        <v>#N/A</v>
      </c>
      <c r="AE25" s="164">
        <v>1</v>
      </c>
      <c r="AF25" s="164">
        <v>25</v>
      </c>
      <c r="AG25" s="179">
        <f>FIXED('HourGH-APR'!AB37)*1</f>
        <v>338.17</v>
      </c>
      <c r="AH25" s="164" t="str">
        <f>IF(AND(AE25=AP5,AE25=AR5,AF25&gt;=AQ5,AF25&lt;=AS5),"r1",IF(AND(AE25&gt;AP5,AE25&lt;AR5),"r1",IF(AND(AE25&gt;AP5,AE25=AR5,AF25&lt;=AS5),"r1",IF(AND(AE25=AP5,AE25&lt;AR5,AF25&gt;=AQ5),"r1","n"))))</f>
        <v>r1</v>
      </c>
      <c r="AI25" s="164" t="str">
        <f>IF(AH25&lt;&gt;"n",AH25,IF(AND(AE25=AT5,AE25=AV5,AF25&gt;=AU5,AF25&lt;=AW5),"r2",IF(AND(AE25&gt;AT5,AE25&lt;AV5),"r2",IF(AND(AE25&gt;AT5,AE25=AV5,AF25&lt;=AW5),"r2",IF(AND(AE25=AT5,AE25&lt;AV5,AF25&gt;=AU5),"r2","n")))))</f>
        <v>r1</v>
      </c>
      <c r="AJ25" s="164" t="str">
        <f>IF(AI25&lt;&gt;"n",AI25,IF(AND(AE25=AP6,AE25=AR6,AF25&gt;=AQ6,AF25&lt;=AS6),"r1",IF(AND(AE25&gt;AP6,AE25&lt;AR6),"r1",IF(AND(AE25&gt;AP6,AE25=AR6,AF25&lt;=AS6),"r1",IF(AND(AE25=AP6,AE25&lt;AR6,AF25&gt;=AQ6),"r1","n")))))</f>
        <v>r1</v>
      </c>
      <c r="AK25" s="164" t="str">
        <f>IF(AJ25&lt;&gt;"n",AJ25,IF(AND(AE25=AT6,AE25=AV6,AF25&gt;=AU6,AF25&lt;=AW6),"r2",IF(AND(AE25&gt;AT6,AE25&lt;AV6),"r2",IF(AND(AE25&gt;AT6,AE25=AV6,AF25&lt;=AW6),"r2",IF(AND(AE25=AT6,AE25&lt;AV6,AF25&gt;=AU6),"r2","n")))))</f>
        <v>r1</v>
      </c>
      <c r="AL25" s="164" t="str">
        <f>IF(AK25&lt;&gt;"n",AK25,IF(AND(AE25=AP7,AE25=AR7,AF25&gt;=AQ7,AF25&lt;=AS7),"r1",IF(AND(AE25&gt;AP7,AE25&lt;AR7),"r1",IF(AND(AE25&gt;AP7,AE25=AR7,AF25&lt;=AS7),"r1",IF(AND(AE25=AP7,AE25&lt;AR7,AF25&gt;=AQ7),"r1","n")))))</f>
        <v>r1</v>
      </c>
      <c r="AX25" s="176">
        <f>'c-form'!R25</f>
        <v>0</v>
      </c>
      <c r="AY25" s="176">
        <f>'c-form'!T25</f>
        <v>0</v>
      </c>
      <c r="AZ25" s="176" t="str">
        <f t="shared" si="3"/>
        <v/>
      </c>
      <c r="BA25" s="176" t="str">
        <f t="shared" si="4"/>
        <v/>
      </c>
      <c r="BB25" s="176">
        <f>'c-form'!R67</f>
        <v>0</v>
      </c>
      <c r="BC25" s="176">
        <f>'c-form'!T67</f>
        <v>0</v>
      </c>
      <c r="BD25" s="176" t="str">
        <f t="shared" si="2"/>
        <v/>
      </c>
      <c r="BE25" s="176" t="str">
        <f t="shared" si="1"/>
        <v/>
      </c>
    </row>
    <row r="26" spans="2:57" ht="12.6" customHeight="1">
      <c r="B26" s="178">
        <v>17</v>
      </c>
      <c r="C26" s="176">
        <f>IF(COUNT(Z17)=0,"",ROUND(Z17,('c-form'!AB15)*1))</f>
        <v>13</v>
      </c>
      <c r="D26" s="176">
        <f>IF(COUNT(Z48)=0,"",ROUND(Z48,('c-form'!AB15)*1))</f>
        <v>9.1</v>
      </c>
      <c r="E26" s="176">
        <f>IF(COUNT(Z79)=0,"",ROUND(Z79,('c-form'!AB15)*1))</f>
        <v>2</v>
      </c>
      <c r="F26" s="176">
        <f>IF(COUNT(Z109)=0,"",ROUND(Z109,('c-form'!AB15)*1))</f>
        <v>9.1</v>
      </c>
      <c r="G26" s="176">
        <f>IF(COUNT(Z140)=0,"",ROUND(Z140,('c-form'!AB15)*1))</f>
        <v>22.5</v>
      </c>
      <c r="H26" s="176">
        <f>IF(COUNT(Z171)=0,"",ROUND(Z171,('c-form'!AB15)*1))</f>
        <v>86.42</v>
      </c>
      <c r="I26" s="176">
        <f>IF(COUNT(Z201)=0,"",ROUND(Z201,('c-form'!AB15)*1))</f>
        <v>12.68</v>
      </c>
      <c r="J26" s="176">
        <f>IF(COUNT(Z232)=0,"",ROUND(Z232,('c-form'!AB15)*1))</f>
        <v>15.7</v>
      </c>
      <c r="K26" s="176">
        <f>IF(COUNT(Z262)=0,"",ROUND(Z262,('c-form'!AB15)*1))</f>
        <v>16.149999999999999</v>
      </c>
      <c r="L26" s="176">
        <f>IF(COUNT(Z293)=0,"",ROUND(Z293,('c-form'!AB15)*1))</f>
        <v>8.77</v>
      </c>
      <c r="M26" s="176">
        <f>IF(COUNT(Z324)=0,"",ROUND(Z324,('c-form'!AB15)*1))</f>
        <v>17.05</v>
      </c>
      <c r="N26" s="176">
        <f>IF(COUNT(Z353)=0,"",ROUND(Z353,('c-form'!AB15)*1))</f>
        <v>17.95</v>
      </c>
      <c r="O26" s="176"/>
      <c r="Z26" s="176">
        <f t="shared" si="0"/>
        <v>11.700000000001108</v>
      </c>
      <c r="AA26" s="176">
        <f>IF(TRIM(AG26)="","",IF(INDEX(AZ1:AZ51,AC26)=AG26,INDEX(BA1:BA51,AC26),((AG26-INDEX(AZ1:AZ51,AC26))*(INDEX(BA1:BA51,AC26+1)-INDEX(BA1:BA51,AC26)))/(INDEX(AZ1:AZ51,AC26+1)-INDEX(AZ1:AZ51,AC26))+INDEX(BA1:BA51,AC26)))</f>
        <v>11.700000000001108</v>
      </c>
      <c r="AB26" s="176" t="e">
        <f>IF(TRIM(AG26)="","",IF(INDEX(BD1:BD51,AD26)=AG26,INDEX(BE1:BE51,AD26),((AG26-INDEX(BD1:BD51,AD26))*(INDEX(BE1:BE51,AD26+1)-INDEX(BE1:BE51,AD26)))/(INDEX(BD1:BD51,AD26+1)-INDEX(BD1:BD51,AD26))+INDEX(BE1:BE51,AD26)))</f>
        <v>#N/A</v>
      </c>
      <c r="AC26" s="164">
        <f>MATCH(AG26,AZ1:AZ51,1)</f>
        <v>5</v>
      </c>
      <c r="AD26" s="164" t="e">
        <f>MATCH(AG26,BD1:BD51,1)</f>
        <v>#N/A</v>
      </c>
      <c r="AE26" s="164">
        <v>1</v>
      </c>
      <c r="AF26" s="164">
        <v>26</v>
      </c>
      <c r="AG26" s="179">
        <f>FIXED('HourGH-APR'!AB38)*1</f>
        <v>338.16</v>
      </c>
      <c r="AH26" s="164" t="str">
        <f>IF(AND(AE26=AP5,AE26=AR5,AF26&gt;=AQ5,AF26&lt;=AS5),"r1",IF(AND(AE26&gt;AP5,AE26&lt;AR5),"r1",IF(AND(AE26&gt;AP5,AE26=AR5,AF26&lt;=AS5),"r1",IF(AND(AE26=AP5,AE26&lt;AR5,AF26&gt;=AQ5),"r1","n"))))</f>
        <v>r1</v>
      </c>
      <c r="AI26" s="164" t="str">
        <f>IF(AH26&lt;&gt;"n",AH26,IF(AND(AE26=AT5,AE26=AV5,AF26&gt;=AU5,AF26&lt;=AW5),"r2",IF(AND(AE26&gt;AT5,AE26&lt;AV5),"r2",IF(AND(AE26&gt;AT5,AE26=AV5,AF26&lt;=AW5),"r2",IF(AND(AE26=AT5,AE26&lt;AV5,AF26&gt;=AU5),"r2","n")))))</f>
        <v>r1</v>
      </c>
      <c r="AJ26" s="164" t="str">
        <f>IF(AI26&lt;&gt;"n",AI26,IF(AND(AE26=AP6,AE26=AR6,AF26&gt;=AQ6,AF26&lt;=AS6),"r1",IF(AND(AE26&gt;AP6,AE26&lt;AR6),"r1",IF(AND(AE26&gt;AP6,AE26=AR6,AF26&lt;=AS6),"r1",IF(AND(AE26=AP6,AE26&lt;AR6,AF26&gt;=AQ6),"r1","n")))))</f>
        <v>r1</v>
      </c>
      <c r="AK26" s="164" t="str">
        <f>IF(AJ26&lt;&gt;"n",AJ26,IF(AND(AE26=AT6,AE26=AV6,AF26&gt;=AU6,AF26&lt;=AW6),"r2",IF(AND(AE26&gt;AT6,AE26&lt;AV6),"r2",IF(AND(AE26&gt;AT6,AE26=AV6,AF26&lt;=AW6),"r2",IF(AND(AE26=AT6,AE26&lt;AV6,AF26&gt;=AU6),"r2","n")))))</f>
        <v>r1</v>
      </c>
      <c r="AL26" s="164" t="str">
        <f>IF(AK26&lt;&gt;"n",AK26,IF(AND(AE26=AP7,AE26=AR7,AF26&gt;=AQ7,AF26&lt;=AS7),"r1",IF(AND(AE26&gt;AP7,AE26&lt;AR7),"r1",IF(AND(AE26&gt;AP7,AE26=AR7,AF26&lt;=AS7),"r1",IF(AND(AE26=AP7,AE26&lt;AR7,AF26&gt;=AQ7),"r1","n")))))</f>
        <v>r1</v>
      </c>
      <c r="AX26" s="176">
        <f>'c-form'!W25</f>
        <v>0</v>
      </c>
      <c r="AY26" s="176">
        <f>'c-form'!AA25</f>
        <v>0</v>
      </c>
      <c r="AZ26" s="176" t="str">
        <f t="shared" si="3"/>
        <v/>
      </c>
      <c r="BA26" s="176" t="str">
        <f t="shared" si="4"/>
        <v/>
      </c>
      <c r="BB26" s="176">
        <f>'c-form'!W67</f>
        <v>0</v>
      </c>
      <c r="BC26" s="176">
        <f>'c-form'!AA67</f>
        <v>0</v>
      </c>
      <c r="BD26" s="176" t="str">
        <f t="shared" si="2"/>
        <v/>
      </c>
      <c r="BE26" s="176" t="str">
        <f t="shared" si="1"/>
        <v/>
      </c>
    </row>
    <row r="27" spans="2:57" ht="12.6" customHeight="1">
      <c r="B27" s="178">
        <v>18</v>
      </c>
      <c r="C27" s="176">
        <f>IF(COUNT(Z18)=0,"",ROUND(Z18,('c-form'!AB15)*1))</f>
        <v>13</v>
      </c>
      <c r="D27" s="176">
        <f>IF(COUNT(Z49)=0,"",ROUND(Z49,('c-form'!AB15)*1))</f>
        <v>9.1</v>
      </c>
      <c r="E27" s="176">
        <f>IF(COUNT(Z80)=0,"",ROUND(Z80,('c-form'!AB15)*1))</f>
        <v>2.2000000000000002</v>
      </c>
      <c r="F27" s="176">
        <f>IF(COUNT(Z110)=0,"",ROUND(Z110,('c-form'!AB15)*1))</f>
        <v>9.1</v>
      </c>
      <c r="G27" s="176">
        <f>IF(COUNT(Z141)=0,"",ROUND(Z141,('c-form'!AB15)*1))</f>
        <v>16.149999999999999</v>
      </c>
      <c r="H27" s="176">
        <f>IF(COUNT(Z172)=0,"",ROUND(Z172,('c-form'!AB15)*1))</f>
        <v>83.05</v>
      </c>
      <c r="I27" s="176">
        <f>IF(COUNT(Z202)=0,"",ROUND(Z202,('c-form'!AB15)*1))</f>
        <v>51.2</v>
      </c>
      <c r="J27" s="176">
        <f>IF(COUNT(Z233)=0,"",ROUND(Z233,('c-form'!AB15)*1))</f>
        <v>16.149999999999999</v>
      </c>
      <c r="K27" s="176">
        <f>IF(COUNT(Z263)=0,"",ROUND(Z263,('c-form'!AB15)*1))</f>
        <v>13</v>
      </c>
      <c r="L27" s="176">
        <f>IF(COUNT(Z294)=0,"",ROUND(Z294,('c-form'!AB15)*1))</f>
        <v>17.95</v>
      </c>
      <c r="M27" s="176">
        <f>IF(COUNT(Z325)=0,"",ROUND(Z325,('c-form'!AB15)*1))</f>
        <v>3.6</v>
      </c>
      <c r="N27" s="176">
        <f>IF(COUNT(Z354)=0,"",ROUND(Z354,('c-form'!AB15)*1))</f>
        <v>12.35</v>
      </c>
      <c r="O27" s="176"/>
      <c r="Z27" s="176">
        <f t="shared" si="0"/>
        <v>11.700000000001108</v>
      </c>
      <c r="AA27" s="176">
        <f>IF(TRIM(AG27)="","",IF(INDEX(AZ1:AZ51,AC27)=AG27,INDEX(BA1:BA51,AC27),((AG27-INDEX(AZ1:AZ51,AC27))*(INDEX(BA1:BA51,AC27+1)-INDEX(BA1:BA51,AC27)))/(INDEX(AZ1:AZ51,AC27+1)-INDEX(AZ1:AZ51,AC27))+INDEX(BA1:BA51,AC27)))</f>
        <v>11.700000000001108</v>
      </c>
      <c r="AB27" s="176" t="e">
        <f>IF(TRIM(AG27)="","",IF(INDEX(BD1:BD51,AD27)=AG27,INDEX(BE1:BE51,AD27),((AG27-INDEX(BD1:BD51,AD27))*(INDEX(BE1:BE51,AD27+1)-INDEX(BE1:BE51,AD27)))/(INDEX(BD1:BD51,AD27+1)-INDEX(BD1:BD51,AD27))+INDEX(BE1:BE51,AD27)))</f>
        <v>#N/A</v>
      </c>
      <c r="AC27" s="164">
        <f>MATCH(AG27,AZ1:AZ51,1)</f>
        <v>5</v>
      </c>
      <c r="AD27" s="164" t="e">
        <f>MATCH(AG27,BD1:BD51,1)</f>
        <v>#N/A</v>
      </c>
      <c r="AE27" s="164">
        <v>1</v>
      </c>
      <c r="AF27" s="164">
        <v>27</v>
      </c>
      <c r="AG27" s="179">
        <f>FIXED('HourGH-APR'!AB39)*1</f>
        <v>338.16</v>
      </c>
      <c r="AH27" s="164" t="str">
        <f>IF(AND(AE27=AP5,AE27=AR5,AF27&gt;=AQ5,AF27&lt;=AS5),"r1",IF(AND(AE27&gt;AP5,AE27&lt;AR5),"r1",IF(AND(AE27&gt;AP5,AE27=AR5,AF27&lt;=AS5),"r1",IF(AND(AE27=AP5,AE27&lt;AR5,AF27&gt;=AQ5),"r1","n"))))</f>
        <v>r1</v>
      </c>
      <c r="AI27" s="164" t="str">
        <f>IF(AH27&lt;&gt;"n",AH27,IF(AND(AE27=AT5,AE27=AV5,AF27&gt;=AU5,AF27&lt;=AW5),"r2",IF(AND(AE27&gt;AT5,AE27&lt;AV5),"r2",IF(AND(AE27&gt;AT5,AE27=AV5,AF27&lt;=AW5),"r2",IF(AND(AE27=AT5,AE27&lt;AV5,AF27&gt;=AU5),"r2","n")))))</f>
        <v>r1</v>
      </c>
      <c r="AJ27" s="164" t="str">
        <f>IF(AI27&lt;&gt;"n",AI27,IF(AND(AE27=AP6,AE27=AR6,AF27&gt;=AQ6,AF27&lt;=AS6),"r1",IF(AND(AE27&gt;AP6,AE27&lt;AR6),"r1",IF(AND(AE27&gt;AP6,AE27=AR6,AF27&lt;=AS6),"r1",IF(AND(AE27=AP6,AE27&lt;AR6,AF27&gt;=AQ6),"r1","n")))))</f>
        <v>r1</v>
      </c>
      <c r="AK27" s="164" t="str">
        <f>IF(AJ27&lt;&gt;"n",AJ27,IF(AND(AE27=AT6,AE27=AV6,AF27&gt;=AU6,AF27&lt;=AW6),"r2",IF(AND(AE27&gt;AT6,AE27&lt;AV6),"r2",IF(AND(AE27&gt;AT6,AE27=AV6,AF27&lt;=AW6),"r2",IF(AND(AE27=AT6,AE27&lt;AV6,AF27&gt;=AU6),"r2","n")))))</f>
        <v>r1</v>
      </c>
      <c r="AL27" s="164" t="str">
        <f>IF(AK27&lt;&gt;"n",AK27,IF(AND(AE27=AP7,AE27=AR7,AF27&gt;=AQ7,AF27&lt;=AS7),"r1",IF(AND(AE27&gt;AP7,AE27&lt;AR7),"r1",IF(AND(AE27&gt;AP7,AE27=AR7,AF27&lt;=AS7),"r1",IF(AND(AE27=AP7,AE27&lt;AR7,AF27&gt;=AQ7),"r1","n")))))</f>
        <v>r1</v>
      </c>
      <c r="AN27" s="164">
        <f>IF(TRIM(AN29)&lt;&gt;"",VLOOKUP(AO29,AN33:AO45,2,0),"")</f>
        <v>7</v>
      </c>
      <c r="AO27" s="164" t="str">
        <f>IF(TRIM('c-form'!AA15)&lt;&gt;"",TRIM('c-form'!AA15),IF(TRIM('c-form'!AA57)&lt;&gt;"",TRIM('c-form'!AA57),""))</f>
        <v>19</v>
      </c>
      <c r="AP27" s="176">
        <f>IF(TRIM(F48)&lt;&gt;"",TRIM(F48)*1,"")</f>
        <v>340.23</v>
      </c>
      <c r="AQ27" s="164" t="str">
        <f>IF(AND(AN27=AP5,AN27=AR5,AO27&gt;=AQ5,AO27&lt;=AS5),"r1",IF(AND(AN27&gt;AP5,AN27&lt;AR5),"r1",IF(AND(AN27&gt;AP5,AN27=AR5,AO27&lt;=AS5),"r1",IF(AND(AN27=AP5,AN27&lt;AR5,AO27&gt;=AQ5),"r1","n"))))</f>
        <v>r1</v>
      </c>
      <c r="AR27" s="164" t="str">
        <f>IF(AQ27&lt;&gt;"n",AQ27,IF(AND(AN27=AT5,AN27=AV5,AO27&gt;=AU5,AO27&lt;=AW5),"r2",IF(AND(AN27&gt;AT5,AN27&lt;AV5),"r2",IF(AND(AN27&gt;AT5,AN27=AV5,AO27&lt;=AW5),"r2",IF(AND(AN27=AT5,AN27&lt;AV5,AO27&gt;=AU5),"r2","n")))))</f>
        <v>r1</v>
      </c>
      <c r="AS27" s="164" t="str">
        <f>IF(AR27&lt;&gt;"n",AR27,IF(AND(AN27=AP6,AN27=AR6,AO27&gt;=AQ6,AO27&lt;=AS6),"r1",IF(AND(AN27&gt;AP6,AN27&lt;AR6),"r1",IF(AND(AN27&gt;AP6,AN27=AR6,AO27&lt;=AS6),"r1",IF(AND(AN27=AP6,AN27&lt;AR6,AO27&gt;=AQ6),"r1","n")))))</f>
        <v>r1</v>
      </c>
      <c r="AT27" s="164" t="str">
        <f>IF(AS27&lt;&gt;"n",AS27,IF(AND(AN27=AT6,AN27=AV6,AO27&gt;=AU6,AO27&lt;=AW6),"r2",IF(AND(AN27&gt;AT6,AN27&lt;AV6),"r2",IF(AND(AN27&gt;AT6,AN27=AV6,AO27&lt;=AW6),"r2",IF(AND(AN27=AT6,AN27&lt;AV6,AO27&gt;=AU6),"r2","n")))))</f>
        <v>r1</v>
      </c>
      <c r="AU27" s="164" t="str">
        <f>IF(AT27&lt;&gt;"n",AT27,IF(AND(AN27=AP7,AN27=AR7,AO27&gt;=AQ7,AO27&lt;=AS7),"r1",IF(AND(AN27&gt;AP7,AN27&lt;AR7),"r1",IF(AND(AN27&gt;AP7,AN27=AR7,AO27&lt;=AS7),"r1",IF(AND(AN27=AP7,AN27&lt;AR7,AO27&gt;=AQ7),"r1","n")))))</f>
        <v>r1</v>
      </c>
      <c r="AX27" s="176">
        <f>'c-form'!D26</f>
        <v>0</v>
      </c>
      <c r="AY27" s="176">
        <f>'c-form'!F26</f>
        <v>0</v>
      </c>
      <c r="AZ27" s="176" t="str">
        <f t="shared" si="3"/>
        <v/>
      </c>
      <c r="BA27" s="176" t="str">
        <f t="shared" si="4"/>
        <v/>
      </c>
      <c r="BB27" s="176">
        <f>'c-form'!D68</f>
        <v>0</v>
      </c>
      <c r="BC27" s="176">
        <f>'c-form'!F68</f>
        <v>0</v>
      </c>
      <c r="BD27" s="176" t="str">
        <f t="shared" si="2"/>
        <v/>
      </c>
      <c r="BE27" s="176" t="str">
        <f t="shared" si="1"/>
        <v/>
      </c>
    </row>
    <row r="28" spans="2:57" ht="12.6" customHeight="1">
      <c r="B28" s="178">
        <v>19</v>
      </c>
      <c r="C28" s="176">
        <f>IF(COUNT(Z19)=0,"",ROUND(Z19,('c-form'!AB15)*1))</f>
        <v>12.68</v>
      </c>
      <c r="D28" s="176">
        <f>IF(COUNT(Z50)=0,"",ROUND(Z50,('c-form'!AB15)*1))</f>
        <v>6.25</v>
      </c>
      <c r="E28" s="176">
        <f>IF(COUNT(Z81)=0,"",ROUND(Z81,('c-form'!AB15)*1))</f>
        <v>2.2000000000000002</v>
      </c>
      <c r="F28" s="176">
        <f>IF(COUNT(Z111)=0,"",ROUND(Z111,('c-form'!AB15)*1))</f>
        <v>7.8</v>
      </c>
      <c r="G28" s="176">
        <f>IF(COUNT(Z142)=0,"",ROUND(Z142,('c-form'!AB15)*1))</f>
        <v>13.9</v>
      </c>
      <c r="H28" s="176">
        <f>IF(COUNT(Z173)=0,"",ROUND(Z173,('c-form'!AB15)*1))</f>
        <v>52.35</v>
      </c>
      <c r="I28" s="176">
        <f>IF(COUNT(Z203)=0,"",ROUND(Z203,('c-form'!AB15)*1))</f>
        <v>131</v>
      </c>
      <c r="J28" s="176">
        <f>IF(COUNT(Z234)=0,"",ROUND(Z234,('c-form'!AB15)*1))</f>
        <v>19.3</v>
      </c>
      <c r="K28" s="176">
        <f>IF(COUNT(Z264)=0,"",ROUND(Z264,('c-form'!AB15)*1))</f>
        <v>12.03</v>
      </c>
      <c r="L28" s="176">
        <f>IF(COUNT(Z295)=0,"",ROUND(Z295,('c-form'!AB15)*1))</f>
        <v>18.850000000000001</v>
      </c>
      <c r="M28" s="176">
        <f>IF(COUNT(Z326)=0,"",ROUND(Z326,('c-form'!AB15)*1))</f>
        <v>3.4</v>
      </c>
      <c r="N28" s="176">
        <f>IF(COUNT(Z355)=0,"",ROUND(Z355,('c-form'!AB15)*1))</f>
        <v>2.6</v>
      </c>
      <c r="O28" s="176"/>
      <c r="Z28" s="176">
        <f t="shared" si="0"/>
        <v>11.700000000001108</v>
      </c>
      <c r="AA28" s="176">
        <f>IF(TRIM(AG28)="","",IF(INDEX(AZ1:AZ51,AC28)=AG28,INDEX(BA1:BA51,AC28),((AG28-INDEX(AZ1:AZ51,AC28))*(INDEX(BA1:BA51,AC28+1)-INDEX(BA1:BA51,AC28)))/(INDEX(AZ1:AZ51,AC28+1)-INDEX(AZ1:AZ51,AC28))+INDEX(BA1:BA51,AC28)))</f>
        <v>11.700000000001108</v>
      </c>
      <c r="AB28" s="176" t="e">
        <f>IF(TRIM(AG28)="","",IF(INDEX(BD1:BD51,AD28)=AG28,INDEX(BE1:BE51,AD28),((AG28-INDEX(BD1:BD51,AD28))*(INDEX(BE1:BE51,AD28+1)-INDEX(BE1:BE51,AD28)))/(INDEX(BD1:BD51,AD28+1)-INDEX(BD1:BD51,AD28))+INDEX(BE1:BE51,AD28)))</f>
        <v>#N/A</v>
      </c>
      <c r="AC28" s="164">
        <f>MATCH(AG28,AZ1:AZ51,1)</f>
        <v>5</v>
      </c>
      <c r="AD28" s="164" t="e">
        <f>MATCH(AG28,BD1:BD51,1)</f>
        <v>#N/A</v>
      </c>
      <c r="AE28" s="164">
        <v>1</v>
      </c>
      <c r="AF28" s="164">
        <v>28</v>
      </c>
      <c r="AG28" s="179">
        <f>FIXED('HourGH-APR'!AB40)*1</f>
        <v>338.16</v>
      </c>
      <c r="AH28" s="164" t="str">
        <f>IF(AND(AE28=AP5,AE28=AR5,AF28&gt;=AQ5,AF28&lt;=AS5),"r1",IF(AND(AE28&gt;AP5,AE28&lt;AR5),"r1",IF(AND(AE28&gt;AP5,AE28=AR5,AF28&lt;=AS5),"r1",IF(AND(AE28=AP5,AE28&lt;AR5,AF28&gt;=AQ5),"r1","n"))))</f>
        <v>r1</v>
      </c>
      <c r="AI28" s="164" t="str">
        <f>IF(AH28&lt;&gt;"n",AH28,IF(AND(AE28=AT5,AE28=AV5,AF28&gt;=AU5,AF28&lt;=AW5),"r2",IF(AND(AE28&gt;AT5,AE28&lt;AV5),"r2",IF(AND(AE28&gt;AT5,AE28=AV5,AF28&lt;=AW5),"r2",IF(AND(AE28=AT5,AE28&lt;AV5,AF28&gt;=AU5),"r2","n")))))</f>
        <v>r1</v>
      </c>
      <c r="AJ28" s="164" t="str">
        <f>IF(AI28&lt;&gt;"n",AI28,IF(AND(AE28=AP6,AE28=AR6,AF28&gt;=AQ6,AF28&lt;=AS6),"r1",IF(AND(AE28&gt;AP6,AE28&lt;AR6),"r1",IF(AND(AE28&gt;AP6,AE28=AR6,AF28&lt;=AS6),"r1",IF(AND(AE28=AP6,AE28&lt;AR6,AF28&gt;=AQ6),"r1","n")))))</f>
        <v>r1</v>
      </c>
      <c r="AK28" s="164" t="str">
        <f>IF(AJ28&lt;&gt;"n",AJ28,IF(AND(AE28=AT6,AE28=AV6,AF28&gt;=AU6,AF28&lt;=AW6),"r2",IF(AND(AE28&gt;AT6,AE28&lt;AV6),"r2",IF(AND(AE28&gt;AT6,AE28=AV6,AF28&lt;=AW6),"r2",IF(AND(AE28=AT6,AE28&lt;AV6,AF28&gt;=AU6),"r2","n")))))</f>
        <v>r1</v>
      </c>
      <c r="AL28" s="164" t="str">
        <f>IF(AK28&lt;&gt;"n",AK28,IF(AND(AE28=AP7,AE28=AR7,AF28&gt;=AQ7,AF28&lt;=AS7),"r1",IF(AND(AE28&gt;AP7,AE28&lt;AR7),"r1",IF(AND(AE28&gt;AP7,AE28=AR7,AF28&lt;=AS7),"r1",IF(AND(AE28=AP7,AE28&lt;AR7,AF28&gt;=AQ7),"r1","n")))))</f>
        <v>r1</v>
      </c>
      <c r="AX28" s="176">
        <f>'c-form'!H26</f>
        <v>0</v>
      </c>
      <c r="AY28" s="176">
        <f>'c-form'!J26</f>
        <v>0</v>
      </c>
      <c r="AZ28" s="176" t="str">
        <f t="shared" si="3"/>
        <v/>
      </c>
      <c r="BA28" s="176" t="str">
        <f t="shared" si="4"/>
        <v/>
      </c>
      <c r="BB28" s="176">
        <f>'c-form'!H68</f>
        <v>0</v>
      </c>
      <c r="BC28" s="176">
        <f>'c-form'!J68</f>
        <v>0</v>
      </c>
      <c r="BD28" s="176" t="str">
        <f t="shared" si="2"/>
        <v/>
      </c>
      <c r="BE28" s="176" t="str">
        <f t="shared" si="1"/>
        <v/>
      </c>
    </row>
    <row r="29" spans="2:57" ht="12.6" customHeight="1">
      <c r="B29" s="178">
        <v>20</v>
      </c>
      <c r="C29" s="176">
        <f>IF(COUNT(Z20)=0,"",ROUND(Z20,('c-form'!AB15)*1))</f>
        <v>12.03</v>
      </c>
      <c r="D29" s="176">
        <f>IF(COUNT(Z51)=0,"",ROUND(Z51,('c-form'!AB15)*1))</f>
        <v>1.25</v>
      </c>
      <c r="E29" s="176">
        <f>IF(COUNT(Z82)=0,"",ROUND(Z82,('c-form'!AB15)*1))</f>
        <v>3</v>
      </c>
      <c r="F29" s="176">
        <f>IF(COUNT(Z112)=0,"",ROUND(Z112,('c-form'!AB15)*1))</f>
        <v>5.75</v>
      </c>
      <c r="G29" s="176">
        <f>IF(COUNT(Z143)=0,"",ROUND(Z143,('c-form'!AB15)*1))</f>
        <v>13.45</v>
      </c>
      <c r="H29" s="176">
        <f>IF(COUNT(Z174)=0,"",ROUND(Z174,('c-form'!AB15)*1))</f>
        <v>43.72</v>
      </c>
      <c r="I29" s="176">
        <f>IF(COUNT(Z204)=0,"",ROUND(Z204,('c-form'!AB15)*1))</f>
        <v>91.82</v>
      </c>
      <c r="J29" s="176">
        <f>IF(COUNT(Z235)=0,"",ROUND(Z235,('c-form'!AB15)*1))</f>
        <v>25</v>
      </c>
      <c r="K29" s="176">
        <f>IF(COUNT(Z265)=0,"",ROUND(Z265,('c-form'!AB15)*1))</f>
        <v>10.73</v>
      </c>
      <c r="L29" s="176">
        <f>IF(COUNT(Z296)=0,"",ROUND(Z296,('c-form'!AB15)*1))</f>
        <v>14.8</v>
      </c>
      <c r="M29" s="176">
        <f>IF(COUNT(Z327)=0,"",ROUND(Z327,('c-form'!AB15)*1))</f>
        <v>3.6</v>
      </c>
      <c r="N29" s="176">
        <f>IF(COUNT(Z356)=0,"",ROUND(Z356,('c-form'!AB15)*1))</f>
        <v>2.2000000000000002</v>
      </c>
      <c r="O29" s="176"/>
      <c r="Z29" s="176">
        <f t="shared" si="0"/>
        <v>11.700000000001108</v>
      </c>
      <c r="AA29" s="176">
        <f>IF(TRIM(AG29)="","",IF(INDEX(AZ1:AZ51,AC29)=AG29,INDEX(BA1:BA51,AC29),((AG29-INDEX(AZ1:AZ51,AC29))*(INDEX(BA1:BA51,AC29+1)-INDEX(BA1:BA51,AC29)))/(INDEX(AZ1:AZ51,AC29+1)-INDEX(AZ1:AZ51,AC29))+INDEX(BA1:BA51,AC29)))</f>
        <v>11.700000000001108</v>
      </c>
      <c r="AB29" s="176" t="e">
        <f>IF(TRIM(AG29)="","",IF(INDEX(BD1:BD51,AD29)=AG29,INDEX(BE1:BE51,AD29),((AG29-INDEX(BD1:BD51,AD29))*(INDEX(BE1:BE51,AD29+1)-INDEX(BE1:BE51,AD29)))/(INDEX(BD1:BD51,AD29+1)-INDEX(BD1:BD51,AD29))+INDEX(BE1:BE51,AD29)))</f>
        <v>#N/A</v>
      </c>
      <c r="AC29" s="164">
        <f>MATCH(AG29,AZ1:AZ51,1)</f>
        <v>5</v>
      </c>
      <c r="AD29" s="164" t="e">
        <f>MATCH(AG29,BD1:BD51,1)</f>
        <v>#N/A</v>
      </c>
      <c r="AE29" s="164">
        <v>1</v>
      </c>
      <c r="AF29" s="164">
        <v>29</v>
      </c>
      <c r="AG29" s="179">
        <f>FIXED('HourGH-APR'!AB41)*1</f>
        <v>338.16</v>
      </c>
      <c r="AH29" s="164" t="str">
        <f>IF(AND(AE29=AP5,AE29=AR5,AF29&gt;=AQ5,AF29&lt;=AS5),"r1",IF(AND(AE29&gt;AP5,AE29&lt;AR5),"r1",IF(AND(AE29&gt;AP5,AE29=AR5,AF29&lt;=AS5),"r1",IF(AND(AE29=AP5,AE29&lt;AR5,AF29&gt;=AQ5),"r1","n"))))</f>
        <v>r1</v>
      </c>
      <c r="AI29" s="164" t="str">
        <f>IF(AH29&lt;&gt;"n",AH29,IF(AND(AE29=AT5,AE29=AV5,AF29&gt;=AU5,AF29&lt;=AW5),"r2",IF(AND(AE29&gt;AT5,AE29&lt;AV5),"r2",IF(AND(AE29&gt;AT5,AE29=AV5,AF29&lt;=AW5),"r2",IF(AND(AE29=AT5,AE29&lt;AV5,AF29&gt;=AU5),"r2","n")))))</f>
        <v>r1</v>
      </c>
      <c r="AJ29" s="164" t="str">
        <f>IF(AI29&lt;&gt;"n",AI29,IF(AND(AE29=AP6,AE29=AR6,AF29&gt;=AQ6,AF29&lt;=AS6),"r1",IF(AND(AE29&gt;AP6,AE29&lt;AR6),"r1",IF(AND(AE29&gt;AP6,AE29=AR6,AF29&lt;=AS6),"r1",IF(AND(AE29=AP6,AE29&lt;AR6,AF29&gt;=AQ6),"r1","n")))))</f>
        <v>r1</v>
      </c>
      <c r="AK29" s="164" t="str">
        <f>IF(AJ29&lt;&gt;"n",AJ29,IF(AND(AE29=AT6,AE29=AV6,AF29&gt;=AU6,AF29&lt;=AW6),"r2",IF(AND(AE29&gt;AT6,AE29&lt;AV6),"r2",IF(AND(AE29&gt;AT6,AE29=AV6,AF29&lt;=AW6),"r2",IF(AND(AE29=AT6,AE29&lt;AV6,AF29&gt;=AU6),"r2","n")))))</f>
        <v>r1</v>
      </c>
      <c r="AL29" s="164" t="str">
        <f>IF(AK29&lt;&gt;"n",AK29,IF(AND(AE29=AP7,AE29=AR7,AF29&gt;=AQ7,AF29&lt;=AS7),"r1",IF(AND(AE29&gt;AP7,AE29&lt;AR7),"r1",IF(AND(AE29&gt;AP7,AE29=AR7,AF29&lt;=AS7),"r1",IF(AND(AE29=AP7,AE29&lt;AR7,AF29&gt;=AQ7),"r1","n")))))</f>
        <v>r1</v>
      </c>
      <c r="AN29" s="164">
        <f>IF(TRIM(AO29)&lt;&gt;"",MATCH(AO29,AN33:AN45),"")</f>
        <v>7</v>
      </c>
      <c r="AO29" s="164" t="str">
        <f>IF(TRIM('c-form'!Z15)&lt;&gt;"",UPPER(TRIM('c-form'!Z15)),IF(TRIM('c-form'!Z57)&lt;&gt;"",UPPER(TRIM('c-form'!Z57)),""))</f>
        <v>OCT</v>
      </c>
      <c r="AP29" s="164">
        <f>IF(AU27="r1",IF(COUNT(AQ29)&lt;&gt;0,AQ29,""),AR29)</f>
        <v>136.75000000000171</v>
      </c>
      <c r="AQ29" s="164">
        <f>IF(TRIM(AP27)="","",IF(INDEX(AZ1:AZ51,AT29)=AP27,INDEX(BA1:BA51,AT29),((AP27-INDEX(AZ1:AZ51,AT29))*(INDEX(BA1:BA51,AT29+1)-INDEX(BA1:BA51,AT29)))/(INDEX(AZ1:AZ51,AT29+1)-INDEX(AZ1:AZ51,AT29))+INDEX(BA1:BA51,AT29)))</f>
        <v>136.75000000000171</v>
      </c>
      <c r="AR29" s="164" t="e">
        <f>IF(TRIM(AP27)="","",IF(INDEX(BD1:BD51,AS29)=AP27,INDEX(BE1:BE51,AS29),((AP27-INDEX(BD1:BD51,AS29))*(INDEX(BE1:BE51,AS29+1)-INDEX(BE1:BE51,AS29)))/(INDEX(BD1:BD51,AS29+1)-INDEX(BD1:BD51,AS29))+INDEX(BE1:BE51,AS29)))</f>
        <v>#N/A</v>
      </c>
      <c r="AS29" s="164" t="e">
        <f>MATCH(AP27*1,BD1:BD51,1)</f>
        <v>#N/A</v>
      </c>
      <c r="AT29" s="164">
        <f>MATCH(AP27*1,AZ1:AZ51,1)</f>
        <v>13</v>
      </c>
      <c r="AX29" s="176">
        <f>'c-form'!M26</f>
        <v>0</v>
      </c>
      <c r="AY29" s="176">
        <f>'c-form'!P26</f>
        <v>0</v>
      </c>
      <c r="AZ29" s="176" t="str">
        <f t="shared" si="3"/>
        <v/>
      </c>
      <c r="BA29" s="176" t="str">
        <f t="shared" si="4"/>
        <v/>
      </c>
      <c r="BB29" s="176">
        <f>'c-form'!M68</f>
        <v>0</v>
      </c>
      <c r="BC29" s="176">
        <f>'c-form'!P68</f>
        <v>0</v>
      </c>
      <c r="BD29" s="176" t="str">
        <f t="shared" si="2"/>
        <v/>
      </c>
      <c r="BE29" s="176" t="str">
        <f t="shared" si="1"/>
        <v/>
      </c>
    </row>
    <row r="30" spans="2:57" ht="3.75" customHeight="1">
      <c r="B30" s="178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Z30" s="176">
        <f t="shared" si="0"/>
        <v>11.700000000001108</v>
      </c>
      <c r="AA30" s="176">
        <f>IF(TRIM(AG30)="","",IF(INDEX(AZ1:AZ51,AC30)=AG30,INDEX(BA1:BA51,AC30),((AG30-INDEX(AZ1:AZ51,AC30))*(INDEX(BA1:BA51,AC30+1)-INDEX(BA1:BA51,AC30)))/(INDEX(AZ1:AZ51,AC30+1)-INDEX(AZ1:AZ51,AC30))+INDEX(BA1:BA51,AC30)))</f>
        <v>11.700000000001108</v>
      </c>
      <c r="AB30" s="176" t="e">
        <f>IF(TRIM(AG30)="","",IF(INDEX(BD1:BD51,AD30)=AG30,INDEX(BE1:BE51,AD30),((AG30-INDEX(BD1:BD51,AD30))*(INDEX(BE1:BE51,AD30+1)-INDEX(BE1:BE51,AD30)))/(INDEX(BD1:BD51,AD30+1)-INDEX(BD1:BD51,AD30))+INDEX(BE1:BE51,AD30)))</f>
        <v>#N/A</v>
      </c>
      <c r="AC30" s="164">
        <f>MATCH(AG30,AZ1:AZ51,1)</f>
        <v>5</v>
      </c>
      <c r="AD30" s="164" t="e">
        <f>MATCH(AG30,BD1:BD51,1)</f>
        <v>#N/A</v>
      </c>
      <c r="AE30" s="164">
        <v>1</v>
      </c>
      <c r="AF30" s="164">
        <v>30</v>
      </c>
      <c r="AG30" s="179">
        <f>FIXED('HourGH-APR'!AB42)*1</f>
        <v>338.16</v>
      </c>
      <c r="AH30" s="164" t="str">
        <f>IF(AND(AE30=AP5,AE30=AR5,AF30&gt;=AQ5,AF30&lt;=AS5),"r1",IF(AND(AE30&gt;AP5,AE30&lt;AR5),"r1",IF(AND(AE30&gt;AP5,AE30=AR5,AF30&lt;=AS5),"r1",IF(AND(AE30=AP5,AE30&lt;AR5,AF30&gt;=AQ5),"r1","n"))))</f>
        <v>r1</v>
      </c>
      <c r="AI30" s="164" t="str">
        <f>IF(AH30&lt;&gt;"n",AH30,IF(AND(AE30=AT5,AE30=AV5,AF30&gt;=AU5,AF30&lt;=AW5),"r2",IF(AND(AE30&gt;AT5,AE30&lt;AV5),"r2",IF(AND(AE30&gt;AT5,AE30=AV5,AF30&lt;=AW5),"r2",IF(AND(AE30=AT5,AE30&lt;AV5,AF30&gt;=AU5),"r2","n")))))</f>
        <v>r1</v>
      </c>
      <c r="AJ30" s="164" t="str">
        <f>IF(AI30&lt;&gt;"n",AI30,IF(AND(AE30=AP6,AE30=AR6,AF30&gt;=AQ6,AF30&lt;=AS6),"r1",IF(AND(AE30&gt;AP6,AE30&lt;AR6),"r1",IF(AND(AE30&gt;AP6,AE30=AR6,AF30&lt;=AS6),"r1",IF(AND(AE30=AP6,AE30&lt;AR6,AF30&gt;=AQ6),"r1","n")))))</f>
        <v>r1</v>
      </c>
      <c r="AK30" s="164" t="str">
        <f>IF(AJ30&lt;&gt;"n",AJ30,IF(AND(AE30=AT6,AE30=AV6,AF30&gt;=AU6,AF30&lt;=AW6),"r2",IF(AND(AE30&gt;AT6,AE30&lt;AV6),"r2",IF(AND(AE30&gt;AT6,AE30=AV6,AF30&lt;=AW6),"r2",IF(AND(AE30=AT6,AE30&lt;AV6,AF30&gt;=AU6),"r2","n")))))</f>
        <v>r1</v>
      </c>
      <c r="AL30" s="164" t="str">
        <f>IF(AK30&lt;&gt;"n",AK30,IF(AND(AE30=AP7,AE30=AR7,AF30&gt;=AQ7,AF30&lt;=AS7),"r1",IF(AND(AE30&gt;AP7,AE30&lt;AR7),"r1",IF(AND(AE30&gt;AP7,AE30=AR7,AF30&lt;=AS7),"r1",IF(AND(AE30=AP7,AE30&lt;AR7,AF30&gt;=AQ7),"r1","n")))))</f>
        <v>r1</v>
      </c>
      <c r="AX30" s="176">
        <f>'c-form'!R26</f>
        <v>0</v>
      </c>
      <c r="AY30" s="176">
        <f>'c-form'!T26</f>
        <v>0</v>
      </c>
      <c r="AZ30" s="176" t="str">
        <f t="shared" si="3"/>
        <v/>
      </c>
      <c r="BA30" s="176" t="str">
        <f t="shared" si="4"/>
        <v/>
      </c>
      <c r="BB30" s="176">
        <f>'c-form'!R68</f>
        <v>0</v>
      </c>
      <c r="BC30" s="176">
        <f>'c-form'!T68</f>
        <v>0</v>
      </c>
      <c r="BD30" s="176" t="str">
        <f t="shared" si="2"/>
        <v/>
      </c>
      <c r="BE30" s="176" t="str">
        <f t="shared" si="1"/>
        <v/>
      </c>
    </row>
    <row r="31" spans="2:57" ht="12.6" customHeight="1">
      <c r="B31" s="178">
        <v>21</v>
      </c>
      <c r="C31" s="176">
        <f>IF(COUNT(Z21)=0,"",ROUND(Z21,('c-form'!AB15)*1))</f>
        <v>12.03</v>
      </c>
      <c r="D31" s="176">
        <f>IF(COUNT(Z52)=0,"",ROUND(Z52,('c-form'!AB15)*1))</f>
        <v>2.4</v>
      </c>
      <c r="E31" s="176">
        <f>IF(COUNT(Z83)=0,"",ROUND(Z83,('c-form'!AB15)*1))</f>
        <v>3.2</v>
      </c>
      <c r="F31" s="176">
        <f>IF(COUNT(Z113)=0,"",ROUND(Z113,('c-form'!AB15)*1))</f>
        <v>5</v>
      </c>
      <c r="G31" s="176">
        <f>IF(COUNT(Z144)=0,"",ROUND(Z144,('c-form'!AB15)*1))</f>
        <v>13.45</v>
      </c>
      <c r="H31" s="176">
        <f>IF(COUNT(Z175)=0,"",ROUND(Z175,('c-form'!AB15)*1))</f>
        <v>38.5</v>
      </c>
      <c r="I31" s="176">
        <f>IF(COUNT(Z205)=0,"",ROUND(Z205,('c-form'!AB15)*1))</f>
        <v>73.8</v>
      </c>
      <c r="J31" s="176">
        <f>IF(COUNT(Z236)=0,"",ROUND(Z236,('c-form'!AB15)*1))</f>
        <v>19.75</v>
      </c>
      <c r="K31" s="176">
        <f>IF(COUNT(Z266)=0,"",ROUND(Z266,('c-form'!AB15)*1))</f>
        <v>9.75</v>
      </c>
      <c r="L31" s="176">
        <f>IF(COUNT(Z297)=0,"",ROUND(Z297,('c-form'!AB15)*1))</f>
        <v>5.75</v>
      </c>
      <c r="M31" s="176">
        <f>IF(COUNT(Z328)=0,"",ROUND(Z328,('c-form'!AB15)*1))</f>
        <v>5.5</v>
      </c>
      <c r="N31" s="176">
        <f>IF(COUNT(Z357)=0,"",ROUND(Z357,('c-form'!AB15)*1))</f>
        <v>4.75</v>
      </c>
      <c r="O31" s="176"/>
      <c r="Z31" s="176">
        <f t="shared" si="0"/>
        <v>12.025000000000832</v>
      </c>
      <c r="AA31" s="176">
        <f>IF(TRIM(AG31)="","",IF(INDEX(AZ1:AZ51,AC31)=AG31,INDEX(BA1:BA51,AC31),((AG31-INDEX(AZ1:AZ51,AC31))*(INDEX(BA1:BA51,AC31+1)-INDEX(BA1:BA51,AC31)))/(INDEX(AZ1:AZ51,AC31+1)-INDEX(AZ1:AZ51,AC31))+INDEX(BA1:BA51,AC31)))</f>
        <v>12.025000000000832</v>
      </c>
      <c r="AB31" s="176" t="e">
        <f>IF(TRIM(AG31)="","",IF(INDEX(BD1:BD51,AD31)=AG31,INDEX(BE1:BE51,AD31),((AG31-INDEX(BD1:BD51,AD31))*(INDEX(BE1:BE51,AD31+1)-INDEX(BE1:BE51,AD31)))/(INDEX(BD1:BD51,AD31+1)-INDEX(BD1:BD51,AD31))+INDEX(BE1:BE51,AD31)))</f>
        <v>#N/A</v>
      </c>
      <c r="AC31" s="164">
        <f>MATCH(AG31,AZ1:AZ51,1)</f>
        <v>5</v>
      </c>
      <c r="AD31" s="164" t="e">
        <f>MATCH(AG31,BD1:BD51,1)</f>
        <v>#N/A</v>
      </c>
      <c r="AE31" s="164">
        <v>2</v>
      </c>
      <c r="AF31" s="164">
        <v>1</v>
      </c>
      <c r="AG31" s="179">
        <f>FIXED('HourGH-MAY'!AB11)*1</f>
        <v>338.17</v>
      </c>
      <c r="AH31" s="164" t="str">
        <f>IF(AND(AE31=AP5,AE31=AR5,AF31&gt;=AQ5,AF31&lt;=AS5),"r1",IF(AND(AE31&gt;AP5,AE31&lt;AR5),"r1",IF(AND(AE31&gt;AP5,AE31=AR5,AF31&lt;=AS5),"r1",IF(AND(AE31=AP5,AE31&lt;AR5,AF31&gt;=AQ5),"r1","n"))))</f>
        <v>r1</v>
      </c>
      <c r="AI31" s="164" t="str">
        <f>IF(AH31&lt;&gt;"n",AH31,IF(AND(AE31=AT5,AE31=AV5,AF31&gt;=AU5,AF31&lt;=AW5),"r2",IF(AND(AE31&gt;AT5,AE31&lt;AV5),"r2",IF(AND(AE31&gt;AT5,AE31=AV5,AF31&lt;=AW5),"r2",IF(AND(AE31=AT5,AE31&lt;AV5,AF31&gt;=AU5),"r2","n")))))</f>
        <v>r1</v>
      </c>
      <c r="AJ31" s="164" t="str">
        <f>IF(AI31&lt;&gt;"n",AI31,IF(AND(AE31=AP6,AE31=AR6,AF31&gt;=AQ6,AF31&lt;=AS6),"r1",IF(AND(AE31&gt;AP6,AE31&lt;AR6),"r1",IF(AND(AE31&gt;AP6,AE31=AR6,AF31&lt;=AS6),"r1",IF(AND(AE31=AP6,AE31&lt;AR6,AF31&gt;=AQ6),"r1","n")))))</f>
        <v>r1</v>
      </c>
      <c r="AK31" s="164" t="str">
        <f>IF(AJ31&lt;&gt;"n",AJ31,IF(AND(AE31=AT6,AE31=AV6,AF31&gt;=AU6,AF31&lt;=AW6),"r2",IF(AND(AE31&gt;AT6,AE31&lt;AV6),"r2",IF(AND(AE31&gt;AT6,AE31=AV6,AF31&lt;=AW6),"r2",IF(AND(AE31=AT6,AE31&lt;AV6,AF31&gt;=AU6),"r2","n")))))</f>
        <v>r1</v>
      </c>
      <c r="AL31" s="164" t="str">
        <f>IF(AK31&lt;&gt;"n",AK31,IF(AND(AE31=AP7,AE31=AR7,AF31&gt;=AQ7,AF31&lt;=AS7),"r1",IF(AND(AE31&gt;AP7,AE31&lt;AR7),"r1",IF(AND(AE31&gt;AP7,AE31=AR7,AF31&lt;=AS7),"r1",IF(AND(AE31=AP7,AE31&lt;AR7,AF31&gt;=AQ7),"r1","n")))))</f>
        <v>r1</v>
      </c>
      <c r="AN31" s="164" t="str">
        <f>AT6</f>
        <v/>
      </c>
      <c r="AO31" s="164" t="str">
        <f>AV6</f>
        <v/>
      </c>
      <c r="AQ31" s="164">
        <f>INDEX(AZ1:AZ51,AT29)</f>
        <v>340.2</v>
      </c>
      <c r="AS31" s="164" t="e">
        <f>INDEX(BD1:BD51,AS29)</f>
        <v>#N/A</v>
      </c>
      <c r="AX31" s="176">
        <f>'c-form'!W26</f>
        <v>0</v>
      </c>
      <c r="AY31" s="176">
        <f>'c-form'!AA26</f>
        <v>0</v>
      </c>
      <c r="AZ31" s="176" t="str">
        <f t="shared" si="3"/>
        <v/>
      </c>
      <c r="BA31" s="176" t="str">
        <f>IF(OR(AX32*1&lt;&gt;0,AY32*1&lt;&gt;0),AY32,"")</f>
        <v/>
      </c>
      <c r="BB31" s="176">
        <f>'c-form'!W68</f>
        <v>0</v>
      </c>
      <c r="BC31" s="176">
        <f>'c-form'!AA68</f>
        <v>0</v>
      </c>
      <c r="BD31" s="176" t="str">
        <f t="shared" si="2"/>
        <v/>
      </c>
      <c r="BE31" s="176" t="str">
        <f t="shared" si="1"/>
        <v/>
      </c>
    </row>
    <row r="32" spans="2:57" ht="12.6" customHeight="1">
      <c r="B32" s="178">
        <v>22</v>
      </c>
      <c r="C32" s="176">
        <f>IF(COUNT(Z22)=0,"",ROUND(Z22,('c-form'!AB15)*1))</f>
        <v>12.35</v>
      </c>
      <c r="D32" s="176">
        <f>IF(COUNT(Z53)=0,"",ROUND(Z53,('c-form'!AB15)*1))</f>
        <v>2</v>
      </c>
      <c r="E32" s="176">
        <f>IF(COUNT(Z84)=0,"",ROUND(Z84,('c-form'!AB15)*1))</f>
        <v>2.8</v>
      </c>
      <c r="F32" s="176">
        <f>IF(COUNT(Z114)=0,"",ROUND(Z114,('c-form'!AB15)*1))</f>
        <v>5</v>
      </c>
      <c r="G32" s="176">
        <f>IF(COUNT(Z145)=0,"",ROUND(Z145,('c-form'!AB15)*1))</f>
        <v>17.95</v>
      </c>
      <c r="H32" s="176">
        <f>IF(COUNT(Z176)=0,"",ROUND(Z176,('c-form'!AB15)*1))</f>
        <v>29.5</v>
      </c>
      <c r="I32" s="176">
        <f>IF(COUNT(Z206)=0,"",ROUND(Z206,('c-form'!AB15)*1))</f>
        <v>94.6</v>
      </c>
      <c r="J32" s="176">
        <f>IF(COUNT(Z237)=0,"",ROUND(Z237,('c-form'!AB15)*1))</f>
        <v>16.600000000000001</v>
      </c>
      <c r="K32" s="176">
        <f>IF(COUNT(Z267)=0,"",ROUND(Z267,('c-form'!AB15)*1))</f>
        <v>9.1</v>
      </c>
      <c r="L32" s="176">
        <f>IF(COUNT(Z298)=0,"",ROUND(Z298,('c-form'!AB15)*1))</f>
        <v>5.5</v>
      </c>
      <c r="M32" s="176">
        <f>IF(COUNT(Z329)=0,"",ROUND(Z329,('c-form'!AB15)*1))</f>
        <v>15.7</v>
      </c>
      <c r="N32" s="176">
        <f>IF(COUNT(Z358)=0,"",ROUND(Z358,('c-form'!AB15)*1))</f>
        <v>16.600000000000001</v>
      </c>
      <c r="O32" s="176"/>
      <c r="Z32" s="176">
        <f t="shared" si="0"/>
        <v>12.025000000000832</v>
      </c>
      <c r="AA32" s="176">
        <f>IF(TRIM(AG32)="","",IF(INDEX(AZ1:AZ51,AC32)=AG32,INDEX(BA1:BA51,AC32),((AG32-INDEX(AZ1:AZ51,AC32))*(INDEX(BA1:BA51,AC32+1)-INDEX(BA1:BA51,AC32)))/(INDEX(AZ1:AZ51,AC32+1)-INDEX(AZ1:AZ51,AC32))+INDEX(BA1:BA51,AC32)))</f>
        <v>12.025000000000832</v>
      </c>
      <c r="AB32" s="176" t="e">
        <f>IF(TRIM(AG32)="","",IF(INDEX(BD1:BD51,AD32)=AG32,INDEX(BE1:BE51,AD32),((AG32-INDEX(BD1:BD51,AD32))*(INDEX(BE1:BE51,AD32+1)-INDEX(BE1:BE51,AD32)))/(INDEX(BD1:BD51,AD32+1)-INDEX(BD1:BD51,AD32))+INDEX(BE1:BE51,AD32)))</f>
        <v>#N/A</v>
      </c>
      <c r="AC32" s="164">
        <f>MATCH(AG32,AZ1:AZ51,1)</f>
        <v>5</v>
      </c>
      <c r="AD32" s="164" t="e">
        <f>MATCH(AG32,BD1:BD51,1)</f>
        <v>#N/A</v>
      </c>
      <c r="AE32" s="164">
        <v>2</v>
      </c>
      <c r="AF32" s="164">
        <v>2</v>
      </c>
      <c r="AG32" s="179">
        <f>FIXED('HourGH-MAY'!AB12)*1</f>
        <v>338.17</v>
      </c>
      <c r="AH32" s="164" t="str">
        <f>IF(AND(AE32=AP5,AE32=AR5,AF32&gt;=AQ5,AF32&lt;=AS5),"r1",IF(AND(AE32&gt;AP5,AE32&lt;AR5),"r1",IF(AND(AE32&gt;AP5,AE32=AR5,AF32&lt;=AS5),"r1",IF(AND(AE32=AP5,AE32&lt;AR5,AF32&gt;=AQ5),"r1","n"))))</f>
        <v>r1</v>
      </c>
      <c r="AI32" s="164" t="str">
        <f>IF(AH32&lt;&gt;"n",AH32,IF(AND(AE32=AT5,AE32=AV5,AF32&gt;=AU5,AF32&lt;=AW5),"r2",IF(AND(AE32&gt;AT5,AE32&lt;AV5),"r2",IF(AND(AE32&gt;AT5,AE32=AV5,AF32&lt;=AW5),"r2",IF(AND(AE32=AT5,AE32&lt;AV5,AF32&gt;=AU5),"r2","n")))))</f>
        <v>r1</v>
      </c>
      <c r="AJ32" s="164" t="str">
        <f>IF(AI32&lt;&gt;"n",AI32,IF(AND(AE32=AP6,AE32=AR6,AF32&gt;=AQ6,AF32&lt;=AS6),"r1",IF(AND(AE32&gt;AP6,AE32&lt;AR6),"r1",IF(AND(AE32&gt;AP6,AE32=AR6,AF32&lt;=AS6),"r1",IF(AND(AE32=AP6,AE32&lt;AR6,AF32&gt;=AQ6),"r1","n")))))</f>
        <v>r1</v>
      </c>
      <c r="AK32" s="164" t="str">
        <f>IF(AJ32&lt;&gt;"n",AJ32,IF(AND(AE32=AT6,AE32=AV6,AF32&gt;=AU6,AF32&lt;=AW6),"r2",IF(AND(AE32&gt;AT6,AE32&lt;AV6),"r2",IF(AND(AE32&gt;AT6,AE32=AV6,AF32&lt;=AW6),"r2",IF(AND(AE32=AT6,AE32&lt;AV6,AF32&gt;=AU6),"r2","n")))))</f>
        <v>r1</v>
      </c>
      <c r="AL32" s="164" t="str">
        <f>IF(AK32&lt;&gt;"n",AK32,IF(AND(AE32=AP7,AE32=AR7,AF32&gt;=AQ7,AF32&lt;=AS7),"r1",IF(AND(AE32&gt;AP7,AE32&lt;AR7),"r1",IF(AND(AE32&gt;AP7,AE32=AR7,AF32&lt;=AS7),"r1",IF(AND(AE32=AP7,AE32&lt;AR7,AF32&gt;=AQ7),"r1","n")))))</f>
        <v>r1</v>
      </c>
      <c r="AQ32" s="164">
        <f>(INDEX(AZ1:AZ51,AT29+1))</f>
        <v>340.3</v>
      </c>
      <c r="AS32" s="164" t="str">
        <f>(INDEX(BD1:BD51,38))</f>
        <v/>
      </c>
      <c r="AX32" s="176">
        <f>'c-form'!D27</f>
        <v>0</v>
      </c>
      <c r="AY32" s="176">
        <f>'c-form'!F27</f>
        <v>0</v>
      </c>
      <c r="AZ32" s="176" t="str">
        <f t="shared" si="3"/>
        <v/>
      </c>
      <c r="BA32" s="176" t="str">
        <f t="shared" si="4"/>
        <v/>
      </c>
      <c r="BB32" s="176">
        <f>'c-form'!D69</f>
        <v>0</v>
      </c>
      <c r="BC32" s="176">
        <f>'c-form'!F69</f>
        <v>0</v>
      </c>
      <c r="BD32" s="176" t="str">
        <f t="shared" si="2"/>
        <v/>
      </c>
      <c r="BE32" s="176" t="str">
        <f t="shared" si="1"/>
        <v/>
      </c>
    </row>
    <row r="33" spans="2:57" ht="12.6" customHeight="1">
      <c r="B33" s="178">
        <v>23</v>
      </c>
      <c r="C33" s="176">
        <f>IF(COUNT(Z23)=0,"",ROUND(Z23,('c-form'!AB15)*1))</f>
        <v>12.03</v>
      </c>
      <c r="D33" s="176">
        <f>IF(COUNT(Z54)=0,"",ROUND(Z54,('c-form'!AB15)*1))</f>
        <v>1.85</v>
      </c>
      <c r="E33" s="176">
        <f>IF(COUNT(Z85)=0,"",ROUND(Z85,('c-form'!AB15)*1))</f>
        <v>5.5</v>
      </c>
      <c r="F33" s="176">
        <f>IF(COUNT(Z115)=0,"",ROUND(Z115,('c-form'!AB15)*1))</f>
        <v>5.5</v>
      </c>
      <c r="G33" s="176">
        <f>IF(COUNT(Z146)=0,"",ROUND(Z146,('c-form'!AB15)*1))</f>
        <v>31</v>
      </c>
      <c r="H33" s="176">
        <f>IF(COUNT(Z177)=0,"",ROUND(Z177,('c-form'!AB15)*1))</f>
        <v>25</v>
      </c>
      <c r="I33" s="176">
        <f>IF(COUNT(Z207)=0,"",ROUND(Z207,('c-form'!AB15)*1))</f>
        <v>76.400000000000006</v>
      </c>
      <c r="J33" s="176">
        <f>IF(COUNT(Z238)=0,"",ROUND(Z238,('c-form'!AB15)*1))</f>
        <v>14.35</v>
      </c>
      <c r="K33" s="176">
        <f>IF(COUNT(Z268)=0,"",ROUND(Z268,('c-form'!AB15)*1))</f>
        <v>8.77</v>
      </c>
      <c r="L33" s="176">
        <f>IF(COUNT(Z299)=0,"",ROUND(Z299,('c-form'!AB15)*1))</f>
        <v>5.5</v>
      </c>
      <c r="M33" s="176">
        <f>IF(COUNT(Z330)=0,"",ROUND(Z330,('c-form'!AB15)*1))</f>
        <v>9.75</v>
      </c>
      <c r="N33" s="176">
        <f>IF(COUNT(Z359)=0,"",ROUND(Z359,('c-form'!AB15)*1))</f>
        <v>14.8</v>
      </c>
      <c r="O33" s="176"/>
      <c r="Z33" s="176">
        <f t="shared" si="0"/>
        <v>12.350000000000554</v>
      </c>
      <c r="AA33" s="176">
        <f>IF(TRIM(AG33)="","",IF(INDEX(AZ1:AZ51,AC33)=AG33,INDEX(BA1:BA51,AC33),((AG33-INDEX(AZ1:AZ51,AC33))*(INDEX(BA1:BA51,AC33+1)-INDEX(BA1:BA51,AC33)))/(INDEX(AZ1:AZ51,AC33+1)-INDEX(AZ1:AZ51,AC33))+INDEX(BA1:BA51,AC33)))</f>
        <v>12.350000000000554</v>
      </c>
      <c r="AB33" s="176" t="e">
        <f>IF(TRIM(AG33)="","",IF(INDEX(BD1:BD51,AD33)=AG33,INDEX(BE1:BE51,AD33),((AG33-INDEX(BD1:BD51,AD33))*(INDEX(BE1:BE51,AD33+1)-INDEX(BE1:BE51,AD33)))/(INDEX(BD1:BD51,AD33+1)-INDEX(BD1:BD51,AD33))+INDEX(BE1:BE51,AD33)))</f>
        <v>#N/A</v>
      </c>
      <c r="AC33" s="164">
        <f>MATCH(AG33,AZ1:AZ51,1)</f>
        <v>5</v>
      </c>
      <c r="AD33" s="164" t="e">
        <f>MATCH(AG33,BD1:BD51,1)</f>
        <v>#N/A</v>
      </c>
      <c r="AE33" s="164">
        <v>2</v>
      </c>
      <c r="AF33" s="164">
        <v>3</v>
      </c>
      <c r="AG33" s="179">
        <f>FIXED('HourGH-MAY'!AB13)*1</f>
        <v>338.18</v>
      </c>
      <c r="AH33" s="164" t="str">
        <f>IF(AND(AE33=AP5,AE33=AR5,AF33&gt;=AQ5,AF33&lt;=AS5),"r1",IF(AND(AE33&gt;AP5,AE33&lt;AR5),"r1",IF(AND(AE33&gt;AP5,AE33=AR5,AF33&lt;=AS5),"r1",IF(AND(AE33=AP5,AE33&lt;AR5,AF33&gt;=AQ5),"r1","n"))))</f>
        <v>r1</v>
      </c>
      <c r="AI33" s="164" t="str">
        <f>IF(AH33&lt;&gt;"n",AH33,IF(AND(AE33=AT5,AE33=AV5,AF33&gt;=AU5,AF33&lt;=AW5),"r2",IF(AND(AE33&gt;AT5,AE33&lt;AV5),"r2",IF(AND(AE33&gt;AT5,AE33=AV5,AF33&lt;=AW5),"r2",IF(AND(AE33=AT5,AE33&lt;AV5,AF33&gt;=AU5),"r2","n")))))</f>
        <v>r1</v>
      </c>
      <c r="AJ33" s="164" t="str">
        <f>IF(AI33&lt;&gt;"n",AI33,IF(AND(AE33=AP6,AE33=AR6,AF33&gt;=AQ6,AF33&lt;=AS6),"r1",IF(AND(AE33&gt;AP6,AE33&lt;AR6),"r1",IF(AND(AE33&gt;AP6,AE33=AR6,AF33&lt;=AS6),"r1",IF(AND(AE33=AP6,AE33&lt;AR6,AF33&gt;=AQ6),"r1","n")))))</f>
        <v>r1</v>
      </c>
      <c r="AK33" s="164" t="str">
        <f>IF(AJ33&lt;&gt;"n",AJ33,IF(AND(AE33=AT6,AE33=AV6,AF33&gt;=AU6,AF33&lt;=AW6),"r2",IF(AND(AE33&gt;AT6,AE33&lt;AV6),"r2",IF(AND(AE33&gt;AT6,AE33=AV6,AF33&lt;=AW6),"r2",IF(AND(AE33=AT6,AE33&lt;AV6,AF33&gt;=AU6),"r2","n")))))</f>
        <v>r1</v>
      </c>
      <c r="AL33" s="164" t="str">
        <f>IF(AK33&lt;&gt;"n",AK33,IF(AND(AE33=AP7,AE33=AR7,AF33&gt;=AQ7,AF33&lt;=AS7),"r1",IF(AND(AE33&gt;AP7,AE33&lt;AR7),"r1",IF(AND(AE33&gt;AP7,AE33=AR7,AF33&lt;=AS7),"r1",IF(AND(AE33=AP7,AE33&lt;AR7,AF33&gt;=AQ7),"r1","n")))))</f>
        <v>r1</v>
      </c>
      <c r="AN33" s="164" t="s">
        <v>144</v>
      </c>
      <c r="AO33" s="164">
        <v>1</v>
      </c>
      <c r="AX33" s="176">
        <f>'c-form'!H27</f>
        <v>0</v>
      </c>
      <c r="AY33" s="176">
        <f>'c-form'!J27</f>
        <v>0</v>
      </c>
      <c r="AZ33" s="176" t="str">
        <f t="shared" si="3"/>
        <v/>
      </c>
      <c r="BA33" s="176" t="str">
        <f t="shared" si="4"/>
        <v/>
      </c>
      <c r="BB33" s="176">
        <f>'c-form'!H69</f>
        <v>0</v>
      </c>
      <c r="BC33" s="176">
        <f>'c-form'!J69</f>
        <v>0</v>
      </c>
      <c r="BD33" s="176" t="str">
        <f t="shared" si="2"/>
        <v/>
      </c>
      <c r="BE33" s="176" t="str">
        <f t="shared" ref="BE33:BE51" si="5">IF(OR(BB34*1&lt;&gt;0,BC34*1&lt;&gt;0),BC34,"")</f>
        <v/>
      </c>
    </row>
    <row r="34" spans="2:57" ht="12.6" customHeight="1">
      <c r="B34" s="178">
        <v>24</v>
      </c>
      <c r="C34" s="176">
        <f>IF(COUNT(Z24)=0,"",ROUND(Z24,('c-form'!AB15)*1))</f>
        <v>12.03</v>
      </c>
      <c r="D34" s="176">
        <f>IF(COUNT(Z55)=0,"",ROUND(Z55,('c-form'!AB15)*1))</f>
        <v>2.2000000000000002</v>
      </c>
      <c r="E34" s="176">
        <f>IF(COUNT(Z86)=0,"",ROUND(Z86,('c-form'!AB15)*1))</f>
        <v>11.7</v>
      </c>
      <c r="F34" s="176">
        <f>IF(COUNT(Z116)=0,"",ROUND(Z116,('c-form'!AB15)*1))</f>
        <v>12.35</v>
      </c>
      <c r="G34" s="176">
        <f>IF(COUNT(Z147)=0,"",ROUND(Z147,('c-form'!AB15)*1))</f>
        <v>29.5</v>
      </c>
      <c r="H34" s="176">
        <f>IF(COUNT(Z178)=0,"",ROUND(Z178,('c-form'!AB15)*1))</f>
        <v>23</v>
      </c>
      <c r="I34" s="176">
        <f>IF(COUNT(Z208)=0,"",ROUND(Z208,('c-form'!AB15)*1))</f>
        <v>66.650000000000006</v>
      </c>
      <c r="J34" s="176">
        <f>IF(COUNT(Z239)=0,"",ROUND(Z239,('c-form'!AB15)*1))</f>
        <v>13.9</v>
      </c>
      <c r="K34" s="176">
        <f>IF(COUNT(Z269)=0,"",ROUND(Z269,('c-form'!AB15)*1))</f>
        <v>8.1300000000000008</v>
      </c>
      <c r="L34" s="176">
        <f>IF(COUNT(Z300)=0,"",ROUND(Z300,('c-form'!AB15)*1))</f>
        <v>6.5</v>
      </c>
      <c r="M34" s="176">
        <f>IF(COUNT(Z331)=0,"",ROUND(Z331,('c-form'!AB15)*1))</f>
        <v>11.37</v>
      </c>
      <c r="N34" s="176">
        <f>IF(COUNT(Z360)=0,"",ROUND(Z360,('c-form'!AB15)*1))</f>
        <v>12.68</v>
      </c>
      <c r="O34" s="176"/>
      <c r="Z34" s="176">
        <f t="shared" si="0"/>
        <v>11.700000000001108</v>
      </c>
      <c r="AA34" s="176">
        <f>IF(TRIM(AG34)="","",IF(INDEX(AZ1:AZ51,AC34)=AG34,INDEX(BA1:BA51,AC34),((AG34-INDEX(AZ1:AZ51,AC34))*(INDEX(BA1:BA51,AC34+1)-INDEX(BA1:BA51,AC34)))/(INDEX(AZ1:AZ51,AC34+1)-INDEX(AZ1:AZ51,AC34))+INDEX(BA1:BA51,AC34)))</f>
        <v>11.700000000001108</v>
      </c>
      <c r="AB34" s="176" t="e">
        <f>IF(TRIM(AG34)="","",IF(INDEX(BD1:BD51,AD34)=AG34,INDEX(BE1:BE51,AD34),((AG34-INDEX(BD1:BD51,AD34))*(INDEX(BE1:BE51,AD34+1)-INDEX(BE1:BE51,AD34)))/(INDEX(BD1:BD51,AD34+1)-INDEX(BD1:BD51,AD34))+INDEX(BE1:BE51,AD34)))</f>
        <v>#N/A</v>
      </c>
      <c r="AC34" s="164">
        <f>MATCH(AG34,AZ1:AZ51,1)</f>
        <v>5</v>
      </c>
      <c r="AD34" s="164" t="e">
        <f>MATCH(AG34,BD1:BD51,1)</f>
        <v>#N/A</v>
      </c>
      <c r="AE34" s="164">
        <v>2</v>
      </c>
      <c r="AF34" s="164">
        <v>4</v>
      </c>
      <c r="AG34" s="179">
        <f>FIXED('HourGH-MAY'!AB14)*1</f>
        <v>338.16</v>
      </c>
      <c r="AH34" s="164" t="str">
        <f>IF(AND(AE34=AP5,AE34=AR5,AF34&gt;=AQ5,AF34&lt;=AS5),"r1",IF(AND(AE34&gt;AP5,AE34&lt;AR5),"r1",IF(AND(AE34&gt;AP5,AE34=AR5,AF34&lt;=AS5),"r1",IF(AND(AE34=AP5,AE34&lt;AR5,AF34&gt;=AQ5),"r1","n"))))</f>
        <v>r1</v>
      </c>
      <c r="AI34" s="164" t="str">
        <f>IF(AH34&lt;&gt;"n",AH34,IF(AND(AE34=AT5,AE34=AV5,AF34&gt;=AU5,AF34&lt;=AW5),"r2",IF(AND(AE34&gt;AT5,AE34&lt;AV5),"r2",IF(AND(AE34&gt;AT5,AE34=AV5,AF34&lt;=AW5),"r2",IF(AND(AE34=AT5,AE34&lt;AV5,AF34&gt;=AU5),"r2","n")))))</f>
        <v>r1</v>
      </c>
      <c r="AJ34" s="164" t="str">
        <f>IF(AI34&lt;&gt;"n",AI34,IF(AND(AE34=AP6,AE34=AR6,AF34&gt;=AQ6,AF34&lt;=AS6),"r1",IF(AND(AE34&gt;AP6,AE34&lt;AR6),"r1",IF(AND(AE34&gt;AP6,AE34=AR6,AF34&lt;=AS6),"r1",IF(AND(AE34=AP6,AE34&lt;AR6,AF34&gt;=AQ6),"r1","n")))))</f>
        <v>r1</v>
      </c>
      <c r="AK34" s="164" t="str">
        <f>IF(AJ34&lt;&gt;"n",AJ34,IF(AND(AE34=AT6,AE34=AV6,AF34&gt;=AU6,AF34&lt;=AW6),"r2",IF(AND(AE34&gt;AT6,AE34&lt;AV6),"r2",IF(AND(AE34&gt;AT6,AE34=AV6,AF34&lt;=AW6),"r2",IF(AND(AE34=AT6,AE34&lt;AV6,AF34&gt;=AU6),"r2","n")))))</f>
        <v>r1</v>
      </c>
      <c r="AL34" s="164" t="str">
        <f>IF(AK34&lt;&gt;"n",AK34,IF(AND(AE34=AP7,AE34=AR7,AF34&gt;=AQ7,AF34&lt;=AS7),"r1",IF(AND(AE34&gt;AP7,AE34&lt;AR7),"r1",IF(AND(AE34&gt;AP7,AE34=AR7,AF34&lt;=AS7),"r1",IF(AND(AE34=AP7,AE34&lt;AR7,AF34&gt;=AQ7),"r1","n")))))</f>
        <v>r1</v>
      </c>
      <c r="AN34" s="164" t="s">
        <v>237</v>
      </c>
      <c r="AO34" s="164">
        <v>2</v>
      </c>
      <c r="AX34" s="176">
        <f>'c-form'!M27</f>
        <v>0</v>
      </c>
      <c r="AY34" s="176">
        <f>'c-form'!P27</f>
        <v>0</v>
      </c>
      <c r="AZ34" s="176" t="str">
        <f t="shared" si="3"/>
        <v/>
      </c>
      <c r="BA34" s="176" t="str">
        <f t="shared" si="4"/>
        <v/>
      </c>
      <c r="BB34" s="176">
        <f>'c-form'!M69</f>
        <v>0</v>
      </c>
      <c r="BC34" s="176">
        <f>'c-form'!P69</f>
        <v>0</v>
      </c>
      <c r="BD34" s="176" t="str">
        <f t="shared" si="2"/>
        <v/>
      </c>
      <c r="BE34" s="176" t="str">
        <f t="shared" si="5"/>
        <v/>
      </c>
    </row>
    <row r="35" spans="2:57" ht="12.6" customHeight="1">
      <c r="B35" s="178">
        <v>25</v>
      </c>
      <c r="C35" s="176">
        <f>IF(COUNT(Z25)=0,"",ROUND(Z25,('c-form'!AB15)*1))</f>
        <v>12.03</v>
      </c>
      <c r="D35" s="176">
        <f>IF(COUNT(Z56)=0,"",ROUND(Z56,('c-form'!AB15)*1))</f>
        <v>1.7</v>
      </c>
      <c r="E35" s="176">
        <f>IF(COUNT(Z87)=0,"",ROUND(Z87,('c-form'!AB15)*1))</f>
        <v>2.8</v>
      </c>
      <c r="F35" s="176">
        <f>IF(COUNT(Z117)=0,"",ROUND(Z117,('c-form'!AB15)*1))</f>
        <v>8.4499999999999993</v>
      </c>
      <c r="G35" s="176">
        <f>IF(COUNT(Z148)=0,"",ROUND(Z148,('c-form'!AB15)*1))</f>
        <v>19.75</v>
      </c>
      <c r="H35" s="176">
        <f>IF(COUNT(Z179)=0,"",ROUND(Z179,('c-form'!AB15)*1))</f>
        <v>23</v>
      </c>
      <c r="I35" s="176">
        <f>IF(COUNT(Z209)=0,"",ROUND(Z209,('c-form'!AB15)*1))</f>
        <v>56.63</v>
      </c>
      <c r="J35" s="176">
        <f>IF(COUNT(Z240)=0,"",ROUND(Z240,('c-form'!AB15)*1))</f>
        <v>13</v>
      </c>
      <c r="K35" s="176">
        <f>IF(COUNT(Z270)=0,"",ROUND(Z270,('c-form'!AB15)*1))</f>
        <v>11.05</v>
      </c>
      <c r="L35" s="176">
        <f>IF(COUNT(Z301)=0,"",ROUND(Z301,('c-form'!AB15)*1))</f>
        <v>17.95</v>
      </c>
      <c r="M35" s="176">
        <f>IF(COUNT(Z332)=0,"",ROUND(Z332,('c-form'!AB15)*1))</f>
        <v>3.4</v>
      </c>
      <c r="N35" s="176">
        <f>IF(COUNT(Z361)=0,"",ROUND(Z361,('c-form'!AB15)*1))</f>
        <v>8.1300000000000008</v>
      </c>
      <c r="O35" s="176"/>
      <c r="Z35" s="176">
        <f t="shared" si="0"/>
        <v>11.700000000001108</v>
      </c>
      <c r="AA35" s="176">
        <f>IF(TRIM(AG35)="","",IF(INDEX(AZ1:AZ51,AC35)=AG35,INDEX(BA1:BA51,AC35),((AG35-INDEX(AZ1:AZ51,AC35))*(INDEX(BA1:BA51,AC35+1)-INDEX(BA1:BA51,AC35)))/(INDEX(AZ1:AZ51,AC35+1)-INDEX(AZ1:AZ51,AC35))+INDEX(BA1:BA51,AC35)))</f>
        <v>11.700000000001108</v>
      </c>
      <c r="AB35" s="176" t="e">
        <f>IF(TRIM(AG35)="","",IF(INDEX(BD1:BD51,AD35)=AG35,INDEX(BE1:BE51,AD35),((AG35-INDEX(BD1:BD51,AD35))*(INDEX(BE1:BE51,AD35+1)-INDEX(BE1:BE51,AD35)))/(INDEX(BD1:BD51,AD35+1)-INDEX(BD1:BD51,AD35))+INDEX(BE1:BE51,AD35)))</f>
        <v>#N/A</v>
      </c>
      <c r="AC35" s="164">
        <f>MATCH(AG35,AZ1:AZ51,1)</f>
        <v>5</v>
      </c>
      <c r="AD35" s="164" t="e">
        <f>MATCH(AG35,BD1:BD51,1)</f>
        <v>#N/A</v>
      </c>
      <c r="AE35" s="164">
        <v>2</v>
      </c>
      <c r="AF35" s="164">
        <v>5</v>
      </c>
      <c r="AG35" s="179">
        <f>FIXED('HourGH-MAY'!AB15)*1</f>
        <v>338.16</v>
      </c>
      <c r="AH35" s="164" t="str">
        <f>IF(AND(AE35=AP5,AE35=AR5,AF35&gt;=AQ5,AF35&lt;=AS5),"r1",IF(AND(AE35&gt;AP5,AE35&lt;AR5),"r1",IF(AND(AE35&gt;AP5,AE35=AR5,AF35&lt;=AS5),"r1",IF(AND(AE35=AP5,AE35&lt;AR5,AF35&gt;=AQ5),"r1","n"))))</f>
        <v>r1</v>
      </c>
      <c r="AI35" s="164" t="str">
        <f>IF(AH35&lt;&gt;"n",AH35,IF(AND(AE35=AT5,AE35=AV5,AF35&gt;=AU5,AF35&lt;=AW5),"r2",IF(AND(AE35&gt;AT5,AE35&lt;AV5),"r2",IF(AND(AE35&gt;AT5,AE35=AV5,AF35&lt;=AW5),"r2",IF(AND(AE35=AT5,AE35&lt;AV5,AF35&gt;=AU5),"r2","n")))))</f>
        <v>r1</v>
      </c>
      <c r="AJ35" s="164" t="str">
        <f>IF(AI35&lt;&gt;"n",AI35,IF(AND(AE35=AP6,AE35=AR6,AF35&gt;=AQ6,AF35&lt;=AS6),"r1",IF(AND(AE35&gt;AP6,AE35&lt;AR6),"r1",IF(AND(AE35&gt;AP6,AE35=AR6,AF35&lt;=AS6),"r1",IF(AND(AE35=AP6,AE35&lt;AR6,AF35&gt;=AQ6),"r1","n")))))</f>
        <v>r1</v>
      </c>
      <c r="AK35" s="164" t="str">
        <f>IF(AJ35&lt;&gt;"n",AJ35,IF(AND(AE35=AT6,AE35=AV6,AF35&gt;=AU6,AF35&lt;=AW6),"r2",IF(AND(AE35&gt;AT6,AE35&lt;AV6),"r2",IF(AND(AE35&gt;AT6,AE35=AV6,AF35&lt;=AW6),"r2",IF(AND(AE35=AT6,AE35&lt;AV6,AF35&gt;=AU6),"r2","n")))))</f>
        <v>r1</v>
      </c>
      <c r="AL35" s="164" t="str">
        <f>IF(AK35&lt;&gt;"n",AK35,IF(AND(AE35=AP7,AE35=AR7,AF35&gt;=AQ7,AF35&lt;=AS7),"r1",IF(AND(AE35&gt;AP7,AE35&lt;AR7),"r1",IF(AND(AE35&gt;AP7,AE35=AR7,AF35&lt;=AS7),"r1",IF(AND(AE35=AP7,AE35&lt;AR7,AF35&gt;=AQ7),"r1","n")))))</f>
        <v>r1</v>
      </c>
      <c r="AN35" s="164" t="s">
        <v>238</v>
      </c>
      <c r="AO35" s="164">
        <v>3</v>
      </c>
      <c r="AX35" s="176">
        <f>'c-form'!R27</f>
        <v>0</v>
      </c>
      <c r="AY35" s="176">
        <f>'c-form'!T27</f>
        <v>0</v>
      </c>
      <c r="AZ35" s="176" t="str">
        <f t="shared" si="3"/>
        <v/>
      </c>
      <c r="BA35" s="176" t="str">
        <f t="shared" si="4"/>
        <v/>
      </c>
      <c r="BB35" s="176">
        <f>'c-form'!R69</f>
        <v>0</v>
      </c>
      <c r="BC35" s="176">
        <f>'c-form'!T69</f>
        <v>0</v>
      </c>
      <c r="BD35" s="176" t="str">
        <f t="shared" si="2"/>
        <v/>
      </c>
      <c r="BE35" s="176" t="str">
        <f t="shared" si="5"/>
        <v/>
      </c>
    </row>
    <row r="36" spans="2:57" ht="12.6" customHeight="1">
      <c r="B36" s="178">
        <v>26</v>
      </c>
      <c r="C36" s="176">
        <f>IF(COUNT(Z26)=0,"",ROUND(Z26,('c-form'!AB15)*1))</f>
        <v>11.7</v>
      </c>
      <c r="D36" s="176">
        <f>IF(COUNT(Z57)=0,"",ROUND(Z57,('c-form'!AB15)*1))</f>
        <v>1.25</v>
      </c>
      <c r="E36" s="176">
        <f>IF(COUNT(Z88)=0,"",ROUND(Z88,('c-form'!AB15)*1))</f>
        <v>3.2</v>
      </c>
      <c r="F36" s="176">
        <f>IF(COUNT(Z118)=0,"",ROUND(Z118,('c-form'!AB15)*1))</f>
        <v>6.82</v>
      </c>
      <c r="G36" s="176">
        <f>IF(COUNT(Z149)=0,"",ROUND(Z149,('c-form'!AB15)*1))</f>
        <v>17.95</v>
      </c>
      <c r="H36" s="176">
        <f>IF(COUNT(Z180)=0,"",ROUND(Z180,('c-form'!AB15)*1))</f>
        <v>36.5</v>
      </c>
      <c r="I36" s="176">
        <f>IF(COUNT(Z210)=0,"",ROUND(Z210,('c-form'!AB15)*1))</f>
        <v>46.6</v>
      </c>
      <c r="J36" s="176">
        <f>IF(COUNT(Z241)=0,"",ROUND(Z241,('c-form'!AB15)*1))</f>
        <v>12.35</v>
      </c>
      <c r="K36" s="176">
        <f>IF(COUNT(Z271)=0,"",ROUND(Z271,('c-form'!AB15)*1))</f>
        <v>8.1300000000000008</v>
      </c>
      <c r="L36" s="176">
        <f>IF(COUNT(Z302)=0,"",ROUND(Z302,('c-form'!AB15)*1))</f>
        <v>18.399999999999999</v>
      </c>
      <c r="M36" s="176">
        <f>IF(COUNT(Z333)=0,"",ROUND(Z333,('c-form'!AB15)*1))</f>
        <v>3</v>
      </c>
      <c r="N36" s="176">
        <f>IF(COUNT(Z362)=0,"",ROUND(Z362,('c-form'!AB15)*1))</f>
        <v>2</v>
      </c>
      <c r="O36" s="176"/>
      <c r="Z36" s="176">
        <f t="shared" si="0"/>
        <v>10.40000000000037</v>
      </c>
      <c r="AA36" s="176">
        <f>IF(TRIM(AG36)="","",IF(INDEX(AZ1:AZ51,AC36)=AG36,INDEX(BA1:BA51,AC36),((AG36-INDEX(AZ1:AZ51,AC36))*(INDEX(BA1:BA51,AC36+1)-INDEX(BA1:BA51,AC36)))/(INDEX(AZ1:AZ51,AC36+1)-INDEX(AZ1:AZ51,AC36))+INDEX(BA1:BA51,AC36)))</f>
        <v>10.40000000000037</v>
      </c>
      <c r="AB36" s="176" t="e">
        <f>IF(TRIM(AG36)="","",IF(INDEX(BD1:BD51,AD36)=AG36,INDEX(BE1:BE51,AD36),((AG36-INDEX(BD1:BD51,AD36))*(INDEX(BE1:BE51,AD36+1)-INDEX(BE1:BE51,AD36)))/(INDEX(BD1:BD51,AD36+1)-INDEX(BD1:BD51,AD36))+INDEX(BE1:BE51,AD36)))</f>
        <v>#N/A</v>
      </c>
      <c r="AC36" s="164">
        <f>MATCH(AG36,AZ1:AZ51,1)</f>
        <v>5</v>
      </c>
      <c r="AD36" s="164" t="e">
        <f>MATCH(AG36,BD1:BD51,1)</f>
        <v>#N/A</v>
      </c>
      <c r="AE36" s="164">
        <v>2</v>
      </c>
      <c r="AF36" s="164">
        <v>6</v>
      </c>
      <c r="AG36" s="179">
        <f>FIXED('HourGH-MAY'!AB16)*1</f>
        <v>338.12</v>
      </c>
      <c r="AH36" s="164" t="str">
        <f>IF(AND(AE36=AP5,AE36=AR5,AF36&gt;=AQ5,AF36&lt;=AS5),"r1",IF(AND(AE36&gt;AP5,AE36&lt;AR5),"r1",IF(AND(AE36&gt;AP5,AE36=AR5,AF36&lt;=AS5),"r1",IF(AND(AE36=AP5,AE36&lt;AR5,AF36&gt;=AQ5),"r1","n"))))</f>
        <v>r1</v>
      </c>
      <c r="AI36" s="164" t="str">
        <f>IF(AH36&lt;&gt;"n",AH36,IF(AND(AE36=AT5,AE36=AV5,AF36&gt;=AU5,AF36&lt;=AW5),"r2",IF(AND(AE36&gt;AT5,AE36&lt;AV5),"r2",IF(AND(AE36&gt;AT5,AE36=AV5,AF36&lt;=AW5),"r2",IF(AND(AE36=AT5,AE36&lt;AV5,AF36&gt;=AU5),"r2","n")))))</f>
        <v>r1</v>
      </c>
      <c r="AJ36" s="164" t="str">
        <f>IF(AI36&lt;&gt;"n",AI36,IF(AND(AE36=AP6,AE36=AR6,AF36&gt;=AQ6,AF36&lt;=AS6),"r1",IF(AND(AE36&gt;AP6,AE36&lt;AR6),"r1",IF(AND(AE36&gt;AP6,AE36=AR6,AF36&lt;=AS6),"r1",IF(AND(AE36=AP6,AE36&lt;AR6,AF36&gt;=AQ6),"r1","n")))))</f>
        <v>r1</v>
      </c>
      <c r="AK36" s="164" t="str">
        <f>IF(AJ36&lt;&gt;"n",AJ36,IF(AND(AE36=AT6,AE36=AV6,AF36&gt;=AU6,AF36&lt;=AW6),"r2",IF(AND(AE36&gt;AT6,AE36&lt;AV6),"r2",IF(AND(AE36&gt;AT6,AE36=AV6,AF36&lt;=AW6),"r2",IF(AND(AE36=AT6,AE36&lt;AV6,AF36&gt;=AU6),"r2","n")))))</f>
        <v>r1</v>
      </c>
      <c r="AL36" s="164" t="str">
        <f>IF(AK36&lt;&gt;"n",AK36,IF(AND(AE36=AP7,AE36=AR7,AF36&gt;=AQ7,AF36&lt;=AS7),"r1",IF(AND(AE36&gt;AP7,AE36&lt;AR7),"r1",IF(AND(AE36&gt;AP7,AE36=AR7,AF36&lt;=AS7),"r1",IF(AND(AE36=AP7,AE36&lt;AR7,AF36&gt;=AQ7),"r1","n")))))</f>
        <v>r1</v>
      </c>
      <c r="AN36" s="164" t="s">
        <v>239</v>
      </c>
      <c r="AO36" s="164">
        <v>4</v>
      </c>
      <c r="AX36" s="176">
        <f>'c-form'!W27</f>
        <v>0</v>
      </c>
      <c r="AY36" s="176">
        <f>'c-form'!AA27</f>
        <v>0</v>
      </c>
      <c r="AZ36" s="176" t="str">
        <f t="shared" si="3"/>
        <v/>
      </c>
      <c r="BA36" s="176" t="str">
        <f t="shared" si="4"/>
        <v/>
      </c>
      <c r="BB36" s="176">
        <f>'c-form'!W69</f>
        <v>0</v>
      </c>
      <c r="BC36" s="176">
        <f>'c-form'!AA69</f>
        <v>0</v>
      </c>
      <c r="BD36" s="176" t="str">
        <f t="shared" si="2"/>
        <v/>
      </c>
      <c r="BE36" s="176" t="str">
        <f t="shared" si="5"/>
        <v/>
      </c>
    </row>
    <row r="37" spans="2:57" ht="12.6" customHeight="1">
      <c r="B37" s="178">
        <v>27</v>
      </c>
      <c r="C37" s="176">
        <f>IF(COUNT(Z27)=0,"",ROUND(Z27,('c-form'!AB15)*1))</f>
        <v>11.7</v>
      </c>
      <c r="D37" s="176">
        <f>IF(COUNT(Z58)=0,"",ROUND(Z58,('c-form'!AB15)*1))</f>
        <v>1.7</v>
      </c>
      <c r="E37" s="176">
        <f>IF(COUNT(Z89)=0,"",ROUND(Z89,('c-form'!AB15)*1))</f>
        <v>3</v>
      </c>
      <c r="F37" s="176">
        <f>IF(COUNT(Z119)=0,"",ROUND(Z119,('c-form'!AB15)*1))</f>
        <v>5.5</v>
      </c>
      <c r="G37" s="176">
        <f>IF(COUNT(Z150)=0,"",ROUND(Z150,('c-form'!AB15)*1))</f>
        <v>16.149999999999999</v>
      </c>
      <c r="H37" s="176">
        <f>IF(COUNT(Z181)=0,"",ROUND(Z181,('c-form'!AB15)*1))</f>
        <v>85.75</v>
      </c>
      <c r="I37" s="176">
        <f>IF(COUNT(Z211)=0,"",ROUND(Z211,('c-form'!AB15)*1))</f>
        <v>41</v>
      </c>
      <c r="J37" s="176">
        <f>IF(COUNT(Z242)=0,"",ROUND(Z242,('c-form'!AB15)*1))</f>
        <v>12.35</v>
      </c>
      <c r="K37" s="176">
        <f>IF(COUNT(Z272)=0,"",ROUND(Z272,('c-form'!AB15)*1))</f>
        <v>7.47</v>
      </c>
      <c r="L37" s="176">
        <f>IF(COUNT(Z303)=0,"",ROUND(Z303,('c-form'!AB15)*1))</f>
        <v>13</v>
      </c>
      <c r="M37" s="176">
        <f>IF(COUNT(Z334)=0,"",ROUND(Z334,('c-form'!AB15)*1))</f>
        <v>3</v>
      </c>
      <c r="N37" s="176">
        <f>IF(COUNT(Z363)=0,"",ROUND(Z363,('c-form'!AB15)*1))</f>
        <v>2</v>
      </c>
      <c r="O37" s="176"/>
      <c r="Z37" s="176">
        <f t="shared" si="0"/>
        <v>9.0999999999996302</v>
      </c>
      <c r="AA37" s="176">
        <f>IF(TRIM(AG37)="","",IF(INDEX(AZ1:AZ51,AC37)=AG37,INDEX(BA1:BA51,AC37),((AG37-INDEX(AZ1:AZ51,AC37))*(INDEX(BA1:BA51,AC37+1)-INDEX(BA1:BA51,AC37)))/(INDEX(AZ1:AZ51,AC37+1)-INDEX(AZ1:AZ51,AC37))+INDEX(BA1:BA51,AC37)))</f>
        <v>9.0999999999996302</v>
      </c>
      <c r="AB37" s="176" t="e">
        <f>IF(TRIM(AG37)="","",IF(INDEX(BD1:BD51,AD37)=AG37,INDEX(BE1:BE51,AD37),((AG37-INDEX(BD1:BD51,AD37))*(INDEX(BE1:BE51,AD37+1)-INDEX(BE1:BE51,AD37)))/(INDEX(BD1:BD51,AD37+1)-INDEX(BD1:BD51,AD37))+INDEX(BE1:BE51,AD37)))</f>
        <v>#N/A</v>
      </c>
      <c r="AC37" s="164">
        <f>MATCH(AG37,AZ1:AZ51,1)</f>
        <v>5</v>
      </c>
      <c r="AD37" s="164" t="e">
        <f>MATCH(AG37,BD1:BD51,1)</f>
        <v>#N/A</v>
      </c>
      <c r="AE37" s="164">
        <v>2</v>
      </c>
      <c r="AF37" s="164">
        <v>7</v>
      </c>
      <c r="AG37" s="179">
        <f>FIXED('HourGH-MAY'!AB17)*1</f>
        <v>338.08</v>
      </c>
      <c r="AH37" s="164" t="str">
        <f>IF(AND(AE37=AP5,AE37=AR5,AF37&gt;=AQ5,AF37&lt;=AS5),"r1",IF(AND(AE37&gt;AP5,AE37&lt;AR5),"r1",IF(AND(AE37&gt;AP5,AE37=AR5,AF37&lt;=AS5),"r1",IF(AND(AE37=AP5,AE37&lt;AR5,AF37&gt;=AQ5),"r1","n"))))</f>
        <v>r1</v>
      </c>
      <c r="AI37" s="164" t="str">
        <f>IF(AH37&lt;&gt;"n",AH37,IF(AND(AE37=AT5,AE37=AV5,AF37&gt;=AU5,AF37&lt;=AW5),"r2",IF(AND(AE37&gt;AT5,AE37&lt;AV5),"r2",IF(AND(AE37&gt;AT5,AE37=AV5,AF37&lt;=AW5),"r2",IF(AND(AE37=AT5,AE37&lt;AV5,AF37&gt;=AU5),"r2","n")))))</f>
        <v>r1</v>
      </c>
      <c r="AJ37" s="164" t="str">
        <f>IF(AI37&lt;&gt;"n",AI37,IF(AND(AE37=AP6,AE37=AR6,AF37&gt;=AQ6,AF37&lt;=AS6),"r1",IF(AND(AE37&gt;AP6,AE37&lt;AR6),"r1",IF(AND(AE37&gt;AP6,AE37=AR6,AF37&lt;=AS6),"r1",IF(AND(AE37=AP6,AE37&lt;AR6,AF37&gt;=AQ6),"r1","n")))))</f>
        <v>r1</v>
      </c>
      <c r="AK37" s="164" t="str">
        <f>IF(AJ37&lt;&gt;"n",AJ37,IF(AND(AE37=AT6,AE37=AV6,AF37&gt;=AU6,AF37&lt;=AW6),"r2",IF(AND(AE37&gt;AT6,AE37&lt;AV6),"r2",IF(AND(AE37&gt;AT6,AE37=AV6,AF37&lt;=AW6),"r2",IF(AND(AE37=AT6,AE37&lt;AV6,AF37&gt;=AU6),"r2","n")))))</f>
        <v>r1</v>
      </c>
      <c r="AL37" s="164" t="str">
        <f>IF(AK37&lt;&gt;"n",AK37,IF(AND(AE37=AP7,AE37=AR7,AF37&gt;=AQ7,AF37&lt;=AS7),"r1",IF(AND(AE37&gt;AP7,AE37&lt;AR7),"r1",IF(AND(AE37&gt;AP7,AE37=AR7,AF37&lt;=AS7),"r1",IF(AND(AE37=AP7,AE37&lt;AR7,AF37&gt;=AQ7),"r1","n")))))</f>
        <v>r1</v>
      </c>
      <c r="AN37" s="164" t="s">
        <v>54</v>
      </c>
      <c r="AO37" s="164">
        <v>5</v>
      </c>
      <c r="AX37" s="176">
        <f>'c-form'!D28</f>
        <v>0</v>
      </c>
      <c r="AY37" s="176">
        <f>'c-form'!F28</f>
        <v>0</v>
      </c>
      <c r="AZ37" s="176" t="str">
        <f t="shared" si="3"/>
        <v/>
      </c>
      <c r="BA37" s="176" t="str">
        <f t="shared" si="4"/>
        <v/>
      </c>
      <c r="BB37" s="176">
        <f>'c-form'!D70</f>
        <v>0</v>
      </c>
      <c r="BC37" s="176">
        <f>'c-form'!F70</f>
        <v>0</v>
      </c>
      <c r="BD37" s="176" t="str">
        <f t="shared" si="2"/>
        <v/>
      </c>
      <c r="BE37" s="176" t="str">
        <f t="shared" si="5"/>
        <v/>
      </c>
    </row>
    <row r="38" spans="2:57" ht="12.6" customHeight="1">
      <c r="B38" s="178">
        <v>28</v>
      </c>
      <c r="C38" s="176">
        <f>IF(COUNT(Z28)=0,"",ROUND(Z28,('c-form'!AB15)*1))</f>
        <v>11.7</v>
      </c>
      <c r="D38" s="176">
        <f>IF(COUNT(Z59)=0,"",ROUND(Z59,('c-form'!AB15)*1))</f>
        <v>1.7</v>
      </c>
      <c r="E38" s="176">
        <f>IF(COUNT(Z90)=0,"",ROUND(Z90,('c-form'!AB15)*1))</f>
        <v>2.6</v>
      </c>
      <c r="F38" s="176">
        <f>IF(COUNT(Z120)=0,"",ROUND(Z120,('c-form'!AB15)*1))</f>
        <v>6</v>
      </c>
      <c r="G38" s="176">
        <f>IF(COUNT(Z151)=0,"",ROUND(Z151,('c-form'!AB15)*1))</f>
        <v>14.35</v>
      </c>
      <c r="H38" s="176">
        <f>IF(COUNT(Z182)=0,"",ROUND(Z182,('c-form'!AB15)*1))</f>
        <v>59.75</v>
      </c>
      <c r="I38" s="176">
        <f>IF(COUNT(Z212)=0,"",ROUND(Z212,('c-form'!AB15)*1))</f>
        <v>40</v>
      </c>
      <c r="J38" s="176">
        <f>IF(COUNT(Z243)=0,"",ROUND(Z243,('c-form'!AB15)*1))</f>
        <v>12.35</v>
      </c>
      <c r="K38" s="176">
        <f>IF(COUNT(Z273)=0,"",ROUND(Z273,('c-form'!AB15)*1))</f>
        <v>7.47</v>
      </c>
      <c r="L38" s="176">
        <f>IF(COUNT(Z304)=0,"",ROUND(Z304,('c-form'!AB15)*1))</f>
        <v>5</v>
      </c>
      <c r="M38" s="176">
        <f>IF(COUNT(Z335)=0,"",ROUND(Z335,('c-form'!AB15)*1))</f>
        <v>5.5</v>
      </c>
      <c r="N38" s="176">
        <f>IF(COUNT(Z364)=0,"",ROUND(Z364,('c-form'!AB15)*1))</f>
        <v>5.25</v>
      </c>
      <c r="O38" s="176"/>
      <c r="Z38" s="176">
        <f t="shared" si="0"/>
        <v>9.4249999999993541</v>
      </c>
      <c r="AA38" s="176">
        <f>IF(TRIM(AG38)="","",IF(INDEX(AZ1:AZ51,AC38)=AG38,INDEX(BA1:BA51,AC38),((AG38-INDEX(AZ1:AZ51,AC38))*(INDEX(BA1:BA51,AC38+1)-INDEX(BA1:BA51,AC38)))/(INDEX(AZ1:AZ51,AC38+1)-INDEX(AZ1:AZ51,AC38))+INDEX(BA1:BA51,AC38)))</f>
        <v>9.4249999999993541</v>
      </c>
      <c r="AB38" s="176" t="e">
        <f>IF(TRIM(AG38)="","",IF(INDEX(BD1:BD51,AD38)=AG38,INDEX(BE1:BE51,AD38),((AG38-INDEX(BD1:BD51,AD38))*(INDEX(BE1:BE51,AD38+1)-INDEX(BE1:BE51,AD38)))/(INDEX(BD1:BD51,AD38+1)-INDEX(BD1:BD51,AD38))+INDEX(BE1:BE51,AD38)))</f>
        <v>#N/A</v>
      </c>
      <c r="AC38" s="164">
        <f>MATCH(AG38,AZ1:AZ51,1)</f>
        <v>5</v>
      </c>
      <c r="AD38" s="164" t="e">
        <f>MATCH(AG38,BD1:BD51,1)</f>
        <v>#N/A</v>
      </c>
      <c r="AE38" s="164">
        <v>2</v>
      </c>
      <c r="AF38" s="164">
        <v>8</v>
      </c>
      <c r="AG38" s="179">
        <f>FIXED('HourGH-MAY'!AB18)*1</f>
        <v>338.09</v>
      </c>
      <c r="AH38" s="164" t="str">
        <f>IF(AND(AE38=AP5,AE38=AR5,AF38&gt;=AQ5,AF38&lt;=AS5),"r1",IF(AND(AE38&gt;AP5,AE38&lt;AR5),"r1",IF(AND(AE38&gt;AP5,AE38=AR5,AF38&lt;=AS5),"r1",IF(AND(AE38=AP5,AE38&lt;AR5,AF38&gt;=AQ5),"r1","n"))))</f>
        <v>r1</v>
      </c>
      <c r="AI38" s="164" t="str">
        <f>IF(AH38&lt;&gt;"n",AH38,IF(AND(AE38=AT5,AE38=AV5,AF38&gt;=AU5,AF38&lt;=AW5),"r2",IF(AND(AE38&gt;AT5,AE38&lt;AV5),"r2",IF(AND(AE38&gt;AT5,AE38=AV5,AF38&lt;=AW5),"r2",IF(AND(AE38=AT5,AE38&lt;AV5,AF38&gt;=AU5),"r2","n")))))</f>
        <v>r1</v>
      </c>
      <c r="AJ38" s="164" t="str">
        <f>IF(AI38&lt;&gt;"n",AI38,IF(AND(AE38=AP6,AE38=AR6,AF38&gt;=AQ6,AF38&lt;=AS6),"r1",IF(AND(AE38&gt;AP6,AE38&lt;AR6),"r1",IF(AND(AE38&gt;AP6,AE38=AR6,AF38&lt;=AS6),"r1",IF(AND(AE38=AP6,AE38&lt;AR6,AF38&gt;=AQ6),"r1","n")))))</f>
        <v>r1</v>
      </c>
      <c r="AK38" s="164" t="str">
        <f>IF(AJ38&lt;&gt;"n",AJ38,IF(AND(AE38=AT6,AE38=AV6,AF38&gt;=AU6,AF38&lt;=AW6),"r2",IF(AND(AE38&gt;AT6,AE38&lt;AV6),"r2",IF(AND(AE38&gt;AT6,AE38=AV6,AF38&lt;=AW6),"r2",IF(AND(AE38=AT6,AE38&lt;AV6,AF38&gt;=AU6),"r2","n")))))</f>
        <v>r1</v>
      </c>
      <c r="AL38" s="164" t="str">
        <f>IF(AK38&lt;&gt;"n",AK38,IF(AND(AE38=AP7,AE38=AR7,AF38&gt;=AQ7,AF38&lt;=AS7),"r1",IF(AND(AE38&gt;AP7,AE38&lt;AR7),"r1",IF(AND(AE38&gt;AP7,AE38=AR7,AF38&lt;=AS7),"r1",IF(AND(AE38=AP7,AE38&lt;AR7,AF38&gt;=AQ7),"r1","n")))))</f>
        <v>r1</v>
      </c>
      <c r="AN38" s="164" t="s">
        <v>240</v>
      </c>
      <c r="AO38" s="164">
        <v>6</v>
      </c>
      <c r="AX38" s="176">
        <f>'c-form'!H28</f>
        <v>0</v>
      </c>
      <c r="AY38" s="176">
        <f>'c-form'!J28</f>
        <v>0</v>
      </c>
      <c r="AZ38" s="176" t="str">
        <f t="shared" si="3"/>
        <v/>
      </c>
      <c r="BA38" s="176" t="str">
        <f t="shared" si="4"/>
        <v/>
      </c>
      <c r="BB38" s="176">
        <f>'c-form'!H70</f>
        <v>0</v>
      </c>
      <c r="BC38" s="176">
        <f>'c-form'!J70</f>
        <v>0</v>
      </c>
      <c r="BD38" s="176" t="str">
        <f t="shared" si="2"/>
        <v/>
      </c>
      <c r="BE38" s="176" t="str">
        <f t="shared" si="5"/>
        <v/>
      </c>
    </row>
    <row r="39" spans="2:57" ht="12.6" customHeight="1">
      <c r="B39" s="178">
        <v>29</v>
      </c>
      <c r="C39" s="176">
        <f>IF(COUNT(Z29)=0,"",ROUND(Z29,('c-form'!AB15)*1))</f>
        <v>11.7</v>
      </c>
      <c r="D39" s="176">
        <f>IF(COUNT(Z60)=0,"",ROUND(Z60,('c-form'!AB15)*1))</f>
        <v>1.85</v>
      </c>
      <c r="E39" s="176">
        <f>IF(COUNT(Z91)=0,"",ROUND(Z91,('c-form'!AB15)*1))</f>
        <v>2.8</v>
      </c>
      <c r="F39" s="176">
        <f>IF(COUNT(Z121)=0,"",ROUND(Z121,('c-form'!AB15)*1))</f>
        <v>7.8</v>
      </c>
      <c r="G39" s="176">
        <f>IF(COUNT(Z152)=0,"",ROUND(Z152,('c-form'!AB15)*1))</f>
        <v>12.35</v>
      </c>
      <c r="H39" s="176">
        <f>IF(COUNT(Z183)=0,"",ROUND(Z183,('c-form'!AB15)*1))</f>
        <v>77.05</v>
      </c>
      <c r="I39" s="176">
        <f>IF(COUNT(Z213)=0,"",ROUND(Z213,('c-form'!AB15)*1))</f>
        <v>54.12</v>
      </c>
      <c r="J39" s="176">
        <f>IF(COUNT(Z244)=0,"",ROUND(Z244,('c-form'!AB15)*1))</f>
        <v>12.03</v>
      </c>
      <c r="K39" s="176">
        <f>IF(COUNT(Z274)=0,"",ROUND(Z274,('c-form'!AB15)*1))</f>
        <v>7.8</v>
      </c>
      <c r="L39" s="176">
        <f>IF(COUNT(Z305)=0,"",ROUND(Z305,('c-form'!AB15)*1))</f>
        <v>4.5</v>
      </c>
      <c r="M39" s="176" t="str">
        <f>IF(COUNT(Z336)=0,"",Z336)</f>
        <v/>
      </c>
      <c r="N39" s="176">
        <f>IF(COUNT(Z365)=0,"",ROUND(Z365,('c-form'!AB15)*1))</f>
        <v>17.05</v>
      </c>
      <c r="O39" s="176"/>
      <c r="V39" s="164">
        <f>IF(TRIM('c-form'!G15)&lt;&gt;"",TRIM('c-form'!G15)*1,IF(TRIM('c-form'!G57)&lt;&gt;"",TRIM('c-form'!G57)*1,""))</f>
        <v>3090</v>
      </c>
      <c r="Z39" s="176">
        <f t="shared" si="0"/>
        <v>10.075000000000646</v>
      </c>
      <c r="AA39" s="176">
        <f>IF(TRIM(AG39)="","",IF(INDEX(AZ1:AZ51,AC39)=AG39,INDEX(BA1:BA51,AC39),((AG39-INDEX(AZ1:AZ51,AC39))*(INDEX(BA1:BA51,AC39+1)-INDEX(BA1:BA51,AC39)))/(INDEX(AZ1:AZ51,AC39+1)-INDEX(AZ1:AZ51,AC39))+INDEX(BA1:BA51,AC39)))</f>
        <v>10.075000000000646</v>
      </c>
      <c r="AB39" s="176" t="e">
        <f>IF(TRIM(AG39)="","",IF(INDEX(BD1:BD51,AD39)=AG39,INDEX(BE1:BE51,AD39),((AG39-INDEX(BD1:BD51,AD39))*(INDEX(BE1:BE51,AD39+1)-INDEX(BE1:BE51,AD39)))/(INDEX(BD1:BD51,AD39+1)-INDEX(BD1:BD51,AD39))+INDEX(BE1:BE51,AD39)))</f>
        <v>#N/A</v>
      </c>
      <c r="AC39" s="164">
        <f>MATCH(AG39,AZ1:AZ51,1)</f>
        <v>5</v>
      </c>
      <c r="AD39" s="164" t="e">
        <f>MATCH(AG39,BD1:BD51,1)</f>
        <v>#N/A</v>
      </c>
      <c r="AE39" s="164">
        <v>2</v>
      </c>
      <c r="AF39" s="164">
        <v>9</v>
      </c>
      <c r="AG39" s="179">
        <f>FIXED('HourGH-MAY'!AB19)*1</f>
        <v>338.11</v>
      </c>
      <c r="AH39" s="164" t="str">
        <f>IF(AND(AE39=AP5,AE39=AR5,AF39&gt;=AQ5,AF39&lt;=AS5),"r1",IF(AND(AE39&gt;AP5,AE39&lt;AR5),"r1",IF(AND(AE39&gt;AP5,AE39=AR5,AF39&lt;=AS5),"r1",IF(AND(AE39=AP5,AE39&lt;AR5,AF39&gt;=AQ5),"r1","n"))))</f>
        <v>r1</v>
      </c>
      <c r="AI39" s="164" t="str">
        <f>IF(AH39&lt;&gt;"n",AH39,IF(AND(AE39=AT5,AE39=AV5,AF39&gt;=AU5,AF39&lt;=AW5),"r2",IF(AND(AE39&gt;AT5,AE39&lt;AV5),"r2",IF(AND(AE39&gt;AT5,AE39=AV5,AF39&lt;=AW5),"r2",IF(AND(AE39=AT5,AE39&lt;AV5,AF39&gt;=AU5),"r2","n")))))</f>
        <v>r1</v>
      </c>
      <c r="AJ39" s="164" t="str">
        <f>IF(AI39&lt;&gt;"n",AI39,IF(AND(AE39=AP6,AE39=AR6,AF39&gt;=AQ6,AF39&lt;=AS6),"r1",IF(AND(AE39&gt;AP6,AE39&lt;AR6),"r1",IF(AND(AE39&gt;AP6,AE39=AR6,AF39&lt;=AS6),"r1",IF(AND(AE39=AP6,AE39&lt;AR6,AF39&gt;=AQ6),"r1","n")))))</f>
        <v>r1</v>
      </c>
      <c r="AK39" s="164" t="str">
        <f>IF(AJ39&lt;&gt;"n",AJ39,IF(AND(AE39=AT6,AE39=AV6,AF39&gt;=AU6,AF39&lt;=AW6),"r2",IF(AND(AE39&gt;AT6,AE39&lt;AV6),"r2",IF(AND(AE39&gt;AT6,AE39=AV6,AF39&lt;=AW6),"r2",IF(AND(AE39=AT6,AE39&lt;AV6,AF39&gt;=AU6),"r2","n")))))</f>
        <v>r1</v>
      </c>
      <c r="AL39" s="164" t="str">
        <f>IF(AK39&lt;&gt;"n",AK39,IF(AND(AE39=AP7,AE39=AR7,AF39&gt;=AQ7,AF39&lt;=AS7),"r1",IF(AND(AE39&gt;AP7,AE39&lt;AR7),"r1",IF(AND(AE39&gt;AP7,AE39=AR7,AF39&lt;=AS7),"r1",IF(AND(AE39=AP7,AE39&lt;AR7,AF39&gt;=AQ7),"r1","n")))))</f>
        <v>r1</v>
      </c>
      <c r="AN39" s="164" t="s">
        <v>241</v>
      </c>
      <c r="AO39" s="164">
        <v>7</v>
      </c>
      <c r="AX39" s="176">
        <f>'c-form'!M28</f>
        <v>0</v>
      </c>
      <c r="AY39" s="176">
        <f>'c-form'!P28</f>
        <v>0</v>
      </c>
      <c r="AZ39" s="176" t="str">
        <f t="shared" si="3"/>
        <v/>
      </c>
      <c r="BA39" s="176" t="str">
        <f t="shared" si="4"/>
        <v/>
      </c>
      <c r="BB39" s="176">
        <f>'c-form'!M70</f>
        <v>0</v>
      </c>
      <c r="BC39" s="176">
        <f>'c-form'!P70</f>
        <v>0</v>
      </c>
      <c r="BD39" s="176" t="str">
        <f t="shared" si="2"/>
        <v/>
      </c>
      <c r="BE39" s="176" t="str">
        <f t="shared" si="5"/>
        <v/>
      </c>
    </row>
    <row r="40" spans="2:57" ht="12.6" customHeight="1">
      <c r="B40" s="178">
        <v>30</v>
      </c>
      <c r="C40" s="176">
        <f>IF(COUNT(Z30)=0,"",ROUND(Z30,('c-form'!AB15)*1))</f>
        <v>11.7</v>
      </c>
      <c r="D40" s="176">
        <f>IF(COUNT(Z61)=0,"",ROUND(Z61,('c-form'!AB15)*1))</f>
        <v>2.2000000000000002</v>
      </c>
      <c r="E40" s="176">
        <f>IF(COUNT(Z92)=0,"",ROUND(Z92,('c-form'!AB15)*1))</f>
        <v>3</v>
      </c>
      <c r="F40" s="176">
        <f>IF(COUNT(Z122)=0,"",ROUND(Z122,('c-form'!AB15)*1))</f>
        <v>11.7</v>
      </c>
      <c r="G40" s="176">
        <f>IF(COUNT(Z153)=0,"",ROUND(Z153,('c-form'!AB15)*1))</f>
        <v>11.37</v>
      </c>
      <c r="H40" s="176">
        <f>IF(COUNT(Z184)=0,"",ROUND(Z184,('c-form'!AB15)*1))</f>
        <v>41.5</v>
      </c>
      <c r="I40" s="176">
        <f>IF(COUNT(Z214)=0,"",ROUND(Z214,('c-form'!AB15)*1))</f>
        <v>39.5</v>
      </c>
      <c r="J40" s="176">
        <f>IF(COUNT(Z245)=0,"",ROUND(Z245,('c-form'!AB15)*1))</f>
        <v>12.35</v>
      </c>
      <c r="K40" s="176">
        <f>IF(COUNT(Z275)=0,"",ROUND(Z275,('c-form'!AB15)*1))</f>
        <v>7.8</v>
      </c>
      <c r="L40" s="176">
        <f>IF(COUNT(Z306)=0,"",ROUND(Z306,('c-form'!AB15)*1))</f>
        <v>4.75</v>
      </c>
      <c r="M40" s="176"/>
      <c r="N40" s="176">
        <f>IF(COUNT(Z366)=0,"",ROUND(Z366,('c-form'!AB15)*1))</f>
        <v>14.8</v>
      </c>
      <c r="O40" s="176"/>
      <c r="Z40" s="176">
        <f t="shared" si="0"/>
        <v>12.350000000000554</v>
      </c>
      <c r="AA40" s="176">
        <f>IF(TRIM(AG40)="","",IF(INDEX(AZ1:AZ51,AC40)=AG40,INDEX(BA1:BA51,AC40),((AG40-INDEX(AZ1:AZ51,AC40))*(INDEX(BA1:BA51,AC40+1)-INDEX(BA1:BA51,AC40)))/(INDEX(AZ1:AZ51,AC40+1)-INDEX(AZ1:AZ51,AC40))+INDEX(BA1:BA51,AC40)))</f>
        <v>12.350000000000554</v>
      </c>
      <c r="AB40" s="176" t="e">
        <f>IF(TRIM(AG40)="","",IF(INDEX(BD1:BD51,AD40)=AG40,INDEX(BE1:BE51,AD40),((AG40-INDEX(BD1:BD51,AD40))*(INDEX(BE1:BE51,AD40+1)-INDEX(BE1:BE51,AD40)))/(INDEX(BD1:BD51,AD40+1)-INDEX(BD1:BD51,AD40))+INDEX(BE1:BE51,AD40)))</f>
        <v>#N/A</v>
      </c>
      <c r="AC40" s="164">
        <f>MATCH(AG40,AZ1:AZ51,1)</f>
        <v>5</v>
      </c>
      <c r="AD40" s="164" t="e">
        <f>MATCH(AG40,BD1:BD51,1)</f>
        <v>#N/A</v>
      </c>
      <c r="AE40" s="164">
        <v>2</v>
      </c>
      <c r="AF40" s="164">
        <v>10</v>
      </c>
      <c r="AG40" s="179">
        <f>FIXED('HourGH-MAY'!AB20)*1</f>
        <v>338.18</v>
      </c>
      <c r="AH40" s="164" t="str">
        <f>IF(AND(AE40=AP5,AE40=AR5,AF40&gt;=AQ5,AF40&lt;=AS5),"r1",IF(AND(AE40&gt;AP5,AE40&lt;AR5),"r1",IF(AND(AE40&gt;AP5,AE40=AR5,AF40&lt;=AS5),"r1",IF(AND(AE40=AP5,AE40&lt;AR5,AF40&gt;=AQ5),"r1","n"))))</f>
        <v>r1</v>
      </c>
      <c r="AI40" s="164" t="str">
        <f>IF(AH40&lt;&gt;"n",AH40,IF(AND(AE40=AT5,AE40=AV5,AF40&gt;=AU5,AF40&lt;=AW5),"r2",IF(AND(AE40&gt;AT5,AE40&lt;AV5),"r2",IF(AND(AE40&gt;AT5,AE40=AV5,AF40&lt;=AW5),"r2",IF(AND(AE40=AT5,AE40&lt;AV5,AF40&gt;=AU5),"r2","n")))))</f>
        <v>r1</v>
      </c>
      <c r="AJ40" s="164" t="str">
        <f>IF(AI40&lt;&gt;"n",AI40,IF(AND(AE40=AP6,AE40=AR6,AF40&gt;=AQ6,AF40&lt;=AS6),"r1",IF(AND(AE40&gt;AP6,AE40&lt;AR6),"r1",IF(AND(AE40&gt;AP6,AE40=AR6,AF40&lt;=AS6),"r1",IF(AND(AE40=AP6,AE40&lt;AR6,AF40&gt;=AQ6),"r1","n")))))</f>
        <v>r1</v>
      </c>
      <c r="AK40" s="164" t="str">
        <f>IF(AJ40&lt;&gt;"n",AJ40,IF(AND(AE40=AT6,AE40=AV6,AF40&gt;=AU6,AF40&lt;=AW6),"r2",IF(AND(AE40&gt;AT6,AE40&lt;AV6),"r2",IF(AND(AE40&gt;AT6,AE40=AV6,AF40&lt;=AW6),"r2",IF(AND(AE40=AT6,AE40&lt;AV6,AF40&gt;=AU6),"r2","n")))))</f>
        <v>r1</v>
      </c>
      <c r="AL40" s="164" t="str">
        <f>IF(AK40&lt;&gt;"n",AK40,IF(AND(AE40=AP7,AE40=AR7,AF40&gt;=AQ7,AF40&lt;=AS7),"r1",IF(AND(AE40&gt;AP7,AE40&lt;AR7),"r1",IF(AND(AE40&gt;AP7,AE40=AR7,AF40&lt;=AS7),"r1",IF(AND(AE40=AP7,AE40&lt;AR7,AF40&gt;=AQ7),"r1","n")))))</f>
        <v>r1</v>
      </c>
      <c r="AN40" s="164" t="s">
        <v>242</v>
      </c>
      <c r="AO40" s="164">
        <v>8</v>
      </c>
      <c r="AX40" s="176">
        <f>'c-form'!R28</f>
        <v>0</v>
      </c>
      <c r="AY40" s="176">
        <f>'c-form'!T28</f>
        <v>0</v>
      </c>
      <c r="AZ40" s="176" t="str">
        <f t="shared" si="3"/>
        <v/>
      </c>
      <c r="BA40" s="176" t="str">
        <f t="shared" si="4"/>
        <v/>
      </c>
      <c r="BB40" s="176">
        <f>'c-form'!R70</f>
        <v>0</v>
      </c>
      <c r="BC40" s="176">
        <f>'c-form'!T70</f>
        <v>0</v>
      </c>
      <c r="BD40" s="176" t="str">
        <f t="shared" si="2"/>
        <v/>
      </c>
      <c r="BE40" s="176" t="str">
        <f t="shared" si="5"/>
        <v/>
      </c>
    </row>
    <row r="41" spans="2:57" s="182" customFormat="1" ht="12.6" customHeight="1">
      <c r="B41" s="178">
        <v>31</v>
      </c>
      <c r="C41" s="183"/>
      <c r="D41" s="176">
        <f>IF(COUNT(Z62)=0,"",ROUND(Z62,('c-form'!AB15)*1))</f>
        <v>2.6</v>
      </c>
      <c r="E41" s="183"/>
      <c r="F41" s="176">
        <f>IF(COUNT(Z123)=0,"",ROUND(Z123,('c-form'!AB15)*1))</f>
        <v>13</v>
      </c>
      <c r="G41" s="176">
        <f>IF(COUNT(Z154)=0,"",ROUND(Z154,('c-form'!AB15)*1))</f>
        <v>13.45</v>
      </c>
      <c r="H41" s="183"/>
      <c r="I41" s="183">
        <f>IF(COUNT(Z215)=0,"",ROUND(Z215,('c-form'!AB15)*1))</f>
        <v>36</v>
      </c>
      <c r="J41" s="183"/>
      <c r="K41" s="176">
        <f>IF(COUNT(Z276)=0,"",ROUND(Z276,('c-form'!AB15)*1))</f>
        <v>7.8</v>
      </c>
      <c r="L41" s="176">
        <f>IF(COUNT(Z307)=0,"",ROUND(Z307,('c-form'!AB15)*1))</f>
        <v>6.82</v>
      </c>
      <c r="M41" s="183"/>
      <c r="N41" s="176">
        <f>IF(COUNT(Z367)=0,"",ROUND(Z367,('c-form'!AB15)*1))</f>
        <v>13.45</v>
      </c>
      <c r="O41" s="183"/>
      <c r="Z41" s="176">
        <f t="shared" si="0"/>
        <v>12.350000000000554</v>
      </c>
      <c r="AA41" s="183">
        <f>IF(TRIM(AG41)="","",IF(INDEX(AZ1:AZ51,AC41)=AG41,INDEX(BA1:BA51,AC41),((AG41-INDEX(AZ1:AZ51,AC41))*(INDEX(BA1:BA51,AC41+1)-INDEX(BA1:BA51,AC41)))/(INDEX(AZ1:AZ51,AC41+1)-INDEX(AZ1:AZ51,AC41))+INDEX(BA1:BA51,AC41)))</f>
        <v>12.350000000000554</v>
      </c>
      <c r="AB41" s="183" t="e">
        <f>IF(TRIM(AG41)="","",IF(INDEX(BD1:BD51,AD41)=AG41,INDEX(BE1:BE51,AD41),((AG41-INDEX(BD1:BD51,AD41))*(INDEX(BE1:BE51,AD41+1)-INDEX(BE1:BE51,AD41)))/(INDEX(BD1:BD51,AD41+1)-INDEX(BD1:BD51,AD41))+INDEX(BE1:BE51,AD41)))</f>
        <v>#N/A</v>
      </c>
      <c r="AC41" s="182">
        <f>MATCH(AG41,AZ1:AZ51,1)</f>
        <v>5</v>
      </c>
      <c r="AD41" s="182" t="e">
        <f>MATCH(AG41,BD1:BD51,1)</f>
        <v>#N/A</v>
      </c>
      <c r="AE41" s="182">
        <v>2</v>
      </c>
      <c r="AF41" s="182">
        <v>11</v>
      </c>
      <c r="AG41" s="179">
        <f>FIXED('HourGH-MAY'!AB22)*1</f>
        <v>338.18</v>
      </c>
      <c r="AH41" s="182" t="str">
        <f>IF(AND(AE41=AP5,AE41=AR5,AF41&gt;=AQ5,AF41&lt;=AS5),"r1",IF(AND(AE41&gt;AP5,AE41&lt;AR5),"r1",IF(AND(AE41&gt;AP5,AE41=AR5,AF41&lt;=AS5),"r1",IF(AND(AE41=AP5,AE41&lt;AR5,AF41&gt;=AQ5),"r1","n"))))</f>
        <v>r1</v>
      </c>
      <c r="AI41" s="182" t="str">
        <f>IF(AH41&lt;&gt;"n",AH41,IF(AND(AE41=AT5,AE41=AV5,AF41&gt;=AU5,AF41&lt;=AW5),"r2",IF(AND(AE41&gt;AT5,AE41&lt;AV5),"r2",IF(AND(AE41&gt;AT5,AE41=AV5,AF41&lt;=AW5),"r2",IF(AND(AE41=AT5,AE41&lt;AV5,AF41&gt;=AU5),"r2","n")))))</f>
        <v>r1</v>
      </c>
      <c r="AJ41" s="182" t="str">
        <f>IF(AI41&lt;&gt;"n",AI41,IF(AND(AE41=AP6,AE41=AR6,AF41&gt;=AQ6,AF41&lt;=AS6),"r1",IF(AND(AE41&gt;AP6,AE41&lt;AR6),"r1",IF(AND(AE41&gt;AP6,AE41=AR6,AF41&lt;=AS6),"r1",IF(AND(AE41=AP6,AE41&lt;AR6,AF41&gt;=AQ6),"r1","n")))))</f>
        <v>r1</v>
      </c>
      <c r="AK41" s="182" t="str">
        <f>IF(AJ41&lt;&gt;"n",AJ41,IF(AND(AE41=AT6,AE41=AV6,AF41&gt;=AU6,AF41&lt;=AW6),"r2",IF(AND(AE41&gt;AT6,AE41&lt;AV6),"r2",IF(AND(AE41&gt;AT6,AE41=AV6,AF41&lt;=AW6),"r2",IF(AND(AE41=AT6,AE41&lt;AV6,AF41&gt;=AU6),"r2","n")))))</f>
        <v>r1</v>
      </c>
      <c r="AL41" s="182" t="str">
        <f>IF(AK41&lt;&gt;"n",AK41,IF(AND(AE41=AP7,AE41=AR7,AF41&gt;=AQ7,AF41&lt;=AS7),"r1",IF(AND(AE41&gt;AP7,AE41&lt;AR7),"r1",IF(AND(AE41&gt;AP7,AE41=AR7,AF41&lt;=AS7),"r1",IF(AND(AE41=AP7,AE41&lt;AR7,AF41&gt;=AQ7),"r1","n")))))</f>
        <v>r1</v>
      </c>
      <c r="AN41" s="182" t="s">
        <v>243</v>
      </c>
      <c r="AO41" s="182">
        <v>9</v>
      </c>
      <c r="AX41" s="183">
        <f>'c-form'!W28</f>
        <v>0</v>
      </c>
      <c r="AY41" s="183">
        <f>'c-form'!AA28</f>
        <v>0</v>
      </c>
      <c r="AZ41" s="183" t="str">
        <f>IF(OR(AX43*1&lt;&gt;0,AY43*1&lt;&gt;0),AX43,"")</f>
        <v/>
      </c>
      <c r="BA41" s="183" t="str">
        <f>IF(OR(AX43*1&lt;&gt;0,AY43*1&lt;&gt;0),AY43,"")</f>
        <v/>
      </c>
      <c r="BB41" s="183">
        <f>'c-form'!W70</f>
        <v>0</v>
      </c>
      <c r="BC41" s="183">
        <f>'c-form'!AA70</f>
        <v>0</v>
      </c>
      <c r="BD41" s="183" t="str">
        <f>IF(OR(BB43*1&lt;&gt;0,BC43*1&lt;&gt;0),BB43,"")</f>
        <v/>
      </c>
      <c r="BE41" s="183" t="str">
        <f>IF(OR(BB43*1&lt;&gt;0,BC43*1&lt;&gt;0),BC43,"")</f>
        <v/>
      </c>
    </row>
    <row r="42" spans="2:57" s="182" customFormat="1" ht="3.75" customHeight="1"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Z42" s="176" t="str">
        <f t="shared" si="0"/>
        <v/>
      </c>
      <c r="AA42" s="183"/>
      <c r="AB42" s="183"/>
      <c r="AG42" s="184"/>
      <c r="AH42" s="182" t="str">
        <f>IF(AND(AE42=AP5,AE42=AR5,AF42&gt;=AQ5,AF42&lt;=AS5),"r1",IF(AND(AE42&gt;AP5,AE42&lt;AR5),"r1",IF(AND(AE42&gt;AP5,AE42=AR5,AF42&lt;=AS5),"r1",IF(AND(AE42=AP5,AE42&lt;AR5,AF42&gt;=AQ5),"r1","n"))))</f>
        <v>n</v>
      </c>
      <c r="AI42" s="182" t="str">
        <f>IF(AH42&lt;&gt;"n",AH42,IF(AND(AE42=AT5,AE42=AV5,AF42&gt;=AU5,AF42&lt;=AW5),"r2",IF(AND(AE42&gt;AT5,AE42&lt;AV5),"r2",IF(AND(AE42&gt;AT5,AE42=AV5,AF42&lt;=AW5),"r2",IF(AND(AE42=AT5,AE42&lt;AV5,AF42&gt;=AU5),"r2","n")))))</f>
        <v>r2</v>
      </c>
      <c r="AJ42" s="182" t="str">
        <f>IF(AI42&lt;&gt;"n",AI42,IF(AND(AE42=AP6,AE42=AR6,AF42&gt;=AQ6,AF42&lt;=AS6),"r1",IF(AND(AE42&gt;AP6,AE42&lt;AR6),"r1",IF(AND(AE42&gt;AP6,AE42=AR6,AF42&lt;=AS6),"r1",IF(AND(AE42=AP6,AE42&lt;AR6,AF42&gt;=AQ6),"r1","n")))))</f>
        <v>r2</v>
      </c>
      <c r="AK42" s="182" t="str">
        <f>IF(AJ42&lt;&gt;"n",AJ42,IF(AND(AE42=AT6,AE42=AV6,AF42&gt;=AU6,AF42&lt;=AW6),"r2",IF(AND(AE42&gt;AT6,AE42&lt;AV6),"r2",IF(AND(AE42&gt;AT6,AE42=AV6,AF42&lt;=AW6),"r2",IF(AND(AE42=AT6,AE42&lt;AV6,AF42&gt;=AU6),"r2","n")))))</f>
        <v>r2</v>
      </c>
      <c r="AL42" s="182" t="str">
        <f>IF(AK42&lt;&gt;"n",AK42,IF(AND(AE42=AP7,AE42=AR7,AF42&gt;=AQ7,AF42&lt;=AS7),"r1",IF(AND(AE42&gt;AP7,AE42&lt;AR7),"r1",IF(AND(AE42&gt;AP7,AE42=AR7,AF42&lt;=AS7),"r1",IF(AND(AE42=AP7,AE42&lt;AR7,AF42&gt;=AQ7),"r1","n")))))</f>
        <v>r2</v>
      </c>
      <c r="AX42" s="183"/>
      <c r="AY42" s="183"/>
      <c r="AZ42" s="183"/>
      <c r="BA42" s="183"/>
      <c r="BB42" s="183"/>
      <c r="BC42" s="183"/>
      <c r="BD42" s="183"/>
      <c r="BE42" s="183"/>
    </row>
    <row r="43" spans="2:57" s="182" customFormat="1" ht="12" customHeight="1">
      <c r="B43" s="239" t="s">
        <v>272</v>
      </c>
      <c r="C43" s="183">
        <f>IF(COUNT(C9:C41)&gt;0,SUM(C9:C41),"")</f>
        <v>381.17999999999984</v>
      </c>
      <c r="D43" s="183">
        <f t="shared" ref="D43:N43" si="6">IF(COUNT(D9:D41)&gt;0,SUM(D9:D41),"")</f>
        <v>222.9799999999999</v>
      </c>
      <c r="E43" s="183">
        <f t="shared" si="6"/>
        <v>108.72</v>
      </c>
      <c r="F43" s="183">
        <f t="shared" si="6"/>
        <v>205.88999999999996</v>
      </c>
      <c r="G43" s="183">
        <f t="shared" si="6"/>
        <v>851.47000000000014</v>
      </c>
      <c r="H43" s="183">
        <f t="shared" si="6"/>
        <v>1559.32</v>
      </c>
      <c r="I43" s="183">
        <f t="shared" si="6"/>
        <v>1265.3999999999996</v>
      </c>
      <c r="J43" s="183">
        <f t="shared" si="6"/>
        <v>545.13000000000011</v>
      </c>
      <c r="K43" s="183">
        <f t="shared" si="6"/>
        <v>352.93000000000012</v>
      </c>
      <c r="L43" s="183">
        <f t="shared" si="6"/>
        <v>265.22999999999996</v>
      </c>
      <c r="M43" s="183">
        <f t="shared" si="6"/>
        <v>252.10000000000002</v>
      </c>
      <c r="N43" s="183">
        <f t="shared" si="6"/>
        <v>303.44</v>
      </c>
      <c r="O43" s="183">
        <f>IF(COUNT(C43:N43)&gt;0,SUM(C43:N43),"")</f>
        <v>6313.7899999999991</v>
      </c>
      <c r="P43" s="240" t="s">
        <v>273</v>
      </c>
      <c r="Z43" s="176">
        <f t="shared" si="0"/>
        <v>12.025000000000832</v>
      </c>
      <c r="AA43" s="183">
        <f>IF(TRIM(AG43)="","",IF(INDEX(AZ1:AZ51,AC43)=AG43,INDEX(BA1:BA51,AC43),((AG43-INDEX(AZ1:AZ51,AC43))*(INDEX(BA1:BA51,AC43+1)-INDEX(BA1:BA51,AC43)))/(INDEX(AZ1:AZ51,AC43+1)-INDEX(AZ1:AZ51,AC43))+INDEX(BA1:BA51,AC43)))</f>
        <v>12.025000000000832</v>
      </c>
      <c r="AB43" s="183" t="e">
        <f>IF(TRIM(AG43)="","",IF(INDEX(BD1:BD51,AD43)=AG43,INDEX(BE1:BE51,AD43),((AG43-INDEX(BD1:BD51,AD43))*(INDEX(BE1:BE51,AD43+1)-INDEX(BE1:BE51,AD43)))/(INDEX(BD1:BD51,AD43+1)-INDEX(BD1:BD51,AD43))+INDEX(BE1:BE51,AD43)))</f>
        <v>#N/A</v>
      </c>
      <c r="AC43" s="182">
        <f>MATCH(AG43,AZ1:AZ51,1)</f>
        <v>5</v>
      </c>
      <c r="AD43" s="182" t="e">
        <f>MATCH(AG43,BD1:BD51,1)</f>
        <v>#N/A</v>
      </c>
      <c r="AE43" s="182">
        <v>2</v>
      </c>
      <c r="AF43" s="182">
        <v>12</v>
      </c>
      <c r="AG43" s="184">
        <f>FIXED('HourGH-MAY'!AB23)*1</f>
        <v>338.17</v>
      </c>
      <c r="AH43" s="182" t="str">
        <f>IF(AND(AE43=AP5,AE43=AR5,AF43&gt;=AQ5,AF43&lt;=AS5),"r1",IF(AND(AE43&gt;AP5,AE43&lt;AR5),"r1",IF(AND(AE43&gt;AP5,AE43=AR5,AF43&lt;=AS5),"r1",IF(AND(AE43=AP5,AE43&lt;AR5,AF43&gt;=AQ5),"r1","n"))))</f>
        <v>r1</v>
      </c>
      <c r="AI43" s="182" t="str">
        <f>IF(AH43&lt;&gt;"n",AH43,IF(AND(AE43=AT5,AE43=AV5,AF43&gt;=AU5,AF43&lt;=AW5),"r2",IF(AND(AE43&gt;AT5,AE43&lt;AV5),"r2",IF(AND(AE43&gt;AT5,AE43=AV5,AF43&lt;=AW5),"r2",IF(AND(AE43=AT5,AE43&lt;AV5,AF43&gt;=AU5),"r2","n")))))</f>
        <v>r1</v>
      </c>
      <c r="AJ43" s="182" t="str">
        <f>IF(AI43&lt;&gt;"n",AI43,IF(AND(AE43=AP6,AE43=AR6,AF43&gt;=AQ6,AF43&lt;=AS6),"r1",IF(AND(AE43&gt;AP6,AE43&lt;AR6),"r1",IF(AND(AE43&gt;AP6,AE43=AR6,AF43&lt;=AS6),"r1",IF(AND(AE43=AP6,AE43&lt;AR6,AF43&gt;=AQ6),"r1","n")))))</f>
        <v>r1</v>
      </c>
      <c r="AK43" s="182" t="str">
        <f>IF(AJ43&lt;&gt;"n",AJ43,IF(AND(AE43=AT6,AE43=AV6,AF43&gt;=AU6,AF43&lt;=AW6),"r2",IF(AND(AE43&gt;AT6,AE43&lt;AV6),"r2",IF(AND(AE43&gt;AT6,AE43=AV6,AF43&lt;=AW6),"r2",IF(AND(AE43=AT6,AE43&lt;AV6,AF43&gt;=AU6),"r2","n")))))</f>
        <v>r1</v>
      </c>
      <c r="AL43" s="182" t="str">
        <f>IF(AK43&lt;&gt;"n",AK43,IF(AND(AE43=AP7,AE43=AR7,AF43&gt;=AQ7,AF43&lt;=AS7),"r1",IF(AND(AE43&gt;AP7,AE43&lt;AR7),"r1",IF(AND(AE43&gt;AP7,AE43=AR7,AF43&lt;=AS7),"r1",IF(AND(AE43=AP7,AE43&lt;AR7,AF43&gt;=AQ7),"r1","n")))))</f>
        <v>r1</v>
      </c>
      <c r="AN43" s="185" t="s">
        <v>244</v>
      </c>
      <c r="AO43" s="185">
        <v>10</v>
      </c>
      <c r="AX43" s="183">
        <f>'c-form'!D29</f>
        <v>0</v>
      </c>
      <c r="AY43" s="183">
        <f>'c-form'!F29</f>
        <v>0</v>
      </c>
      <c r="AZ43" s="183" t="str">
        <f t="shared" si="3"/>
        <v/>
      </c>
      <c r="BA43" s="183" t="str">
        <f t="shared" si="4"/>
        <v/>
      </c>
      <c r="BB43" s="183">
        <f>'c-form'!D71</f>
        <v>0</v>
      </c>
      <c r="BC43" s="183">
        <f>'c-form'!F71</f>
        <v>0</v>
      </c>
      <c r="BD43" s="183" t="str">
        <f t="shared" si="2"/>
        <v/>
      </c>
      <c r="BE43" s="183" t="str">
        <f t="shared" si="5"/>
        <v/>
      </c>
    </row>
    <row r="44" spans="2:57" ht="12.6" customHeight="1">
      <c r="B44" s="233" t="s">
        <v>274</v>
      </c>
      <c r="C44" s="176">
        <f>IF(COUNT(C9:C41)&gt;0,AVERAGE(C9:C41),"")</f>
        <v>12.705999999999994</v>
      </c>
      <c r="D44" s="176">
        <f t="shared" ref="D44:N44" si="7">IF(COUNT(D9:D41)&gt;0,AVERAGE(D9:D41),"")</f>
        <v>7.1929032258064485</v>
      </c>
      <c r="E44" s="176">
        <f t="shared" si="7"/>
        <v>3.6240000000000001</v>
      </c>
      <c r="F44" s="176">
        <f t="shared" si="7"/>
        <v>6.6416129032258047</v>
      </c>
      <c r="G44" s="176">
        <f t="shared" si="7"/>
        <v>27.466774193548392</v>
      </c>
      <c r="H44" s="176">
        <f t="shared" si="7"/>
        <v>51.977333333333334</v>
      </c>
      <c r="I44" s="176">
        <f t="shared" si="7"/>
        <v>40.819354838709664</v>
      </c>
      <c r="J44" s="176">
        <f t="shared" si="7"/>
        <v>18.171000000000003</v>
      </c>
      <c r="K44" s="176">
        <f t="shared" si="7"/>
        <v>11.384838709677423</v>
      </c>
      <c r="L44" s="176">
        <f t="shared" si="7"/>
        <v>8.5558064516129022</v>
      </c>
      <c r="M44" s="176">
        <f t="shared" si="7"/>
        <v>9.0035714285714299</v>
      </c>
      <c r="N44" s="176">
        <f t="shared" si="7"/>
        <v>9.7883870967741942</v>
      </c>
      <c r="O44" s="176">
        <f>IF(COUNT(C44:N44)&gt;0,AVERAGE(C44:N44),"")</f>
        <v>17.277631848438297</v>
      </c>
      <c r="P44" s="241" t="s">
        <v>275</v>
      </c>
      <c r="Z44" s="176">
        <f t="shared" si="0"/>
        <v>11.374999999999538</v>
      </c>
      <c r="AA44" s="176">
        <f>IF(TRIM(AG44)="","",IF(INDEX(AZ1:AZ51,AC44)=AG44,INDEX(BA1:BA51,AC44),((AG44-INDEX(AZ1:AZ51,AC44))*(INDEX(BA1:BA51,AC44+1)-INDEX(BA1:BA51,AC44)))/(INDEX(AZ1:AZ51,AC44+1)-INDEX(AZ1:AZ51,AC44))+INDEX(BA1:BA51,AC44)))</f>
        <v>11.374999999999538</v>
      </c>
      <c r="AB44" s="176" t="e">
        <f>IF(TRIM(AG44)="","",IF(INDEX(BD1:BD51,AD44)=AG44,INDEX(BE1:BE51,AD44),((AG44-INDEX(BD1:BD51,AD44))*(INDEX(BE1:BE51,AD44+1)-INDEX(BE1:BE51,AD44)))/(INDEX(BD1:BD51,AD44+1)-INDEX(BD1:BD51,AD44))+INDEX(BE1:BE51,AD44)))</f>
        <v>#N/A</v>
      </c>
      <c r="AC44" s="164">
        <f>MATCH(AG44,AZ1:AZ51,1)</f>
        <v>5</v>
      </c>
      <c r="AD44" s="164" t="e">
        <f>MATCH(AG44,BD1:BD51,1)</f>
        <v>#N/A</v>
      </c>
      <c r="AE44" s="164">
        <v>2</v>
      </c>
      <c r="AF44" s="164">
        <v>13</v>
      </c>
      <c r="AG44" s="184">
        <f>FIXED('HourGH-MAY'!AB24)*1</f>
        <v>338.15</v>
      </c>
      <c r="AH44" s="164" t="str">
        <f>IF(AND(AE44=AP5,AE44=AR5,AF44&gt;=AQ5,AF44&lt;=AS5),"r1",IF(AND(AE44&gt;AP5,AE44&lt;AR5),"r1",IF(AND(AE44&gt;AP5,AE44=AR5,AF44&lt;=AS5),"r1",IF(AND(AE44=AP5,AE44&lt;AR5,AF44&gt;=AQ5),"r1","n"))))</f>
        <v>r1</v>
      </c>
      <c r="AI44" s="164" t="str">
        <f>IF(AH44&lt;&gt;"n",AH44,IF(AND(AE44=AT5,AE44=AV5,AF44&gt;=AU5,AF44&lt;=AW5),"r2",IF(AND(AE44&gt;AT5,AE44&lt;AV5),"r2",IF(AND(AE44&gt;AT5,AE44=AV5,AF44&lt;=AW5),"r2",IF(AND(AE44=AT5,AE44&lt;AV5,AF44&gt;=AU5),"r2","n")))))</f>
        <v>r1</v>
      </c>
      <c r="AJ44" s="164" t="str">
        <f>IF(AI44&lt;&gt;"n",AI44,IF(AND(AE44=AP6,AE44=AR6,AF44&gt;=AQ6,AF44&lt;=AS6),"r1",IF(AND(AE44&gt;AP6,AE44&lt;AR6),"r1",IF(AND(AE44&gt;AP6,AE44=AR6,AF44&lt;=AS6),"r1",IF(AND(AE44=AP6,AE44&lt;AR6,AF44&gt;=AQ6),"r1","n")))))</f>
        <v>r1</v>
      </c>
      <c r="AK44" s="164" t="str">
        <f>IF(AJ44&lt;&gt;"n",AJ44,IF(AND(AE44=AT6,AE44=AV6,AF44&gt;=AU6,AF44&lt;=AW6),"r2",IF(AND(AE44&gt;AT6,AE44&lt;AV6),"r2",IF(AND(AE44&gt;AT6,AE44=AV6,AF44&lt;=AW6),"r2",IF(AND(AE44=AT6,AE44&lt;AV6,AF44&gt;=AU6),"r2","n")))))</f>
        <v>r1</v>
      </c>
      <c r="AL44" s="164" t="str">
        <f>IF(AK44&lt;&gt;"n",AK44,IF(AND(AE44=AP7,AE44=AR7,AF44&gt;=AQ7,AF44&lt;=AS7),"r1",IF(AND(AE44&gt;AP7,AE44&lt;AR7),"r1",IF(AND(AE44&gt;AP7,AE44=AR7,AF44&lt;=AS7),"r1",IF(AND(AE44=AP7,AE44&lt;AR7,AF44&gt;=AQ7),"r1","n")))))</f>
        <v>r1</v>
      </c>
      <c r="AN44" s="185" t="s">
        <v>245</v>
      </c>
      <c r="AO44" s="185">
        <v>11</v>
      </c>
      <c r="AX44" s="176">
        <f>'c-form'!H29</f>
        <v>0</v>
      </c>
      <c r="AY44" s="176">
        <f>'c-form'!J29</f>
        <v>0</v>
      </c>
      <c r="AZ44" s="176" t="str">
        <f t="shared" si="3"/>
        <v/>
      </c>
      <c r="BA44" s="176" t="str">
        <f t="shared" si="4"/>
        <v/>
      </c>
      <c r="BB44" s="176">
        <f>'c-form'!H71</f>
        <v>0</v>
      </c>
      <c r="BC44" s="176">
        <f>'c-form'!J71</f>
        <v>0</v>
      </c>
      <c r="BD44" s="176" t="str">
        <f t="shared" si="2"/>
        <v/>
      </c>
      <c r="BE44" s="176" t="str">
        <f t="shared" si="5"/>
        <v/>
      </c>
    </row>
    <row r="45" spans="2:57" ht="12.6" customHeight="1">
      <c r="B45" s="233" t="s">
        <v>276</v>
      </c>
      <c r="C45" s="176">
        <f>IF(COUNT(C9:C41)&gt;0,MAX(C9:C41),"")</f>
        <v>18.399999999999999</v>
      </c>
      <c r="D45" s="176">
        <f t="shared" ref="D45:N45" si="8">IF(COUNT(D9:D41)&gt;0,MAX(D9:D41),"")</f>
        <v>12.35</v>
      </c>
      <c r="E45" s="176">
        <f t="shared" si="8"/>
        <v>16.149999999999999</v>
      </c>
      <c r="F45" s="176">
        <f t="shared" si="8"/>
        <v>13</v>
      </c>
      <c r="G45" s="176">
        <f t="shared" si="8"/>
        <v>124</v>
      </c>
      <c r="H45" s="176">
        <f t="shared" si="8"/>
        <v>120.5</v>
      </c>
      <c r="I45" s="176">
        <f t="shared" si="8"/>
        <v>131</v>
      </c>
      <c r="J45" s="176">
        <f t="shared" si="8"/>
        <v>33</v>
      </c>
      <c r="K45" s="176">
        <f t="shared" si="8"/>
        <v>29</v>
      </c>
      <c r="L45" s="176">
        <f t="shared" si="8"/>
        <v>18.850000000000001</v>
      </c>
      <c r="M45" s="176">
        <f t="shared" si="8"/>
        <v>24</v>
      </c>
      <c r="N45" s="176">
        <f t="shared" si="8"/>
        <v>17.95</v>
      </c>
      <c r="O45" s="176">
        <f>IF(COUNT(C45:N45)&gt;0,MAX(C45:N45),"")</f>
        <v>131</v>
      </c>
      <c r="P45" s="241" t="s">
        <v>275</v>
      </c>
      <c r="Z45" s="176">
        <f t="shared" si="0"/>
        <v>9.7500000000009237</v>
      </c>
      <c r="AA45" s="176">
        <f>IF(TRIM(AG45)="","",IF(INDEX(AZ1:AZ51,AC45)=AG45,INDEX(BA1:BA51,AC45),((AG45-INDEX(AZ1:AZ51,AC45))*(INDEX(BA1:BA51,AC45+1)-INDEX(BA1:BA51,AC45)))/(INDEX(AZ1:AZ51,AC45+1)-INDEX(AZ1:AZ51,AC45))+INDEX(BA1:BA51,AC45)))</f>
        <v>9.7500000000009237</v>
      </c>
      <c r="AB45" s="176" t="e">
        <f>IF(TRIM(AG45)="","",IF(INDEX(BD1:BD51,AD45)=AG45,INDEX(BE1:BE51,AD45),((AG45-INDEX(BD1:BD51,AD45))*(INDEX(BE1:BE51,AD45+1)-INDEX(BE1:BE51,AD45)))/(INDEX(BD1:BD51,AD45+1)-INDEX(BD1:BD51,AD45))+INDEX(BE1:BE51,AD45)))</f>
        <v>#N/A</v>
      </c>
      <c r="AC45" s="164">
        <f>MATCH(AG45,AZ1:AZ51,1)</f>
        <v>5</v>
      </c>
      <c r="AD45" s="164" t="e">
        <f>MATCH(AG45,BD1:BD51,1)</f>
        <v>#N/A</v>
      </c>
      <c r="AE45" s="164">
        <v>2</v>
      </c>
      <c r="AF45" s="164">
        <v>14</v>
      </c>
      <c r="AG45" s="184">
        <f>FIXED('HourGH-MAY'!AB25)*1</f>
        <v>338.1</v>
      </c>
      <c r="AH45" s="164" t="str">
        <f>IF(AND(AE45=AP5,AE45=AR5,AF45&gt;=AQ5,AF45&lt;=AS5),"r1",IF(AND(AE45&gt;AP5,AE45&lt;AR5),"r1",IF(AND(AE45&gt;AP5,AE45=AR5,AF45&lt;=AS5),"r1",IF(AND(AE45=AP5,AE45&lt;AR5,AF45&gt;=AQ5),"r1","n"))))</f>
        <v>r1</v>
      </c>
      <c r="AI45" s="164" t="str">
        <f>IF(AH45&lt;&gt;"n",AH45,IF(AND(AE45=AT5,AE45=AV5,AF45&gt;=AU5,AF45&lt;=AW5),"r2",IF(AND(AE45&gt;AT5,AE45&lt;AV5),"r2",IF(AND(AE45&gt;AT5,AE45=AV5,AF45&lt;=AW5),"r2",IF(AND(AE45=AT5,AE45&lt;AV5,AF45&gt;=AU5),"r2","n")))))</f>
        <v>r1</v>
      </c>
      <c r="AJ45" s="164" t="str">
        <f>IF(AI45&lt;&gt;"n",AI45,IF(AND(AE45=AP6,AE45=AR6,AF45&gt;=AQ6,AF45&lt;=AS6),"r1",IF(AND(AE45&gt;AP6,AE45&lt;AR6),"r1",IF(AND(AE45&gt;AP6,AE45=AR6,AF45&lt;=AS6),"r1",IF(AND(AE45=AP6,AE45&lt;AR6,AF45&gt;=AQ6),"r1","n")))))</f>
        <v>r1</v>
      </c>
      <c r="AK45" s="164" t="str">
        <f>IF(AJ45&lt;&gt;"n",AJ45,IF(AND(AE45=AT6,AE45=AV6,AF45&gt;=AU6,AF45&lt;=AW6),"r2",IF(AND(AE45&gt;AT6,AE45&lt;AV6),"r2",IF(AND(AE45&gt;AT6,AE45=AV6,AF45&lt;=AW6),"r2",IF(AND(AE45=AT6,AE45&lt;AV6,AF45&gt;=AU6),"r2","n")))))</f>
        <v>r1</v>
      </c>
      <c r="AL45" s="164" t="str">
        <f>IF(AK45&lt;&gt;"n",AK45,IF(AND(AE45=AP7,AE45=AR7,AF45&gt;=AQ7,AF45&lt;=AS7),"r1",IF(AND(AE45&gt;AP7,AE45&lt;AR7),"r1",IF(AND(AE45&gt;AP7,AE45=AR7,AF45&lt;=AS7),"r1",IF(AND(AE45=AP7,AE45&lt;AR7,AF45&gt;=AQ7),"r1","n")))))</f>
        <v>r1</v>
      </c>
      <c r="AN45" s="185" t="s">
        <v>246</v>
      </c>
      <c r="AO45" s="185">
        <v>12</v>
      </c>
      <c r="AX45" s="176">
        <f>'c-form'!M29</f>
        <v>0</v>
      </c>
      <c r="AY45" s="176">
        <f>'c-form'!P29</f>
        <v>0</v>
      </c>
      <c r="AZ45" s="176" t="str">
        <f t="shared" si="3"/>
        <v/>
      </c>
      <c r="BA45" s="176" t="str">
        <f t="shared" si="4"/>
        <v/>
      </c>
      <c r="BB45" s="176">
        <f>'c-form'!M71</f>
        <v>0</v>
      </c>
      <c r="BC45" s="176">
        <f>'c-form'!P71</f>
        <v>0</v>
      </c>
      <c r="BD45" s="176" t="str">
        <f t="shared" si="2"/>
        <v/>
      </c>
      <c r="BE45" s="176" t="str">
        <f t="shared" si="5"/>
        <v/>
      </c>
    </row>
    <row r="46" spans="2:57" ht="12.6" customHeight="1">
      <c r="B46" s="233" t="s">
        <v>277</v>
      </c>
      <c r="C46" s="176">
        <f>IF(COUNT(C9:C41)&gt;0,MIN(C9:C41),"")</f>
        <v>8.1300000000000008</v>
      </c>
      <c r="D46" s="176">
        <f t="shared" ref="D46:N46" si="9">IF(COUNT(D9:D41)&gt;0,MIN(D9:D41),"")</f>
        <v>1.25</v>
      </c>
      <c r="E46" s="176">
        <f t="shared" si="9"/>
        <v>1.55</v>
      </c>
      <c r="F46" s="176">
        <f t="shared" si="9"/>
        <v>2.6</v>
      </c>
      <c r="G46" s="176">
        <f t="shared" si="9"/>
        <v>9.42</v>
      </c>
      <c r="H46" s="176">
        <f t="shared" si="9"/>
        <v>13.45</v>
      </c>
      <c r="I46" s="176">
        <f t="shared" si="9"/>
        <v>12.35</v>
      </c>
      <c r="J46" s="176">
        <f t="shared" si="9"/>
        <v>12.03</v>
      </c>
      <c r="K46" s="176">
        <f t="shared" si="9"/>
        <v>7.47</v>
      </c>
      <c r="L46" s="176">
        <f t="shared" si="9"/>
        <v>4.5</v>
      </c>
      <c r="M46" s="176">
        <f t="shared" si="9"/>
        <v>3</v>
      </c>
      <c r="N46" s="176">
        <f t="shared" si="9"/>
        <v>2</v>
      </c>
      <c r="O46" s="176">
        <f>IF(COUNT(C46:N46)&gt;0,MIN(C46:N46),"")</f>
        <v>1.25</v>
      </c>
      <c r="P46" s="241" t="s">
        <v>275</v>
      </c>
      <c r="Z46" s="176">
        <f t="shared" si="0"/>
        <v>9.7500000000009237</v>
      </c>
      <c r="AA46" s="176">
        <f>IF(TRIM(AG46)="","",IF(INDEX(AZ1:AZ51,AC46)=AG46,INDEX(BA1:BA51,AC46),((AG46-INDEX(AZ1:AZ51,AC46))*(INDEX(BA1:BA51,AC46+1)-INDEX(BA1:BA51,AC46)))/(INDEX(AZ1:AZ51,AC46+1)-INDEX(AZ1:AZ51,AC46))+INDEX(BA1:BA51,AC46)))</f>
        <v>9.7500000000009237</v>
      </c>
      <c r="AB46" s="176" t="e">
        <f>IF(TRIM(AG46)="","",IF(INDEX(BD1:BD51,AD46)=AG46,INDEX(BE1:BE51,AD46),((AG46-INDEX(BD1:BD51,AD46))*(INDEX(BE1:BE51,AD46+1)-INDEX(BE1:BE51,AD46)))/(INDEX(BD1:BD51,AD46+1)-INDEX(BD1:BD51,AD46))+INDEX(BE1:BE51,AD46)))</f>
        <v>#N/A</v>
      </c>
      <c r="AC46" s="164">
        <f>MATCH(AG46,AZ1:AZ51,1)</f>
        <v>5</v>
      </c>
      <c r="AD46" s="164" t="e">
        <f>MATCH(AG46,BD1:BD51,1)</f>
        <v>#N/A</v>
      </c>
      <c r="AE46" s="164">
        <v>2</v>
      </c>
      <c r="AF46" s="164">
        <v>15</v>
      </c>
      <c r="AG46" s="184">
        <f>FIXED('HourGH-MAY'!AB26)*1</f>
        <v>338.1</v>
      </c>
      <c r="AH46" s="164" t="str">
        <f>IF(AND(AE46=AP5,AE46=AR5,AF46&gt;=AQ5,AF46&lt;=AS5),"r1",IF(AND(AE46&gt;AP5,AE46&lt;AR5),"r1",IF(AND(AE46&gt;AP5,AE46=AR5,AF46&lt;=AS5),"r1",IF(AND(AE46=AP5,AE46&lt;AR5,AF46&gt;=AQ5),"r1","n"))))</f>
        <v>r1</v>
      </c>
      <c r="AI46" s="164" t="str">
        <f>IF(AH46&lt;&gt;"n",AH46,IF(AND(AE46=AT5,AE46=AV5,AF46&gt;=AU5,AF46&lt;=AW5),"r2",IF(AND(AE46&gt;AT5,AE46&lt;AV5),"r2",IF(AND(AE46&gt;AT5,AE46=AV5,AF46&lt;=AW5),"r2",IF(AND(AE46=AT5,AE46&lt;AV5,AF46&gt;=AU5),"r2","n")))))</f>
        <v>r1</v>
      </c>
      <c r="AJ46" s="164" t="str">
        <f>IF(AI46&lt;&gt;"n",AI46,IF(AND(AE46=AP6,AE46=AR6,AF46&gt;=AQ6,AF46&lt;=AS6),"r1",IF(AND(AE46&gt;AP6,AE46&lt;AR6),"r1",IF(AND(AE46&gt;AP6,AE46=AR6,AF46&lt;=AS6),"r1",IF(AND(AE46=AP6,AE46&lt;AR6,AF46&gt;=AQ6),"r1","n")))))</f>
        <v>r1</v>
      </c>
      <c r="AK46" s="164" t="str">
        <f>IF(AJ46&lt;&gt;"n",AJ46,IF(AND(AE46=AT6,AE46=AV6,AF46&gt;=AU6,AF46&lt;=AW6),"r2",IF(AND(AE46&gt;AT6,AE46&lt;AV6),"r2",IF(AND(AE46&gt;AT6,AE46=AV6,AF46&lt;=AW6),"r2",IF(AND(AE46=AT6,AE46&lt;AV6,AF46&gt;=AU6),"r2","n")))))</f>
        <v>r1</v>
      </c>
      <c r="AL46" s="164" t="str">
        <f>IF(AK46&lt;&gt;"n",AK46,IF(AND(AE46=AP7,AE46=AR7,AF46&gt;=AQ7,AF46&lt;=AS7),"r1",IF(AND(AE46&gt;AP7,AE46&lt;AR7),"r1",IF(AND(AE46&gt;AP7,AE46=AR7,AF46&lt;=AS7),"r1",IF(AND(AE46=AP7,AE46&lt;AR7,AF46&gt;=AQ7),"r1","n")))))</f>
        <v>r1</v>
      </c>
      <c r="AX46" s="176">
        <f>'c-form'!R29</f>
        <v>0</v>
      </c>
      <c r="AY46" s="176">
        <f>'c-form'!T29</f>
        <v>0</v>
      </c>
      <c r="AZ46" s="176" t="str">
        <f t="shared" si="3"/>
        <v/>
      </c>
      <c r="BA46" s="176" t="str">
        <f t="shared" si="4"/>
        <v/>
      </c>
      <c r="BB46" s="176">
        <f>'c-form'!R71</f>
        <v>0</v>
      </c>
      <c r="BC46" s="176">
        <f>'c-form'!T71</f>
        <v>0</v>
      </c>
      <c r="BD46" s="176" t="str">
        <f t="shared" si="2"/>
        <v/>
      </c>
      <c r="BE46" s="176" t="str">
        <f t="shared" si="5"/>
        <v/>
      </c>
    </row>
    <row r="47" spans="2:57" ht="12.6" customHeight="1">
      <c r="B47" s="238" t="s">
        <v>278</v>
      </c>
      <c r="C47" s="176">
        <f>IF(COUNT(C9:C41)&gt;0,(C43*(864*(0.001)))*0.1,"")</f>
        <v>32.933951999999991</v>
      </c>
      <c r="D47" s="176">
        <f>IF(COUNT(D9:D41)&gt;0,(D43*(864*(0.001)))*0.1,"")</f>
        <v>19.265471999999992</v>
      </c>
      <c r="E47" s="176">
        <f t="shared" ref="E47:N47" si="10">IF(COUNT(E9:E41)&gt;0,(E43*(864*(0.001)))*0.1,"")</f>
        <v>9.3934079999999991</v>
      </c>
      <c r="F47" s="176">
        <f t="shared" si="10"/>
        <v>17.788895999999998</v>
      </c>
      <c r="G47" s="176">
        <f t="shared" si="10"/>
        <v>73.567008000000015</v>
      </c>
      <c r="H47" s="176">
        <f t="shared" si="10"/>
        <v>134.72524799999999</v>
      </c>
      <c r="I47" s="176">
        <f t="shared" si="10"/>
        <v>109.33055999999998</v>
      </c>
      <c r="J47" s="176">
        <f t="shared" si="10"/>
        <v>47.099232000000008</v>
      </c>
      <c r="K47" s="176">
        <f t="shared" si="10"/>
        <v>30.493152000000009</v>
      </c>
      <c r="L47" s="176">
        <f t="shared" si="10"/>
        <v>22.915871999999997</v>
      </c>
      <c r="M47" s="176">
        <f t="shared" si="10"/>
        <v>21.781440000000003</v>
      </c>
      <c r="N47" s="176">
        <f t="shared" si="10"/>
        <v>26.217216000000004</v>
      </c>
      <c r="O47" s="176">
        <f>IF(COUNT(C47:N47)&gt;0,(O43*864*0.001)*0.1,"")</f>
        <v>545.51145600000007</v>
      </c>
      <c r="P47" s="242" t="s">
        <v>281</v>
      </c>
      <c r="Z47" s="176">
        <f t="shared" si="0"/>
        <v>9.4249999999993541</v>
      </c>
      <c r="AA47" s="176">
        <f>IF(TRIM(AG47)="","",IF(INDEX(AZ1:AZ51,AC47)=AG47,INDEX(BA1:BA51,AC47),((AG47-INDEX(AZ1:AZ51,AC47))*(INDEX(BA1:BA51,AC47+1)-INDEX(BA1:BA51,AC47)))/(INDEX(AZ1:AZ51,AC47+1)-INDEX(AZ1:AZ51,AC47))+INDEX(BA1:BA51,AC47)))</f>
        <v>9.4249999999993541</v>
      </c>
      <c r="AB47" s="176" t="e">
        <f>IF(TRIM(AG47)="","",IF(INDEX(BD1:BD51,AD47)=AG47,INDEX(BE1:BE51,AD47),((AG47-INDEX(BD1:BD51,AD47))*(INDEX(BE1:BE51,AD47+1)-INDEX(BE1:BE51,AD47)))/(INDEX(BD1:BD51,AD47+1)-INDEX(BD1:BD51,AD47))+INDEX(BE1:BE51,AD47)))</f>
        <v>#N/A</v>
      </c>
      <c r="AC47" s="164">
        <f>MATCH(AG47,AZ1:AZ51,1)</f>
        <v>5</v>
      </c>
      <c r="AD47" s="164" t="e">
        <f>MATCH(AG47,BD1:BD51,1)</f>
        <v>#N/A</v>
      </c>
      <c r="AE47" s="164">
        <v>2</v>
      </c>
      <c r="AF47" s="164">
        <v>16</v>
      </c>
      <c r="AG47" s="184">
        <f>FIXED('HourGH-MAY'!AB27)*1</f>
        <v>338.09</v>
      </c>
      <c r="AH47" s="164" t="str">
        <f>IF(AND(AE47=AP5,AE47=AR5,AF47&gt;=AQ5,AF47&lt;=AS5),"r1",IF(AND(AE47&gt;AP5,AE47&lt;AR5),"r1",IF(AND(AE47&gt;AP5,AE47=AR5,AF47&lt;=AS5),"r1",IF(AND(AE47=AP5,AE47&lt;AR5,AF47&gt;=AQ5),"r1","n"))))</f>
        <v>r1</v>
      </c>
      <c r="AI47" s="164" t="str">
        <f>IF(AH47&lt;&gt;"n",AH47,IF(AND(AE47=AT5,AE47=AV5,AF47&gt;=AU5,AF47&lt;=AW5),"r2",IF(AND(AE47&gt;AT5,AE47&lt;AV5),"r2",IF(AND(AE47&gt;AT5,AE47=AV5,AF47&lt;=AW5),"r2",IF(AND(AE47=AT5,AE47&lt;AV5,AF47&gt;=AU5),"r2","n")))))</f>
        <v>r1</v>
      </c>
      <c r="AJ47" s="164" t="str">
        <f>IF(AI47&lt;&gt;"n",AI47,IF(AND(AE47=AP6,AE47=AR6,AF47&gt;=AQ6,AF47&lt;=AS6),"r1",IF(AND(AE47&gt;AP6,AE47&lt;AR6),"r1",IF(AND(AE47&gt;AP6,AE47=AR6,AF47&lt;=AS6),"r1",IF(AND(AE47=AP6,AE47&lt;AR6,AF47&gt;=AQ6),"r1","n")))))</f>
        <v>r1</v>
      </c>
      <c r="AK47" s="164" t="str">
        <f>IF(AJ47&lt;&gt;"n",AJ47,IF(AND(AE47=AT6,AE47=AV6,AF47&gt;=AU6,AF47&lt;=AW6),"r2",IF(AND(AE47&gt;AT6,AE47&lt;AV6),"r2",IF(AND(AE47&gt;AT6,AE47=AV6,AF47&lt;=AW6),"r2",IF(AND(AE47=AT6,AE47&lt;AV6,AF47&gt;=AU6),"r2","n")))))</f>
        <v>r1</v>
      </c>
      <c r="AL47" s="164" t="str">
        <f>IF(AK47&lt;&gt;"n",AK47,IF(AND(AE47=AP7,AE47=AR7,AF47&gt;=AQ7,AF47&lt;=AS7),"r1",IF(AND(AE47&gt;AP7,AE47&lt;AR7),"r1",IF(AND(AE47&gt;AP7,AE47=AR7,AF47&lt;=AS7),"r1",IF(AND(AE47=AP7,AE47&lt;AR7,AF47&gt;=AQ7),"r1","n")))))</f>
        <v>r1</v>
      </c>
      <c r="AX47" s="176">
        <f>'c-form'!W29</f>
        <v>0</v>
      </c>
      <c r="AY47" s="176">
        <f>'c-form'!AA29</f>
        <v>0</v>
      </c>
      <c r="AZ47" s="176" t="str">
        <f t="shared" si="3"/>
        <v/>
      </c>
      <c r="BA47" s="176" t="str">
        <f>IF(OR(AX48*1&lt;&gt;0,AY48*1&lt;&gt;0),AY48,"")</f>
        <v/>
      </c>
      <c r="BB47" s="176">
        <f>'c-form'!W71</f>
        <v>0</v>
      </c>
      <c r="BC47" s="176">
        <f>'c-form'!AA71</f>
        <v>0</v>
      </c>
      <c r="BD47" s="176" t="str">
        <f t="shared" si="2"/>
        <v/>
      </c>
      <c r="BE47" s="176" t="str">
        <f t="shared" si="5"/>
        <v/>
      </c>
    </row>
    <row r="48" spans="2:57" ht="12.6" customHeight="1">
      <c r="B48" s="238" t="s">
        <v>279</v>
      </c>
      <c r="C48" s="243"/>
      <c r="D48" s="186">
        <f>IF(COUNT(AP29)=0,AR29,AP29)</f>
        <v>136.75000000000171</v>
      </c>
      <c r="E48" s="244" t="s">
        <v>282</v>
      </c>
      <c r="F48" s="187" t="str">
        <f>IF(TRIM('c-form'!U15)&lt;&gt;"",TRIM('c-form'!U15),IF(TRIM('c-form'!U57)&lt;&gt;"",TRIM('c-form'!U57),""))</f>
        <v>340.23</v>
      </c>
      <c r="G48" s="245" t="s">
        <v>286</v>
      </c>
      <c r="H48" s="187" t="str">
        <f>IF(TRIM('c-form'!E15)&lt;&gt;"",'c-form'!E15,IF(TRIM('c-form'!E57)&lt;&gt;"",TRIM('c-form'!E57),""))</f>
        <v>MSL.</v>
      </c>
      <c r="I48" s="234" t="s">
        <v>287</v>
      </c>
      <c r="J48" s="187" t="str">
        <f>IF(TRIM('c-form'!W15)&lt;&gt;"",TRIM('c-form'!W15),IF(TRIM('c-form'!W57)&lt;&gt;"",TRIM('c-form'!W57),""))</f>
        <v>10</v>
      </c>
      <c r="K48" s="244" t="s">
        <v>283</v>
      </c>
      <c r="L48" s="305" t="str">
        <f>IF(TRIM('c-form'!AU2)&lt;&gt;"",TRIM('c-form'!AU2),IF(TRIM('c-form'!AU3)&lt;&gt;"",TRIM('c-form'!AU3),""))</f>
        <v>OCT 19, 2013</v>
      </c>
      <c r="M48" s="305"/>
      <c r="Z48" s="176">
        <f t="shared" si="0"/>
        <v>9.0999999999996302</v>
      </c>
      <c r="AA48" s="176">
        <f>IF(TRIM(AG48)="","",IF(INDEX(AZ1:AZ51,AC48)=AG48,INDEX(BA1:BA51,AC48),((AG48-INDEX(AZ1:AZ51,AC48))*(INDEX(BA1:BA51,AC48+1)-INDEX(BA1:BA51,AC48)))/(INDEX(AZ1:AZ51,AC48+1)-INDEX(AZ1:AZ51,AC48))+INDEX(BA1:BA51,AC48)))</f>
        <v>9.0999999999996302</v>
      </c>
      <c r="AB48" s="176" t="e">
        <f>IF(TRIM(AG48)="","",IF(INDEX(BD1:BD51,AD48)=AG48,INDEX(BE1:BE51,AD48),((AG48-INDEX(BD1:BD51,AD48))*(INDEX(BE1:BE51,AD48+1)-INDEX(BE1:BE51,AD48)))/(INDEX(BD1:BD51,AD48+1)-INDEX(BD1:BD51,AD48))+INDEX(BE1:BE51,AD48)))</f>
        <v>#N/A</v>
      </c>
      <c r="AC48" s="164">
        <f>MATCH(AG48,AZ1:AZ51,1)</f>
        <v>5</v>
      </c>
      <c r="AD48" s="164" t="e">
        <f>MATCH(AG48,BD1:BD51,1)</f>
        <v>#N/A</v>
      </c>
      <c r="AE48" s="164">
        <v>2</v>
      </c>
      <c r="AF48" s="164">
        <v>17</v>
      </c>
      <c r="AG48" s="184">
        <f>FIXED('HourGH-MAY'!AB28)*1</f>
        <v>338.08</v>
      </c>
      <c r="AH48" s="164" t="str">
        <f>IF(AND(AE48=AP5,AE48=AR5,AF48&gt;=AQ5,AF48&lt;=AS5),"r1",IF(AND(AE48&gt;AP5,AE48&lt;AR5),"r1",IF(AND(AE48&gt;AP5,AE48=AR5,AF48&lt;=AS5),"r1",IF(AND(AE48=AP5,AE48&lt;AR5,AF48&gt;=AQ5),"r1","n"))))</f>
        <v>r1</v>
      </c>
      <c r="AI48" s="164" t="str">
        <f>IF(AH48&lt;&gt;"n",AH48,IF(AND(AE48=AT5,AE48=AV5,AF48&gt;=AU5,AF48&lt;=AW5),"r2",IF(AND(AE48&gt;AT5,AE48&lt;AV5),"r2",IF(AND(AE48&gt;AT5,AE48=AV5,AF48&lt;=AW5),"r2",IF(AND(AE48=AT5,AE48&lt;AV5,AF48&gt;=AU5),"r2","n")))))</f>
        <v>r1</v>
      </c>
      <c r="AJ48" s="164" t="str">
        <f>IF(AI48&lt;&gt;"n",AI48,IF(AND(AE48=AP6,AE48=AR6,AF48&gt;=AQ6,AF48&lt;=AS6),"r1",IF(AND(AE48&gt;AP6,AE48&lt;AR6),"r1",IF(AND(AE48&gt;AP6,AE48=AR6,AF48&lt;=AS6),"r1",IF(AND(AE48=AP6,AE48&lt;AR6,AF48&gt;=AQ6),"r1","n")))))</f>
        <v>r1</v>
      </c>
      <c r="AK48" s="164" t="str">
        <f>IF(AJ48&lt;&gt;"n",AJ48,IF(AND(AE48=AT6,AE48=AV6,AF48&gt;=AU6,AF48&lt;=AW6),"r2",IF(AND(AE48&gt;AT6,AE48&lt;AV6),"r2",IF(AND(AE48&gt;AT6,AE48=AV6,AF48&lt;=AW6),"r2",IF(AND(AE48=AT6,AE48&lt;AV6,AF48&gt;=AU6),"r2","n")))))</f>
        <v>r1</v>
      </c>
      <c r="AL48" s="164" t="str">
        <f>IF(AK48&lt;&gt;"n",AK48,IF(AND(AE48=AP7,AE48=AR7,AF48&gt;=AQ7,AF48&lt;=AS7),"r1",IF(AND(AE48&gt;AP7,AE48&lt;AR7),"r1",IF(AND(AE48&gt;AP7,AE48=AR7,AF48&lt;=AS7),"r1",IF(AND(AE48=AP7,AE48&lt;AR7,AF48&gt;=AQ7),"r1","n")))))</f>
        <v>r1</v>
      </c>
      <c r="AX48" s="176">
        <f>'c-form'!D30</f>
        <v>0</v>
      </c>
      <c r="AY48" s="176">
        <f>'c-form'!F30</f>
        <v>0</v>
      </c>
      <c r="AZ48" s="176" t="str">
        <f t="shared" si="3"/>
        <v/>
      </c>
      <c r="BA48" s="176" t="str">
        <f t="shared" si="4"/>
        <v/>
      </c>
      <c r="BB48" s="176">
        <f>'c-form'!D72</f>
        <v>0</v>
      </c>
      <c r="BC48" s="176">
        <f>'c-form'!F72</f>
        <v>0</v>
      </c>
      <c r="BD48" s="176" t="str">
        <f t="shared" si="2"/>
        <v/>
      </c>
      <c r="BE48" s="176" t="str">
        <f t="shared" si="5"/>
        <v/>
      </c>
    </row>
    <row r="49" spans="2:57" ht="17.100000000000001" customHeight="1">
      <c r="B49" s="303" t="s">
        <v>280</v>
      </c>
      <c r="C49" s="304"/>
      <c r="D49" s="188">
        <f>IF(OR(TRIM(V39)&lt;&gt;"",TRIM(O47)&lt;&gt;""),(O47*(10^6)*1000)/(365*24*60*60*V39),"")</f>
        <v>5.5980759852817323</v>
      </c>
      <c r="E49" s="304" t="s">
        <v>284</v>
      </c>
      <c r="F49" s="304"/>
      <c r="G49" s="304"/>
      <c r="H49" s="304"/>
      <c r="I49" s="304"/>
      <c r="J49" s="189">
        <f>IF(OR(TRIM(V39)&lt;&gt;"",TRIM(D48)&lt;&gt;""),(D48*1000)/V39,"")</f>
        <v>44.255663430421265</v>
      </c>
      <c r="K49" s="304" t="s">
        <v>285</v>
      </c>
      <c r="L49" s="304"/>
      <c r="M49" s="304"/>
      <c r="N49" s="304"/>
      <c r="Z49" s="176">
        <f t="shared" si="0"/>
        <v>9.0999999999996302</v>
      </c>
      <c r="AA49" s="176">
        <f>IF(TRIM(AG49)="","",IF(INDEX(AZ1:AZ51,AC49)=AG49,INDEX(BA1:BA51,AC49),((AG49-INDEX(AZ1:AZ51,AC49))*(INDEX(BA1:BA51,AC49+1)-INDEX(BA1:BA51,AC49)))/(INDEX(AZ1:AZ51,AC49+1)-INDEX(AZ1:AZ51,AC49))+INDEX(BA1:BA51,AC49)))</f>
        <v>9.0999999999996302</v>
      </c>
      <c r="AB49" s="176" t="e">
        <f>IF(TRIM(AG49)="","",IF(INDEX(BD1:BD51,AD49)=AG49,INDEX(BE1:BE51,AD49),((AG49-INDEX(BD1:BD51,AD49))*(INDEX(BE1:BE51,AD49+1)-INDEX(BE1:BE51,AD49)))/(INDEX(BD1:BD51,AD49+1)-INDEX(BD1:BD51,AD49))+INDEX(BE1:BE51,AD49)))</f>
        <v>#N/A</v>
      </c>
      <c r="AC49" s="164">
        <f>MATCH(AG49,AZ1:AZ51,1)</f>
        <v>5</v>
      </c>
      <c r="AD49" s="164" t="e">
        <f>MATCH(AG49,BD1:BD51,1)</f>
        <v>#N/A</v>
      </c>
      <c r="AE49" s="164">
        <v>2</v>
      </c>
      <c r="AF49" s="164">
        <v>18</v>
      </c>
      <c r="AG49" s="184">
        <f>FIXED('HourGH-MAY'!AB29)*1</f>
        <v>338.08</v>
      </c>
      <c r="AH49" s="164" t="str">
        <f>IF(AND(AE49=AP5,AE49=AR5,AF49&gt;=AQ5,AF49&lt;=AS5),"r1",IF(AND(AE49&gt;AP5,AE49&lt;AR5),"r1",IF(AND(AE49&gt;AP5,AE49=AR5,AF49&lt;=AS5),"r1",IF(AND(AE49=AP5,AE49&lt;AR5,AF49&gt;=AQ5),"r1","n"))))</f>
        <v>r1</v>
      </c>
      <c r="AI49" s="164" t="str">
        <f>IF(AH49&lt;&gt;"n",AH49,IF(AND(AE49=AT5,AE49=AV5,AF49&gt;=AU5,AF49&lt;=AW5),"r2",IF(AND(AE49&gt;AT5,AE49&lt;AV5),"r2",IF(AND(AE49&gt;AT5,AE49=AV5,AF49&lt;=AW5),"r2",IF(AND(AE49=AT5,AE49&lt;AV5,AF49&gt;=AU5),"r2","n")))))</f>
        <v>r1</v>
      </c>
      <c r="AJ49" s="164" t="str">
        <f>IF(AI49&lt;&gt;"n",AI49,IF(AND(AE49=AP6,AE49=AR6,AF49&gt;=AQ6,AF49&lt;=AS6),"r1",IF(AND(AE49&gt;AP6,AE49&lt;AR6),"r1",IF(AND(AE49&gt;AP6,AE49=AR6,AF49&lt;=AS6),"r1",IF(AND(AE49=AP6,AE49&lt;AR6,AF49&gt;=AQ6),"r1","n")))))</f>
        <v>r1</v>
      </c>
      <c r="AK49" s="164" t="str">
        <f>IF(AJ49&lt;&gt;"n",AJ49,IF(AND(AE49=AT6,AE49=AV6,AF49&gt;=AU6,AF49&lt;=AW6),"r2",IF(AND(AE49&gt;AT6,AE49&lt;AV6),"r2",IF(AND(AE49&gt;AT6,AE49=AV6,AF49&lt;=AW6),"r2",IF(AND(AE49=AT6,AE49&lt;AV6,AF49&gt;=AU6),"r2","n")))))</f>
        <v>r1</v>
      </c>
      <c r="AL49" s="164" t="str">
        <f>IF(AK49&lt;&gt;"n",AK49,IF(AND(AE49=AP7,AE49=AR7,AF49&gt;=AQ7,AF49&lt;=AS7),"r1",IF(AND(AE49&gt;AP7,AE49&lt;AR7),"r1",IF(AND(AE49&gt;AP7,AE49=AR7,AF49&lt;=AS7),"r1",IF(AND(AE49=AP7,AE49&lt;AR7,AF49&gt;=AQ7),"r1","n")))))</f>
        <v>r1</v>
      </c>
      <c r="AX49" s="176">
        <f>'c-form'!H30</f>
        <v>0</v>
      </c>
      <c r="AY49" s="176">
        <f>'c-form'!J30</f>
        <v>0</v>
      </c>
      <c r="AZ49" s="176" t="str">
        <f t="shared" si="3"/>
        <v/>
      </c>
      <c r="BA49" s="176" t="str">
        <f t="shared" si="4"/>
        <v/>
      </c>
      <c r="BB49" s="176">
        <f>'c-form'!H72</f>
        <v>0</v>
      </c>
      <c r="BC49" s="176">
        <f>'c-form'!J72</f>
        <v>0</v>
      </c>
      <c r="BD49" s="176" t="str">
        <f>IF(OR(BB50*1&lt;&gt;0,BC50*1&lt;&gt;0),BB50,"")</f>
        <v/>
      </c>
      <c r="BE49" s="176" t="str">
        <f t="shared" si="5"/>
        <v/>
      </c>
    </row>
    <row r="50" spans="2:57" ht="17.100000000000001" hidden="1" customHeight="1">
      <c r="Z50" s="176">
        <f t="shared" si="0"/>
        <v>6.2500000000002842</v>
      </c>
      <c r="AA50" s="176">
        <f>IF(TRIM(AG50)="","",IF(INDEX(AZ1:AZ51,AC50)=AG50,INDEX(BA1:BA51,AC50),((AG50-INDEX(AZ1:AZ51,AC50))*(INDEX(BA1:BA51,AC50+1)-INDEX(BA1:BA51,AC50)))/(INDEX(AZ1:AZ51,AC50+1)-INDEX(AZ1:AZ51,AC50))+INDEX(BA1:BA51,AC50)))</f>
        <v>6.2500000000002842</v>
      </c>
      <c r="AB50" s="176" t="e">
        <f>IF(TRIM(AG50)="","",IF(INDEX(BD1:BD51,AD50)=AG50,INDEX(BE1:BE51,AD50),((AG50-INDEX(BD1:BD51,AD50))*(INDEX(BE1:BE51,AD50+1)-INDEX(BE1:BE51,AD50)))/(INDEX(BD1:BD51,AD50+1)-INDEX(BD1:BD51,AD50))+INDEX(BE1:BE51,AD50)))</f>
        <v>#N/A</v>
      </c>
      <c r="AC50" s="164">
        <f>MATCH(AG50,AZ1:AZ51,1)</f>
        <v>4</v>
      </c>
      <c r="AD50" s="164" t="e">
        <f>MATCH(AG50,BD1:BD51,1)</f>
        <v>#N/A</v>
      </c>
      <c r="AE50" s="164">
        <v>2</v>
      </c>
      <c r="AF50" s="164">
        <v>19</v>
      </c>
      <c r="AG50" s="184">
        <f>FIXED('HourGH-MAY'!AB30)*1</f>
        <v>337.99</v>
      </c>
      <c r="AH50" s="164" t="str">
        <f>IF(AND(AE50=AP5,AE50=AR5,AF50&gt;=AQ5,AF50&lt;=AS5),"r1",IF(AND(AE50&gt;AP5,AE50&lt;AR5),"r1",IF(AND(AE50&gt;AP5,AE50=AR5,AF50&lt;=AS5),"r1",IF(AND(AE50=AP5,AE50&lt;AR5,AF50&gt;=AQ5),"r1","n"))))</f>
        <v>r1</v>
      </c>
      <c r="AI50" s="164" t="str">
        <f>IF(AH50&lt;&gt;"n",AH50,IF(AND(AE50=AT5,AE50=AV5,AF50&gt;=AU5,AF50&lt;=AW5),"r2",IF(AND(AE50&gt;AT5,AE50&lt;AV5),"r2",IF(AND(AE50&gt;AT5,AE50=AV5,AF50&lt;=AW5),"r2",IF(AND(AE50=AT5,AE50&lt;AV5,AF50&gt;=AU5),"r2","n")))))</f>
        <v>r1</v>
      </c>
      <c r="AJ50" s="164" t="str">
        <f>IF(AI50&lt;&gt;"n",AI50,IF(AND(AE50=AP6,AE50=AR6,AF50&gt;=AQ6,AF50&lt;=AS6),"r1",IF(AND(AE50&gt;AP6,AE50&lt;AR6),"r1",IF(AND(AE50&gt;AP6,AE50=AR6,AF50&lt;=AS6),"r1",IF(AND(AE50=AP6,AE50&lt;AR6,AF50&gt;=AQ6),"r1","n")))))</f>
        <v>r1</v>
      </c>
      <c r="AK50" s="164" t="str">
        <f>IF(AJ50&lt;&gt;"n",AJ50,IF(AND(AE50=AT6,AE50=AV6,AF50&gt;=AU6,AF50&lt;=AW6),"r2",IF(AND(AE50&gt;AT6,AE50&lt;AV6),"r2",IF(AND(AE50&gt;AT6,AE50=AV6,AF50&lt;=AW6),"r2",IF(AND(AE50=AT6,AE50&lt;AV6,AF50&gt;=AU6),"r2","n")))))</f>
        <v>r1</v>
      </c>
      <c r="AL50" s="164" t="str">
        <f>IF(AK50&lt;&gt;"n",AK50,IF(AND(AE50=AP7,AE50=AR7,AF50&gt;=AQ7,AF50&lt;=AS7),"r1",IF(AND(AE50&gt;AP7,AE50&lt;AR7),"r1",IF(AND(AE50&gt;AP7,AE50=AR7,AF50&lt;=AS7),"r1",IF(AND(AE50=AP7,AE50&lt;AR7,AF50&gt;=AQ7),"r1","n")))))</f>
        <v>r1</v>
      </c>
      <c r="AX50" s="176">
        <f>'c-form'!M30</f>
        <v>0</v>
      </c>
      <c r="AY50" s="176">
        <f>'c-form'!P30</f>
        <v>0</v>
      </c>
      <c r="AZ50" s="176" t="str">
        <f t="shared" si="3"/>
        <v/>
      </c>
      <c r="BA50" s="176" t="str">
        <f t="shared" si="4"/>
        <v/>
      </c>
      <c r="BB50" s="176">
        <f>'c-form'!M72</f>
        <v>0</v>
      </c>
      <c r="BC50" s="176">
        <f>'c-form'!P72</f>
        <v>0</v>
      </c>
      <c r="BD50" s="176" t="str">
        <f t="shared" si="2"/>
        <v/>
      </c>
      <c r="BE50" s="176" t="str">
        <f t="shared" si="5"/>
        <v/>
      </c>
    </row>
    <row r="51" spans="2:57" ht="17.100000000000001" hidden="1" customHeight="1">
      <c r="F51" s="253"/>
      <c r="Z51" s="176">
        <f t="shared" si="0"/>
        <v>1.25</v>
      </c>
      <c r="AA51" s="176">
        <f>IF(TRIM(AG51)="","",IF(INDEX(AZ1:AZ51,AC51)=AG51,INDEX(BA1:BA51,AC51),((AG51-INDEX(AZ1:AZ51,AC51))*(INDEX(BA1:BA51,AC51+1)-INDEX(BA1:BA51,AC51)))/(INDEX(AZ1:AZ51,AC51+1)-INDEX(AZ1:AZ51,AC51))+INDEX(BA1:BA51,AC51)))</f>
        <v>1.25</v>
      </c>
      <c r="AB51" s="176" t="e">
        <f>IF(TRIM(AG51)="","",IF(INDEX(BD1:BD51,AD51)=AG51,INDEX(BE1:BE51,AD51),((AG51-INDEX(BD1:BD51,AD51))*(INDEX(BE1:BE51,AD51+1)-INDEX(BE1:BE51,AD51)))/(INDEX(BD1:BD51,AD51+1)-INDEX(BD1:BD51,AD51))+INDEX(BE1:BE51,AD51)))</f>
        <v>#N/A</v>
      </c>
      <c r="AC51" s="164">
        <f>MATCH(AG51,AZ1:AZ51,1)</f>
        <v>2</v>
      </c>
      <c r="AD51" s="164" t="e">
        <f>MATCH(AG51,BD1:BD51,1)</f>
        <v>#N/A</v>
      </c>
      <c r="AE51" s="164">
        <v>2</v>
      </c>
      <c r="AF51" s="164">
        <v>20</v>
      </c>
      <c r="AG51" s="184">
        <f>FIXED('HourGH-MAY'!AB31)*1</f>
        <v>337.75</v>
      </c>
      <c r="AH51" s="164" t="str">
        <f>IF(AND(AE51=AP5,AE51=AR5,AF51&gt;=AQ5,AF51&lt;=AS5),"r1",IF(AND(AE51&gt;AP5,AE51&lt;AR5),"r1",IF(AND(AE51&gt;AP5,AE51=AR5,AF51&lt;=AS5),"r1",IF(AND(AE51=AP5,AE51&lt;AR5,AF51&gt;=AQ5),"r1","n"))))</f>
        <v>r1</v>
      </c>
      <c r="AI51" s="164" t="str">
        <f>IF(AH51&lt;&gt;"n",AH51,IF(AND(AE51=AT5,AE51=AV5,AF51&gt;=AU5,AF51&lt;=AW5),"r2",IF(AND(AE51&gt;AT5,AE51&lt;AV5),"r2",IF(AND(AE51&gt;AT5,AE51=AV5,AF51&lt;=AW5),"r2",IF(AND(AE51=AT5,AE51&lt;AV5,AF51&gt;=AU5),"r2","n")))))</f>
        <v>r1</v>
      </c>
      <c r="AJ51" s="164" t="str">
        <f>IF(AI51&lt;&gt;"n",AI51,IF(AND(AE51=AP6,AE51=AR6,AF51&gt;=AQ6,AF51&lt;=AS6),"r1",IF(AND(AE51&gt;AP6,AE51&lt;AR6),"r1",IF(AND(AE51&gt;AP6,AE51=AR6,AF51&lt;=AS6),"r1",IF(AND(AE51=AP6,AE51&lt;AR6,AF51&gt;=AQ6),"r1","n")))))</f>
        <v>r1</v>
      </c>
      <c r="AK51" s="164" t="str">
        <f>IF(AJ51&lt;&gt;"n",AJ51,IF(AND(AE51=AT6,AE51=AV6,AF51&gt;=AU6,AF51&lt;=AW6),"r2",IF(AND(AE51&gt;AT6,AE51&lt;AV6),"r2",IF(AND(AE51&gt;AT6,AE51=AV6,AF51&lt;=AW6),"r2",IF(AND(AE51=AT6,AE51&lt;AV6,AF51&gt;=AU6),"r2","n")))))</f>
        <v>r1</v>
      </c>
      <c r="AL51" s="164" t="str">
        <f>IF(AK51&lt;&gt;"n",AK51,IF(AND(AE51=AP7,AE51=AR7,AF51&gt;=AQ7,AF51&lt;=AS7),"r1",IF(AND(AE51&gt;AP7,AE51&lt;AR7),"r1",IF(AND(AE51&gt;AP7,AE51=AR7,AF51&lt;=AS7),"r1",IF(AND(AE51=AP7,AE51&lt;AR7,AF51&gt;=AQ7),"r1","n")))))</f>
        <v>r1</v>
      </c>
      <c r="AX51" s="176">
        <f>'c-form'!R30</f>
        <v>0</v>
      </c>
      <c r="AY51" s="176">
        <f>'c-form'!T30</f>
        <v>0</v>
      </c>
      <c r="AZ51" s="176" t="str">
        <f t="shared" si="3"/>
        <v/>
      </c>
      <c r="BA51" s="176" t="str">
        <f>IF(OR(AX52*1&lt;&gt;0,AY52*1&lt;&gt;0),AY52,"")</f>
        <v/>
      </c>
      <c r="BB51" s="176">
        <f>'c-form'!R72</f>
        <v>0</v>
      </c>
      <c r="BC51" s="176">
        <f>'c-form'!T72</f>
        <v>0</v>
      </c>
      <c r="BD51" s="176" t="str">
        <f t="shared" si="2"/>
        <v/>
      </c>
      <c r="BE51" s="176" t="str">
        <f t="shared" si="5"/>
        <v/>
      </c>
    </row>
    <row r="52" spans="2:57" ht="17.100000000000001" hidden="1" customHeight="1">
      <c r="Z52" s="176">
        <f t="shared" si="0"/>
        <v>2.3999999999997725</v>
      </c>
      <c r="AA52" s="176">
        <f>IF(TRIM(AG52)="","",IF(INDEX(AZ1:AZ51,AC52)=AG52,INDEX(BA1:BA51,AC52),((AG52-INDEX(AZ1:AZ51,AC52))*(INDEX(BA1:BA51,AC52+1)-INDEX(BA1:BA51,AC52)))/(INDEX(AZ1:AZ51,AC52+1)-INDEX(AZ1:AZ51,AC52))+INDEX(BA1:BA51,AC52)))</f>
        <v>2.3999999999997725</v>
      </c>
      <c r="AB52" s="176" t="e">
        <f>IF(TRIM(AG52)="","",IF(INDEX(BD1:BD51,AD52)=AG52,INDEX(BE1:BE51,AD52),((AG52-INDEX(BD1:BD51,AD52))*(INDEX(BE1:BE51,AD52+1)-INDEX(BE1:BE51,AD52)))/(INDEX(BD1:BD51,AD52+1)-INDEX(BD1:BD51,AD52))+INDEX(BE1:BE51,AD52)))</f>
        <v>#N/A</v>
      </c>
      <c r="AC52" s="164">
        <f>MATCH(AG52,AZ1:AZ51,1)</f>
        <v>3</v>
      </c>
      <c r="AD52" s="164" t="e">
        <f>MATCH(AG52,BD1:BD51,1)</f>
        <v>#N/A</v>
      </c>
      <c r="AE52" s="164">
        <v>2</v>
      </c>
      <c r="AF52" s="164">
        <v>21</v>
      </c>
      <c r="AG52" s="184">
        <f>FIXED('HourGH-MAY'!AB33)*1</f>
        <v>337.82</v>
      </c>
      <c r="AH52" s="164" t="str">
        <f>IF(AND(AE52=AP5,AE52=AR5,AF52&gt;=AQ5,AF52&lt;=AS5),"r1",IF(AND(AE52&gt;AP5,AE52&lt;AR5),"r1",IF(AND(AE52&gt;AP5,AE52=AR5,AF52&lt;=AS5),"r1",IF(AND(AE52=AP5,AE52&lt;AR5,AF52&gt;=AQ5),"r1","n"))))</f>
        <v>r1</v>
      </c>
      <c r="AI52" s="164" t="str">
        <f>IF(AH52&lt;&gt;"n",AH52,IF(AND(AE52=AT5,AE52=AV5,AF52&gt;=AU5,AF52&lt;=AW5),"r2",IF(AND(AE52&gt;AT5,AE52&lt;AV5),"r2",IF(AND(AE52&gt;AT5,AE52=AV5,AF52&lt;=AW5),"r2",IF(AND(AE52=AT5,AE52&lt;AV5,AF52&gt;=AU5),"r2","n")))))</f>
        <v>r1</v>
      </c>
      <c r="AJ52" s="164" t="str">
        <f>IF(AI52&lt;&gt;"n",AI52,IF(AND(AE52=AP6,AE52=AR6,AF52&gt;=AQ6,AF52&lt;=AS6),"r1",IF(AND(AE52&gt;AP6,AE52&lt;AR6),"r1",IF(AND(AE52&gt;AP6,AE52=AR6,AF52&lt;=AS6),"r1",IF(AND(AE52=AP6,AE52&lt;AR6,AF52&gt;=AQ6),"r1","n")))))</f>
        <v>r1</v>
      </c>
      <c r="AK52" s="164" t="str">
        <f>IF(AJ52&lt;&gt;"n",AJ52,IF(AND(AE52=AT6,AE52=AV6,AF52&gt;=AU6,AF52&lt;=AW6),"r2",IF(AND(AE52&gt;AT6,AE52&lt;AV6),"r2",IF(AND(AE52&gt;AT6,AE52=AV6,AF52&lt;=AW6),"r2",IF(AND(AE52=AT6,AE52&lt;AV6,AF52&gt;=AU6),"r2","n")))))</f>
        <v>r1</v>
      </c>
      <c r="AL52" s="164" t="str">
        <f>IF(AK52&lt;&gt;"n",AK52,IF(AND(AE52=AP7,AE52=AR7,AF52&gt;=AQ7,AF52&lt;=AS7),"r1",IF(AND(AE52&gt;AP7,AE52&lt;AR7),"r1",IF(AND(AE52&gt;AP7,AE52=AR7,AF52&lt;=AS7),"r1",IF(AND(AE52=AP7,AE52&lt;AR7,AF52&gt;=AQ7),"r1","n")))))</f>
        <v>r1</v>
      </c>
      <c r="AX52" s="176">
        <f>'c-form'!W30</f>
        <v>0</v>
      </c>
      <c r="AY52" s="176">
        <f>'c-form'!AA30</f>
        <v>0</v>
      </c>
      <c r="BB52" s="176">
        <f>'c-form'!W72</f>
        <v>0</v>
      </c>
      <c r="BC52" s="176">
        <f>'c-form'!AA72</f>
        <v>0</v>
      </c>
    </row>
    <row r="53" spans="2:57" ht="17.100000000000001" hidden="1" customHeight="1">
      <c r="Z53" s="176">
        <f t="shared" si="0"/>
        <v>2</v>
      </c>
      <c r="AA53" s="176">
        <f>IF(TRIM(AG53)="","",IF(INDEX(AZ1:AZ51,AC53)=AG53,INDEX(BA1:BA51,AC53),((AG53-INDEX(AZ1:AZ51,AC53))*(INDEX(BA1:BA51,AC53+1)-INDEX(BA1:BA51,AC53)))/(INDEX(AZ1:AZ51,AC53+1)-INDEX(AZ1:AZ51,AC53))+INDEX(BA1:BA51,AC53)))</f>
        <v>2</v>
      </c>
      <c r="AB53" s="176" t="e">
        <f>IF(TRIM(AG53)="","",IF(INDEX(BD1:BD51,AD53)=AG53,INDEX(BE1:BE51,AD53),((AG53-INDEX(BD1:BD51,AD53))*(INDEX(BE1:BE51,AD53+1)-INDEX(BE1:BE51,AD53)))/(INDEX(BD1:BD51,AD53+1)-INDEX(BD1:BD51,AD53))+INDEX(BE1:BE51,AD53)))</f>
        <v>#N/A</v>
      </c>
      <c r="AC53" s="164">
        <f>MATCH(AG53,AZ1:AZ51,1)</f>
        <v>3</v>
      </c>
      <c r="AD53" s="164" t="e">
        <f>MATCH(AG53,BD1:BD51,1)</f>
        <v>#N/A</v>
      </c>
      <c r="AE53" s="164">
        <v>2</v>
      </c>
      <c r="AF53" s="164">
        <v>22</v>
      </c>
      <c r="AG53" s="184">
        <f>FIXED('HourGH-MAY'!AB34)*1</f>
        <v>337.8</v>
      </c>
      <c r="AH53" s="164" t="str">
        <f>IF(AND(AE53=AP5,AE53=AR5,AF53&gt;=AQ5,AF53&lt;=AS5),"r1",IF(AND(AE53&gt;AP5,AE53&lt;AR5),"r1",IF(AND(AE53&gt;AP5,AE53=AR5,AF53&lt;=AS5),"r1",IF(AND(AE53=AP5,AE53&lt;AR5,AF53&gt;=AQ5),"r1","n"))))</f>
        <v>r1</v>
      </c>
      <c r="AI53" s="164" t="str">
        <f>IF(AH53&lt;&gt;"n",AH53,IF(AND(AE53=AT5,AE53=AV5,AF53&gt;=AU5,AF53&lt;=AW5),"r2",IF(AND(AE53&gt;AT5,AE53&lt;AV5),"r2",IF(AND(AE53&gt;AT5,AE53=AV5,AF53&lt;=AW5),"r2",IF(AND(AE53=AT5,AE53&lt;AV5,AF53&gt;=AU5),"r2","n")))))</f>
        <v>r1</v>
      </c>
      <c r="AJ53" s="164" t="str">
        <f>IF(AI53&lt;&gt;"n",AI53,IF(AND(AE53=AP6,AE53=AR6,AF53&gt;=AQ6,AF53&lt;=AS6),"r1",IF(AND(AE53&gt;AP6,AE53&lt;AR6),"r1",IF(AND(AE53&gt;AP6,AE53=AR6,AF53&lt;=AS6),"r1",IF(AND(AE53=AP6,AE53&lt;AR6,AF53&gt;=AQ6),"r1","n")))))</f>
        <v>r1</v>
      </c>
      <c r="AK53" s="164" t="str">
        <f>IF(AJ53&lt;&gt;"n",AJ53,IF(AND(AE53=AT6,AE53=AV6,AF53&gt;=AU6,AF53&lt;=AW6),"r2",IF(AND(AE53&gt;AT6,AE53&lt;AV6),"r2",IF(AND(AE53&gt;AT6,AE53=AV6,AF53&lt;=AW6),"r2",IF(AND(AE53=AT6,AE53&lt;AV6,AF53&gt;=AU6),"r2","n")))))</f>
        <v>r1</v>
      </c>
      <c r="AL53" s="164" t="str">
        <f>IF(AK53&lt;&gt;"n",AK53,IF(AND(AE53=AP7,AE53=AR7,AF53&gt;=AQ7,AF53&lt;=AS7),"r1",IF(AND(AE53&gt;AP7,AE53&lt;AR7),"r1",IF(AND(AE53&gt;AP7,AE53=AR7,AF53&lt;=AS7),"r1",IF(AND(AE53=AP7,AE53&lt;AR7,AF53&gt;=AQ7),"r1","n")))))</f>
        <v>r1</v>
      </c>
    </row>
    <row r="54" spans="2:57" ht="17.100000000000001" hidden="1" customHeight="1">
      <c r="Z54" s="176">
        <f t="shared" si="0"/>
        <v>1.8500000000001706</v>
      </c>
      <c r="AA54" s="176">
        <f>IF(TRIM(AG54)="","",IF(INDEX(AZ1:AZ51,AC54)=AG54,INDEX(BA1:BA51,AC54),((AG54-INDEX(AZ1:AZ51,AC54))*(INDEX(BA1:BA51,AC54+1)-INDEX(BA1:BA51,AC54)))/(INDEX(AZ1:AZ51,AC54+1)-INDEX(AZ1:AZ51,AC54))+INDEX(BA1:BA51,AC54)))</f>
        <v>1.8500000000001706</v>
      </c>
      <c r="AB54" s="176" t="e">
        <f>IF(TRIM(AG54)="","",IF(INDEX(BD1:BD51,AD54)=AG54,INDEX(BE1:BE51,AD54),((AG54-INDEX(BD1:BD51,AD54))*(INDEX(BE1:BE51,AD54+1)-INDEX(BE1:BE51,AD54)))/(INDEX(BD1:BD51,AD54+1)-INDEX(BD1:BD51,AD54))+INDEX(BE1:BE51,AD54)))</f>
        <v>#N/A</v>
      </c>
      <c r="AC54" s="164">
        <f>MATCH(AG54,AZ1:AZ51,1)</f>
        <v>2</v>
      </c>
      <c r="AD54" s="164" t="e">
        <f>MATCH(AG54,BD1:BD51,1)</f>
        <v>#N/A</v>
      </c>
      <c r="AE54" s="164">
        <v>2</v>
      </c>
      <c r="AF54" s="164">
        <v>23</v>
      </c>
      <c r="AG54" s="184">
        <f>FIXED('HourGH-MAY'!AB35)*1</f>
        <v>337.79</v>
      </c>
      <c r="AH54" s="164" t="str">
        <f>IF(AND(AE54=AP5,AE54=AR5,AF54&gt;=AQ5,AF54&lt;=AS5),"r1",IF(AND(AE54&gt;AP5,AE54&lt;AR5),"r1",IF(AND(AE54&gt;AP5,AE54=AR5,AF54&lt;=AS5),"r1",IF(AND(AE54=AP5,AE54&lt;AR5,AF54&gt;=AQ5),"r1","n"))))</f>
        <v>r1</v>
      </c>
      <c r="AI54" s="164" t="str">
        <f>IF(AH54&lt;&gt;"n",AH54,IF(AND(AE54=AT5,AE54=AV5,AF54&gt;=AU5,AF54&lt;=AW5),"r2",IF(AND(AE54&gt;AT5,AE54&lt;AV5),"r2",IF(AND(AE54&gt;AT5,AE54=AV5,AF54&lt;=AW5),"r2",IF(AND(AE54=AT5,AE54&lt;AV5,AF54&gt;=AU5),"r2","n")))))</f>
        <v>r1</v>
      </c>
      <c r="AJ54" s="164" t="str">
        <f>IF(AI54&lt;&gt;"n",AI54,IF(AND(AE54=AP6,AE54=AR6,AF54&gt;=AQ6,AF54&lt;=AS6),"r1",IF(AND(AE54&gt;AP6,AE54&lt;AR6),"r1",IF(AND(AE54&gt;AP6,AE54=AR6,AF54&lt;=AS6),"r1",IF(AND(AE54=AP6,AE54&lt;AR6,AF54&gt;=AQ6),"r1","n")))))</f>
        <v>r1</v>
      </c>
      <c r="AK54" s="164" t="str">
        <f>IF(AJ54&lt;&gt;"n",AJ54,IF(AND(AE54=AT6,AE54=AV6,AF54&gt;=AU6,AF54&lt;=AW6),"r2",IF(AND(AE54&gt;AT6,AE54&lt;AV6),"r2",IF(AND(AE54&gt;AT6,AE54=AV6,AF54&lt;=AW6),"r2",IF(AND(AE54=AT6,AE54&lt;AV6,AF54&gt;=AU6),"r2","n")))))</f>
        <v>r1</v>
      </c>
      <c r="AL54" s="164" t="str">
        <f>IF(AK54&lt;&gt;"n",AK54,IF(AND(AE54=AP7,AE54=AR7,AF54&gt;=AQ7,AF54&lt;=AS7),"r1",IF(AND(AE54&gt;AP7,AE54&lt;AR7),"r1",IF(AND(AE54&gt;AP7,AE54=AR7,AF54&lt;=AS7),"r1",IF(AND(AE54=AP7,AE54&lt;AR7,AF54&gt;=AQ7),"r1","n")))))</f>
        <v>r1</v>
      </c>
    </row>
    <row r="55" spans="2:57" ht="17.100000000000001" hidden="1" customHeight="1">
      <c r="Z55" s="176">
        <f t="shared" si="0"/>
        <v>2.1999999999998865</v>
      </c>
      <c r="AA55" s="176">
        <f>IF(TRIM(AG55)="","",IF(INDEX(AZ1:AZ51,AC55)=AG55,INDEX(BA1:BA51,AC55),((AG55-INDEX(AZ1:AZ51,AC55))*(INDEX(BA1:BA51,AC55+1)-INDEX(BA1:BA51,AC55)))/(INDEX(AZ1:AZ51,AC55+1)-INDEX(AZ1:AZ51,AC55))+INDEX(BA1:BA51,AC55)))</f>
        <v>2.1999999999998865</v>
      </c>
      <c r="AB55" s="176" t="e">
        <f>IF(TRIM(AG55)="","",IF(INDEX(BD1:BD51,AD55)=AG55,INDEX(BE1:BE51,AD55),((AG55-INDEX(BD1:BD51,AD55))*(INDEX(BE1:BE51,AD55+1)-INDEX(BE1:BE51,AD55)))/(INDEX(BD1:BD51,AD55+1)-INDEX(BD1:BD51,AD55))+INDEX(BE1:BE51,AD55)))</f>
        <v>#N/A</v>
      </c>
      <c r="AC55" s="164">
        <f>MATCH(AG55,AZ1:AZ51,1)</f>
        <v>3</v>
      </c>
      <c r="AD55" s="164" t="e">
        <f>MATCH(AG55,BD1:BD51,1)</f>
        <v>#N/A</v>
      </c>
      <c r="AE55" s="164">
        <v>2</v>
      </c>
      <c r="AF55" s="164">
        <v>24</v>
      </c>
      <c r="AG55" s="184">
        <f>FIXED('HourGH-MAY'!AB36)*1</f>
        <v>337.81</v>
      </c>
      <c r="AH55" s="164" t="str">
        <f>IF(AND(AE55=AP5,AE55=AR5,AF55&gt;=AQ5,AF55&lt;=AS5),"r1",IF(AND(AE55&gt;AP5,AE55&lt;AR5),"r1",IF(AND(AE55&gt;AP5,AE55=AR5,AF55&lt;=AS5),"r1",IF(AND(AE55=AP5,AE55&lt;AR5,AF55&gt;=AQ5),"r1","n"))))</f>
        <v>r1</v>
      </c>
      <c r="AI55" s="164" t="str">
        <f>IF(AH55&lt;&gt;"n",AH55,IF(AND(AE55=AT5,AE55=AV5,AF55&gt;=AU5,AF55&lt;=AW5),"r2",IF(AND(AE55&gt;AT5,AE55&lt;AV5),"r2",IF(AND(AE55&gt;AT5,AE55=AV5,AF55&lt;=AW5),"r2",IF(AND(AE55=AT5,AE55&lt;AV5,AF55&gt;=AU5),"r2","n")))))</f>
        <v>r1</v>
      </c>
      <c r="AJ55" s="164" t="str">
        <f>IF(AI55&lt;&gt;"n",AI55,IF(AND(AE55=AP6,AE55=AR6,AF55&gt;=AQ6,AF55&lt;=AS6),"r1",IF(AND(AE55&gt;AP6,AE55&lt;AR6),"r1",IF(AND(AE55&gt;AP6,AE55=AR6,AF55&lt;=AS6),"r1",IF(AND(AE55=AP6,AE55&lt;AR6,AF55&gt;=AQ6),"r1","n")))))</f>
        <v>r1</v>
      </c>
      <c r="AK55" s="164" t="str">
        <f>IF(AJ55&lt;&gt;"n",AJ55,IF(AND(AE55=AT6,AE55=AV6,AF55&gt;=AU6,AF55&lt;=AW6),"r2",IF(AND(AE55&gt;AT6,AE55&lt;AV6),"r2",IF(AND(AE55&gt;AT6,AE55=AV6,AF55&lt;=AW6),"r2",IF(AND(AE55=AT6,AE55&lt;AV6,AF55&gt;=AU6),"r2","n")))))</f>
        <v>r1</v>
      </c>
      <c r="AL55" s="164" t="str">
        <f>IF(AK55&lt;&gt;"n",AK55,IF(AND(AE55=AP7,AE55=AR7,AF55&gt;=AQ7,AF55&lt;=AS7),"r1",IF(AND(AE55&gt;AP7,AE55&lt;AR7),"r1",IF(AND(AE55&gt;AP7,AE55=AR7,AF55&lt;=AS7),"r1",IF(AND(AE55=AP7,AE55&lt;AR7,AF55&gt;=AQ7),"r1","n")))))</f>
        <v>r1</v>
      </c>
    </row>
    <row r="56" spans="2:57" ht="17.100000000000001" hidden="1" customHeight="1">
      <c r="Z56" s="176">
        <f t="shared" si="0"/>
        <v>1.6999999999994884</v>
      </c>
      <c r="AA56" s="176">
        <f>IF(TRIM(AG56)="","",IF(INDEX(AZ1:AZ51,AC56)=AG56,INDEX(BA1:BA51,AC56),((AG56-INDEX(AZ1:AZ51,AC56))*(INDEX(BA1:BA51,AC56+1)-INDEX(BA1:BA51,AC56)))/(INDEX(AZ1:AZ51,AC56+1)-INDEX(AZ1:AZ51,AC56))+INDEX(BA1:BA51,AC56)))</f>
        <v>1.6999999999994884</v>
      </c>
      <c r="AB56" s="176" t="e">
        <f>IF(TRIM(AG56)="","",IF(INDEX(BD1:BD51,AD56)=AG56,INDEX(BE1:BE51,AD56),((AG56-INDEX(BD1:BD51,AD56))*(INDEX(BE1:BE51,AD56+1)-INDEX(BE1:BE51,AD56)))/(INDEX(BD1:BD51,AD56+1)-INDEX(BD1:BD51,AD56))+INDEX(BE1:BE51,AD56)))</f>
        <v>#N/A</v>
      </c>
      <c r="AC56" s="164">
        <f>MATCH(AG56,AZ1:AZ51,1)</f>
        <v>2</v>
      </c>
      <c r="AD56" s="164" t="e">
        <f>MATCH(AG56,BD1:BD51,1)</f>
        <v>#N/A</v>
      </c>
      <c r="AE56" s="164">
        <v>2</v>
      </c>
      <c r="AF56" s="164">
        <v>25</v>
      </c>
      <c r="AG56" s="184">
        <f>FIXED('HourGH-MAY'!AB37)*1</f>
        <v>337.78</v>
      </c>
      <c r="AH56" s="164" t="str">
        <f>IF(AND(AE56=AP5,AE56=AR5,AF56&gt;=AQ5,AF56&lt;=AS5),"r1",IF(AND(AE56&gt;AP5,AE56&lt;AR5),"r1",IF(AND(AE56&gt;AP5,AE56=AR5,AF56&lt;=AS5),"r1",IF(AND(AE56=AP5,AE56&lt;AR5,AF56&gt;=AQ5),"r1","n"))))</f>
        <v>r1</v>
      </c>
      <c r="AI56" s="164" t="str">
        <f>IF(AH56&lt;&gt;"n",AH56,IF(AND(AE56=AT5,AE56=AV5,AF56&gt;=AU5,AF56&lt;=AW5),"r2",IF(AND(AE56&gt;AT5,AE56&lt;AV5),"r2",IF(AND(AE56&gt;AT5,AE56=AV5,AF56&lt;=AW5),"r2",IF(AND(AE56=AT5,AE56&lt;AV5,AF56&gt;=AU5),"r2","n")))))</f>
        <v>r1</v>
      </c>
      <c r="AJ56" s="164" t="str">
        <f>IF(AI56&lt;&gt;"n",AI56,IF(AND(AE56=AP6,AE56=AR6,AF56&gt;=AQ6,AF56&lt;=AS6),"r1",IF(AND(AE56&gt;AP6,AE56&lt;AR6),"r1",IF(AND(AE56&gt;AP6,AE56=AR6,AF56&lt;=AS6),"r1",IF(AND(AE56=AP6,AE56&lt;AR6,AF56&gt;=AQ6),"r1","n")))))</f>
        <v>r1</v>
      </c>
      <c r="AK56" s="164" t="str">
        <f>IF(AJ56&lt;&gt;"n",AJ56,IF(AND(AE56=AT6,AE56=AV6,AF56&gt;=AU6,AF56&lt;=AW6),"r2",IF(AND(AE56&gt;AT6,AE56&lt;AV6),"r2",IF(AND(AE56&gt;AT6,AE56=AV6,AF56&lt;=AW6),"r2",IF(AND(AE56=AT6,AE56&lt;AV6,AF56&gt;=AU6),"r2","n")))))</f>
        <v>r1</v>
      </c>
      <c r="AL56" s="164" t="str">
        <f>IF(AK56&lt;&gt;"n",AK56,IF(AND(AE56=AP7,AE56=AR7,AF56&gt;=AQ7,AF56&lt;=AS7),"r1",IF(AND(AE56&gt;AP7,AE56&lt;AR7),"r1",IF(AND(AE56&gt;AP7,AE56=AR7,AF56&lt;=AS7),"r1",IF(AND(AE56=AP7,AE56&lt;AR7,AF56&gt;=AQ7),"r1","n")))))</f>
        <v>r1</v>
      </c>
    </row>
    <row r="57" spans="2:57" ht="17.100000000000001" hidden="1" customHeight="1">
      <c r="Z57" s="176">
        <f t="shared" si="0"/>
        <v>1.25</v>
      </c>
      <c r="AA57" s="176">
        <f>IF(TRIM(AG57)="","",IF(INDEX(AZ1:AZ51,AC57)=AG57,INDEX(BA1:BA51,AC57),((AG57-INDEX(AZ1:AZ51,AC57))*(INDEX(BA1:BA51,AC57+1)-INDEX(BA1:BA51,AC57)))/(INDEX(AZ1:AZ51,AC57+1)-INDEX(AZ1:AZ51,AC57))+INDEX(BA1:BA51,AC57)))</f>
        <v>1.25</v>
      </c>
      <c r="AB57" s="176" t="e">
        <f>IF(TRIM(AG57)="","",IF(INDEX(BD1:BD51,AD57)=AG57,INDEX(BE1:BE51,AD57),((AG57-INDEX(BD1:BD51,AD57))*(INDEX(BE1:BE51,AD57+1)-INDEX(BE1:BE51,AD57)))/(INDEX(BD1:BD51,AD57+1)-INDEX(BD1:BD51,AD57))+INDEX(BE1:BE51,AD57)))</f>
        <v>#N/A</v>
      </c>
      <c r="AC57" s="164">
        <f>MATCH(AG57,AZ1:AZ51,1)</f>
        <v>2</v>
      </c>
      <c r="AD57" s="164" t="e">
        <f>MATCH(AG57,BD1:BD51,1)</f>
        <v>#N/A</v>
      </c>
      <c r="AE57" s="164">
        <v>2</v>
      </c>
      <c r="AF57" s="164">
        <v>26</v>
      </c>
      <c r="AG57" s="184">
        <f>FIXED('HourGH-MAY'!AB38)*1</f>
        <v>337.75</v>
      </c>
      <c r="AH57" s="164" t="str">
        <f>IF(AND(AE57=AP5,AE57=AR5,AF57&gt;=AQ5,AF57&lt;=AS5),"r1",IF(AND(AE57&gt;AP5,AE57&lt;AR5),"r1",IF(AND(AE57&gt;AP5,AE57=AR5,AF57&lt;=AS5),"r1",IF(AND(AE57=AP5,AE57&lt;AR5,AF57&gt;=AQ5),"r1","n"))))</f>
        <v>r1</v>
      </c>
      <c r="AI57" s="164" t="str">
        <f>IF(AH57&lt;&gt;"n",AH57,IF(AND(AE57=AT5,AE57=AV5,AF57&gt;=AU5,AF57&lt;=AW5),"r2",IF(AND(AE57&gt;AT5,AE57&lt;AV5),"r2",IF(AND(AE57&gt;AT5,AE57=AV5,AF57&lt;=AW5),"r2",IF(AND(AE57=AT5,AE57&lt;AV5,AF57&gt;=AU5),"r2","n")))))</f>
        <v>r1</v>
      </c>
      <c r="AJ57" s="164" t="str">
        <f>IF(AI57&lt;&gt;"n",AI57,IF(AND(AE57=AP6,AE57=AR6,AF57&gt;=AQ6,AF57&lt;=AS6),"r1",IF(AND(AE57&gt;AP6,AE57&lt;AR6),"r1",IF(AND(AE57&gt;AP6,AE57=AR6,AF57&lt;=AS6),"r1",IF(AND(AE57=AP6,AE57&lt;AR6,AF57&gt;=AQ6),"r1","n")))))</f>
        <v>r1</v>
      </c>
      <c r="AK57" s="164" t="str">
        <f>IF(AJ57&lt;&gt;"n",AJ57,IF(AND(AE57=AT6,AE57=AV6,AF57&gt;=AU6,AF57&lt;=AW6),"r2",IF(AND(AE57&gt;AT6,AE57&lt;AV6),"r2",IF(AND(AE57&gt;AT6,AE57=AV6,AF57&lt;=AW6),"r2",IF(AND(AE57=AT6,AE57&lt;AV6,AF57&gt;=AU6),"r2","n")))))</f>
        <v>r1</v>
      </c>
      <c r="AL57" s="164" t="str">
        <f>IF(AK57&lt;&gt;"n",AK57,IF(AND(AE57=AP7,AE57=AR7,AF57&gt;=AQ7,AF57&lt;=AS7),"r1",IF(AND(AE57&gt;AP7,AE57&lt;AR7),"r1",IF(AND(AE57&gt;AP7,AE57=AR7,AF57&lt;=AS7),"r1",IF(AND(AE57=AP7,AE57&lt;AR7,AF57&gt;=AQ7),"r1","n")))))</f>
        <v>r1</v>
      </c>
    </row>
    <row r="58" spans="2:57" ht="17.100000000000001" hidden="1" customHeight="1">
      <c r="Z58" s="176">
        <f t="shared" si="0"/>
        <v>1.6999999999994884</v>
      </c>
      <c r="AA58" s="176">
        <f>IF(TRIM(AG58)="","",IF(INDEX(AZ1:AZ51,AC58)=AG58,INDEX(BA1:BA51,AC58),((AG58-INDEX(AZ1:AZ51,AC58))*(INDEX(BA1:BA51,AC58+1)-INDEX(BA1:BA51,AC58)))/(INDEX(AZ1:AZ51,AC58+1)-INDEX(AZ1:AZ51,AC58))+INDEX(BA1:BA51,AC58)))</f>
        <v>1.6999999999994884</v>
      </c>
      <c r="AB58" s="176" t="e">
        <f>IF(TRIM(AG58)="","",IF(INDEX(BD1:BD51,AD58)=AG58,INDEX(BE1:BE51,AD58),((AG58-INDEX(BD1:BD51,AD58))*(INDEX(BE1:BE51,AD58+1)-INDEX(BE1:BE51,AD58)))/(INDEX(BD1:BD51,AD58+1)-INDEX(BD1:BD51,AD58))+INDEX(BE1:BE51,AD58)))</f>
        <v>#N/A</v>
      </c>
      <c r="AC58" s="164">
        <f>MATCH(AG58,AZ1:AZ51,1)</f>
        <v>2</v>
      </c>
      <c r="AD58" s="164" t="e">
        <f>MATCH(AG58,BD1:BD51,1)</f>
        <v>#N/A</v>
      </c>
      <c r="AE58" s="164">
        <v>2</v>
      </c>
      <c r="AF58" s="164">
        <v>27</v>
      </c>
      <c r="AG58" s="184">
        <f>FIXED('HourGH-MAY'!AB39)*1</f>
        <v>337.78</v>
      </c>
      <c r="AH58" s="164" t="str">
        <f>IF(AND(AE58=AP5,AE58=AR5,AF58&gt;=AQ5,AF58&lt;=AS5),"r1",IF(AND(AE58&gt;AP5,AE58&lt;AR5),"r1",IF(AND(AE58&gt;AP5,AE58=AR5,AF58&lt;=AS5),"r1",IF(AND(AE58=AP5,AE58&lt;AR5,AF58&gt;=AQ5),"r1","n"))))</f>
        <v>r1</v>
      </c>
      <c r="AI58" s="164" t="str">
        <f>IF(AH58&lt;&gt;"n",AH58,IF(AND(AE58=AT5,AE58=AV5,AF58&gt;=AU5,AF58&lt;=AW5),"r2",IF(AND(AE58&gt;AT5,AE58&lt;AV5),"r2",IF(AND(AE58&gt;AT5,AE58=AV5,AF58&lt;=AW5),"r2",IF(AND(AE58=AT5,AE58&lt;AV5,AF58&gt;=AU5),"r2","n")))))</f>
        <v>r1</v>
      </c>
      <c r="AJ58" s="164" t="str">
        <f>IF(AI58&lt;&gt;"n",AI58,IF(AND(AE58=AP6,AE58=AR6,AF58&gt;=AQ6,AF58&lt;=AS6),"r1",IF(AND(AE58&gt;AP6,AE58&lt;AR6),"r1",IF(AND(AE58&gt;AP6,AE58=AR6,AF58&lt;=AS6),"r1",IF(AND(AE58=AP6,AE58&lt;AR6,AF58&gt;=AQ6),"r1","n")))))</f>
        <v>r1</v>
      </c>
      <c r="AK58" s="164" t="str">
        <f>IF(AJ58&lt;&gt;"n",AJ58,IF(AND(AE58=AT6,AE58=AV6,AF58&gt;=AU6,AF58&lt;=AW6),"r2",IF(AND(AE58&gt;AT6,AE58&lt;AV6),"r2",IF(AND(AE58&gt;AT6,AE58=AV6,AF58&lt;=AW6),"r2",IF(AND(AE58=AT6,AE58&lt;AV6,AF58&gt;=AU6),"r2","n")))))</f>
        <v>r1</v>
      </c>
      <c r="AL58" s="164" t="str">
        <f>IF(AK58&lt;&gt;"n",AK58,IF(AND(AE58=AP7,AE58=AR7,AF58&gt;=AQ7,AF58&lt;=AS7),"r1",IF(AND(AE58&gt;AP7,AE58&lt;AR7),"r1",IF(AND(AE58&gt;AP7,AE58=AR7,AF58&lt;=AS7),"r1",IF(AND(AE58=AP7,AE58&lt;AR7,AF58&gt;=AQ7),"r1","n")))))</f>
        <v>r1</v>
      </c>
    </row>
    <row r="59" spans="2:57" ht="17.100000000000001" hidden="1" customHeight="1">
      <c r="Z59" s="176">
        <f t="shared" si="0"/>
        <v>1.6999999999994884</v>
      </c>
      <c r="AA59" s="176">
        <f>IF(TRIM(AG59)="","",IF(INDEX(AZ1:AZ51,AC59)=AG59,INDEX(BA1:BA51,AC59),((AG59-INDEX(AZ1:AZ51,AC59))*(INDEX(BA1:BA51,AC59+1)-INDEX(BA1:BA51,AC59)))/(INDEX(AZ1:AZ51,AC59+1)-INDEX(AZ1:AZ51,AC59))+INDEX(BA1:BA51,AC59)))</f>
        <v>1.6999999999994884</v>
      </c>
      <c r="AB59" s="176" t="e">
        <f>IF(TRIM(AG59)="","",IF(INDEX(BD1:BD51,AD59)=AG59,INDEX(BE1:BE51,AD59),((AG59-INDEX(BD1:BD51,AD59))*(INDEX(BE1:BE51,AD59+1)-INDEX(BE1:BE51,AD59)))/(INDEX(BD1:BD51,AD59+1)-INDEX(BD1:BD51,AD59))+INDEX(BE1:BE51,AD59)))</f>
        <v>#N/A</v>
      </c>
      <c r="AC59" s="164">
        <f>MATCH(AG59,AZ1:AZ51,1)</f>
        <v>2</v>
      </c>
      <c r="AD59" s="164" t="e">
        <f>MATCH(AG59,BD1:BD51,1)</f>
        <v>#N/A</v>
      </c>
      <c r="AE59" s="164">
        <v>2</v>
      </c>
      <c r="AF59" s="164">
        <v>28</v>
      </c>
      <c r="AG59" s="184">
        <f>FIXED('HourGH-MAY'!AB40)*1</f>
        <v>337.78</v>
      </c>
      <c r="AH59" s="164" t="str">
        <f>IF(AND(AE59=AP5,AE59=AR5,AF59&gt;=AQ5,AF59&lt;=AS5),"r1",IF(AND(AE59&gt;AP5,AE59&lt;AR5),"r1",IF(AND(AE59&gt;AP5,AE59=AR5,AF59&lt;=AS5),"r1",IF(AND(AE59=AP5,AE59&lt;AR5,AF59&gt;=AQ5),"r1","n"))))</f>
        <v>r1</v>
      </c>
      <c r="AI59" s="164" t="str">
        <f>IF(AH59&lt;&gt;"n",AH59,IF(AND(AE59=AT5,AE59=AV5,AF59&gt;=AU5,AF59&lt;=AW5),"r2",IF(AND(AE59&gt;AT5,AE59&lt;AV5),"r2",IF(AND(AE59&gt;AT5,AE59=AV5,AF59&lt;=AW5),"r2",IF(AND(AE59=AT5,AE59&lt;AV5,AF59&gt;=AU5),"r2","n")))))</f>
        <v>r1</v>
      </c>
      <c r="AJ59" s="164" t="str">
        <f>IF(AI59&lt;&gt;"n",AI59,IF(AND(AE59=AP6,AE59=AR6,AF59&gt;=AQ6,AF59&lt;=AS6),"r1",IF(AND(AE59&gt;AP6,AE59&lt;AR6),"r1",IF(AND(AE59&gt;AP6,AE59=AR6,AF59&lt;=AS6),"r1",IF(AND(AE59=AP6,AE59&lt;AR6,AF59&gt;=AQ6),"r1","n")))))</f>
        <v>r1</v>
      </c>
      <c r="AK59" s="164" t="str">
        <f>IF(AJ59&lt;&gt;"n",AJ59,IF(AND(AE59=AT6,AE59=AV6,AF59&gt;=AU6,AF59&lt;=AW6),"r2",IF(AND(AE59&gt;AT6,AE59&lt;AV6),"r2",IF(AND(AE59&gt;AT6,AE59=AV6,AF59&lt;=AW6),"r2",IF(AND(AE59=AT6,AE59&lt;AV6,AF59&gt;=AU6),"r2","n")))))</f>
        <v>r1</v>
      </c>
      <c r="AL59" s="164" t="str">
        <f>IF(AK59&lt;&gt;"n",AK59,IF(AND(AE59=AP7,AE59=AR7,AF59&gt;=AQ7,AF59&lt;=AS7),"r1",IF(AND(AE59&gt;AP7,AE59&lt;AR7),"r1",IF(AND(AE59&gt;AP7,AE59=AR7,AF59&lt;=AS7),"r1",IF(AND(AE59=AP7,AE59&lt;AR7,AF59&gt;=AQ7),"r1","n")))))</f>
        <v>r1</v>
      </c>
    </row>
    <row r="60" spans="2:57" ht="17.100000000000001" hidden="1" customHeight="1">
      <c r="Z60" s="176">
        <f t="shared" si="0"/>
        <v>1.8500000000001706</v>
      </c>
      <c r="AA60" s="176">
        <f>IF(TRIM(AG60)="","",IF(INDEX(AZ1:AZ51,AC60)=AG60,INDEX(BA1:BA51,AC60),((AG60-INDEX(AZ1:AZ51,AC60))*(INDEX(BA1:BA51,AC60+1)-INDEX(BA1:BA51,AC60)))/(INDEX(AZ1:AZ51,AC60+1)-INDEX(AZ1:AZ51,AC60))+INDEX(BA1:BA51,AC60)))</f>
        <v>1.8500000000001706</v>
      </c>
      <c r="AB60" s="176" t="e">
        <f>IF(TRIM(AG60)="","",IF(INDEX(BD1:BD51,AD60)=AG60,INDEX(BE1:BE51,AD60),((AG60-INDEX(BD1:BD51,AD60))*(INDEX(BE1:BE51,AD60+1)-INDEX(BE1:BE51,AD60)))/(INDEX(BD1:BD51,AD60+1)-INDEX(BD1:BD51,AD60))+INDEX(BE1:BE51,AD60)))</f>
        <v>#N/A</v>
      </c>
      <c r="AC60" s="164">
        <f>MATCH(AG60,AZ1:AZ51,1)</f>
        <v>2</v>
      </c>
      <c r="AD60" s="164" t="e">
        <f>MATCH(AG60,BD1:BD51,1)</f>
        <v>#N/A</v>
      </c>
      <c r="AE60" s="164">
        <v>2</v>
      </c>
      <c r="AF60" s="164">
        <v>29</v>
      </c>
      <c r="AG60" s="184">
        <f>FIXED('HourGH-MAY'!AB41)*1</f>
        <v>337.79</v>
      </c>
      <c r="AH60" s="164" t="str">
        <f>IF(AND(AE60=AP5,AE60=AR5,AF60&gt;=AQ5,AF60&lt;=AS5),"r1",IF(AND(AE60&gt;AP5,AE60&lt;AR5),"r1",IF(AND(AE60&gt;AP5,AE60=AR5,AF60&lt;=AS5),"r1",IF(AND(AE60=AP5,AE60&lt;AR5,AF60&gt;=AQ5),"r1","n"))))</f>
        <v>r1</v>
      </c>
      <c r="AI60" s="164" t="str">
        <f>IF(AH60&lt;&gt;"n",AH60,IF(AND(AE60=AT5,AE60=AV5,AF60&gt;=AU5,AF60&lt;=AW5),"r2",IF(AND(AE60&gt;AT5,AE60&lt;AV5),"r2",IF(AND(AE60&gt;AT5,AE60=AV5,AF60&lt;=AW5),"r2",IF(AND(AE60=AT5,AE60&lt;AV5,AF60&gt;=AU5),"r2","n")))))</f>
        <v>r1</v>
      </c>
      <c r="AJ60" s="164" t="str">
        <f>IF(AI60&lt;&gt;"n",AI60,IF(AND(AE60=AP6,AE60=AR6,AF60&gt;=AQ6,AF60&lt;=AS6),"r1",IF(AND(AE60&gt;AP6,AE60&lt;AR6),"r1",IF(AND(AE60&gt;AP6,AE60=AR6,AF60&lt;=AS6),"r1",IF(AND(AE60=AP6,AE60&lt;AR6,AF60&gt;=AQ6),"r1","n")))))</f>
        <v>r1</v>
      </c>
      <c r="AK60" s="164" t="str">
        <f>IF(AJ60&lt;&gt;"n",AJ60,IF(AND(AE60=AT6,AE60=AV6,AF60&gt;=AU6,AF60&lt;=AW6),"r2",IF(AND(AE60&gt;AT6,AE60&lt;AV6),"r2",IF(AND(AE60&gt;AT6,AE60=AV6,AF60&lt;=AW6),"r2",IF(AND(AE60=AT6,AE60&lt;AV6,AF60&gt;=AU6),"r2","n")))))</f>
        <v>r1</v>
      </c>
      <c r="AL60" s="164" t="str">
        <f>IF(AK60&lt;&gt;"n",AK60,IF(AND(AE60=AP7,AE60=AR7,AF60&gt;=AQ7,AF60&lt;=AS7),"r1",IF(AND(AE60&gt;AP7,AE60&lt;AR7),"r1",IF(AND(AE60&gt;AP7,AE60=AR7,AF60&lt;=AS7),"r1",IF(AND(AE60=AP7,AE60&lt;AR7,AF60&gt;=AQ7),"r1","n")))))</f>
        <v>r1</v>
      </c>
    </row>
    <row r="61" spans="2:57" ht="17.100000000000001" hidden="1" customHeight="1">
      <c r="Z61" s="176">
        <f t="shared" si="0"/>
        <v>2.1999999999998865</v>
      </c>
      <c r="AA61" s="176">
        <f>IF(TRIM(AG61)="","",IF(INDEX(AZ1:AZ51,AC61)=AG61,INDEX(BA1:BA51,AC61),((AG61-INDEX(AZ1:AZ51,AC61))*(INDEX(BA1:BA51,AC61+1)-INDEX(BA1:BA51,AC61)))/(INDEX(AZ1:AZ51,AC61+1)-INDEX(AZ1:AZ51,AC61))+INDEX(BA1:BA51,AC61)))</f>
        <v>2.1999999999998865</v>
      </c>
      <c r="AB61" s="176" t="e">
        <f>IF(TRIM(AG61)="","",IF(INDEX(BD1:BD51,AD61)=AG61,INDEX(BE1:BE51,AD61),((AG61-INDEX(BD1:BD51,AD61))*(INDEX(BE1:BE51,AD61+1)-INDEX(BE1:BE51,AD61)))/(INDEX(BD1:BD51,AD61+1)-INDEX(BD1:BD51,AD61))+INDEX(BE1:BE51,AD61)))</f>
        <v>#N/A</v>
      </c>
      <c r="AC61" s="164">
        <f>MATCH(AG61,AZ1:AZ51,1)</f>
        <v>3</v>
      </c>
      <c r="AD61" s="164" t="e">
        <f>MATCH(AG61,BD1:BD51,1)</f>
        <v>#N/A</v>
      </c>
      <c r="AE61" s="164">
        <v>2</v>
      </c>
      <c r="AF61" s="164">
        <v>30</v>
      </c>
      <c r="AG61" s="184">
        <f>FIXED('HourGH-MAY'!AB42)*1</f>
        <v>337.81</v>
      </c>
      <c r="AH61" s="164" t="str">
        <f>IF(AND(AE61=AP5,AE61=AR5,AF61&gt;=AQ5,AF61&lt;=AS5),"r1",IF(AND(AE61&gt;AP5,AE61&lt;AR5),"r1",IF(AND(AE61&gt;AP5,AE61=AR5,AF61&lt;=AS5),"r1",IF(AND(AE61=AP5,AE61&lt;AR5,AF61&gt;=AQ5),"r1","n"))))</f>
        <v>r1</v>
      </c>
      <c r="AI61" s="164" t="str">
        <f>IF(AH61&lt;&gt;"n",AH61,IF(AND(AE61=AT5,AE61=AV5,AF61&gt;=AU5,AF61&lt;=AW5),"r2",IF(AND(AE61&gt;AT5,AE61&lt;AV5),"r2",IF(AND(AE61&gt;AT5,AE61=AV5,AF61&lt;=AW5),"r2",IF(AND(AE61=AT5,AE61&lt;AV5,AF61&gt;=AU5),"r2","n")))))</f>
        <v>r1</v>
      </c>
      <c r="AJ61" s="164" t="str">
        <f>IF(AI61&lt;&gt;"n",AI61,IF(AND(AE61=AP6,AE61=AR6,AF61&gt;=AQ6,AF61&lt;=AS6),"r1",IF(AND(AE61&gt;AP6,AE61&lt;AR6),"r1",IF(AND(AE61&gt;AP6,AE61=AR6,AF61&lt;=AS6),"r1",IF(AND(AE61=AP6,AE61&lt;AR6,AF61&gt;=AQ6),"r1","n")))))</f>
        <v>r1</v>
      </c>
      <c r="AK61" s="164" t="str">
        <f>IF(AJ61&lt;&gt;"n",AJ61,IF(AND(AE61=AT6,AE61=AV6,AF61&gt;=AU6,AF61&lt;=AW6),"r2",IF(AND(AE61&gt;AT6,AE61&lt;AV6),"r2",IF(AND(AE61&gt;AT6,AE61=AV6,AF61&lt;=AW6),"r2",IF(AND(AE61=AT6,AE61&lt;AV6,AF61&gt;=AU6),"r2","n")))))</f>
        <v>r1</v>
      </c>
      <c r="AL61" s="164" t="str">
        <f>IF(AK61&lt;&gt;"n",AK61,IF(AND(AE61=AP7,AE61=AR7,AF61&gt;=AQ7,AF61&lt;=AS7),"r1",IF(AND(AE61&gt;AP7,AE61&lt;AR7),"r1",IF(AND(AE61&gt;AP7,AE61=AR7,AF61&lt;=AS7),"r1",IF(AND(AE61=AP7,AE61&lt;AR7,AF61&gt;=AQ7),"r1","n")))))</f>
        <v>r1</v>
      </c>
    </row>
    <row r="62" spans="2:57" ht="17.100000000000001" hidden="1" customHeight="1">
      <c r="Z62" s="176">
        <f t="shared" si="0"/>
        <v>2.599999999999659</v>
      </c>
      <c r="AA62" s="176">
        <f>IF(TRIM(AG62)="","",IF(INDEX(AZ1:AZ51,AC62)=AG62,INDEX(BA1:BA51,AC62),((AG62-INDEX(AZ1:AZ51,AC62))*(INDEX(BA1:BA51,AC62+1)-INDEX(BA1:BA51,AC62)))/(INDEX(AZ1:AZ51,AC62+1)-INDEX(AZ1:AZ51,AC62))+INDEX(BA1:BA51,AC62)))</f>
        <v>2.599999999999659</v>
      </c>
      <c r="AB62" s="176" t="e">
        <f>IF(TRIM(AG62)="","",IF(INDEX(BD1:BD51,AD62)=AG62,INDEX(BE1:BE51,AD62),((AG62-INDEX(BD1:BD51,AD62))*(INDEX(BE1:BE51,AD62+1)-INDEX(BE1:BE51,AD62)))/(INDEX(BD1:BD51,AD62+1)-INDEX(BD1:BD51,AD62))+INDEX(BE1:BE51,AD62)))</f>
        <v>#N/A</v>
      </c>
      <c r="AC62" s="164">
        <f>MATCH(AG62,AZ1:AZ51,1)</f>
        <v>3</v>
      </c>
      <c r="AD62" s="164" t="e">
        <f>MATCH(AG62,BD1:BD51,1)</f>
        <v>#N/A</v>
      </c>
      <c r="AE62" s="164">
        <v>2</v>
      </c>
      <c r="AF62" s="164">
        <v>31</v>
      </c>
      <c r="AG62" s="184">
        <f>FIXED('HourGH-MAY'!AB43)*1</f>
        <v>337.83</v>
      </c>
      <c r="AH62" s="164" t="str">
        <f>IF(AND(AE62=AP5,AE62=AR5,AF62&gt;=AQ5,AF62&lt;=AS5),"r1",IF(AND(AE62&gt;AP5,AE62&lt;AR5),"r1",IF(AND(AE62&gt;AP5,AE62=AR5,AF62&lt;=AS5),"r1",IF(AND(AE62=AP5,AE62&lt;AR5,AF62&gt;=AQ5),"r1","n"))))</f>
        <v>r1</v>
      </c>
      <c r="AI62" s="164" t="str">
        <f>IF(AH62&lt;&gt;"n",AH62,IF(AND(AE62=AT5,AE62=AV5,AF62&gt;=AU5,AF62&lt;=AW5),"r2",IF(AND(AE62&gt;AT5,AE62&lt;AV5),"r2",IF(AND(AE62&gt;AT5,AE62=AV5,AF62&lt;=AW5),"r2",IF(AND(AE62=AT5,AE62&lt;AV5,AF62&gt;=AU5),"r2","n")))))</f>
        <v>r1</v>
      </c>
      <c r="AJ62" s="164" t="str">
        <f>IF(AI62&lt;&gt;"n",AI62,IF(AND(AE62=AP6,AE62=AR6,AF62&gt;=AQ6,AF62&lt;=AS6),"r1",IF(AND(AE62&gt;AP6,AE62&lt;AR6),"r1",IF(AND(AE62&gt;AP6,AE62=AR6,AF62&lt;=AS6),"r1",IF(AND(AE62=AP6,AE62&lt;AR6,AF62&gt;=AQ6),"r1","n")))))</f>
        <v>r1</v>
      </c>
      <c r="AK62" s="164" t="str">
        <f>IF(AJ62&lt;&gt;"n",AJ62,IF(AND(AE62=AT6,AE62=AV6,AF62&gt;=AU6,AF62&lt;=AW6),"r2",IF(AND(AE62&gt;AT6,AE62&lt;AV6),"r2",IF(AND(AE62&gt;AT6,AE62=AV6,AF62&lt;=AW6),"r2",IF(AND(AE62=AT6,AE62&lt;AV6,AF62&gt;=AU6),"r2","n")))))</f>
        <v>r1</v>
      </c>
      <c r="AL62" s="164" t="str">
        <f>IF(AK62&lt;&gt;"n",AK62,IF(AND(AE62=AP7,AE62=AR7,AF62&gt;=AQ7,AF62&lt;=AS7),"r1",IF(AND(AE62&gt;AP7,AE62&lt;AR7),"r1",IF(AND(AE62&gt;AP7,AE62=AR7,AF62&lt;=AS7),"r1",IF(AND(AE62=AP7,AE62&lt;AR7,AF62&gt;=AQ7),"r1","n")))))</f>
        <v>r1</v>
      </c>
    </row>
    <row r="63" spans="2:57" ht="17.100000000000001" hidden="1" customHeight="1">
      <c r="Z63" s="176">
        <f t="shared" si="0"/>
        <v>2.599999999999659</v>
      </c>
      <c r="AA63" s="176">
        <f>IF(TRIM(AG63)="","",IF(INDEX(AZ1:AZ51,AC63)=AG63,INDEX(BA1:BA51,AC63),((AG63-INDEX(AZ1:AZ51,AC63))*(INDEX(BA1:BA51,AC63+1)-INDEX(BA1:BA51,AC63)))/(INDEX(AZ1:AZ51,AC63+1)-INDEX(AZ1:AZ51,AC63))+INDEX(BA1:BA51,AC63)))</f>
        <v>2.599999999999659</v>
      </c>
      <c r="AB63" s="176" t="e">
        <f>IF(TRIM(AG63)="","",IF(INDEX(BD1:BD51,AD63)=AG63,INDEX(BE1:BE51,AD63),((AG63-INDEX(BD1:BD51,AD63))*(INDEX(BE1:BE51,AD63+1)-INDEX(BE1:BE51,AD63)))/(INDEX(BD1:BD51,AD63+1)-INDEX(BD1:BD51,AD63))+INDEX(BE1:BE51,AD63)))</f>
        <v>#N/A</v>
      </c>
      <c r="AC63" s="164">
        <f>MATCH(AG63,AZ1:AZ51,1)</f>
        <v>3</v>
      </c>
      <c r="AD63" s="164" t="e">
        <f>MATCH(AG63,BD1:BD51,1)</f>
        <v>#N/A</v>
      </c>
      <c r="AE63" s="164">
        <v>3</v>
      </c>
      <c r="AF63" s="164">
        <v>1</v>
      </c>
      <c r="AG63" s="179">
        <f>FIXED('HourGH-JUN'!AB11)*1</f>
        <v>337.83</v>
      </c>
      <c r="AH63" s="164" t="str">
        <f>IF(AND(AE63=AP5,AE63=AR5,AF63&gt;=AQ5,AF63&lt;=AS5),"r1",IF(AND(AE63&gt;AP5,AE63&lt;AR5),"r1",IF(AND(AE63&gt;AP5,AE63=AR5,AF63&lt;=AS5),"r1",IF(AND(AE63=AP5,AE63&lt;AR5,AF63&gt;=AQ5),"r1","n"))))</f>
        <v>r1</v>
      </c>
      <c r="AI63" s="164" t="str">
        <f>IF(AH63&lt;&gt;"n",AH63,IF(AND(AE63=AT5,AE63=AV5,AF63&gt;=AU5,AF63&lt;=AW5),"r2",IF(AND(AE63&gt;AT5,AE63&lt;AV5),"r2",IF(AND(AE63&gt;AT5,AE63=AV5,AF63&lt;=AW5),"r2",IF(AND(AE63=AT5,AE63&lt;AV5,AF63&gt;=AU5),"r2","n")))))</f>
        <v>r1</v>
      </c>
      <c r="AJ63" s="164" t="str">
        <f>IF(AI63&lt;&gt;"n",AI63,IF(AND(AE63=AP6,AE63=AR6,AF63&gt;=AQ6,AF63&lt;=AS6),"r1",IF(AND(AE63&gt;AP6,AE63&lt;AR6),"r1",IF(AND(AE63&gt;AP6,AE63=AR6,AF63&lt;=AS6),"r1",IF(AND(AE63=AP6,AE63&lt;AR6,AF63&gt;=AQ6),"r1","n")))))</f>
        <v>r1</v>
      </c>
      <c r="AK63" s="164" t="str">
        <f>IF(AJ63&lt;&gt;"n",AJ63,IF(AND(AE63=AT6,AE63=AV6,AF63&gt;=AU6,AF63&lt;=AW6),"r2",IF(AND(AE63&gt;AT6,AE63&lt;AV6),"r2",IF(AND(AE63&gt;AT6,AE63=AV6,AF63&lt;=AW6),"r2",IF(AND(AE63=AT6,AE63&lt;AV6,AF63&gt;=AU6),"r2","n")))))</f>
        <v>r1</v>
      </c>
      <c r="AL63" s="164" t="str">
        <f>IF(AK63&lt;&gt;"n",AK63,IF(AND(AE63=AP7,AE63=AR7,AF63&gt;=AQ7,AF63&lt;=AS7),"r1",IF(AND(AE63&gt;AP7,AE63&lt;AR7),"r1",IF(AND(AE63&gt;AP7,AE63=AR7,AF63&lt;=AS7),"r1",IF(AND(AE63=AP7,AE63&lt;AR7,AF63&gt;=AQ7),"r1","n")))))</f>
        <v>r1</v>
      </c>
    </row>
    <row r="64" spans="2:57" ht="17.100000000000001" hidden="1" customHeight="1">
      <c r="Z64" s="176">
        <f t="shared" si="0"/>
        <v>2.599999999999659</v>
      </c>
      <c r="AA64" s="176">
        <f>IF(TRIM(AG64)="","",IF(INDEX(AZ1:AZ51,AC64)=AG64,INDEX(BA1:BA51,AC64),((AG64-INDEX(AZ1:AZ51,AC64))*(INDEX(BA1:BA51,AC64+1)-INDEX(BA1:BA51,AC64)))/(INDEX(AZ1:AZ51,AC64+1)-INDEX(AZ1:AZ51,AC64))+INDEX(BA1:BA51,AC64)))</f>
        <v>2.599999999999659</v>
      </c>
      <c r="AB64" s="176" t="e">
        <f>IF(TRIM(AG64)="","",IF(INDEX(BD1:BD51,AD64)=AG64,INDEX(BE1:BE51,AD64),((AG64-INDEX(BD1:BD51,AD64))*(INDEX(BE1:BE51,AD64+1)-INDEX(BE1:BE51,AD64)))/(INDEX(BD1:BD51,AD64+1)-INDEX(BD1:BD51,AD64))+INDEX(BE1:BE51,AD64)))</f>
        <v>#N/A</v>
      </c>
      <c r="AC64" s="164">
        <f>MATCH(AG64,AZ1:AZ51,1)</f>
        <v>3</v>
      </c>
      <c r="AD64" s="164" t="e">
        <f>MATCH(AG64,BD1:BD51,1)</f>
        <v>#N/A</v>
      </c>
      <c r="AE64" s="164">
        <v>3</v>
      </c>
      <c r="AF64" s="164">
        <v>2</v>
      </c>
      <c r="AG64" s="179">
        <f>FIXED('HourGH-JUN'!AB12)*1</f>
        <v>337.83</v>
      </c>
      <c r="AH64" s="164" t="str">
        <f>IF(AND(AE64=AP5,AE64=AR5,AF64&gt;=AQ5,AF64&lt;=AS5),"r1",IF(AND(AE64&gt;AP5,AE64&lt;AR5),"r1",IF(AND(AE64&gt;AP5,AE64=AR5,AF64&lt;=AS5),"r1",IF(AND(AE64=AP5,AE64&lt;AR5,AF64&gt;=AQ5),"r1","n"))))</f>
        <v>r1</v>
      </c>
      <c r="AI64" s="164" t="str">
        <f>IF(AH64&lt;&gt;"n",AH64,IF(AND(AE64=AT5,AE64=AV5,AF64&gt;=AU5,AF64&lt;=AW5),"r2",IF(AND(AE64&gt;AT5,AE64&lt;AV5),"r2",IF(AND(AE64&gt;AT5,AE64=AV5,AF64&lt;=AW5),"r2",IF(AND(AE64=AT5,AE64&lt;AV5,AF64&gt;=AU5),"r2","n")))))</f>
        <v>r1</v>
      </c>
      <c r="AJ64" s="164" t="str">
        <f>IF(AI64&lt;&gt;"n",AI64,IF(AND(AE64=AP6,AE64=AR6,AF64&gt;=AQ6,AF64&lt;=AS6),"r1",IF(AND(AE64&gt;AP6,AE64&lt;AR6),"r1",IF(AND(AE64&gt;AP6,AE64=AR6,AF64&lt;=AS6),"r1",IF(AND(AE64=AP6,AE64&lt;AR6,AF64&gt;=AQ6),"r1","n")))))</f>
        <v>r1</v>
      </c>
      <c r="AK64" s="164" t="str">
        <f>IF(AJ64&lt;&gt;"n",AJ64,IF(AND(AE64=AT6,AE64=AV6,AF64&gt;=AU6,AF64&lt;=AW6),"r2",IF(AND(AE64&gt;AT6,AE64&lt;AV6),"r2",IF(AND(AE64&gt;AT6,AE64=AV6,AF64&lt;=AW6),"r2",IF(AND(AE64=AT6,AE64&lt;AV6,AF64&gt;=AU6),"r2","n")))))</f>
        <v>r1</v>
      </c>
      <c r="AL64" s="164" t="str">
        <f>IF(AK64&lt;&gt;"n",AK64,IF(AND(AE64=AP7,AE64=AR7,AF64&gt;=AQ7,AF64&lt;=AS7),"r1",IF(AND(AE64&gt;AP7,AE64&lt;AR7),"r1",IF(AND(AE64&gt;AP7,AE64=AR7,AF64&lt;=AS7),"r1",IF(AND(AE64=AP7,AE64&lt;AR7,AF64&gt;=AQ7),"r1","n")))))</f>
        <v>r1</v>
      </c>
    </row>
    <row r="65" spans="26:38" ht="17.100000000000001" hidden="1" customHeight="1">
      <c r="Z65" s="176">
        <f t="shared" ref="Z65:Z128" si="11">IF(TRIM(AG65)="","",IF(AL65="r1",IF(COUNT(AA65)=0,0,AA65),IF(AL65="n",0,IF(COUNT(AB65)=0,0,AB65))))</f>
        <v>2.3999999999997725</v>
      </c>
      <c r="AA65" s="176">
        <f>IF(TRIM(AG65)="","",IF(INDEX(AZ1:AZ51,AC65)=AG65,INDEX(BA1:BA51,AC65),((AG65-INDEX(AZ1:AZ51,AC65))*(INDEX(BA1:BA51,AC65+1)-INDEX(BA1:BA51,AC65)))/(INDEX(AZ1:AZ51,AC65+1)-INDEX(AZ1:AZ51,AC65))+INDEX(BA1:BA51,AC65)))</f>
        <v>2.3999999999997725</v>
      </c>
      <c r="AB65" s="176" t="e">
        <f>IF(TRIM(AG65)="","",IF(INDEX(BD1:BD51,AD65)=AG65,INDEX(BE1:BE51,AD65),((AG65-INDEX(BD1:BD51,AD65))*(INDEX(BE1:BE51,AD65+1)-INDEX(BE1:BE51,AD65)))/(INDEX(BD1:BD51,AD65+1)-INDEX(BD1:BD51,AD65))+INDEX(BE1:BE51,AD65)))</f>
        <v>#N/A</v>
      </c>
      <c r="AC65" s="164">
        <f>MATCH(AG65,AZ1:AZ51,1)</f>
        <v>3</v>
      </c>
      <c r="AD65" s="164" t="e">
        <f>MATCH(AG65,BD1:BD51,1)</f>
        <v>#N/A</v>
      </c>
      <c r="AE65" s="164">
        <v>3</v>
      </c>
      <c r="AF65" s="164">
        <v>3</v>
      </c>
      <c r="AG65" s="179">
        <f>FIXED('HourGH-JUN'!AB13)*1</f>
        <v>337.82</v>
      </c>
      <c r="AH65" s="164" t="str">
        <f>IF(AND(AE65=AP5,AE65=AR5,AF65&gt;=AQ5,AF65&lt;=AS5),"r1",IF(AND(AE65&gt;AP5,AE65&lt;AR5),"r1",IF(AND(AE65&gt;AP5,AE65=AR5,AF65&lt;=AS5),"r1",IF(AND(AE65=AP5,AE65&lt;AR5,AF65&gt;=AQ5),"r1","n"))))</f>
        <v>r1</v>
      </c>
      <c r="AI65" s="164" t="str">
        <f>IF(AH65&lt;&gt;"n",AH65,IF(AND(AE65=AT5,AE65=AV5,AF65&gt;=AU5,AF65&lt;=AW5),"r2",IF(AND(AE65&gt;AT5,AE65&lt;AV5),"r2",IF(AND(AE65&gt;AT5,AE65=AV5,AF65&lt;=AW5),"r2",IF(AND(AE65=AT5,AE65&lt;AV5,AF65&gt;=AU5),"r2","n")))))</f>
        <v>r1</v>
      </c>
      <c r="AJ65" s="164" t="str">
        <f>IF(AI65&lt;&gt;"n",AI65,IF(AND(AE65=AP6,AE65=AR6,AF65&gt;=AQ6,AF65&lt;=AS6),"r1",IF(AND(AE65&gt;AP6,AE65&lt;AR6),"r1",IF(AND(AE65&gt;AP6,AE65=AR6,AF65&lt;=AS6),"r1",IF(AND(AE65=AP6,AE65&lt;AR6,AF65&gt;=AQ6),"r1","n")))))</f>
        <v>r1</v>
      </c>
      <c r="AK65" s="164" t="str">
        <f>IF(AJ65&lt;&gt;"n",AJ65,IF(AND(AE65=AT6,AE65=AV6,AF65&gt;=AU6,AF65&lt;=AW6),"r2",IF(AND(AE65&gt;AT6,AE65&lt;AV6),"r2",IF(AND(AE65&gt;AT6,AE65=AV6,AF65&lt;=AW6),"r2",IF(AND(AE65=AT6,AE65&lt;AV6,AF65&gt;=AU6),"r2","n")))))</f>
        <v>r1</v>
      </c>
      <c r="AL65" s="164" t="str">
        <f>IF(AK65&lt;&gt;"n",AK65,IF(AND(AE65=AP7,AE65=AR7,AF65&gt;=AQ7,AF65&lt;=AS7),"r1",IF(AND(AE65&gt;AP7,AE65&lt;AR7),"r1",IF(AND(AE65&gt;AP7,AE65=AR7,AF65&lt;=AS7),"r1",IF(AND(AE65=AP7,AE65&lt;AR7,AF65&gt;=AQ7),"r1","n")))))</f>
        <v>r1</v>
      </c>
    </row>
    <row r="66" spans="26:38" ht="17.100000000000001" hidden="1" customHeight="1">
      <c r="Z66" s="176">
        <f t="shared" si="11"/>
        <v>2.1999999999998865</v>
      </c>
      <c r="AA66" s="176">
        <f>IF(TRIM(AG66)="","",IF(INDEX(AZ1:AZ51,AC66)=AG66,INDEX(BA1:BA51,AC66),((AG66-INDEX(AZ1:AZ51,AC66))*(INDEX(BA1:BA51,AC66+1)-INDEX(BA1:BA51,AC66)))/(INDEX(AZ1:AZ51,AC66+1)-INDEX(AZ1:AZ51,AC66))+INDEX(BA1:BA51,AC66)))</f>
        <v>2.1999999999998865</v>
      </c>
      <c r="AB66" s="176" t="e">
        <f>IF(TRIM(AG66)="","",IF(INDEX(BD1:BD51,AD66)=AG66,INDEX(BE1:BE51,AD66),((AG66-INDEX(BD1:BD51,AD66))*(INDEX(BE1:BE51,AD66+1)-INDEX(BE1:BE51,AD66)))/(INDEX(BD1:BD51,AD66+1)-INDEX(BD1:BD51,AD66))+INDEX(BE1:BE51,AD66)))</f>
        <v>#N/A</v>
      </c>
      <c r="AC66" s="164">
        <f>MATCH(AG66,AZ1:AZ51,1)</f>
        <v>3</v>
      </c>
      <c r="AD66" s="164" t="e">
        <f>MATCH(AG66,BD1:BD51,1)</f>
        <v>#N/A</v>
      </c>
      <c r="AE66" s="164">
        <v>3</v>
      </c>
      <c r="AF66" s="164">
        <v>4</v>
      </c>
      <c r="AG66" s="179">
        <f>FIXED('HourGH-JUN'!AB14)*1</f>
        <v>337.81</v>
      </c>
      <c r="AH66" s="164" t="str">
        <f>IF(AND(AE66=AP5,AE66=AR5,AF66&gt;=AQ5,AF66&lt;=AS5),"r1",IF(AND(AE66&gt;AP5,AE66&lt;AR5),"r1",IF(AND(AE66&gt;AP5,AE66=AR5,AF66&lt;=AS5),"r1",IF(AND(AE66=AP5,AE66&lt;AR5,AF66&gt;=AQ5),"r1","n"))))</f>
        <v>r1</v>
      </c>
      <c r="AI66" s="164" t="str">
        <f>IF(AH66&lt;&gt;"n",AH66,IF(AND(AE66=AT5,AE66=AV5,AF66&gt;=AU5,AF66&lt;=AW5),"r2",IF(AND(AE66&gt;AT5,AE66&lt;AV5),"r2",IF(AND(AE66&gt;AT5,AE66=AV5,AF66&lt;=AW5),"r2",IF(AND(AE66=AT5,AE66&lt;AV5,AF66&gt;=AU5),"r2","n")))))</f>
        <v>r1</v>
      </c>
      <c r="AJ66" s="164" t="str">
        <f>IF(AI66&lt;&gt;"n",AI66,IF(AND(AE66=AP6,AE66=AR6,AF66&gt;=AQ6,AF66&lt;=AS6),"r1",IF(AND(AE66&gt;AP6,AE66&lt;AR6),"r1",IF(AND(AE66&gt;AP6,AE66=AR6,AF66&lt;=AS6),"r1",IF(AND(AE66=AP6,AE66&lt;AR6,AF66&gt;=AQ6),"r1","n")))))</f>
        <v>r1</v>
      </c>
      <c r="AK66" s="164" t="str">
        <f>IF(AJ66&lt;&gt;"n",AJ66,IF(AND(AE66=AT6,AE66=AV6,AF66&gt;=AU6,AF66&lt;=AW6),"r2",IF(AND(AE66&gt;AT6,AE66&lt;AV6),"r2",IF(AND(AE66&gt;AT6,AE66=AV6,AF66&lt;=AW6),"r2",IF(AND(AE66=AT6,AE66&lt;AV6,AF66&gt;=AU6),"r2","n")))))</f>
        <v>r1</v>
      </c>
      <c r="AL66" s="164" t="str">
        <f>IF(AK66&lt;&gt;"n",AK66,IF(AND(AE66=AP7,AE66=AR7,AF66&gt;=AQ7,AF66&lt;=AS7),"r1",IF(AND(AE66&gt;AP7,AE66&lt;AR7),"r1",IF(AND(AE66&gt;AP7,AE66=AR7,AF66&lt;=AS7),"r1",IF(AND(AE66=AP7,AE66&lt;AR7,AF66&gt;=AQ7),"r1","n")))))</f>
        <v>r1</v>
      </c>
    </row>
    <row r="67" spans="26:38" ht="17.100000000000001" hidden="1" customHeight="1">
      <c r="Z67" s="176">
        <f t="shared" si="11"/>
        <v>2</v>
      </c>
      <c r="AA67" s="176">
        <f>IF(TRIM(AG67)="","",IF(INDEX(AZ1:AZ51,AC67)=AG67,INDEX(BA1:BA51,AC67),((AG67-INDEX(AZ1:AZ51,AC67))*(INDEX(BA1:BA51,AC67+1)-INDEX(BA1:BA51,AC67)))/(INDEX(AZ1:AZ51,AC67+1)-INDEX(AZ1:AZ51,AC67))+INDEX(BA1:BA51,AC67)))</f>
        <v>2</v>
      </c>
      <c r="AB67" s="176" t="e">
        <f>IF(TRIM(AG67)="","",IF(INDEX(BD1:BD51,AD67)=AG67,INDEX(BE1:BE51,AD67),((AG67-INDEX(BD1:BD51,AD67))*(INDEX(BE1:BE51,AD67+1)-INDEX(BE1:BE51,AD67)))/(INDEX(BD1:BD51,AD67+1)-INDEX(BD1:BD51,AD67))+INDEX(BE1:BE51,AD67)))</f>
        <v>#N/A</v>
      </c>
      <c r="AC67" s="164">
        <f>MATCH(AG67,AZ1:AZ51,1)</f>
        <v>3</v>
      </c>
      <c r="AD67" s="164" t="e">
        <f>MATCH(AG67,BD1:BD51,1)</f>
        <v>#N/A</v>
      </c>
      <c r="AE67" s="164">
        <v>3</v>
      </c>
      <c r="AF67" s="164">
        <v>5</v>
      </c>
      <c r="AG67" s="179">
        <f>FIXED('HourGH-JUN'!AB15)*1</f>
        <v>337.8</v>
      </c>
      <c r="AH67" s="164" t="str">
        <f>IF(AND(AE67=AP5,AE67=AR5,AF67&gt;=AQ5,AF67&lt;=AS5),"r1",IF(AND(AE67&gt;AP5,AE67&lt;AR5),"r1",IF(AND(AE67&gt;AP5,AE67=AR5,AF67&lt;=AS5),"r1",IF(AND(AE67=AP5,AE67&lt;AR5,AF67&gt;=AQ5),"r1","n"))))</f>
        <v>r1</v>
      </c>
      <c r="AI67" s="164" t="str">
        <f>IF(AH67&lt;&gt;"n",AH67,IF(AND(AE67=AT5,AE67=AV5,AF67&gt;=AU5,AF67&lt;=AW5),"r2",IF(AND(AE67&gt;AT5,AE67&lt;AV5),"r2",IF(AND(AE67&gt;AT5,AE67=AV5,AF67&lt;=AW5),"r2",IF(AND(AE67=AT5,AE67&lt;AV5,AF67&gt;=AU5),"r2","n")))))</f>
        <v>r1</v>
      </c>
      <c r="AJ67" s="164" t="str">
        <f>IF(AI67&lt;&gt;"n",AI67,IF(AND(AE67=AP6,AE67=AR6,AF67&gt;=AQ6,AF67&lt;=AS6),"r1",IF(AND(AE67&gt;AP6,AE67&lt;AR6),"r1",IF(AND(AE67&gt;AP6,AE67=AR6,AF67&lt;=AS6),"r1",IF(AND(AE67=AP6,AE67&lt;AR6,AF67&gt;=AQ6),"r1","n")))))</f>
        <v>r1</v>
      </c>
      <c r="AK67" s="164" t="str">
        <f>IF(AJ67&lt;&gt;"n",AJ67,IF(AND(AE67=AT6,AE67=AV6,AF67&gt;=AU6,AF67&lt;=AW6),"r2",IF(AND(AE67&gt;AT6,AE67&lt;AV6),"r2",IF(AND(AE67&gt;AT6,AE67=AV6,AF67&lt;=AW6),"r2",IF(AND(AE67=AT6,AE67&lt;AV6,AF67&gt;=AU6),"r2","n")))))</f>
        <v>r1</v>
      </c>
      <c r="AL67" s="164" t="str">
        <f>IF(AK67&lt;&gt;"n",AK67,IF(AND(AE67=AP7,AE67=AR7,AF67&gt;=AQ7,AF67&lt;=AS7),"r1",IF(AND(AE67&gt;AP7,AE67&lt;AR7),"r1",IF(AND(AE67&gt;AP7,AE67=AR7,AF67&lt;=AS7),"r1",IF(AND(AE67=AP7,AE67&lt;AR7,AF67&gt;=AQ7),"r1","n")))))</f>
        <v>r1</v>
      </c>
    </row>
    <row r="68" spans="26:38" ht="17.100000000000001" hidden="1" customHeight="1">
      <c r="Z68" s="176">
        <f t="shared" si="11"/>
        <v>2.3999999999997725</v>
      </c>
      <c r="AA68" s="176">
        <f>IF(TRIM(AG68)="","",IF(INDEX(AZ1:AZ51,AC68)=AG68,INDEX(BA1:BA51,AC68),((AG68-INDEX(AZ1:AZ51,AC68))*(INDEX(BA1:BA51,AC68+1)-INDEX(BA1:BA51,AC68)))/(INDEX(AZ1:AZ51,AC68+1)-INDEX(AZ1:AZ51,AC68))+INDEX(BA1:BA51,AC68)))</f>
        <v>2.3999999999997725</v>
      </c>
      <c r="AB68" s="176" t="e">
        <f>IF(TRIM(AG68)="","",IF(INDEX(BD1:BD51,AD68)=AG68,INDEX(BE1:BE51,AD68),((AG68-INDEX(BD1:BD51,AD68))*(INDEX(BE1:BE51,AD68+1)-INDEX(BE1:BE51,AD68)))/(INDEX(BD1:BD51,AD68+1)-INDEX(BD1:BD51,AD68))+INDEX(BE1:BE51,AD68)))</f>
        <v>#N/A</v>
      </c>
      <c r="AC68" s="164">
        <f>MATCH(AG68,AZ1:AZ51,1)</f>
        <v>3</v>
      </c>
      <c r="AD68" s="164" t="e">
        <f>MATCH(AG68,BD1:BD51,1)</f>
        <v>#N/A</v>
      </c>
      <c r="AE68" s="164">
        <v>3</v>
      </c>
      <c r="AF68" s="164">
        <v>6</v>
      </c>
      <c r="AG68" s="179">
        <f>FIXED('HourGH-JUN'!AB16)*1</f>
        <v>337.82</v>
      </c>
      <c r="AH68" s="164" t="str">
        <f>IF(AND(AE68=AP5,AE68=AR5,AF68&gt;=AQ5,AF68&lt;=AS5),"r1",IF(AND(AE68&gt;AP5,AE68&lt;AR5),"r1",IF(AND(AE68&gt;AP5,AE68=AR5,AF68&lt;=AS5),"r1",IF(AND(AE68=AP5,AE68&lt;AR5,AF68&gt;=AQ5),"r1","n"))))</f>
        <v>r1</v>
      </c>
      <c r="AI68" s="164" t="str">
        <f>IF(AH68&lt;&gt;"n",AH68,IF(AND(AE68=AT5,AE68=AV5,AF68&gt;=AU5,AF68&lt;=AW5),"r2",IF(AND(AE68&gt;AT5,AE68&lt;AV5),"r2",IF(AND(AE68&gt;AT5,AE68=AV5,AF68&lt;=AW5),"r2",IF(AND(AE68=AT5,AE68&lt;AV5,AF68&gt;=AU5),"r2","n")))))</f>
        <v>r1</v>
      </c>
      <c r="AJ68" s="164" t="str">
        <f>IF(AI68&lt;&gt;"n",AI68,IF(AND(AE68=AP6,AE68=AR6,AF68&gt;=AQ6,AF68&lt;=AS6),"r1",IF(AND(AE68&gt;AP6,AE68&lt;AR6),"r1",IF(AND(AE68&gt;AP6,AE68=AR6,AF68&lt;=AS6),"r1",IF(AND(AE68=AP6,AE68&lt;AR6,AF68&gt;=AQ6),"r1","n")))))</f>
        <v>r1</v>
      </c>
      <c r="AK68" s="164" t="str">
        <f>IF(AJ68&lt;&gt;"n",AJ68,IF(AND(AE68=AT6,AE68=AV6,AF68&gt;=AU6,AF68&lt;=AW6),"r2",IF(AND(AE68&gt;AT6,AE68&lt;AV6),"r2",IF(AND(AE68&gt;AT6,AE68=AV6,AF68&lt;=AW6),"r2",IF(AND(AE68=AT6,AE68&lt;AV6,AF68&gt;=AU6),"r2","n")))))</f>
        <v>r1</v>
      </c>
      <c r="AL68" s="164" t="str">
        <f>IF(AK68&lt;&gt;"n",AK68,IF(AND(AE68=AP7,AE68=AR7,AF68&gt;=AQ7,AF68&lt;=AS7),"r1",IF(AND(AE68&gt;AP7,AE68&lt;AR7),"r1",IF(AND(AE68&gt;AP7,AE68=AR7,AF68&lt;=AS7),"r1",IF(AND(AE68=AP7,AE68&lt;AR7,AF68&gt;=AQ7),"r1","n")))))</f>
        <v>r1</v>
      </c>
    </row>
    <row r="69" spans="26:38" ht="17.100000000000001" hidden="1" customHeight="1">
      <c r="Z69" s="176">
        <f t="shared" si="11"/>
        <v>2.7999999999995451</v>
      </c>
      <c r="AA69" s="176">
        <f>IF(TRIM(AG69)="","",IF(INDEX(AZ1:AZ51,AC69)=AG69,INDEX(BA1:BA51,AC69),((AG69-INDEX(AZ1:AZ51,AC69))*(INDEX(BA1:BA51,AC69+1)-INDEX(BA1:BA51,AC69)))/(INDEX(AZ1:AZ51,AC69+1)-INDEX(AZ1:AZ51,AC69))+INDEX(BA1:BA51,AC69)))</f>
        <v>2.7999999999995451</v>
      </c>
      <c r="AB69" s="176" t="e">
        <f>IF(TRIM(AG69)="","",IF(INDEX(BD1:BD51,AD69)=AG69,INDEX(BE1:BE51,AD69),((AG69-INDEX(BD1:BD51,AD69))*(INDEX(BE1:BE51,AD69+1)-INDEX(BE1:BE51,AD69)))/(INDEX(BD1:BD51,AD69+1)-INDEX(BD1:BD51,AD69))+INDEX(BE1:BE51,AD69)))</f>
        <v>#N/A</v>
      </c>
      <c r="AC69" s="164">
        <f>MATCH(AG69,AZ1:AZ51,1)</f>
        <v>3</v>
      </c>
      <c r="AD69" s="164" t="e">
        <f>MATCH(AG69,BD1:BD51,1)</f>
        <v>#N/A</v>
      </c>
      <c r="AE69" s="164">
        <v>3</v>
      </c>
      <c r="AF69" s="164">
        <v>7</v>
      </c>
      <c r="AG69" s="179">
        <f>FIXED('HourGH-JUN'!AB17)*1</f>
        <v>337.84</v>
      </c>
      <c r="AH69" s="164" t="str">
        <f>IF(AND(AE69=AP5,AE69=AR5,AF69&gt;=AQ5,AF69&lt;=AS5),"r1",IF(AND(AE69&gt;AP5,AE69&lt;AR5),"r1",IF(AND(AE69&gt;AP5,AE69=AR5,AF69&lt;=AS5),"r1",IF(AND(AE69=AP5,AE69&lt;AR5,AF69&gt;=AQ5),"r1","n"))))</f>
        <v>r1</v>
      </c>
      <c r="AI69" s="164" t="str">
        <f>IF(AH69&lt;&gt;"n",AH69,IF(AND(AE69=AT5,AE69=AV5,AF69&gt;=AU5,AF69&lt;=AW5),"r2",IF(AND(AE69&gt;AT5,AE69&lt;AV5),"r2",IF(AND(AE69&gt;AT5,AE69=AV5,AF69&lt;=AW5),"r2",IF(AND(AE69=AT5,AE69&lt;AV5,AF69&gt;=AU5),"r2","n")))))</f>
        <v>r1</v>
      </c>
      <c r="AJ69" s="164" t="str">
        <f>IF(AI69&lt;&gt;"n",AI69,IF(AND(AE69=AP6,AE69=AR6,AF69&gt;=AQ6,AF69&lt;=AS6),"r1",IF(AND(AE69&gt;AP6,AE69&lt;AR6),"r1",IF(AND(AE69&gt;AP6,AE69=AR6,AF69&lt;=AS6),"r1",IF(AND(AE69=AP6,AE69&lt;AR6,AF69&gt;=AQ6),"r1","n")))))</f>
        <v>r1</v>
      </c>
      <c r="AK69" s="164" t="str">
        <f>IF(AJ69&lt;&gt;"n",AJ69,IF(AND(AE69=AT6,AE69=AV6,AF69&gt;=AU6,AF69&lt;=AW6),"r2",IF(AND(AE69&gt;AT6,AE69&lt;AV6),"r2",IF(AND(AE69&gt;AT6,AE69=AV6,AF69&lt;=AW6),"r2",IF(AND(AE69=AT6,AE69&lt;AV6,AF69&gt;=AU6),"r2","n")))))</f>
        <v>r1</v>
      </c>
      <c r="AL69" s="164" t="str">
        <f>IF(AK69&lt;&gt;"n",AK69,IF(AND(AE69=AP7,AE69=AR7,AF69&gt;=AQ7,AF69&lt;=AS7),"r1",IF(AND(AE69&gt;AP7,AE69&lt;AR7),"r1",IF(AND(AE69&gt;AP7,AE69=AR7,AF69&lt;=AS7),"r1",IF(AND(AE69=AP7,AE69&lt;AR7,AF69&gt;=AQ7),"r1","n")))))</f>
        <v>r1</v>
      </c>
    </row>
    <row r="70" spans="26:38" ht="17.100000000000001" hidden="1" customHeight="1">
      <c r="Z70" s="176">
        <f t="shared" si="11"/>
        <v>2.7999999999995451</v>
      </c>
      <c r="AA70" s="176">
        <f>IF(TRIM(AG70)="","",IF(INDEX(AZ1:AZ51,AC70)=AG70,INDEX(BA1:BA51,AC70),((AG70-INDEX(AZ1:AZ51,AC70))*(INDEX(BA1:BA51,AC70+1)-INDEX(BA1:BA51,AC70)))/(INDEX(AZ1:AZ51,AC70+1)-INDEX(AZ1:AZ51,AC70))+INDEX(BA1:BA51,AC70)))</f>
        <v>2.7999999999995451</v>
      </c>
      <c r="AB70" s="176" t="e">
        <f>IF(TRIM(AG70)="","",IF(INDEX(BD1:BD51,AD70)=AG70,INDEX(BE1:BE51,AD70),((AG70-INDEX(BD1:BD51,AD70))*(INDEX(BE1:BE51,AD70+1)-INDEX(BE1:BE51,AD70)))/(INDEX(BD1:BD51,AD70+1)-INDEX(BD1:BD51,AD70))+INDEX(BE1:BE51,AD70)))</f>
        <v>#N/A</v>
      </c>
      <c r="AC70" s="164">
        <f>MATCH(AG70,AZ1:AZ51,1)</f>
        <v>3</v>
      </c>
      <c r="AD70" s="164" t="e">
        <f>MATCH(AG70,BD1:BD51,1)</f>
        <v>#N/A</v>
      </c>
      <c r="AE70" s="164">
        <v>3</v>
      </c>
      <c r="AF70" s="164">
        <v>8</v>
      </c>
      <c r="AG70" s="179">
        <f>FIXED('HourGH-JUN'!AB18)*1</f>
        <v>337.84</v>
      </c>
      <c r="AH70" s="164" t="str">
        <f>IF(AND(AE70=AP5,AE70=AR5,AF70&gt;=AQ5,AF70&lt;=AS5),"r1",IF(AND(AE70&gt;AP5,AE70&lt;AR5),"r1",IF(AND(AE70&gt;AP5,AE70=AR5,AF70&lt;=AS5),"r1",IF(AND(AE70=AP5,AE70&lt;AR5,AF70&gt;=AQ5),"r1","n"))))</f>
        <v>r1</v>
      </c>
      <c r="AI70" s="164" t="str">
        <f>IF(AH70&lt;&gt;"n",AH70,IF(AND(AE70=AT5,AE70=AV5,AF70&gt;=AU5,AF70&lt;=AW5),"r2",IF(AND(AE70&gt;AT5,AE70&lt;AV5),"r2",IF(AND(AE70&gt;AT5,AE70=AV5,AF70&lt;=AW5),"r2",IF(AND(AE70=AT5,AE70&lt;AV5,AF70&gt;=AU5),"r2","n")))))</f>
        <v>r1</v>
      </c>
      <c r="AJ70" s="164" t="str">
        <f>IF(AI70&lt;&gt;"n",AI70,IF(AND(AE70=AP6,AE70=AR6,AF70&gt;=AQ6,AF70&lt;=AS6),"r1",IF(AND(AE70&gt;AP6,AE70&lt;AR6),"r1",IF(AND(AE70&gt;AP6,AE70=AR6,AF70&lt;=AS6),"r1",IF(AND(AE70=AP6,AE70&lt;AR6,AF70&gt;=AQ6),"r1","n")))))</f>
        <v>r1</v>
      </c>
      <c r="AK70" s="164" t="str">
        <f>IF(AJ70&lt;&gt;"n",AJ70,IF(AND(AE70=AT6,AE70=AV6,AF70&gt;=AU6,AF70&lt;=AW6),"r2",IF(AND(AE70&gt;AT6,AE70&lt;AV6),"r2",IF(AND(AE70&gt;AT6,AE70=AV6,AF70&lt;=AW6),"r2",IF(AND(AE70=AT6,AE70&lt;AV6,AF70&gt;=AU6),"r2","n")))))</f>
        <v>r1</v>
      </c>
      <c r="AL70" s="164" t="str">
        <f>IF(AK70&lt;&gt;"n",AK70,IF(AND(AE70=AP7,AE70=AR7,AF70&gt;=AQ7,AF70&lt;=AS7),"r1",IF(AND(AE70&gt;AP7,AE70&lt;AR7),"r1",IF(AND(AE70&gt;AP7,AE70=AR7,AF70&lt;=AS7),"r1",IF(AND(AE70=AP7,AE70&lt;AR7,AF70&gt;=AQ7),"r1","n")))))</f>
        <v>r1</v>
      </c>
    </row>
    <row r="71" spans="26:38" ht="17.100000000000001" hidden="1" customHeight="1">
      <c r="Z71" s="176">
        <f t="shared" si="11"/>
        <v>2.3999999999997725</v>
      </c>
      <c r="AA71" s="176">
        <f>IF(TRIM(AG71)="","",IF(INDEX(AZ1:AZ51,AC71)=AG71,INDEX(BA1:BA51,AC71),((AG71-INDEX(AZ1:AZ51,AC71))*(INDEX(BA1:BA51,AC71+1)-INDEX(BA1:BA51,AC71)))/(INDEX(AZ1:AZ51,AC71+1)-INDEX(AZ1:AZ51,AC71))+INDEX(BA1:BA51,AC71)))</f>
        <v>2.3999999999997725</v>
      </c>
      <c r="AB71" s="176" t="e">
        <f>IF(TRIM(AG71)="","",IF(INDEX(BD1:BD51,AD71)=AG71,INDEX(BE1:BE51,AD71),((AG71-INDEX(BD1:BD51,AD71))*(INDEX(BE1:BE51,AD71+1)-INDEX(BE1:BE51,AD71)))/(INDEX(BD1:BD51,AD71+1)-INDEX(BD1:BD51,AD71))+INDEX(BE1:BE51,AD71)))</f>
        <v>#N/A</v>
      </c>
      <c r="AC71" s="164">
        <f>MATCH(AG71,AZ1:AZ51,1)</f>
        <v>3</v>
      </c>
      <c r="AD71" s="164" t="e">
        <f>MATCH(AG71,BD1:BD51,1)</f>
        <v>#N/A</v>
      </c>
      <c r="AE71" s="164">
        <v>3</v>
      </c>
      <c r="AF71" s="164">
        <v>9</v>
      </c>
      <c r="AG71" s="179">
        <f>FIXED('HourGH-JUN'!AB19)*1</f>
        <v>337.82</v>
      </c>
      <c r="AH71" s="164" t="str">
        <f>IF(AND(AE71=AP5,AE71=AR5,AF71&gt;=AQ5,AF71&lt;=AS5),"r1",IF(AND(AE71&gt;AP5,AE71&lt;AR5),"r1",IF(AND(AE71&gt;AP5,AE71=AR5,AF71&lt;=AS5),"r1",IF(AND(AE71=AP5,AE71&lt;AR5,AF71&gt;=AQ5),"r1","n"))))</f>
        <v>r1</v>
      </c>
      <c r="AI71" s="164" t="str">
        <f>IF(AH71&lt;&gt;"n",AH71,IF(AND(AE71=AT5,AE71=AV5,AF71&gt;=AU5,AF71&lt;=AW5),"r2",IF(AND(AE71&gt;AT5,AE71&lt;AV5),"r2",IF(AND(AE71&gt;AT5,AE71=AV5,AF71&lt;=AW5),"r2",IF(AND(AE71=AT5,AE71&lt;AV5,AF71&gt;=AU5),"r2","n")))))</f>
        <v>r1</v>
      </c>
      <c r="AJ71" s="164" t="str">
        <f>IF(AI71&lt;&gt;"n",AI71,IF(AND(AE71=AP6,AE71=AR6,AF71&gt;=AQ6,AF71&lt;=AS6),"r1",IF(AND(AE71&gt;AP6,AE71&lt;AR6),"r1",IF(AND(AE71&gt;AP6,AE71=AR6,AF71&lt;=AS6),"r1",IF(AND(AE71=AP6,AE71&lt;AR6,AF71&gt;=AQ6),"r1","n")))))</f>
        <v>r1</v>
      </c>
      <c r="AK71" s="164" t="str">
        <f>IF(AJ71&lt;&gt;"n",AJ71,IF(AND(AE71=AT6,AE71=AV6,AF71&gt;=AU6,AF71&lt;=AW6),"r2",IF(AND(AE71&gt;AT6,AE71&lt;AV6),"r2",IF(AND(AE71&gt;AT6,AE71=AV6,AF71&lt;=AW6),"r2",IF(AND(AE71=AT6,AE71&lt;AV6,AF71&gt;=AU6),"r2","n")))))</f>
        <v>r1</v>
      </c>
      <c r="AL71" s="164" t="str">
        <f>IF(AK71&lt;&gt;"n",AK71,IF(AND(AE71=AP7,AE71=AR7,AF71&gt;=AQ7,AF71&lt;=AS7),"r1",IF(AND(AE71&gt;AP7,AE71&lt;AR7),"r1",IF(AND(AE71&gt;AP7,AE71=AR7,AF71&lt;=AS7),"r1",IF(AND(AE71=AP7,AE71&lt;AR7,AF71&gt;=AQ7),"r1","n")))))</f>
        <v>r1</v>
      </c>
    </row>
    <row r="72" spans="26:38" ht="17.100000000000001" hidden="1" customHeight="1">
      <c r="Z72" s="176">
        <f t="shared" si="11"/>
        <v>1.549999999999659</v>
      </c>
      <c r="AA72" s="176">
        <f>IF(TRIM(AG72)="","",IF(INDEX(AZ1:AZ51,AC72)=AG72,INDEX(BA1:BA51,AC72),((AG72-INDEX(AZ1:AZ51,AC72))*(INDEX(BA1:BA51,AC72+1)-INDEX(BA1:BA51,AC72)))/(INDEX(AZ1:AZ51,AC72+1)-INDEX(AZ1:AZ51,AC72))+INDEX(BA1:BA51,AC72)))</f>
        <v>1.549999999999659</v>
      </c>
      <c r="AB72" s="176" t="e">
        <f>IF(TRIM(AG72)="","",IF(INDEX(BD1:BD51,AD72)=AG72,INDEX(BE1:BE51,AD72),((AG72-INDEX(BD1:BD51,AD72))*(INDEX(BE1:BE51,AD72+1)-INDEX(BE1:BE51,AD72)))/(INDEX(BD1:BD51,AD72+1)-INDEX(BD1:BD51,AD72))+INDEX(BE1:BE51,AD72)))</f>
        <v>#N/A</v>
      </c>
      <c r="AC72" s="164">
        <f>MATCH(AG72,AZ1:AZ51,1)</f>
        <v>2</v>
      </c>
      <c r="AD72" s="164" t="e">
        <f>MATCH(AG72,BD1:BD51,1)</f>
        <v>#N/A</v>
      </c>
      <c r="AE72" s="164">
        <v>3</v>
      </c>
      <c r="AF72" s="164">
        <v>10</v>
      </c>
      <c r="AG72" s="179">
        <f>FIXED('HourGH-JUN'!AB20)*1</f>
        <v>337.77</v>
      </c>
      <c r="AH72" s="164" t="str">
        <f>IF(AND(AE72=AP5,AE72=AR5,AF72&gt;=AQ5,AF72&lt;=AS5),"r1",IF(AND(AE72&gt;AP5,AE72&lt;AR5),"r1",IF(AND(AE72&gt;AP5,AE72=AR5,AF72&lt;=AS5),"r1",IF(AND(AE72=AP5,AE72&lt;AR5,AF72&gt;=AQ5),"r1","n"))))</f>
        <v>r1</v>
      </c>
      <c r="AI72" s="164" t="str">
        <f>IF(AH72&lt;&gt;"n",AH72,IF(AND(AE72=AT5,AE72=AV5,AF72&gt;=AU5,AF72&lt;=AW5),"r2",IF(AND(AE72&gt;AT5,AE72&lt;AV5),"r2",IF(AND(AE72&gt;AT5,AE72=AV5,AF72&lt;=AW5),"r2",IF(AND(AE72=AT5,AE72&lt;AV5,AF72&gt;=AU5),"r2","n")))))</f>
        <v>r1</v>
      </c>
      <c r="AJ72" s="164" t="str">
        <f>IF(AI72&lt;&gt;"n",AI72,IF(AND(AE72=AP6,AE72=AR6,AF72&gt;=AQ6,AF72&lt;=AS6),"r1",IF(AND(AE72&gt;AP6,AE72&lt;AR6),"r1",IF(AND(AE72&gt;AP6,AE72=AR6,AF72&lt;=AS6),"r1",IF(AND(AE72=AP6,AE72&lt;AR6,AF72&gt;=AQ6),"r1","n")))))</f>
        <v>r1</v>
      </c>
      <c r="AK72" s="164" t="str">
        <f>IF(AJ72&lt;&gt;"n",AJ72,IF(AND(AE72=AT6,AE72=AV6,AF72&gt;=AU6,AF72&lt;=AW6),"r2",IF(AND(AE72&gt;AT6,AE72&lt;AV6),"r2",IF(AND(AE72&gt;AT6,AE72=AV6,AF72&lt;=AW6),"r2",IF(AND(AE72=AT6,AE72&lt;AV6,AF72&gt;=AU6),"r2","n")))))</f>
        <v>r1</v>
      </c>
      <c r="AL72" s="164" t="str">
        <f>IF(AK72&lt;&gt;"n",AK72,IF(AND(AE72=AP7,AE72=AR7,AF72&gt;=AQ7,AF72&lt;=AS7),"r1",IF(AND(AE72&gt;AP7,AE72&lt;AR7),"r1",IF(AND(AE72&gt;AP7,AE72=AR7,AF72&lt;=AS7),"r1",IF(AND(AE72=AP7,AE72&lt;AR7,AF72&gt;=AQ7),"r1","n")))))</f>
        <v>r1</v>
      </c>
    </row>
    <row r="73" spans="26:38" ht="17.100000000000001" hidden="1" customHeight="1">
      <c r="Z73" s="176">
        <f t="shared" si="11"/>
        <v>4</v>
      </c>
      <c r="AA73" s="176">
        <f>IF(TRIM(AG73)="","",IF(INDEX(AZ1:AZ51,AC73)=AG73,INDEX(BA1:BA51,AC73),((AG73-INDEX(AZ1:AZ51,AC73))*(INDEX(BA1:BA51,AC73+1)-INDEX(BA1:BA51,AC73)))/(INDEX(AZ1:AZ51,AC73+1)-INDEX(AZ1:AZ51,AC73))+INDEX(BA1:BA51,AC73)))</f>
        <v>4</v>
      </c>
      <c r="AB73" s="176" t="e">
        <f>IF(TRIM(AG73)="","",IF(INDEX(BD1:BD51,AD73)=AG73,INDEX(BE1:BE51,AD73),((AG73-INDEX(BD1:BD51,AD73))*(INDEX(BE1:BE51,AD73+1)-INDEX(BE1:BE51,AD73)))/(INDEX(BD1:BD51,AD73+1)-INDEX(BD1:BD51,AD73))+INDEX(BE1:BE51,AD73)))</f>
        <v>#N/A</v>
      </c>
      <c r="AC73" s="164">
        <f>MATCH(AG73,AZ1:AZ51,1)</f>
        <v>4</v>
      </c>
      <c r="AD73" s="164" t="e">
        <f>MATCH(AG73,BD1:BD51,1)</f>
        <v>#N/A</v>
      </c>
      <c r="AE73" s="164">
        <v>3</v>
      </c>
      <c r="AF73" s="164">
        <v>11</v>
      </c>
      <c r="AG73" s="179">
        <f>FIXED('HourGH-JUN'!AB22)*1</f>
        <v>337.9</v>
      </c>
      <c r="AH73" s="164" t="str">
        <f>IF(AND(AE73=AP5,AE73=AR5,AF73&gt;=AQ5,AF73&lt;=AS5),"r1",IF(AND(AE73&gt;AP5,AE73&lt;AR5),"r1",IF(AND(AE73&gt;AP5,AE73=AR5,AF73&lt;=AS5),"r1",IF(AND(AE73=AP5,AE73&lt;AR5,AF73&gt;=AQ5),"r1","n"))))</f>
        <v>r1</v>
      </c>
      <c r="AI73" s="164" t="str">
        <f>IF(AH73&lt;&gt;"n",AH73,IF(AND(AE73=AT5,AE73=AV5,AF73&gt;=AU5,AF73&lt;=AW5),"r2",IF(AND(AE73&gt;AT5,AE73&lt;AV5),"r2",IF(AND(AE73&gt;AT5,AE73=AV5,AF73&lt;=AW5),"r2",IF(AND(AE73=AT5,AE73&lt;AV5,AF73&gt;=AU5),"r2","n")))))</f>
        <v>r1</v>
      </c>
      <c r="AJ73" s="164" t="str">
        <f>IF(AI73&lt;&gt;"n",AI73,IF(AND(AE73=AP6,AE73=AR6,AF73&gt;=AQ6,AF73&lt;=AS6),"r1",IF(AND(AE73&gt;AP6,AE73&lt;AR6),"r1",IF(AND(AE73&gt;AP6,AE73=AR6,AF73&lt;=AS6),"r1",IF(AND(AE73=AP6,AE73&lt;AR6,AF73&gt;=AQ6),"r1","n")))))</f>
        <v>r1</v>
      </c>
      <c r="AK73" s="164" t="str">
        <f>IF(AJ73&lt;&gt;"n",AJ73,IF(AND(AE73=AT6,AE73=AV6,AF73&gt;=AU6,AF73&lt;=AW6),"r2",IF(AND(AE73&gt;AT6,AE73&lt;AV6),"r2",IF(AND(AE73&gt;AT6,AE73=AV6,AF73&lt;=AW6),"r2",IF(AND(AE73=AT6,AE73&lt;AV6,AF73&gt;=AU6),"r2","n")))))</f>
        <v>r1</v>
      </c>
      <c r="AL73" s="164" t="str">
        <f>IF(AK73&lt;&gt;"n",AK73,IF(AND(AE73=AP7,AE73=AR7,AF73&gt;=AQ7,AF73&lt;=AS7),"r1",IF(AND(AE73&gt;AP7,AE73&lt;AR7),"r1",IF(AND(AE73&gt;AP7,AE73=AR7,AF73&lt;=AS7),"r1",IF(AND(AE73=AP7,AE73&lt;AR7,AF73&gt;=AQ7),"r1","n")))))</f>
        <v>r1</v>
      </c>
    </row>
    <row r="74" spans="26:38" ht="17.100000000000001" hidden="1" customHeight="1">
      <c r="Z74" s="176">
        <f t="shared" si="11"/>
        <v>16.149999999999871</v>
      </c>
      <c r="AA74" s="176">
        <f>IF(TRIM(AG74)="","",IF(INDEX(AZ1:AZ51,AC74)=AG74,INDEX(BA1:BA51,AC74),((AG74-INDEX(AZ1:AZ51,AC74))*(INDEX(BA1:BA51,AC74+1)-INDEX(BA1:BA51,AC74)))/(INDEX(AZ1:AZ51,AC74+1)-INDEX(AZ1:AZ51,AC74))+INDEX(BA1:BA51,AC74)))</f>
        <v>16.149999999999871</v>
      </c>
      <c r="AB74" s="176" t="e">
        <f>IF(TRIM(AG74)="","",IF(INDEX(BD1:BD51,AD74)=AG74,INDEX(BE1:BE51,AD74),((AG74-INDEX(BD1:BD51,AD74))*(INDEX(BE1:BE51,AD74+1)-INDEX(BE1:BE51,AD74)))/(INDEX(BD1:BD51,AD74+1)-INDEX(BD1:BD51,AD74))+INDEX(BE1:BE51,AD74)))</f>
        <v>#N/A</v>
      </c>
      <c r="AC74" s="164">
        <f>MATCH(AG74,AZ1:AZ51,1)</f>
        <v>6</v>
      </c>
      <c r="AD74" s="164" t="e">
        <f>MATCH(AG74,BD1:BD51,1)</f>
        <v>#N/A</v>
      </c>
      <c r="AE74" s="164">
        <v>3</v>
      </c>
      <c r="AF74" s="164">
        <v>12</v>
      </c>
      <c r="AG74" s="179">
        <f>FIXED('HourGH-JUN'!AB23)*1</f>
        <v>338.27</v>
      </c>
      <c r="AH74" s="164" t="str">
        <f>IF(AND(AE74=AP5,AE74=AR5,AF74&gt;=AQ5,AF74&lt;=AS5),"r1",IF(AND(AE74&gt;AP5,AE74&lt;AR5),"r1",IF(AND(AE74&gt;AP5,AE74=AR5,AF74&lt;=AS5),"r1",IF(AND(AE74=AP5,AE74&lt;AR5,AF74&gt;=AQ5),"r1","n"))))</f>
        <v>r1</v>
      </c>
      <c r="AI74" s="164" t="str">
        <f>IF(AH74&lt;&gt;"n",AH74,IF(AND(AE74=AT5,AE74=AV5,AF74&gt;=AU5,AF74&lt;=AW5),"r2",IF(AND(AE74&gt;AT5,AE74&lt;AV5),"r2",IF(AND(AE74&gt;AT5,AE74=AV5,AF74&lt;=AW5),"r2",IF(AND(AE74=AT5,AE74&lt;AV5,AF74&gt;=AU5),"r2","n")))))</f>
        <v>r1</v>
      </c>
      <c r="AJ74" s="164" t="str">
        <f>IF(AI74&lt;&gt;"n",AI74,IF(AND(AE74=AP6,AE74=AR6,AF74&gt;=AQ6,AF74&lt;=AS6),"r1",IF(AND(AE74&gt;AP6,AE74&lt;AR6),"r1",IF(AND(AE74&gt;AP6,AE74=AR6,AF74&lt;=AS6),"r1",IF(AND(AE74=AP6,AE74&lt;AR6,AF74&gt;=AQ6),"r1","n")))))</f>
        <v>r1</v>
      </c>
      <c r="AK74" s="164" t="str">
        <f>IF(AJ74&lt;&gt;"n",AJ74,IF(AND(AE74=AT6,AE74=AV6,AF74&gt;=AU6,AF74&lt;=AW6),"r2",IF(AND(AE74&gt;AT6,AE74&lt;AV6),"r2",IF(AND(AE74&gt;AT6,AE74=AV6,AF74&lt;=AW6),"r2",IF(AND(AE74=AT6,AE74&lt;AV6,AF74&gt;=AU6),"r2","n")))))</f>
        <v>r1</v>
      </c>
      <c r="AL74" s="164" t="str">
        <f>IF(AK74&lt;&gt;"n",AK74,IF(AND(AE74=AP7,AE74=AR7,AF74&gt;=AQ7,AF74&lt;=AS7),"r1",IF(AND(AE74&gt;AP7,AE74&lt;AR7),"r1",IF(AND(AE74&gt;AP7,AE74=AR7,AF74&lt;=AS7),"r1",IF(AND(AE74=AP7,AE74&lt;AR7,AF74&gt;=AQ7),"r1","n")))))</f>
        <v>r1</v>
      </c>
    </row>
    <row r="75" spans="26:38" ht="17.100000000000001" hidden="1" customHeight="1">
      <c r="Z75" s="176">
        <f t="shared" si="11"/>
        <v>6.8249999999997231</v>
      </c>
      <c r="AA75" s="176">
        <f>IF(TRIM(AG75)="","",IF(INDEX(AZ1:AZ51,AC75)=AG75,INDEX(BA1:BA51,AC75),((AG75-INDEX(AZ1:AZ51,AC75))*(INDEX(BA1:BA51,AC75+1)-INDEX(BA1:BA51,AC75)))/(INDEX(AZ1:AZ51,AC75+1)-INDEX(AZ1:AZ51,AC75))+INDEX(BA1:BA51,AC75)))</f>
        <v>6.8249999999997231</v>
      </c>
      <c r="AB75" s="176" t="e">
        <f>IF(TRIM(AG75)="","",IF(INDEX(BD1:BD51,AD75)=AG75,INDEX(BE1:BE51,AD75),((AG75-INDEX(BD1:BD51,AD75))*(INDEX(BE1:BE51,AD75+1)-INDEX(BE1:BE51,AD75)))/(INDEX(BD1:BD51,AD75+1)-INDEX(BD1:BD51,AD75))+INDEX(BE1:BE51,AD75)))</f>
        <v>#N/A</v>
      </c>
      <c r="AC75" s="164">
        <f>MATCH(AG75,AZ1:AZ51,1)</f>
        <v>5</v>
      </c>
      <c r="AD75" s="164" t="e">
        <f>MATCH(AG75,BD1:BD51,1)</f>
        <v>#N/A</v>
      </c>
      <c r="AE75" s="164">
        <v>3</v>
      </c>
      <c r="AF75" s="164">
        <v>13</v>
      </c>
      <c r="AG75" s="179">
        <f>FIXED('HourGH-JUN'!AB24)*1</f>
        <v>338.01</v>
      </c>
      <c r="AH75" s="164" t="str">
        <f>IF(AND(AE75=AP5,AE75=AR5,AF75&gt;=AQ5,AF75&lt;=AS5),"r1",IF(AND(AE75&gt;AP5,AE75&lt;AR5),"r1",IF(AND(AE75&gt;AP5,AE75=AR5,AF75&lt;=AS5),"r1",IF(AND(AE75=AP5,AE75&lt;AR5,AF75&gt;=AQ5),"r1","n"))))</f>
        <v>r1</v>
      </c>
      <c r="AI75" s="164" t="str">
        <f>IF(AH75&lt;&gt;"n",AH75,IF(AND(AE75=AT5,AE75=AV5,AF75&gt;=AU5,AF75&lt;=AW5),"r2",IF(AND(AE75&gt;AT5,AE75&lt;AV5),"r2",IF(AND(AE75&gt;AT5,AE75=AV5,AF75&lt;=AW5),"r2",IF(AND(AE75=AT5,AE75&lt;AV5,AF75&gt;=AU5),"r2","n")))))</f>
        <v>r1</v>
      </c>
      <c r="AJ75" s="164" t="str">
        <f>IF(AI75&lt;&gt;"n",AI75,IF(AND(AE75=AP6,AE75=AR6,AF75&gt;=AQ6,AF75&lt;=AS6),"r1",IF(AND(AE75&gt;AP6,AE75&lt;AR6),"r1",IF(AND(AE75&gt;AP6,AE75=AR6,AF75&lt;=AS6),"r1",IF(AND(AE75=AP6,AE75&lt;AR6,AF75&gt;=AQ6),"r1","n")))))</f>
        <v>r1</v>
      </c>
      <c r="AK75" s="164" t="str">
        <f>IF(AJ75&lt;&gt;"n",AJ75,IF(AND(AE75=AT6,AE75=AV6,AF75&gt;=AU6,AF75&lt;=AW6),"r2",IF(AND(AE75&gt;AT6,AE75&lt;AV6),"r2",IF(AND(AE75&gt;AT6,AE75=AV6,AF75&lt;=AW6),"r2",IF(AND(AE75=AT6,AE75&lt;AV6,AF75&gt;=AU6),"r2","n")))))</f>
        <v>r1</v>
      </c>
      <c r="AL75" s="164" t="str">
        <f>IF(AK75&lt;&gt;"n",AK75,IF(AND(AE75=AP7,AE75=AR7,AF75&gt;=AQ7,AF75&lt;=AS7),"r1",IF(AND(AE75&gt;AP7,AE75&lt;AR7),"r1",IF(AND(AE75&gt;AP7,AE75=AR7,AF75&lt;=AS7),"r1",IF(AND(AE75=AP7,AE75&lt;AR7,AF75&gt;=AQ7),"r1","n")))))</f>
        <v>r1</v>
      </c>
    </row>
    <row r="76" spans="26:38" ht="17.100000000000001" hidden="1" customHeight="1">
      <c r="Z76" s="176">
        <f t="shared" si="11"/>
        <v>3.6000000000002275</v>
      </c>
      <c r="AA76" s="176">
        <f>IF(TRIM(AG76)="","",IF(INDEX(AZ1:AZ51,AC76)=AG76,INDEX(BA1:BA51,AC76),((AG76-INDEX(AZ1:AZ51,AC76))*(INDEX(BA1:BA51,AC76+1)-INDEX(BA1:BA51,AC76)))/(INDEX(AZ1:AZ51,AC76+1)-INDEX(AZ1:AZ51,AC76))+INDEX(BA1:BA51,AC76)))</f>
        <v>3.6000000000002275</v>
      </c>
      <c r="AB76" s="176" t="e">
        <f>IF(TRIM(AG76)="","",IF(INDEX(BD1:BD51,AD76)=AG76,INDEX(BE1:BE51,AD76),((AG76-INDEX(BD1:BD51,AD76))*(INDEX(BE1:BE51,AD76+1)-INDEX(BE1:BE51,AD76)))/(INDEX(BD1:BD51,AD76+1)-INDEX(BD1:BD51,AD76))+INDEX(BE1:BE51,AD76)))</f>
        <v>#N/A</v>
      </c>
      <c r="AC76" s="164">
        <f>MATCH(AG76,AZ1:AZ51,1)</f>
        <v>3</v>
      </c>
      <c r="AD76" s="164" t="e">
        <f>MATCH(AG76,BD1:BD51,1)</f>
        <v>#N/A</v>
      </c>
      <c r="AE76" s="164">
        <v>3</v>
      </c>
      <c r="AF76" s="164">
        <v>14</v>
      </c>
      <c r="AG76" s="179">
        <f>FIXED('HourGH-JUN'!AB25)*1</f>
        <v>337.88</v>
      </c>
      <c r="AH76" s="164" t="str">
        <f>IF(AND(AE76=AP5,AE76=AR5,AF76&gt;=AQ5,AF76&lt;=AS5),"r1",IF(AND(AE76&gt;AP5,AE76&lt;AR5),"r1",IF(AND(AE76&gt;AP5,AE76=AR5,AF76&lt;=AS5),"r1",IF(AND(AE76=AP5,AE76&lt;AR5,AF76&gt;=AQ5),"r1","n"))))</f>
        <v>r1</v>
      </c>
      <c r="AI76" s="164" t="str">
        <f>IF(AH76&lt;&gt;"n",AH76,IF(AND(AE76=AT5,AE76=AV5,AF76&gt;=AU5,AF76&lt;=AW5),"r2",IF(AND(AE76&gt;AT5,AE76&lt;AV5),"r2",IF(AND(AE76&gt;AT5,AE76=AV5,AF76&lt;=AW5),"r2",IF(AND(AE76=AT5,AE76&lt;AV5,AF76&gt;=AU5),"r2","n")))))</f>
        <v>r1</v>
      </c>
      <c r="AJ76" s="164" t="str">
        <f>IF(AI76&lt;&gt;"n",AI76,IF(AND(AE76=AP6,AE76=AR6,AF76&gt;=AQ6,AF76&lt;=AS6),"r1",IF(AND(AE76&gt;AP6,AE76&lt;AR6),"r1",IF(AND(AE76&gt;AP6,AE76=AR6,AF76&lt;=AS6),"r1",IF(AND(AE76=AP6,AE76&lt;AR6,AF76&gt;=AQ6),"r1","n")))))</f>
        <v>r1</v>
      </c>
      <c r="AK76" s="164" t="str">
        <f>IF(AJ76&lt;&gt;"n",AJ76,IF(AND(AE76=AT6,AE76=AV6,AF76&gt;=AU6,AF76&lt;=AW6),"r2",IF(AND(AE76&gt;AT6,AE76&lt;AV6),"r2",IF(AND(AE76&gt;AT6,AE76=AV6,AF76&lt;=AW6),"r2",IF(AND(AE76=AT6,AE76&lt;AV6,AF76&gt;=AU6),"r2","n")))))</f>
        <v>r1</v>
      </c>
      <c r="AL76" s="164" t="str">
        <f>IF(AK76&lt;&gt;"n",AK76,IF(AND(AE76=AP7,AE76=AR7,AF76&gt;=AQ7,AF76&lt;=AS7),"r1",IF(AND(AE76&gt;AP7,AE76&lt;AR7),"r1",IF(AND(AE76&gt;AP7,AE76=AR7,AF76&lt;=AS7),"r1",IF(AND(AE76=AP7,AE76&lt;AR7,AF76&gt;=AQ7),"r1","n")))))</f>
        <v>r1</v>
      </c>
    </row>
    <row r="77" spans="26:38" ht="17.100000000000001" hidden="1" customHeight="1">
      <c r="Z77" s="176">
        <f t="shared" si="11"/>
        <v>2.3999999999997725</v>
      </c>
      <c r="AA77" s="176">
        <f>IF(TRIM(AG77)="","",IF(INDEX(AZ1:AZ51,AC77)=AG77,INDEX(BA1:BA51,AC77),((AG77-INDEX(AZ1:AZ51,AC77))*(INDEX(BA1:BA51,AC77+1)-INDEX(BA1:BA51,AC77)))/(INDEX(AZ1:AZ51,AC77+1)-INDEX(AZ1:AZ51,AC77))+INDEX(BA1:BA51,AC77)))</f>
        <v>2.3999999999997725</v>
      </c>
      <c r="AB77" s="176" t="e">
        <f>IF(TRIM(AG77)="","",IF(INDEX(BD1:BD51,AD77)=AG77,INDEX(BE1:BE51,AD77),((AG77-INDEX(BD1:BD51,AD77))*(INDEX(BE1:BE51,AD77+1)-INDEX(BE1:BE51,AD77)))/(INDEX(BD1:BD51,AD77+1)-INDEX(BD1:BD51,AD77))+INDEX(BE1:BE51,AD77)))</f>
        <v>#N/A</v>
      </c>
      <c r="AC77" s="164">
        <f>MATCH(AG77,AZ1:AZ51,1)</f>
        <v>3</v>
      </c>
      <c r="AD77" s="164" t="e">
        <f>MATCH(AG77,BD1:BD51,1)</f>
        <v>#N/A</v>
      </c>
      <c r="AE77" s="164">
        <v>3</v>
      </c>
      <c r="AF77" s="164">
        <v>15</v>
      </c>
      <c r="AG77" s="179">
        <f>FIXED('HourGH-JUN'!AB26)*1</f>
        <v>337.82</v>
      </c>
      <c r="AH77" s="164" t="str">
        <f>IF(AND(AE77=AP5,AE77=AR5,AF77&gt;=AQ5,AF77&lt;=AS5),"r1",IF(AND(AE77&gt;AP5,AE77&lt;AR5),"r1",IF(AND(AE77&gt;AP5,AE77=AR5,AF77&lt;=AS5),"r1",IF(AND(AE77=AP5,AE77&lt;AR5,AF77&gt;=AQ5),"r1","n"))))</f>
        <v>r1</v>
      </c>
      <c r="AI77" s="164" t="str">
        <f>IF(AH77&lt;&gt;"n",AH77,IF(AND(AE77=AT5,AE77=AV5,AF77&gt;=AU5,AF77&lt;=AW5),"r2",IF(AND(AE77&gt;AT5,AE77&lt;AV5),"r2",IF(AND(AE77&gt;AT5,AE77=AV5,AF77&lt;=AW5),"r2",IF(AND(AE77=AT5,AE77&lt;AV5,AF77&gt;=AU5),"r2","n")))))</f>
        <v>r1</v>
      </c>
      <c r="AJ77" s="164" t="str">
        <f>IF(AI77&lt;&gt;"n",AI77,IF(AND(AE77=AP6,AE77=AR6,AF77&gt;=AQ6,AF77&lt;=AS6),"r1",IF(AND(AE77&gt;AP6,AE77&lt;AR6),"r1",IF(AND(AE77&gt;AP6,AE77=AR6,AF77&lt;=AS6),"r1",IF(AND(AE77=AP6,AE77&lt;AR6,AF77&gt;=AQ6),"r1","n")))))</f>
        <v>r1</v>
      </c>
      <c r="AK77" s="164" t="str">
        <f>IF(AJ77&lt;&gt;"n",AJ77,IF(AND(AE77=AT6,AE77=AV6,AF77&gt;=AU6,AF77&lt;=AW6),"r2",IF(AND(AE77&gt;AT6,AE77&lt;AV6),"r2",IF(AND(AE77&gt;AT6,AE77=AV6,AF77&lt;=AW6),"r2",IF(AND(AE77=AT6,AE77&lt;AV6,AF77&gt;=AU6),"r2","n")))))</f>
        <v>r1</v>
      </c>
      <c r="AL77" s="164" t="str">
        <f>IF(AK77&lt;&gt;"n",AK77,IF(AND(AE77=AP7,AE77=AR7,AF77&gt;=AQ7,AF77&lt;=AS7),"r1",IF(AND(AE77&gt;AP7,AE77&lt;AR7),"r1",IF(AND(AE77&gt;AP7,AE77=AR7,AF77&lt;=AS7),"r1",IF(AND(AE77=AP7,AE77&lt;AR7,AF77&gt;=AQ7),"r1","n")))))</f>
        <v>r1</v>
      </c>
    </row>
    <row r="78" spans="26:38" ht="17.100000000000001" hidden="1" customHeight="1">
      <c r="Z78" s="176">
        <f t="shared" si="11"/>
        <v>2</v>
      </c>
      <c r="AA78" s="176">
        <f>IF(TRIM(AG78)="","",IF(INDEX(AZ1:AZ51,AC78)=AG78,INDEX(BA1:BA51,AC78),((AG78-INDEX(AZ1:AZ51,AC78))*(INDEX(BA1:BA51,AC78+1)-INDEX(BA1:BA51,AC78)))/(INDEX(AZ1:AZ51,AC78+1)-INDEX(AZ1:AZ51,AC78))+INDEX(BA1:BA51,AC78)))</f>
        <v>2</v>
      </c>
      <c r="AB78" s="176" t="e">
        <f>IF(TRIM(AG78)="","",IF(INDEX(BD1:BD51,AD78)=AG78,INDEX(BE1:BE51,AD78),((AG78-INDEX(BD1:BD51,AD78))*(INDEX(BE1:BE51,AD78+1)-INDEX(BE1:BE51,AD78)))/(INDEX(BD1:BD51,AD78+1)-INDEX(BD1:BD51,AD78))+INDEX(BE1:BE51,AD78)))</f>
        <v>#N/A</v>
      </c>
      <c r="AC78" s="164">
        <f>MATCH(AG78,AZ1:AZ51,1)</f>
        <v>3</v>
      </c>
      <c r="AD78" s="164" t="e">
        <f>MATCH(AG78,BD1:BD51,1)</f>
        <v>#N/A</v>
      </c>
      <c r="AE78" s="164">
        <v>3</v>
      </c>
      <c r="AF78" s="164">
        <v>16</v>
      </c>
      <c r="AG78" s="179">
        <f>FIXED('HourGH-JUN'!AB27)*1</f>
        <v>337.8</v>
      </c>
      <c r="AH78" s="164" t="str">
        <f>IF(AND(AE78=AP5,AE78=AR5,AF78&gt;=AQ5,AF78&lt;=AS5),"r1",IF(AND(AE78&gt;AP5,AE78&lt;AR5),"r1",IF(AND(AE78&gt;AP5,AE78=AR5,AF78&lt;=AS5),"r1",IF(AND(AE78=AP5,AE78&lt;AR5,AF78&gt;=AQ5),"r1","n"))))</f>
        <v>r1</v>
      </c>
      <c r="AI78" s="164" t="str">
        <f>IF(AH78&lt;&gt;"n",AH78,IF(AND(AE78=AT5,AE78=AV5,AF78&gt;=AU5,AF78&lt;=AW5),"r2",IF(AND(AE78&gt;AT5,AE78&lt;AV5),"r2",IF(AND(AE78&gt;AT5,AE78=AV5,AF78&lt;=AW5),"r2",IF(AND(AE78=AT5,AE78&lt;AV5,AF78&gt;=AU5),"r2","n")))))</f>
        <v>r1</v>
      </c>
      <c r="AJ78" s="164" t="str">
        <f>IF(AI78&lt;&gt;"n",AI78,IF(AND(AE78=AP6,AE78=AR6,AF78&gt;=AQ6,AF78&lt;=AS6),"r1",IF(AND(AE78&gt;AP6,AE78&lt;AR6),"r1",IF(AND(AE78&gt;AP6,AE78=AR6,AF78&lt;=AS6),"r1",IF(AND(AE78=AP6,AE78&lt;AR6,AF78&gt;=AQ6),"r1","n")))))</f>
        <v>r1</v>
      </c>
      <c r="AK78" s="164" t="str">
        <f>IF(AJ78&lt;&gt;"n",AJ78,IF(AND(AE78=AT6,AE78=AV6,AF78&gt;=AU6,AF78&lt;=AW6),"r2",IF(AND(AE78&gt;AT6,AE78&lt;AV6),"r2",IF(AND(AE78&gt;AT6,AE78=AV6,AF78&lt;=AW6),"r2",IF(AND(AE78=AT6,AE78&lt;AV6,AF78&gt;=AU6),"r2","n")))))</f>
        <v>r1</v>
      </c>
      <c r="AL78" s="164" t="str">
        <f>IF(AK78&lt;&gt;"n",AK78,IF(AND(AE78=AP7,AE78=AR7,AF78&gt;=AQ7,AF78&lt;=AS7),"r1",IF(AND(AE78&gt;AP7,AE78&lt;AR7),"r1",IF(AND(AE78&gt;AP7,AE78=AR7,AF78&lt;=AS7),"r1",IF(AND(AE78=AP7,AE78&lt;AR7,AF78&gt;=AQ7),"r1","n")))))</f>
        <v>r1</v>
      </c>
    </row>
    <row r="79" spans="26:38" ht="17.100000000000001" hidden="1" customHeight="1">
      <c r="Z79" s="176">
        <f t="shared" si="11"/>
        <v>2</v>
      </c>
      <c r="AA79" s="176">
        <f>IF(TRIM(AG79)="","",IF(INDEX(AZ1:AZ51,AC79)=AG79,INDEX(BA1:BA51,AC79),((AG79-INDEX(AZ1:AZ51,AC79))*(INDEX(BA1:BA51,AC79+1)-INDEX(BA1:BA51,AC79)))/(INDEX(AZ1:AZ51,AC79+1)-INDEX(AZ1:AZ51,AC79))+INDEX(BA1:BA51,AC79)))</f>
        <v>2</v>
      </c>
      <c r="AB79" s="176" t="e">
        <f>IF(TRIM(AG79)="","",IF(INDEX(BD1:BD51,AD79)=AG79,INDEX(BE1:BE51,AD79),((AG79-INDEX(BD1:BD51,AD79))*(INDEX(BE1:BE51,AD79+1)-INDEX(BE1:BE51,AD79)))/(INDEX(BD1:BD51,AD79+1)-INDEX(BD1:BD51,AD79))+INDEX(BE1:BE51,AD79)))</f>
        <v>#N/A</v>
      </c>
      <c r="AC79" s="164">
        <f>MATCH(AG79,AZ1:AZ51,1)</f>
        <v>3</v>
      </c>
      <c r="AD79" s="164" t="e">
        <f>MATCH(AG79,BD1:BD51,1)</f>
        <v>#N/A</v>
      </c>
      <c r="AE79" s="164">
        <v>3</v>
      </c>
      <c r="AF79" s="164">
        <v>17</v>
      </c>
      <c r="AG79" s="179">
        <f>FIXED('HourGH-JUN'!AB28)*1</f>
        <v>337.8</v>
      </c>
      <c r="AH79" s="164" t="str">
        <f>IF(AND(AE79=AP5,AE79=AR5,AF79&gt;=AQ5,AF79&lt;=AS5),"r1",IF(AND(AE79&gt;AP5,AE79&lt;AR5),"r1",IF(AND(AE79&gt;AP5,AE79=AR5,AF79&lt;=AS5),"r1",IF(AND(AE79=AP5,AE79&lt;AR5,AF79&gt;=AQ5),"r1","n"))))</f>
        <v>r1</v>
      </c>
      <c r="AI79" s="164" t="str">
        <f>IF(AH79&lt;&gt;"n",AH79,IF(AND(AE79=AT5,AE79=AV5,AF79&gt;=AU5,AF79&lt;=AW5),"r2",IF(AND(AE79&gt;AT5,AE79&lt;AV5),"r2",IF(AND(AE79&gt;AT5,AE79=AV5,AF79&lt;=AW5),"r2",IF(AND(AE79=AT5,AE79&lt;AV5,AF79&gt;=AU5),"r2","n")))))</f>
        <v>r1</v>
      </c>
      <c r="AJ79" s="164" t="str">
        <f>IF(AI79&lt;&gt;"n",AI79,IF(AND(AE79=AP6,AE79=AR6,AF79&gt;=AQ6,AF79&lt;=AS6),"r1",IF(AND(AE79&gt;AP6,AE79&lt;AR6),"r1",IF(AND(AE79&gt;AP6,AE79=AR6,AF79&lt;=AS6),"r1",IF(AND(AE79=AP6,AE79&lt;AR6,AF79&gt;=AQ6),"r1","n")))))</f>
        <v>r1</v>
      </c>
      <c r="AK79" s="164" t="str">
        <f>IF(AJ79&lt;&gt;"n",AJ79,IF(AND(AE79=AT6,AE79=AV6,AF79&gt;=AU6,AF79&lt;=AW6),"r2",IF(AND(AE79&gt;AT6,AE79&lt;AV6),"r2",IF(AND(AE79&gt;AT6,AE79=AV6,AF79&lt;=AW6),"r2",IF(AND(AE79=AT6,AE79&lt;AV6,AF79&gt;=AU6),"r2","n")))))</f>
        <v>r1</v>
      </c>
      <c r="AL79" s="164" t="str">
        <f>IF(AK79&lt;&gt;"n",AK79,IF(AND(AE79=AP7,AE79=AR7,AF79&gt;=AQ7,AF79&lt;=AS7),"r1",IF(AND(AE79&gt;AP7,AE79&lt;AR7),"r1",IF(AND(AE79&gt;AP7,AE79=AR7,AF79&lt;=AS7),"r1",IF(AND(AE79=AP7,AE79&lt;AR7,AF79&gt;=AQ7),"r1","n")))))</f>
        <v>r1</v>
      </c>
    </row>
    <row r="80" spans="26:38" ht="17.100000000000001" hidden="1" customHeight="1">
      <c r="Z80" s="176">
        <f t="shared" si="11"/>
        <v>2.1999999999998865</v>
      </c>
      <c r="AA80" s="176">
        <f>IF(TRIM(AG80)="","",IF(INDEX(AZ1:AZ51,AC80)=AG80,INDEX(BA1:BA51,AC80),((AG80-INDEX(AZ1:AZ51,AC80))*(INDEX(BA1:BA51,AC80+1)-INDEX(BA1:BA51,AC80)))/(INDEX(AZ1:AZ51,AC80+1)-INDEX(AZ1:AZ51,AC80))+INDEX(BA1:BA51,AC80)))</f>
        <v>2.1999999999998865</v>
      </c>
      <c r="AB80" s="176" t="e">
        <f>IF(TRIM(AG80)="","",IF(INDEX(BD1:BD51,AD80)=AG80,INDEX(BE1:BE51,AD80),((AG80-INDEX(BD1:BD51,AD80))*(INDEX(BE1:BE51,AD80+1)-INDEX(BE1:BE51,AD80)))/(INDEX(BD1:BD51,AD80+1)-INDEX(BD1:BD51,AD80))+INDEX(BE1:BE51,AD80)))</f>
        <v>#N/A</v>
      </c>
      <c r="AC80" s="164">
        <f>MATCH(AG80,AZ1:AZ51,1)</f>
        <v>3</v>
      </c>
      <c r="AD80" s="164" t="e">
        <f>MATCH(AG80,BD1:BD51,1)</f>
        <v>#N/A</v>
      </c>
      <c r="AE80" s="164">
        <v>3</v>
      </c>
      <c r="AF80" s="164">
        <v>18</v>
      </c>
      <c r="AG80" s="179">
        <f>FIXED('HourGH-JUN'!AB29)*1</f>
        <v>337.81</v>
      </c>
      <c r="AH80" s="164" t="str">
        <f>IF(AND(AE80=AP5,AE80=AR5,AF80&gt;=AQ5,AF80&lt;=AS5),"r1",IF(AND(AE80&gt;AP5,AE80&lt;AR5),"r1",IF(AND(AE80&gt;AP5,AE80=AR5,AF80&lt;=AS5),"r1",IF(AND(AE80=AP5,AE80&lt;AR5,AF80&gt;=AQ5),"r1","n"))))</f>
        <v>r1</v>
      </c>
      <c r="AI80" s="164" t="str">
        <f>IF(AH80&lt;&gt;"n",AH80,IF(AND(AE80=AT5,AE80=AV5,AF80&gt;=AU5,AF80&lt;=AW5),"r2",IF(AND(AE80&gt;AT5,AE80&lt;AV5),"r2",IF(AND(AE80&gt;AT5,AE80=AV5,AF80&lt;=AW5),"r2",IF(AND(AE80=AT5,AE80&lt;AV5,AF80&gt;=AU5),"r2","n")))))</f>
        <v>r1</v>
      </c>
      <c r="AJ80" s="164" t="str">
        <f>IF(AI80&lt;&gt;"n",AI80,IF(AND(AE80=AP6,AE80=AR6,AF80&gt;=AQ6,AF80&lt;=AS6),"r1",IF(AND(AE80&gt;AP6,AE80&lt;AR6),"r1",IF(AND(AE80&gt;AP6,AE80=AR6,AF80&lt;=AS6),"r1",IF(AND(AE80=AP6,AE80&lt;AR6,AF80&gt;=AQ6),"r1","n")))))</f>
        <v>r1</v>
      </c>
      <c r="AK80" s="164" t="str">
        <f>IF(AJ80&lt;&gt;"n",AJ80,IF(AND(AE80=AT6,AE80=AV6,AF80&gt;=AU6,AF80&lt;=AW6),"r2",IF(AND(AE80&gt;AT6,AE80&lt;AV6),"r2",IF(AND(AE80&gt;AT6,AE80=AV6,AF80&lt;=AW6),"r2",IF(AND(AE80=AT6,AE80&lt;AV6,AF80&gt;=AU6),"r2","n")))))</f>
        <v>r1</v>
      </c>
      <c r="AL80" s="164" t="str">
        <f>IF(AK80&lt;&gt;"n",AK80,IF(AND(AE80=AP7,AE80=AR7,AF80&gt;=AQ7,AF80&lt;=AS7),"r1",IF(AND(AE80&gt;AP7,AE80&lt;AR7),"r1",IF(AND(AE80&gt;AP7,AE80=AR7,AF80&lt;=AS7),"r1",IF(AND(AE80=AP7,AE80&lt;AR7,AF80&gt;=AQ7),"r1","n")))))</f>
        <v>r1</v>
      </c>
    </row>
    <row r="81" spans="26:38" ht="17.100000000000001" hidden="1" customHeight="1">
      <c r="Z81" s="176">
        <f t="shared" si="11"/>
        <v>2.1999999999998865</v>
      </c>
      <c r="AA81" s="176">
        <f>IF(TRIM(AG81)="","",IF(INDEX(AZ1:AZ51,AC81)=AG81,INDEX(BA1:BA51,AC81),((AG81-INDEX(AZ1:AZ51,AC81))*(INDEX(BA1:BA51,AC81+1)-INDEX(BA1:BA51,AC81)))/(INDEX(AZ1:AZ51,AC81+1)-INDEX(AZ1:AZ51,AC81))+INDEX(BA1:BA51,AC81)))</f>
        <v>2.1999999999998865</v>
      </c>
      <c r="AB81" s="176" t="e">
        <f>IF(TRIM(AG81)="","",IF(INDEX(BD1:BD51,AD81)=AG81,INDEX(BE1:BE51,AD81),((AG81-INDEX(BD1:BD51,AD81))*(INDEX(BE1:BE51,AD81+1)-INDEX(BE1:BE51,AD81)))/(INDEX(BD1:BD51,AD81+1)-INDEX(BD1:BD51,AD81))+INDEX(BE1:BE51,AD81)))</f>
        <v>#N/A</v>
      </c>
      <c r="AC81" s="164">
        <f>MATCH(AG81,AZ1:AZ51,1)</f>
        <v>3</v>
      </c>
      <c r="AD81" s="164" t="e">
        <f>MATCH(AG81,BD1:BD51,1)</f>
        <v>#N/A</v>
      </c>
      <c r="AE81" s="164">
        <v>3</v>
      </c>
      <c r="AF81" s="164">
        <v>19</v>
      </c>
      <c r="AG81" s="179">
        <f>FIXED('HourGH-JUN'!AB30)*1</f>
        <v>337.81</v>
      </c>
      <c r="AH81" s="164" t="str">
        <f>IF(AND(AE81=AP5,AE81=AR5,AF81&gt;=AQ5,AF81&lt;=AS5),"r1",IF(AND(AE81&gt;AP5,AE81&lt;AR5),"r1",IF(AND(AE81&gt;AP5,AE81=AR5,AF81&lt;=AS5),"r1",IF(AND(AE81=AP5,AE81&lt;AR5,AF81&gt;=AQ5),"r1","n"))))</f>
        <v>r1</v>
      </c>
      <c r="AI81" s="164" t="str">
        <f>IF(AH81&lt;&gt;"n",AH81,IF(AND(AE81=AT5,AE81=AV5,AF81&gt;=AU5,AF81&lt;=AW5),"r2",IF(AND(AE81&gt;AT5,AE81&lt;AV5),"r2",IF(AND(AE81&gt;AT5,AE81=AV5,AF81&lt;=AW5),"r2",IF(AND(AE81=AT5,AE81&lt;AV5,AF81&gt;=AU5),"r2","n")))))</f>
        <v>r1</v>
      </c>
      <c r="AJ81" s="164" t="str">
        <f>IF(AI81&lt;&gt;"n",AI81,IF(AND(AE81=AP6,AE81=AR6,AF81&gt;=AQ6,AF81&lt;=AS6),"r1",IF(AND(AE81&gt;AP6,AE81&lt;AR6),"r1",IF(AND(AE81&gt;AP6,AE81=AR6,AF81&lt;=AS6),"r1",IF(AND(AE81=AP6,AE81&lt;AR6,AF81&gt;=AQ6),"r1","n")))))</f>
        <v>r1</v>
      </c>
      <c r="AK81" s="164" t="str">
        <f>IF(AJ81&lt;&gt;"n",AJ81,IF(AND(AE81=AT6,AE81=AV6,AF81&gt;=AU6,AF81&lt;=AW6),"r2",IF(AND(AE81&gt;AT6,AE81&lt;AV6),"r2",IF(AND(AE81&gt;AT6,AE81=AV6,AF81&lt;=AW6),"r2",IF(AND(AE81=AT6,AE81&lt;AV6,AF81&gt;=AU6),"r2","n")))))</f>
        <v>r1</v>
      </c>
      <c r="AL81" s="164" t="str">
        <f>IF(AK81&lt;&gt;"n",AK81,IF(AND(AE81=AP7,AE81=AR7,AF81&gt;=AQ7,AF81&lt;=AS7),"r1",IF(AND(AE81&gt;AP7,AE81&lt;AR7),"r1",IF(AND(AE81&gt;AP7,AE81=AR7,AF81&lt;=AS7),"r1",IF(AND(AE81=AP7,AE81&lt;AR7,AF81&gt;=AQ7),"r1","n")))))</f>
        <v>r1</v>
      </c>
    </row>
    <row r="82" spans="26:38" ht="17.100000000000001" hidden="1" customHeight="1">
      <c r="Z82" s="176">
        <f t="shared" si="11"/>
        <v>3.0000000000005684</v>
      </c>
      <c r="AA82" s="176">
        <f>IF(TRIM(AG82)="","",IF(INDEX(AZ1:AZ51,AC82)=AG82,INDEX(BA1:BA51,AC82),((AG82-INDEX(AZ1:AZ51,AC82))*(INDEX(BA1:BA51,AC82+1)-INDEX(BA1:BA51,AC82)))/(INDEX(AZ1:AZ51,AC82+1)-INDEX(AZ1:AZ51,AC82))+INDEX(BA1:BA51,AC82)))</f>
        <v>3.0000000000005684</v>
      </c>
      <c r="AB82" s="176" t="e">
        <f>IF(TRIM(AG82)="","",IF(INDEX(BD1:BD51,AD82)=AG82,INDEX(BE1:BE51,AD82),((AG82-INDEX(BD1:BD51,AD82))*(INDEX(BE1:BE51,AD82+1)-INDEX(BE1:BE51,AD82)))/(INDEX(BD1:BD51,AD82+1)-INDEX(BD1:BD51,AD82))+INDEX(BE1:BE51,AD82)))</f>
        <v>#N/A</v>
      </c>
      <c r="AC82" s="164">
        <f>MATCH(AG82,AZ1:AZ51,1)</f>
        <v>3</v>
      </c>
      <c r="AD82" s="164" t="e">
        <f>MATCH(AG82,BD1:BD51,1)</f>
        <v>#N/A</v>
      </c>
      <c r="AE82" s="164">
        <v>3</v>
      </c>
      <c r="AF82" s="164">
        <v>82</v>
      </c>
      <c r="AG82" s="179">
        <f>FIXED('HourGH-JUN'!AB31)*1</f>
        <v>337.85</v>
      </c>
      <c r="AH82" s="164" t="str">
        <f>IF(AND(AE82=AP5,AE82=AR5,AF82&gt;=AQ5,AF82&lt;=AS5),"r1",IF(AND(AE82&gt;AP5,AE82&lt;AR5),"r1",IF(AND(AE82&gt;AP5,AE82=AR5,AF82&lt;=AS5),"r1",IF(AND(AE82=AP5,AE82&lt;AR5,AF82&gt;=AQ5),"r1","n"))))</f>
        <v>r1</v>
      </c>
      <c r="AI82" s="164" t="str">
        <f>IF(AH82&lt;&gt;"n",AH82,IF(AND(AE82=AT5,AE82=AV5,AF82&gt;=AU5,AF82&lt;=AW5),"r2",IF(AND(AE82&gt;AT5,AE82&lt;AV5),"r2",IF(AND(AE82&gt;AT5,AE82=AV5,AF82&lt;=AW5),"r2",IF(AND(AE82=AT5,AE82&lt;AV5,AF82&gt;=AU5),"r2","n")))))</f>
        <v>r1</v>
      </c>
      <c r="AJ82" s="164" t="str">
        <f>IF(AI82&lt;&gt;"n",AI82,IF(AND(AE82=AP6,AE82=AR6,AF82&gt;=AQ6,AF82&lt;=AS6),"r1",IF(AND(AE82&gt;AP6,AE82&lt;AR6),"r1",IF(AND(AE82&gt;AP6,AE82=AR6,AF82&lt;=AS6),"r1",IF(AND(AE82=AP6,AE82&lt;AR6,AF82&gt;=AQ6),"r1","n")))))</f>
        <v>r1</v>
      </c>
      <c r="AK82" s="164" t="str">
        <f>IF(AJ82&lt;&gt;"n",AJ82,IF(AND(AE82=AT6,AE82=AV6,AF82&gt;=AU6,AF82&lt;=AW6),"r2",IF(AND(AE82&gt;AT6,AE82&lt;AV6),"r2",IF(AND(AE82&gt;AT6,AE82=AV6,AF82&lt;=AW6),"r2",IF(AND(AE82=AT6,AE82&lt;AV6,AF82&gt;=AU6),"r2","n")))))</f>
        <v>r1</v>
      </c>
      <c r="AL82" s="164" t="str">
        <f>IF(AK82&lt;&gt;"n",AK82,IF(AND(AE82=AP7,AE82=AR7,AF82&gt;=AQ7,AF82&lt;=AS7),"r1",IF(AND(AE82&gt;AP7,AE82&lt;AR7),"r1",IF(AND(AE82&gt;AP7,AE82=AR7,AF82&lt;=AS7),"r1",IF(AND(AE82=AP7,AE82&lt;AR7,AF82&gt;=AQ7),"r1","n")))))</f>
        <v>r1</v>
      </c>
    </row>
    <row r="83" spans="26:38" ht="17.100000000000001" hidden="1" customHeight="1">
      <c r="Z83" s="176">
        <f t="shared" si="11"/>
        <v>3.2000000000004549</v>
      </c>
      <c r="AA83" s="176">
        <f>IF(TRIM(AG83)="","",IF(INDEX(AZ1:AZ51,AC83)=AG83,INDEX(BA1:BA51,AC83),((AG83-INDEX(AZ1:AZ51,AC83))*(INDEX(BA1:BA51,AC83+1)-INDEX(BA1:BA51,AC83)))/(INDEX(AZ1:AZ51,AC83+1)-INDEX(AZ1:AZ51,AC83))+INDEX(BA1:BA51,AC83)))</f>
        <v>3.2000000000004549</v>
      </c>
      <c r="AB83" s="176" t="e">
        <f>IF(TRIM(AG83)="","",IF(INDEX(BD1:BD51,AD83)=AG83,INDEX(BE1:BE51,AD83),((AG83-INDEX(BD1:BD51,AD83))*(INDEX(BE1:BE51,AD83+1)-INDEX(BE1:BE51,AD83)))/(INDEX(BD1:BD51,AD83+1)-INDEX(BD1:BD51,AD83))+INDEX(BE1:BE51,AD83)))</f>
        <v>#N/A</v>
      </c>
      <c r="AC83" s="164">
        <f>MATCH(AG83,AZ1:AZ51,1)</f>
        <v>3</v>
      </c>
      <c r="AD83" s="164" t="e">
        <f>MATCH(AG83,BD1:BD51,1)</f>
        <v>#N/A</v>
      </c>
      <c r="AE83" s="164">
        <v>3</v>
      </c>
      <c r="AF83" s="164">
        <v>21</v>
      </c>
      <c r="AG83" s="179">
        <f>FIXED('HourGH-JUN'!AB33)*1</f>
        <v>337.86</v>
      </c>
      <c r="AH83" s="164" t="str">
        <f>IF(AND(AE83=AP5,AE83=AR5,AF83&gt;=AQ5,AF83&lt;=AS5),"r1",IF(AND(AE83&gt;AP5,AE83&lt;AR5),"r1",IF(AND(AE83&gt;AP5,AE83=AR5,AF83&lt;=AS5),"r1",IF(AND(AE83=AP5,AE83&lt;AR5,AF83&gt;=AQ5),"r1","n"))))</f>
        <v>r1</v>
      </c>
      <c r="AI83" s="164" t="str">
        <f>IF(AH83&lt;&gt;"n",AH83,IF(AND(AE83=AT5,AE83=AV5,AF83&gt;=AU5,AF83&lt;=AW5),"r2",IF(AND(AE83&gt;AT5,AE83&lt;AV5),"r2",IF(AND(AE83&gt;AT5,AE83=AV5,AF83&lt;=AW5),"r2",IF(AND(AE83=AT5,AE83&lt;AV5,AF83&gt;=AU5),"r2","n")))))</f>
        <v>r1</v>
      </c>
      <c r="AJ83" s="164" t="str">
        <f>IF(AI83&lt;&gt;"n",AI83,IF(AND(AE83=AP6,AE83=AR6,AF83&gt;=AQ6,AF83&lt;=AS6),"r1",IF(AND(AE83&gt;AP6,AE83&lt;AR6),"r1",IF(AND(AE83&gt;AP6,AE83=AR6,AF83&lt;=AS6),"r1",IF(AND(AE83=AP6,AE83&lt;AR6,AF83&gt;=AQ6),"r1","n")))))</f>
        <v>r1</v>
      </c>
      <c r="AK83" s="164" t="str">
        <f>IF(AJ83&lt;&gt;"n",AJ83,IF(AND(AE83=AT6,AE83=AV6,AF83&gt;=AU6,AF83&lt;=AW6),"r2",IF(AND(AE83&gt;AT6,AE83&lt;AV6),"r2",IF(AND(AE83&gt;AT6,AE83=AV6,AF83&lt;=AW6),"r2",IF(AND(AE83=AT6,AE83&lt;AV6,AF83&gt;=AU6),"r2","n")))))</f>
        <v>r1</v>
      </c>
      <c r="AL83" s="164" t="str">
        <f>IF(AK83&lt;&gt;"n",AK83,IF(AND(AE83=AP7,AE83=AR7,AF83&gt;=AQ7,AF83&lt;=AS7),"r1",IF(AND(AE83&gt;AP7,AE83&lt;AR7),"r1",IF(AND(AE83&gt;AP7,AE83=AR7,AF83&lt;=AS7),"r1",IF(AND(AE83=AP7,AE83&lt;AR7,AF83&gt;=AQ7),"r1","n")))))</f>
        <v>r1</v>
      </c>
    </row>
    <row r="84" spans="26:38" ht="17.100000000000001" hidden="1" customHeight="1">
      <c r="Z84" s="176">
        <f t="shared" si="11"/>
        <v>2.7999999999995451</v>
      </c>
      <c r="AA84" s="176">
        <f>IF(TRIM(AG84)="","",IF(INDEX(AZ1:AZ51,AC84)=AG84,INDEX(BA1:BA51,AC84),((AG84-INDEX(AZ1:AZ51,AC84))*(INDEX(BA1:BA51,AC84+1)-INDEX(BA1:BA51,AC84)))/(INDEX(AZ1:AZ51,AC84+1)-INDEX(AZ1:AZ51,AC84))+INDEX(BA1:BA51,AC84)))</f>
        <v>2.7999999999995451</v>
      </c>
      <c r="AB84" s="176" t="e">
        <f>IF(TRIM(AG84)="","",IF(INDEX(BD1:BD51,AD84)=AG84,INDEX(BE1:BE51,AD84),((AG84-INDEX(BD1:BD51,AD84))*(INDEX(BE1:BE51,AD84+1)-INDEX(BE1:BE51,AD84)))/(INDEX(BD1:BD51,AD84+1)-INDEX(BD1:BD51,AD84))+INDEX(BE1:BE51,AD84)))</f>
        <v>#N/A</v>
      </c>
      <c r="AC84" s="164">
        <f>MATCH(AG84,AZ1:AZ51,1)</f>
        <v>3</v>
      </c>
      <c r="AD84" s="164" t="e">
        <f>MATCH(AG84,BD1:BD51,1)</f>
        <v>#N/A</v>
      </c>
      <c r="AE84" s="164">
        <v>3</v>
      </c>
      <c r="AF84" s="164">
        <v>22</v>
      </c>
      <c r="AG84" s="179">
        <f>FIXED('HourGH-JUN'!AB34)*1</f>
        <v>337.84</v>
      </c>
      <c r="AH84" s="164" t="str">
        <f>IF(AND(AE84=AP5,AE84=AR5,AF84&gt;=AQ5,AF84&lt;=AS5),"r1",IF(AND(AE84&gt;AP5,AE84&lt;AR5),"r1",IF(AND(AE84&gt;AP5,AE84=AR5,AF84&lt;=AS5),"r1",IF(AND(AE84=AP5,AE84&lt;AR5,AF84&gt;=AQ5),"r1","n"))))</f>
        <v>r1</v>
      </c>
      <c r="AI84" s="164" t="str">
        <f>IF(AH84&lt;&gt;"n",AH84,IF(AND(AE84=AT5,AE84=AV5,AF84&gt;=AU5,AF84&lt;=AW5),"r2",IF(AND(AE84&gt;AT5,AE84&lt;AV5),"r2",IF(AND(AE84&gt;AT5,AE84=AV5,AF84&lt;=AW5),"r2",IF(AND(AE84=AT5,AE84&lt;AV5,AF84&gt;=AU5),"r2","n")))))</f>
        <v>r1</v>
      </c>
      <c r="AJ84" s="164" t="str">
        <f>IF(AI84&lt;&gt;"n",AI84,IF(AND(AE84=AP6,AE84=AR6,AF84&gt;=AQ6,AF84&lt;=AS6),"r1",IF(AND(AE84&gt;AP6,AE84&lt;AR6),"r1",IF(AND(AE84&gt;AP6,AE84=AR6,AF84&lt;=AS6),"r1",IF(AND(AE84=AP6,AE84&lt;AR6,AF84&gt;=AQ6),"r1","n")))))</f>
        <v>r1</v>
      </c>
      <c r="AK84" s="164" t="str">
        <f>IF(AJ84&lt;&gt;"n",AJ84,IF(AND(AE84=AT6,AE84=AV6,AF84&gt;=AU6,AF84&lt;=AW6),"r2",IF(AND(AE84&gt;AT6,AE84&lt;AV6),"r2",IF(AND(AE84&gt;AT6,AE84=AV6,AF84&lt;=AW6),"r2",IF(AND(AE84=AT6,AE84&lt;AV6,AF84&gt;=AU6),"r2","n")))))</f>
        <v>r1</v>
      </c>
      <c r="AL84" s="164" t="str">
        <f>IF(AK84&lt;&gt;"n",AK84,IF(AND(AE84=AP7,AE84=AR7,AF84&gt;=AQ7,AF84&lt;=AS7),"r1",IF(AND(AE84&gt;AP7,AE84&lt;AR7),"r1",IF(AND(AE84&gt;AP7,AE84=AR7,AF84&lt;=AS7),"r1",IF(AND(AE84=AP7,AE84&lt;AR7,AF84&gt;=AQ7),"r1","n")))))</f>
        <v>r1</v>
      </c>
    </row>
    <row r="85" spans="26:38" ht="17.100000000000001" hidden="1" customHeight="1">
      <c r="Z85" s="176">
        <f t="shared" si="11"/>
        <v>5.4999999999997158</v>
      </c>
      <c r="AA85" s="176">
        <f>IF(TRIM(AG85)="","",IF(INDEX(AZ1:AZ51,AC85)=AG85,INDEX(BA1:BA51,AC85),((AG85-INDEX(AZ1:AZ51,AC85))*(INDEX(BA1:BA51,AC85+1)-INDEX(BA1:BA51,AC85)))/(INDEX(AZ1:AZ51,AC85+1)-INDEX(AZ1:AZ51,AC85))+INDEX(BA1:BA51,AC85)))</f>
        <v>5.4999999999997158</v>
      </c>
      <c r="AB85" s="176" t="e">
        <f>IF(TRIM(AG85)="","",IF(INDEX(BD1:BD51,AD85)=AG85,INDEX(BE1:BE51,AD85),((AG85-INDEX(BD1:BD51,AD85))*(INDEX(BE1:BE51,AD85+1)-INDEX(BE1:BE51,AD85)))/(INDEX(BD1:BD51,AD85+1)-INDEX(BD1:BD51,AD85))+INDEX(BE1:BE51,AD85)))</f>
        <v>#N/A</v>
      </c>
      <c r="AC85" s="164">
        <f>MATCH(AG85,AZ1:AZ51,1)</f>
        <v>4</v>
      </c>
      <c r="AD85" s="164" t="e">
        <f>MATCH(AG85,BD1:BD51,1)</f>
        <v>#N/A</v>
      </c>
      <c r="AE85" s="164">
        <v>3</v>
      </c>
      <c r="AF85" s="164">
        <v>23</v>
      </c>
      <c r="AG85" s="179">
        <f>FIXED('HourGH-JUN'!AB35)*1</f>
        <v>337.96</v>
      </c>
      <c r="AH85" s="164" t="str">
        <f>IF(AND(AE85=AP5,AE85=AR5,AF85&gt;=AQ5,AF85&lt;=AS5),"r1",IF(AND(AE85&gt;AP5,AE85&lt;AR5),"r1",IF(AND(AE85&gt;AP5,AE85=AR5,AF85&lt;=AS5),"r1",IF(AND(AE85=AP5,AE85&lt;AR5,AF85&gt;=AQ5),"r1","n"))))</f>
        <v>r1</v>
      </c>
      <c r="AI85" s="164" t="str">
        <f>IF(AH85&lt;&gt;"n",AH85,IF(AND(AE85=AT5,AE85=AV5,AF85&gt;=AU5,AF85&lt;=AW5),"r2",IF(AND(AE85&gt;AT5,AE85&lt;AV5),"r2",IF(AND(AE85&gt;AT5,AE85=AV5,AF85&lt;=AW5),"r2",IF(AND(AE85=AT5,AE85&lt;AV5,AF85&gt;=AU5),"r2","n")))))</f>
        <v>r1</v>
      </c>
      <c r="AJ85" s="164" t="str">
        <f>IF(AI85&lt;&gt;"n",AI85,IF(AND(AE85=AP6,AE85=AR6,AF85&gt;=AQ6,AF85&lt;=AS6),"r1",IF(AND(AE85&gt;AP6,AE85&lt;AR6),"r1",IF(AND(AE85&gt;AP6,AE85=AR6,AF85&lt;=AS6),"r1",IF(AND(AE85=AP6,AE85&lt;AR6,AF85&gt;=AQ6),"r1","n")))))</f>
        <v>r1</v>
      </c>
      <c r="AK85" s="164" t="str">
        <f>IF(AJ85&lt;&gt;"n",AJ85,IF(AND(AE85=AT6,AE85=AV6,AF85&gt;=AU6,AF85&lt;=AW6),"r2",IF(AND(AE85&gt;AT6,AE85&lt;AV6),"r2",IF(AND(AE85&gt;AT6,AE85=AV6,AF85&lt;=AW6),"r2",IF(AND(AE85=AT6,AE85&lt;AV6,AF85&gt;=AU6),"r2","n")))))</f>
        <v>r1</v>
      </c>
      <c r="AL85" s="164" t="str">
        <f>IF(AK85&lt;&gt;"n",AK85,IF(AND(AE85=AP7,AE85=AR7,AF85&gt;=AQ7,AF85&lt;=AS7),"r1",IF(AND(AE85&gt;AP7,AE85&lt;AR7),"r1",IF(AND(AE85&gt;AP7,AE85=AR7,AF85&lt;=AS7),"r1",IF(AND(AE85=AP7,AE85&lt;AR7,AF85&gt;=AQ7),"r1","n")))))</f>
        <v>r1</v>
      </c>
    </row>
    <row r="86" spans="26:38" ht="17.100000000000001" hidden="1" customHeight="1">
      <c r="Z86" s="176">
        <f t="shared" si="11"/>
        <v>11.700000000001108</v>
      </c>
      <c r="AA86" s="176">
        <f>IF(TRIM(AG86)="","",IF(INDEX(AZ1:AZ51,AC86)=AG86,INDEX(BA1:BA51,AC86),((AG86-INDEX(AZ1:AZ51,AC86))*(INDEX(BA1:BA51,AC86+1)-INDEX(BA1:BA51,AC86)))/(INDEX(AZ1:AZ51,AC86+1)-INDEX(AZ1:AZ51,AC86))+INDEX(BA1:BA51,AC86)))</f>
        <v>11.700000000001108</v>
      </c>
      <c r="AB86" s="176" t="e">
        <f>IF(TRIM(AG86)="","",IF(INDEX(BD1:BD51,AD86)=AG86,INDEX(BE1:BE51,AD86),((AG86-INDEX(BD1:BD51,AD86))*(INDEX(BE1:BE51,AD86+1)-INDEX(BE1:BE51,AD86)))/(INDEX(BD1:BD51,AD86+1)-INDEX(BD1:BD51,AD86))+INDEX(BE1:BE51,AD86)))</f>
        <v>#N/A</v>
      </c>
      <c r="AC86" s="164">
        <f>MATCH(AG86,AZ1:AZ51,1)</f>
        <v>5</v>
      </c>
      <c r="AD86" s="164" t="e">
        <f>MATCH(AG86,BD1:BD51,1)</f>
        <v>#N/A</v>
      </c>
      <c r="AE86" s="164">
        <v>3</v>
      </c>
      <c r="AF86" s="164">
        <v>24</v>
      </c>
      <c r="AG86" s="179">
        <f>FIXED('HourGH-JUN'!AB36)*1</f>
        <v>338.16</v>
      </c>
      <c r="AH86" s="164" t="str">
        <f>IF(AND(AE86=AP5,AE86=AR5,AF86&gt;=AQ5,AF86&lt;=AS5),"r1",IF(AND(AE86&gt;AP5,AE86&lt;AR5),"r1",IF(AND(AE86&gt;AP5,AE86=AR5,AF86&lt;=AS5),"r1",IF(AND(AE86=AP5,AE86&lt;AR5,AF86&gt;=AQ5),"r1","n"))))</f>
        <v>r1</v>
      </c>
      <c r="AI86" s="164" t="str">
        <f>IF(AH86&lt;&gt;"n",AH86,IF(AND(AE86=AT5,AE86=AV5,AF86&gt;=AU5,AF86&lt;=AW5),"r2",IF(AND(AE86&gt;AT5,AE86&lt;AV5),"r2",IF(AND(AE86&gt;AT5,AE86=AV5,AF86&lt;=AW5),"r2",IF(AND(AE86=AT5,AE86&lt;AV5,AF86&gt;=AU5),"r2","n")))))</f>
        <v>r1</v>
      </c>
      <c r="AJ86" s="164" t="str">
        <f>IF(AI86&lt;&gt;"n",AI86,IF(AND(AE86=AP6,AE86=AR6,AF86&gt;=AQ6,AF86&lt;=AS6),"r1",IF(AND(AE86&gt;AP6,AE86&lt;AR6),"r1",IF(AND(AE86&gt;AP6,AE86=AR6,AF86&lt;=AS6),"r1",IF(AND(AE86=AP6,AE86&lt;AR6,AF86&gt;=AQ6),"r1","n")))))</f>
        <v>r1</v>
      </c>
      <c r="AK86" s="164" t="str">
        <f>IF(AJ86&lt;&gt;"n",AJ86,IF(AND(AE86=AT6,AE86=AV6,AF86&gt;=AU6,AF86&lt;=AW6),"r2",IF(AND(AE86&gt;AT6,AE86&lt;AV6),"r2",IF(AND(AE86&gt;AT6,AE86=AV6,AF86&lt;=AW6),"r2",IF(AND(AE86=AT6,AE86&lt;AV6,AF86&gt;=AU6),"r2","n")))))</f>
        <v>r1</v>
      </c>
      <c r="AL86" s="164" t="str">
        <f>IF(AK86&lt;&gt;"n",AK86,IF(AND(AE86=AP7,AE86=AR7,AF86&gt;=AQ7,AF86&lt;=AS7),"r1",IF(AND(AE86&gt;AP7,AE86&lt;AR7),"r1",IF(AND(AE86&gt;AP7,AE86=AR7,AF86&lt;=AS7),"r1",IF(AND(AE86=AP7,AE86&lt;AR7,AF86&gt;=AQ7),"r1","n")))))</f>
        <v>r1</v>
      </c>
    </row>
    <row r="87" spans="26:38" ht="17.100000000000001" hidden="1" customHeight="1">
      <c r="Z87" s="176">
        <f t="shared" si="11"/>
        <v>2.7999999999995451</v>
      </c>
      <c r="AA87" s="176">
        <f>IF(TRIM(AG87)="","",IF(INDEX(AZ1:AZ51,AC87)=AG87,INDEX(BA1:BA51,AC87),((AG87-INDEX(AZ1:AZ51,AC87))*(INDEX(BA1:BA51,AC87+1)-INDEX(BA1:BA51,AC87)))/(INDEX(AZ1:AZ51,AC87+1)-INDEX(AZ1:AZ51,AC87))+INDEX(BA1:BA51,AC87)))</f>
        <v>2.7999999999995451</v>
      </c>
      <c r="AB87" s="176" t="e">
        <f>IF(TRIM(AG87)="","",IF(INDEX(BD1:BD51,AD87)=AG87,INDEX(BE1:BE51,AD87),((AG87-INDEX(BD1:BD51,AD87))*(INDEX(BE1:BE51,AD87+1)-INDEX(BE1:BE51,AD87)))/(INDEX(BD1:BD51,AD87+1)-INDEX(BD1:BD51,AD87))+INDEX(BE1:BE51,AD87)))</f>
        <v>#N/A</v>
      </c>
      <c r="AC87" s="164">
        <f>MATCH(AG87,AZ1:AZ51,1)</f>
        <v>3</v>
      </c>
      <c r="AD87" s="164" t="e">
        <f>MATCH(AG87,BD1:BD51,1)</f>
        <v>#N/A</v>
      </c>
      <c r="AE87" s="164">
        <v>3</v>
      </c>
      <c r="AF87" s="164">
        <v>25</v>
      </c>
      <c r="AG87" s="179">
        <f>FIXED('HourGH-JUN'!AB37)*1</f>
        <v>337.84</v>
      </c>
      <c r="AH87" s="164" t="str">
        <f>IF(AND(AE87=AP5,AE87=AR5,AF87&gt;=AQ5,AF87&lt;=AS5),"r1",IF(AND(AE87&gt;AP5,AE87&lt;AR5),"r1",IF(AND(AE87&gt;AP5,AE87=AR5,AF87&lt;=AS5),"r1",IF(AND(AE87=AP5,AE87&lt;AR5,AF87&gt;=AQ5),"r1","n"))))</f>
        <v>r1</v>
      </c>
      <c r="AI87" s="164" t="str">
        <f>IF(AH87&lt;&gt;"n",AH87,IF(AND(AE87=AT5,AE87=AV5,AF87&gt;=AU5,AF87&lt;=AW5),"r2",IF(AND(AE87&gt;AT5,AE87&lt;AV5),"r2",IF(AND(AE87&gt;AT5,AE87=AV5,AF87&lt;=AW5),"r2",IF(AND(AE87=AT5,AE87&lt;AV5,AF87&gt;=AU5),"r2","n")))))</f>
        <v>r1</v>
      </c>
      <c r="AJ87" s="164" t="str">
        <f>IF(AI87&lt;&gt;"n",AI87,IF(AND(AE87=AP6,AE87=AR6,AF87&gt;=AQ6,AF87&lt;=AS6),"r1",IF(AND(AE87&gt;AP6,AE87&lt;AR6),"r1",IF(AND(AE87&gt;AP6,AE87=AR6,AF87&lt;=AS6),"r1",IF(AND(AE87=AP6,AE87&lt;AR6,AF87&gt;=AQ6),"r1","n")))))</f>
        <v>r1</v>
      </c>
      <c r="AK87" s="164" t="str">
        <f>IF(AJ87&lt;&gt;"n",AJ87,IF(AND(AE87=AT6,AE87=AV6,AF87&gt;=AU6,AF87&lt;=AW6),"r2",IF(AND(AE87&gt;AT6,AE87&lt;AV6),"r2",IF(AND(AE87&gt;AT6,AE87=AV6,AF87&lt;=AW6),"r2",IF(AND(AE87=AT6,AE87&lt;AV6,AF87&gt;=AU6),"r2","n")))))</f>
        <v>r1</v>
      </c>
      <c r="AL87" s="164" t="str">
        <f>IF(AK87&lt;&gt;"n",AK87,IF(AND(AE87=AP7,AE87=AR7,AF87&gt;=AQ7,AF87&lt;=AS7),"r1",IF(AND(AE87&gt;AP7,AE87&lt;AR7),"r1",IF(AND(AE87&gt;AP7,AE87=AR7,AF87&lt;=AS7),"r1",IF(AND(AE87=AP7,AE87&lt;AR7,AF87&gt;=AQ7),"r1","n")))))</f>
        <v>r1</v>
      </c>
    </row>
    <row r="88" spans="26:38" ht="17.100000000000001" hidden="1" customHeight="1">
      <c r="Z88" s="176">
        <f t="shared" si="11"/>
        <v>3.2000000000004549</v>
      </c>
      <c r="AA88" s="176">
        <f>IF(TRIM(AG88)="","",IF(INDEX(AZ1:AZ51,AC88)=AG88,INDEX(BA1:BA51,AC88),((AG88-INDEX(AZ1:AZ51,AC88))*(INDEX(BA1:BA51,AC88+1)-INDEX(BA1:BA51,AC88)))/(INDEX(AZ1:AZ51,AC88+1)-INDEX(AZ1:AZ51,AC88))+INDEX(BA1:BA51,AC88)))</f>
        <v>3.2000000000004549</v>
      </c>
      <c r="AB88" s="176" t="e">
        <f>IF(TRIM(AG88)="","",IF(INDEX(BD1:BD51,AD88)=AG88,INDEX(BE1:BE51,AD88),((AG88-INDEX(BD1:BD51,AD88))*(INDEX(BE1:BE51,AD88+1)-INDEX(BE1:BE51,AD88)))/(INDEX(BD1:BD51,AD88+1)-INDEX(BD1:BD51,AD88))+INDEX(BE1:BE51,AD88)))</f>
        <v>#N/A</v>
      </c>
      <c r="AC88" s="164">
        <f>MATCH(AG88,AZ1:AZ51,1)</f>
        <v>3</v>
      </c>
      <c r="AD88" s="164" t="e">
        <f>MATCH(AG88,BD1:BD51,1)</f>
        <v>#N/A</v>
      </c>
      <c r="AE88" s="164">
        <v>3</v>
      </c>
      <c r="AF88" s="164">
        <v>26</v>
      </c>
      <c r="AG88" s="179">
        <f>FIXED('HourGH-JUN'!AB38)*1</f>
        <v>337.86</v>
      </c>
      <c r="AH88" s="164" t="str">
        <f>IF(AND(AE88=AP5,AE88=AR5,AF88&gt;=AQ5,AF88&lt;=AS5),"r1",IF(AND(AE88&gt;AP5,AE88&lt;AR5),"r1",IF(AND(AE88&gt;AP5,AE88=AR5,AF88&lt;=AS5),"r1",IF(AND(AE88=AP5,AE88&lt;AR5,AF88&gt;=AQ5),"r1","n"))))</f>
        <v>r1</v>
      </c>
      <c r="AI88" s="164" t="str">
        <f>IF(AH88&lt;&gt;"n",AH88,IF(AND(AE88=AT5,AE88=AV5,AF88&gt;=AU5,AF88&lt;=AW5),"r2",IF(AND(AE88&gt;AT5,AE88&lt;AV5),"r2",IF(AND(AE88&gt;AT5,AE88=AV5,AF88&lt;=AW5),"r2",IF(AND(AE88=AT5,AE88&lt;AV5,AF88&gt;=AU5),"r2","n")))))</f>
        <v>r1</v>
      </c>
      <c r="AJ88" s="164" t="str">
        <f>IF(AI88&lt;&gt;"n",AI88,IF(AND(AE88=AP6,AE88=AR6,AF88&gt;=AQ6,AF88&lt;=AS6),"r1",IF(AND(AE88&gt;AP6,AE88&lt;AR6),"r1",IF(AND(AE88&gt;AP6,AE88=AR6,AF88&lt;=AS6),"r1",IF(AND(AE88=AP6,AE88&lt;AR6,AF88&gt;=AQ6),"r1","n")))))</f>
        <v>r1</v>
      </c>
      <c r="AK88" s="164" t="str">
        <f>IF(AJ88&lt;&gt;"n",AJ88,IF(AND(AE88=AT6,AE88=AV6,AF88&gt;=AU6,AF88&lt;=AW6),"r2",IF(AND(AE88&gt;AT6,AE88&lt;AV6),"r2",IF(AND(AE88&gt;AT6,AE88=AV6,AF88&lt;=AW6),"r2",IF(AND(AE88=AT6,AE88&lt;AV6,AF88&gt;=AU6),"r2","n")))))</f>
        <v>r1</v>
      </c>
      <c r="AL88" s="164" t="str">
        <f>IF(AK88&lt;&gt;"n",AK88,IF(AND(AE88=AP7,AE88=AR7,AF88&gt;=AQ7,AF88&lt;=AS7),"r1",IF(AND(AE88&gt;AP7,AE88&lt;AR7),"r1",IF(AND(AE88&gt;AP7,AE88=AR7,AF88&lt;=AS7),"r1",IF(AND(AE88=AP7,AE88&lt;AR7,AF88&gt;=AQ7),"r1","n")))))</f>
        <v>r1</v>
      </c>
    </row>
    <row r="89" spans="26:38" ht="17.100000000000001" hidden="1" customHeight="1">
      <c r="Z89" s="176">
        <f t="shared" si="11"/>
        <v>3.0000000000005684</v>
      </c>
      <c r="AA89" s="176">
        <f>IF(TRIM(AG89)="","",IF(INDEX(AZ1:AZ51,AC89)=AG89,INDEX(BA1:BA51,AC89),((AG89-INDEX(AZ1:AZ51,AC89))*(INDEX(BA1:BA51,AC89+1)-INDEX(BA1:BA51,AC89)))/(INDEX(AZ1:AZ51,AC89+1)-INDEX(AZ1:AZ51,AC89))+INDEX(BA1:BA51,AC89)))</f>
        <v>3.0000000000005684</v>
      </c>
      <c r="AB89" s="176" t="e">
        <f>IF(TRIM(AG89)="","",IF(INDEX(BD1:BD51,AD89)=AG89,INDEX(BE1:BE51,AD89),((AG89-INDEX(BD1:BD51,AD89))*(INDEX(BE1:BE51,AD89+1)-INDEX(BE1:BE51,AD89)))/(INDEX(BD1:BD51,AD89+1)-INDEX(BD1:BD51,AD89))+INDEX(BE1:BE51,AD89)))</f>
        <v>#N/A</v>
      </c>
      <c r="AC89" s="164">
        <f>MATCH(AG89,AZ1:AZ51,1)</f>
        <v>3</v>
      </c>
      <c r="AD89" s="164" t="e">
        <f>MATCH(AG89,BD1:BD51,1)</f>
        <v>#N/A</v>
      </c>
      <c r="AE89" s="164">
        <v>3</v>
      </c>
      <c r="AF89" s="164">
        <v>27</v>
      </c>
      <c r="AG89" s="179">
        <f>FIXED('HourGH-JUN'!AB39)*1</f>
        <v>337.85</v>
      </c>
      <c r="AH89" s="164" t="str">
        <f>IF(AND(AE89=AP5,AE89=AR5,AF89&gt;=AQ5,AF89&lt;=AS5),"r1",IF(AND(AE89&gt;AP5,AE89&lt;AR5),"r1",IF(AND(AE89&gt;AP5,AE89=AR5,AF89&lt;=AS5),"r1",IF(AND(AE89=AP5,AE89&lt;AR5,AF89&gt;=AQ5),"r1","n"))))</f>
        <v>r1</v>
      </c>
      <c r="AI89" s="164" t="str">
        <f>IF(AH89&lt;&gt;"n",AH89,IF(AND(AE89=AT5,AE89=AV5,AF89&gt;=AU5,AF89&lt;=AW5),"r2",IF(AND(AE89&gt;AT5,AE89&lt;AV5),"r2",IF(AND(AE89&gt;AT5,AE89=AV5,AF89&lt;=AW5),"r2",IF(AND(AE89=AT5,AE89&lt;AV5,AF89&gt;=AU5),"r2","n")))))</f>
        <v>r1</v>
      </c>
      <c r="AJ89" s="164" t="str">
        <f>IF(AI89&lt;&gt;"n",AI89,IF(AND(AE89=AP6,AE89=AR6,AF89&gt;=AQ6,AF89&lt;=AS6),"r1",IF(AND(AE89&gt;AP6,AE89&lt;AR6),"r1",IF(AND(AE89&gt;AP6,AE89=AR6,AF89&lt;=AS6),"r1",IF(AND(AE89=AP6,AE89&lt;AR6,AF89&gt;=AQ6),"r1","n")))))</f>
        <v>r1</v>
      </c>
      <c r="AK89" s="164" t="str">
        <f>IF(AJ89&lt;&gt;"n",AJ89,IF(AND(AE89=AT6,AE89=AV6,AF89&gt;=AU6,AF89&lt;=AW6),"r2",IF(AND(AE89&gt;AT6,AE89&lt;AV6),"r2",IF(AND(AE89&gt;AT6,AE89=AV6,AF89&lt;=AW6),"r2",IF(AND(AE89=AT6,AE89&lt;AV6,AF89&gt;=AU6),"r2","n")))))</f>
        <v>r1</v>
      </c>
      <c r="AL89" s="164" t="str">
        <f>IF(AK89&lt;&gt;"n",AK89,IF(AND(AE89=AP7,AE89=AR7,AF89&gt;=AQ7,AF89&lt;=AS7),"r1",IF(AND(AE89&gt;AP7,AE89&lt;AR7),"r1",IF(AND(AE89&gt;AP7,AE89=AR7,AF89&lt;=AS7),"r1",IF(AND(AE89=AP7,AE89&lt;AR7,AF89&gt;=AQ7),"r1","n")))))</f>
        <v>r1</v>
      </c>
    </row>
    <row r="90" spans="26:38" ht="17.100000000000001" hidden="1" customHeight="1">
      <c r="Z90" s="176">
        <f t="shared" si="11"/>
        <v>2.599999999999659</v>
      </c>
      <c r="AA90" s="176">
        <f>IF(TRIM(AG90)="","",IF(INDEX(AZ1:AZ51,AC90)=AG90,INDEX(BA1:BA51,AC90),((AG90-INDEX(AZ1:AZ51,AC90))*(INDEX(BA1:BA51,AC90+1)-INDEX(BA1:BA51,AC90)))/(INDEX(AZ1:AZ51,AC90+1)-INDEX(AZ1:AZ51,AC90))+INDEX(BA1:BA51,AC90)))</f>
        <v>2.599999999999659</v>
      </c>
      <c r="AB90" s="176" t="e">
        <f>IF(TRIM(AG90)="","",IF(INDEX(BD1:BD51,AD90)=AG90,INDEX(BE1:BE51,AD90),((AG90-INDEX(BD1:BD51,AD90))*(INDEX(BE1:BE51,AD90+1)-INDEX(BE1:BE51,AD90)))/(INDEX(BD1:BD51,AD90+1)-INDEX(BD1:BD51,AD90))+INDEX(BE1:BE51,AD90)))</f>
        <v>#N/A</v>
      </c>
      <c r="AC90" s="164">
        <f>MATCH(AG90,AZ1:AZ51,1)</f>
        <v>3</v>
      </c>
      <c r="AD90" s="164" t="e">
        <f>MATCH(AG90,BD1:BD51,1)</f>
        <v>#N/A</v>
      </c>
      <c r="AE90" s="164">
        <v>3</v>
      </c>
      <c r="AF90" s="164">
        <v>28</v>
      </c>
      <c r="AG90" s="179">
        <f>FIXED('HourGH-JUN'!AB40)*1</f>
        <v>337.83</v>
      </c>
      <c r="AH90" s="164" t="str">
        <f>IF(AND(AE90=AP5,AE90=AR5,AF90&gt;=AQ5,AF90&lt;=AS5),"r1",IF(AND(AE90&gt;AP5,AE90&lt;AR5),"r1",IF(AND(AE90&gt;AP5,AE90=AR5,AF90&lt;=AS5),"r1",IF(AND(AE90=AP5,AE90&lt;AR5,AF90&gt;=AQ5),"r1","n"))))</f>
        <v>r1</v>
      </c>
      <c r="AI90" s="164" t="str">
        <f>IF(AH90&lt;&gt;"n",AH90,IF(AND(AE90=AT5,AE90=AV5,AF90&gt;=AU5,AF90&lt;=AW5),"r2",IF(AND(AE90&gt;AT5,AE90&lt;AV5),"r2",IF(AND(AE90&gt;AT5,AE90=AV5,AF90&lt;=AW5),"r2",IF(AND(AE90=AT5,AE90&lt;AV5,AF90&gt;=AU5),"r2","n")))))</f>
        <v>r1</v>
      </c>
      <c r="AJ90" s="164" t="str">
        <f>IF(AI90&lt;&gt;"n",AI90,IF(AND(AE90=AP6,AE90=AR6,AF90&gt;=AQ6,AF90&lt;=AS6),"r1",IF(AND(AE90&gt;AP6,AE90&lt;AR6),"r1",IF(AND(AE90&gt;AP6,AE90=AR6,AF90&lt;=AS6),"r1",IF(AND(AE90=AP6,AE90&lt;AR6,AF90&gt;=AQ6),"r1","n")))))</f>
        <v>r1</v>
      </c>
      <c r="AK90" s="164" t="str">
        <f>IF(AJ90&lt;&gt;"n",AJ90,IF(AND(AE90=AT6,AE90=AV6,AF90&gt;=AU6,AF90&lt;=AW6),"r2",IF(AND(AE90&gt;AT6,AE90&lt;AV6),"r2",IF(AND(AE90&gt;AT6,AE90=AV6,AF90&lt;=AW6),"r2",IF(AND(AE90=AT6,AE90&lt;AV6,AF90&gt;=AU6),"r2","n")))))</f>
        <v>r1</v>
      </c>
      <c r="AL90" s="164" t="str">
        <f>IF(AK90&lt;&gt;"n",AK90,IF(AND(AE90=AP7,AE90=AR7,AF90&gt;=AQ7,AF90&lt;=AS7),"r1",IF(AND(AE90&gt;AP7,AE90&lt;AR7),"r1",IF(AND(AE90&gt;AP7,AE90=AR7,AF90&lt;=AS7),"r1",IF(AND(AE90=AP7,AE90&lt;AR7,AF90&gt;=AQ7),"r1","n")))))</f>
        <v>r1</v>
      </c>
    </row>
    <row r="91" spans="26:38" ht="17.100000000000001" hidden="1" customHeight="1">
      <c r="Z91" s="176">
        <f t="shared" si="11"/>
        <v>2.7999999999995451</v>
      </c>
      <c r="AA91" s="176">
        <f>IF(TRIM(AG91)="","",IF(INDEX(AZ1:AZ51,AC91)=AG91,INDEX(BA1:BA51,AC91),((AG91-INDEX(AZ1:AZ51,AC91))*(INDEX(BA1:BA51,AC91+1)-INDEX(BA1:BA51,AC91)))/(INDEX(AZ1:AZ51,AC91+1)-INDEX(AZ1:AZ51,AC91))+INDEX(BA1:BA51,AC91)))</f>
        <v>2.7999999999995451</v>
      </c>
      <c r="AB91" s="176" t="e">
        <f>IF(TRIM(AG91)="","",IF(INDEX(BD1:BD51,AD91)=AG91,INDEX(BE1:BE51,AD91),((AG91-INDEX(BD1:BD51,AD91))*(INDEX(BE1:BE51,AD91+1)-INDEX(BE1:BE51,AD91)))/(INDEX(BD1:BD51,AD91+1)-INDEX(BD1:BD51,AD91))+INDEX(BE1:BE51,AD91)))</f>
        <v>#N/A</v>
      </c>
      <c r="AC91" s="164">
        <f>MATCH(AG91,AZ1:AZ51,1)</f>
        <v>3</v>
      </c>
      <c r="AD91" s="164" t="e">
        <f>MATCH(AG91,BD1:BD51,1)</f>
        <v>#N/A</v>
      </c>
      <c r="AE91" s="164">
        <v>3</v>
      </c>
      <c r="AF91" s="164">
        <v>29</v>
      </c>
      <c r="AG91" s="179">
        <f>FIXED('HourGH-JUN'!AB41)*1</f>
        <v>337.84</v>
      </c>
      <c r="AH91" s="164" t="str">
        <f>IF(AND(AE91=AP5,AE91=AR5,AF91&gt;=AQ5,AF91&lt;=AS5),"r1",IF(AND(AE91&gt;AP5,AE91&lt;AR5),"r1",IF(AND(AE91&gt;AP5,AE91=AR5,AF91&lt;=AS5),"r1",IF(AND(AE91=AP5,AE91&lt;AR5,AF91&gt;=AQ5),"r1","n"))))</f>
        <v>r1</v>
      </c>
      <c r="AI91" s="164" t="str">
        <f>IF(AH91&lt;&gt;"n",AH91,IF(AND(AE91=AT5,AE91=AV5,AF91&gt;=AU5,AF91&lt;=AW5),"r2",IF(AND(AE91&gt;AT5,AE91&lt;AV5),"r2",IF(AND(AE91&gt;AT5,AE91=AV5,AF91&lt;=AW5),"r2",IF(AND(AE91=AT5,AE91&lt;AV5,AF91&gt;=AU5),"r2","n")))))</f>
        <v>r1</v>
      </c>
      <c r="AJ91" s="164" t="str">
        <f>IF(AI91&lt;&gt;"n",AI91,IF(AND(AE91=AP6,AE91=AR6,AF91&gt;=AQ6,AF91&lt;=AS6),"r1",IF(AND(AE91&gt;AP6,AE91&lt;AR6),"r1",IF(AND(AE91&gt;AP6,AE91=AR6,AF91&lt;=AS6),"r1",IF(AND(AE91=AP6,AE91&lt;AR6,AF91&gt;=AQ6),"r1","n")))))</f>
        <v>r1</v>
      </c>
      <c r="AK91" s="164" t="str">
        <f>IF(AJ91&lt;&gt;"n",AJ91,IF(AND(AE91=AT6,AE91=AV6,AF91&gt;=AU6,AF91&lt;=AW6),"r2",IF(AND(AE91&gt;AT6,AE91&lt;AV6),"r2",IF(AND(AE91&gt;AT6,AE91=AV6,AF91&lt;=AW6),"r2",IF(AND(AE91=AT6,AE91&lt;AV6,AF91&gt;=AU6),"r2","n")))))</f>
        <v>r1</v>
      </c>
      <c r="AL91" s="164" t="str">
        <f>IF(AK91&lt;&gt;"n",AK91,IF(AND(AE91=AP7,AE91=AR7,AF91&gt;=AQ7,AF91&lt;=AS7),"r1",IF(AND(AE91&gt;AP7,AE91&lt;AR7),"r1",IF(AND(AE91&gt;AP7,AE91=AR7,AF91&lt;=AS7),"r1",IF(AND(AE91=AP7,AE91&lt;AR7,AF91&gt;=AQ7),"r1","n")))))</f>
        <v>r1</v>
      </c>
    </row>
    <row r="92" spans="26:38" ht="17.100000000000001" hidden="1" customHeight="1">
      <c r="Z92" s="176">
        <f t="shared" si="11"/>
        <v>3.0000000000005684</v>
      </c>
      <c r="AA92" s="176">
        <f>IF(TRIM(AG92)="","",IF(INDEX(AZ1:AZ51,AC92)=AG92,INDEX(BA1:BA51,AC92),((AG92-INDEX(AZ1:AZ51,AC92))*(INDEX(BA1:BA51,AC92+1)-INDEX(BA1:BA51,AC92)))/(INDEX(AZ1:AZ51,AC92+1)-INDEX(AZ1:AZ51,AC92))+INDEX(BA1:BA51,AC92)))</f>
        <v>3.0000000000005684</v>
      </c>
      <c r="AB92" s="176" t="e">
        <f>IF(TRIM(AG92)="","",IF(INDEX(BD1:BD51,AD92)=AG92,INDEX(BE1:BE51,AD92),((AG92-INDEX(BD1:BD51,AD92))*(INDEX(BE1:BE51,AD92+1)-INDEX(BE1:BE51,AD92)))/(INDEX(BD1:BD51,AD92+1)-INDEX(BD1:BD51,AD92))+INDEX(BE1:BE51,AD92)))</f>
        <v>#N/A</v>
      </c>
      <c r="AC92" s="164">
        <f>MATCH(AG92,AZ1:AZ51,1)</f>
        <v>3</v>
      </c>
      <c r="AD92" s="164" t="e">
        <f>MATCH(AG92,BD1:BD51,1)</f>
        <v>#N/A</v>
      </c>
      <c r="AE92" s="164">
        <v>3</v>
      </c>
      <c r="AF92" s="164">
        <v>30</v>
      </c>
      <c r="AG92" s="179">
        <f>FIXED('HourGH-JUN'!AB42)*1</f>
        <v>337.85</v>
      </c>
      <c r="AH92" s="164" t="str">
        <f>IF(AND(AE92=AP5,AE92=AR5,AF92&gt;=AQ5,AF92&lt;=AS5),"r1",IF(AND(AE92&gt;AP5,AE92&lt;AR5),"r1",IF(AND(AE92&gt;AP5,AE92=AR5,AF92&lt;=AS5),"r1",IF(AND(AE92=AP5,AE92&lt;AR5,AF92&gt;=AQ5),"r1","n"))))</f>
        <v>r1</v>
      </c>
      <c r="AI92" s="164" t="str">
        <f>IF(AH92&lt;&gt;"n",AH92,IF(AND(AE92=AT5,AE92=AV5,AF92&gt;=AU5,AF92&lt;=AW5),"r2",IF(AND(AE92&gt;AT5,AE92&lt;AV5),"r2",IF(AND(AE92&gt;AT5,AE92=AV5,AF92&lt;=AW5),"r2",IF(AND(AE92=AT5,AE92&lt;AV5,AF92&gt;=AU5),"r2","n")))))</f>
        <v>r1</v>
      </c>
      <c r="AJ92" s="164" t="str">
        <f>IF(AI92&lt;&gt;"n",AI92,IF(AND(AE92=AP6,AE92=AR6,AF92&gt;=AQ6,AF92&lt;=AS6),"r1",IF(AND(AE92&gt;AP6,AE92&lt;AR6),"r1",IF(AND(AE92&gt;AP6,AE92=AR6,AF92&lt;=AS6),"r1",IF(AND(AE92=AP6,AE92&lt;AR6,AF92&gt;=AQ6),"r1","n")))))</f>
        <v>r1</v>
      </c>
      <c r="AK92" s="164" t="str">
        <f>IF(AJ92&lt;&gt;"n",AJ92,IF(AND(AE92=AT6,AE92=AV6,AF92&gt;=AU6,AF92&lt;=AW6),"r2",IF(AND(AE92&gt;AT6,AE92&lt;AV6),"r2",IF(AND(AE92&gt;AT6,AE92=AV6,AF92&lt;=AW6),"r2",IF(AND(AE92=AT6,AE92&lt;AV6,AF92&gt;=AU6),"r2","n")))))</f>
        <v>r1</v>
      </c>
      <c r="AL92" s="164" t="str">
        <f>IF(AK92&lt;&gt;"n",AK92,IF(AND(AE92=AP7,AE92=AR7,AF92&gt;=AQ7,AF92&lt;=AS7),"r1",IF(AND(AE92&gt;AP7,AE92&lt;AR7),"r1",IF(AND(AE92&gt;AP7,AE92=AR7,AF92&lt;=AS7),"r1",IF(AND(AE92=AP7,AE92&lt;AR7,AF92&gt;=AQ7),"r1","n")))))</f>
        <v>r1</v>
      </c>
    </row>
    <row r="93" spans="26:38" ht="17.100000000000001" hidden="1" customHeight="1">
      <c r="Z93" s="176">
        <f t="shared" si="11"/>
        <v>2.599999999999659</v>
      </c>
      <c r="AA93" s="176">
        <f>IF(TRIM(AG93)="","",IF(INDEX(AZ1:AZ51,AC93)=AG93,INDEX(BA1:BA51,AC93),((AG93-INDEX(AZ1:AZ51,AC93))*(INDEX(BA1:BA51,AC93+1)-INDEX(BA1:BA51,AC93)))/(INDEX(AZ1:AZ51,AC93+1)-INDEX(AZ1:AZ51,AC93))+INDEX(BA1:BA51,AC93)))</f>
        <v>2.599999999999659</v>
      </c>
      <c r="AB93" s="176" t="e">
        <f>IF(TRIM(AG93)="","",IF(INDEX(BD1:BD51,AD93)=AG93,INDEX(BE1:BE51,AD93),((AG93-INDEX(BD1:BD51,AD93))*(INDEX(BE1:BE51,AD93+1)-INDEX(BE1:BE51,AD93)))/(INDEX(BD1:BD51,AD93+1)-INDEX(BD1:BD51,AD93))+INDEX(BE1:BE51,AD93)))</f>
        <v>#N/A</v>
      </c>
      <c r="AC93" s="164">
        <f>MATCH(AG93,AZ1:AZ51,1)</f>
        <v>3</v>
      </c>
      <c r="AD93" s="164" t="e">
        <f>MATCH(AG93,BD1:BD51,1)</f>
        <v>#N/A</v>
      </c>
      <c r="AE93" s="164">
        <v>4</v>
      </c>
      <c r="AF93" s="164">
        <v>1</v>
      </c>
      <c r="AG93" s="179">
        <f>FIXED('HourGH-JUL'!AB11)*1</f>
        <v>337.83</v>
      </c>
      <c r="AH93" s="164" t="str">
        <f>IF(AND(AE93=AP5,AE93=AR5,AF93&gt;=AQ5,AF93&lt;=AS5),"r1",IF(AND(AE93&gt;AP5,AE93&lt;AR5),"r1",IF(AND(AE93&gt;AP5,AE93=AR5,AF93&lt;=AS5),"r1",IF(AND(AE93=AP5,AE93&lt;AR5,AF93&gt;=AQ5),"r1","n"))))</f>
        <v>r1</v>
      </c>
      <c r="AI93" s="164" t="str">
        <f>IF(AH93&lt;&gt;"n",AH93,IF(AND(AE93=AT5,AE93=AV5,AF93&gt;=AU5,AF93&lt;=AW5),"r2",IF(AND(AE93&gt;AT5,AE93&lt;AV5),"r2",IF(AND(AE93&gt;AT5,AE93=AV5,AF93&lt;=AW5),"r2",IF(AND(AE93=AT5,AE93&lt;AV5,AF93&gt;=AU5),"r2","n")))))</f>
        <v>r1</v>
      </c>
      <c r="AJ93" s="164" t="str">
        <f>IF(AI93&lt;&gt;"n",AI93,IF(AND(AE93=AP6,AE93=AR6,AF93&gt;=AQ6,AF93&lt;=AS6),"r1",IF(AND(AE93&gt;AP6,AE93&lt;AR6),"r1",IF(AND(AE93&gt;AP6,AE93=AR6,AF93&lt;=AS6),"r1",IF(AND(AE93=AP6,AE93&lt;AR6,AF93&gt;=AQ6),"r1","n")))))</f>
        <v>r1</v>
      </c>
      <c r="AK93" s="164" t="str">
        <f>IF(AJ93&lt;&gt;"n",AJ93,IF(AND(AE93=AT6,AE93=AV6,AF93&gt;=AU6,AF93&lt;=AW6),"r2",IF(AND(AE93&gt;AT6,AE93&lt;AV6),"r2",IF(AND(AE93&gt;AT6,AE93=AV6,AF93&lt;=AW6),"r2",IF(AND(AE93=AT6,AE93&lt;AV6,AF93&gt;=AU6),"r2","n")))))</f>
        <v>r1</v>
      </c>
      <c r="AL93" s="164" t="str">
        <f>IF(AK93&lt;&gt;"n",AK93,IF(AND(AE93=AP7,AE93=AR7,AF93&gt;=AQ7,AF93&lt;=AS7),"r1",IF(AND(AE93&gt;AP7,AE93&lt;AR7),"r1",IF(AND(AE93&gt;AP7,AE93=AR7,AF93&lt;=AS7),"r1",IF(AND(AE93=AP7,AE93&lt;AR7,AF93&gt;=AQ7),"r1","n")))))</f>
        <v>r1</v>
      </c>
    </row>
    <row r="94" spans="26:38" ht="17.100000000000001" hidden="1" customHeight="1">
      <c r="Z94" s="176">
        <f t="shared" si="11"/>
        <v>2.599999999999659</v>
      </c>
      <c r="AA94" s="176">
        <f>IF(TRIM(AG94)="","",IF(INDEX(AZ1:AZ51,AC94)=AG94,INDEX(BA1:BA51,AC94),((AG94-INDEX(AZ1:AZ51,AC94))*(INDEX(BA1:BA51,AC94+1)-INDEX(BA1:BA51,AC94)))/(INDEX(AZ1:AZ51,AC94+1)-INDEX(AZ1:AZ51,AC94))+INDEX(BA1:BA51,AC94)))</f>
        <v>2.599999999999659</v>
      </c>
      <c r="AB94" s="176" t="e">
        <f>IF(TRIM(AG94)="","",IF(INDEX(BD1:BD51,AD94)=AG94,INDEX(BE1:BE51,AD94),((AG94-INDEX(BD1:BD51,AD94))*(INDEX(BE1:BE51,AD94+1)-INDEX(BE1:BE51,AD94)))/(INDEX(BD1:BD51,AD94+1)-INDEX(BD1:BD51,AD94))+INDEX(BE1:BE51,AD94)))</f>
        <v>#N/A</v>
      </c>
      <c r="AC94" s="164">
        <f>MATCH(AG94,AZ1:AZ51,1)</f>
        <v>3</v>
      </c>
      <c r="AD94" s="164" t="e">
        <f>MATCH(AG94,BD1:BD51,1)</f>
        <v>#N/A</v>
      </c>
      <c r="AE94" s="164">
        <v>4</v>
      </c>
      <c r="AF94" s="164">
        <v>2</v>
      </c>
      <c r="AG94" s="179">
        <f>FIXED('HourGH-JUL'!AB12)*1</f>
        <v>337.83</v>
      </c>
      <c r="AH94" s="164" t="str">
        <f>IF(AND(AE94=AP5,AE94=AR5,AF94&gt;=AQ5,AF94&lt;=AS5),"r1",IF(AND(AE94&gt;AP5,AE94&lt;AR5),"r1",IF(AND(AE94&gt;AP5,AE94=AR5,AF94&lt;=AS5),"r1",IF(AND(AE94=AP5,AE94&lt;AR5,AF94&gt;=AQ5),"r1","n"))))</f>
        <v>r1</v>
      </c>
      <c r="AI94" s="164" t="str">
        <f>IF(AH94&lt;&gt;"n",AH94,IF(AND(AE94=AT5,AE94=AV5,AF94&gt;=AU5,AF94&lt;=AW5),"r2",IF(AND(AE94&gt;AT5,AE94&lt;AV5),"r2",IF(AND(AE94&gt;AT5,AE94=AV5,AF94&lt;=AW5),"r2",IF(AND(AE94=AT5,AE94&lt;AV5,AF94&gt;=AU5),"r2","n")))))</f>
        <v>r1</v>
      </c>
      <c r="AJ94" s="164" t="str">
        <f>IF(AI94&lt;&gt;"n",AI94,IF(AND(AE94=AP6,AE94=AR6,AF94&gt;=AQ6,AF94&lt;=AS6),"r1",IF(AND(AE94&gt;AP6,AE94&lt;AR6),"r1",IF(AND(AE94&gt;AP6,AE94=AR6,AF94&lt;=AS6),"r1",IF(AND(AE94=AP6,AE94&lt;AR6,AF94&gt;=AQ6),"r1","n")))))</f>
        <v>r1</v>
      </c>
      <c r="AK94" s="164" t="str">
        <f>IF(AJ94&lt;&gt;"n",AJ94,IF(AND(AE94=AT6,AE94=AV6,AF94&gt;=AU6,AF94&lt;=AW6),"r2",IF(AND(AE94&gt;AT6,AE94&lt;AV6),"r2",IF(AND(AE94&gt;AT6,AE94=AV6,AF94&lt;=AW6),"r2",IF(AND(AE94=AT6,AE94&lt;AV6,AF94&gt;=AU6),"r2","n")))))</f>
        <v>r1</v>
      </c>
      <c r="AL94" s="164" t="str">
        <f>IF(AK94&lt;&gt;"n",AK94,IF(AND(AE94=AP7,AE94=AR7,AF94&gt;=AQ7,AF94&lt;=AS7),"r1",IF(AND(AE94&gt;AP7,AE94&lt;AR7),"r1",IF(AND(AE94&gt;AP7,AE94=AR7,AF94&lt;=AS7),"r1",IF(AND(AE94=AP7,AE94&lt;AR7,AF94&gt;=AQ7),"r1","n")))))</f>
        <v>r1</v>
      </c>
    </row>
    <row r="95" spans="26:38" ht="17.100000000000001" hidden="1" customHeight="1">
      <c r="Z95" s="176">
        <f t="shared" si="11"/>
        <v>2.599999999999659</v>
      </c>
      <c r="AA95" s="176">
        <f>IF(TRIM(AG95)="","",IF(INDEX(AZ1:AZ51,AC95)=AG95,INDEX(BA1:BA51,AC95),((AG95-INDEX(AZ1:AZ51,AC95))*(INDEX(BA1:BA51,AC95+1)-INDEX(BA1:BA51,AC95)))/(INDEX(AZ1:AZ51,AC95+1)-INDEX(AZ1:AZ51,AC95))+INDEX(BA1:BA51,AC95)))</f>
        <v>2.599999999999659</v>
      </c>
      <c r="AB95" s="176" t="e">
        <f>IF(TRIM(AG95)="","",IF(INDEX(BD1:BD51,AD95)=AG95,INDEX(BE1:BE51,AD95),((AG95-INDEX(BD1:BD51,AD95))*(INDEX(BE1:BE51,AD95+1)-INDEX(BE1:BE51,AD95)))/(INDEX(BD1:BD51,AD95+1)-INDEX(BD1:BD51,AD95))+INDEX(BE1:BE51,AD95)))</f>
        <v>#N/A</v>
      </c>
      <c r="AC95" s="164">
        <f>MATCH(AG95,AZ1:AZ51,1)</f>
        <v>3</v>
      </c>
      <c r="AD95" s="164" t="e">
        <f>MATCH(AG95,BD1:BD51,1)</f>
        <v>#N/A</v>
      </c>
      <c r="AE95" s="164">
        <v>4</v>
      </c>
      <c r="AF95" s="164">
        <v>3</v>
      </c>
      <c r="AG95" s="179">
        <f>FIXED('HourGH-JUL'!AB13)*1</f>
        <v>337.83</v>
      </c>
      <c r="AH95" s="164" t="str">
        <f>IF(AND(AE95=AP5,AE95=AR5,AF95&gt;=AQ5,AF95&lt;=AS5),"r1",IF(AND(AE95&gt;AP5,AE95&lt;AR5),"r1",IF(AND(AE95&gt;AP5,AE95=AR5,AF95&lt;=AS5),"r1",IF(AND(AE95=AP5,AE95&lt;AR5,AF95&gt;=AQ5),"r1","n"))))</f>
        <v>r1</v>
      </c>
      <c r="AI95" s="164" t="str">
        <f>IF(AH95&lt;&gt;"n",AH95,IF(AND(AE95=AT5,AE95=AV5,AF95&gt;=AU5,AF95&lt;=AW5),"r2",IF(AND(AE95&gt;AT5,AE95&lt;AV5),"r2",IF(AND(AE95&gt;AT5,AE95=AV5,AF95&lt;=AW5),"r2",IF(AND(AE95=AT5,AE95&lt;AV5,AF95&gt;=AU5),"r2","n")))))</f>
        <v>r1</v>
      </c>
      <c r="AJ95" s="164" t="str">
        <f>IF(AI95&lt;&gt;"n",AI95,IF(AND(AE95=AP6,AE95=AR6,AF95&gt;=AQ6,AF95&lt;=AS6),"r1",IF(AND(AE95&gt;AP6,AE95&lt;AR6),"r1",IF(AND(AE95&gt;AP6,AE95=AR6,AF95&lt;=AS6),"r1",IF(AND(AE95=AP6,AE95&lt;AR6,AF95&gt;=AQ6),"r1","n")))))</f>
        <v>r1</v>
      </c>
      <c r="AK95" s="164" t="str">
        <f>IF(AJ95&lt;&gt;"n",AJ95,IF(AND(AE95=AT6,AE95=AV6,AF95&gt;=AU6,AF95&lt;=AW6),"r2",IF(AND(AE95&gt;AT6,AE95&lt;AV6),"r2",IF(AND(AE95&gt;AT6,AE95=AV6,AF95&lt;=AW6),"r2",IF(AND(AE95=AT6,AE95&lt;AV6,AF95&gt;=AU6),"r2","n")))))</f>
        <v>r1</v>
      </c>
      <c r="AL95" s="164" t="str">
        <f>IF(AK95&lt;&gt;"n",AK95,IF(AND(AE95=AP7,AE95=AR7,AF95&gt;=AQ7,AF95&lt;=AS7),"r1",IF(AND(AE95&gt;AP7,AE95&lt;AR7),"r1",IF(AND(AE95&gt;AP7,AE95=AR7,AF95&lt;=AS7),"r1",IF(AND(AE95=AP7,AE95&lt;AR7,AF95&gt;=AQ7),"r1","n")))))</f>
        <v>r1</v>
      </c>
    </row>
    <row r="96" spans="26:38" ht="17.100000000000001" hidden="1" customHeight="1">
      <c r="Z96" s="176">
        <f t="shared" si="11"/>
        <v>3.0000000000005684</v>
      </c>
      <c r="AA96" s="176">
        <f>IF(TRIM(AG96)="","",IF(INDEX(AZ1:AZ51,AC96)=AG96,INDEX(BA1:BA51,AC96),((AG96-INDEX(AZ1:AZ51,AC96))*(INDEX(BA1:BA51,AC96+1)-INDEX(BA1:BA51,AC96)))/(INDEX(AZ1:AZ51,AC96+1)-INDEX(AZ1:AZ51,AC96))+INDEX(BA1:BA51,AC96)))</f>
        <v>3.0000000000005684</v>
      </c>
      <c r="AB96" s="176" t="e">
        <f>IF(TRIM(AG96)="","",IF(INDEX(BD1:BD51,AD96)=AG96,INDEX(BE1:BE51,AD96),((AG96-INDEX(BD1:BD51,AD96))*(INDEX(BE1:BE51,AD96+1)-INDEX(BE1:BE51,AD96)))/(INDEX(BD1:BD51,AD96+1)-INDEX(BD1:BD51,AD96))+INDEX(BE1:BE51,AD96)))</f>
        <v>#N/A</v>
      </c>
      <c r="AC96" s="164">
        <f>MATCH(AG96,AZ1:AZ51,1)</f>
        <v>3</v>
      </c>
      <c r="AD96" s="164" t="e">
        <f>MATCH(AG96,BD1:BD51,1)</f>
        <v>#N/A</v>
      </c>
      <c r="AE96" s="164">
        <v>4</v>
      </c>
      <c r="AF96" s="164">
        <v>4</v>
      </c>
      <c r="AG96" s="179">
        <f>FIXED('HourGH-JUL'!AB14)*1</f>
        <v>337.85</v>
      </c>
      <c r="AH96" s="164" t="str">
        <f>IF(AND(AE96=AP5,AE96=AR5,AF96&gt;=AQ5,AF96&lt;=AS5),"r1",IF(AND(AE96&gt;AP5,AE96&lt;AR5),"r1",IF(AND(AE96&gt;AP5,AE96=AR5,AF96&lt;=AS5),"r1",IF(AND(AE96=AP5,AE96&lt;AR5,AF96&gt;=AQ5),"r1","n"))))</f>
        <v>r1</v>
      </c>
      <c r="AI96" s="164" t="str">
        <f>IF(AH96&lt;&gt;"n",AH96,IF(AND(AE96=AT5,AE96=AV5,AF96&gt;=AU5,AF96&lt;=AW5),"r2",IF(AND(AE96&gt;AT5,AE96&lt;AV5),"r2",IF(AND(AE96&gt;AT5,AE96=AV5,AF96&lt;=AW5),"r2",IF(AND(AE96=AT5,AE96&lt;AV5,AF96&gt;=AU5),"r2","n")))))</f>
        <v>r1</v>
      </c>
      <c r="AJ96" s="164" t="str">
        <f>IF(AI96&lt;&gt;"n",AI96,IF(AND(AE96=AP6,AE96=AR6,AF96&gt;=AQ6,AF96&lt;=AS6),"r1",IF(AND(AE96&gt;AP6,AE96&lt;AR6),"r1",IF(AND(AE96&gt;AP6,AE96=AR6,AF96&lt;=AS6),"r1",IF(AND(AE96=AP6,AE96&lt;AR6,AF96&gt;=AQ6),"r1","n")))))</f>
        <v>r1</v>
      </c>
      <c r="AK96" s="164" t="str">
        <f>IF(AJ96&lt;&gt;"n",AJ96,IF(AND(AE96=AT6,AE96=AV6,AF96&gt;=AU6,AF96&lt;=AW6),"r2",IF(AND(AE96&gt;AT6,AE96&lt;AV6),"r2",IF(AND(AE96&gt;AT6,AE96=AV6,AF96&lt;=AW6),"r2",IF(AND(AE96=AT6,AE96&lt;AV6,AF96&gt;=AU6),"r2","n")))))</f>
        <v>r1</v>
      </c>
      <c r="AL96" s="164" t="str">
        <f>IF(AK96&lt;&gt;"n",AK96,IF(AND(AE96=AP7,AE96=AR7,AF96&gt;=AQ7,AF96&lt;=AS7),"r1",IF(AND(AE96&gt;AP7,AE96&lt;AR7),"r1",IF(AND(AE96&gt;AP7,AE96=AR7,AF96&lt;=AS7),"r1",IF(AND(AE96=AP7,AE96&lt;AR7,AF96&gt;=AQ7),"r1","n")))))</f>
        <v>r1</v>
      </c>
    </row>
    <row r="97" spans="26:38" ht="17.100000000000001" hidden="1" customHeight="1">
      <c r="Z97" s="176">
        <f t="shared" si="11"/>
        <v>3.400000000000341</v>
      </c>
      <c r="AA97" s="176">
        <f>IF(TRIM(AG97)="","",IF(INDEX(AZ1:AZ51,AC97)=AG97,INDEX(BA1:BA51,AC97),((AG97-INDEX(AZ1:AZ51,AC97))*(INDEX(BA1:BA51,AC97+1)-INDEX(BA1:BA51,AC97)))/(INDEX(AZ1:AZ51,AC97+1)-INDEX(AZ1:AZ51,AC97))+INDEX(BA1:BA51,AC97)))</f>
        <v>3.400000000000341</v>
      </c>
      <c r="AB97" s="176" t="e">
        <f>IF(TRIM(AG97)="","",IF(INDEX(BD1:BD51,AD97)=AG97,INDEX(BE1:BE51,AD97),((AG97-INDEX(BD1:BD51,AD97))*(INDEX(BE1:BE51,AD97+1)-INDEX(BE1:BE51,AD97)))/(INDEX(BD1:BD51,AD97+1)-INDEX(BD1:BD51,AD97))+INDEX(BE1:BE51,AD97)))</f>
        <v>#N/A</v>
      </c>
      <c r="AC97" s="164">
        <f>MATCH(AG97,AZ1:AZ51,1)</f>
        <v>3</v>
      </c>
      <c r="AD97" s="164" t="e">
        <f>MATCH(AG97,BD1:BD51,1)</f>
        <v>#N/A</v>
      </c>
      <c r="AE97" s="164">
        <v>4</v>
      </c>
      <c r="AF97" s="164">
        <v>5</v>
      </c>
      <c r="AG97" s="179">
        <f>FIXED('HourGH-JUL'!AB15)*1</f>
        <v>337.87</v>
      </c>
      <c r="AH97" s="164" t="str">
        <f>IF(AND(AE97=AP5,AE97=AR5,AF97&gt;=AQ5,AF97&lt;=AS5),"r1",IF(AND(AE97&gt;AP5,AE97&lt;AR5),"r1",IF(AND(AE97&gt;AP5,AE97=AR5,AF97&lt;=AS5),"r1",IF(AND(AE97=AP5,AE97&lt;AR5,AF97&gt;=AQ5),"r1","n"))))</f>
        <v>r1</v>
      </c>
      <c r="AI97" s="164" t="str">
        <f>IF(AH97&lt;&gt;"n",AH97,IF(AND(AE97=AT5,AE97=AV5,AF97&gt;=AU5,AF97&lt;=AW5),"r2",IF(AND(AE97&gt;AT5,AE97&lt;AV5),"r2",IF(AND(AE97&gt;AT5,AE97=AV5,AF97&lt;=AW5),"r2",IF(AND(AE97=AT5,AE97&lt;AV5,AF97&gt;=AU5),"r2","n")))))</f>
        <v>r1</v>
      </c>
      <c r="AJ97" s="164" t="str">
        <f>IF(AI97&lt;&gt;"n",AI97,IF(AND(AE97=AP6,AE97=AR6,AF97&gt;=AQ6,AF97&lt;=AS6),"r1",IF(AND(AE97&gt;AP6,AE97&lt;AR6),"r1",IF(AND(AE97&gt;AP6,AE97=AR6,AF97&lt;=AS6),"r1",IF(AND(AE97=AP6,AE97&lt;AR6,AF97&gt;=AQ6),"r1","n")))))</f>
        <v>r1</v>
      </c>
      <c r="AK97" s="164" t="str">
        <f>IF(AJ97&lt;&gt;"n",AJ97,IF(AND(AE97=AT6,AE97=AV6,AF97&gt;=AU6,AF97&lt;=AW6),"r2",IF(AND(AE97&gt;AT6,AE97&lt;AV6),"r2",IF(AND(AE97&gt;AT6,AE97=AV6,AF97&lt;=AW6),"r2",IF(AND(AE97=AT6,AE97&lt;AV6,AF97&gt;=AU6),"r2","n")))))</f>
        <v>r1</v>
      </c>
      <c r="AL97" s="164" t="str">
        <f>IF(AK97&lt;&gt;"n",AK97,IF(AND(AE97=AP7,AE97=AR7,AF97&gt;=AQ7,AF97&lt;=AS7),"r1",IF(AND(AE97&gt;AP7,AE97&lt;AR7),"r1",IF(AND(AE97&gt;AP7,AE97=AR7,AF97&lt;=AS7),"r1",IF(AND(AE97=AP7,AE97&lt;AR7,AF97&gt;=AQ7),"r1","n")))))</f>
        <v>r1</v>
      </c>
    </row>
    <row r="98" spans="26:38" ht="17.100000000000001" hidden="1" customHeight="1">
      <c r="Z98" s="176">
        <f t="shared" si="11"/>
        <v>3.2000000000004549</v>
      </c>
      <c r="AA98" s="176">
        <f>IF(TRIM(AG98)="","",IF(INDEX(AZ1:AZ51,AC98)=AG98,INDEX(BA1:BA51,AC98),((AG98-INDEX(AZ1:AZ51,AC98))*(INDEX(BA1:BA51,AC98+1)-INDEX(BA1:BA51,AC98)))/(INDEX(AZ1:AZ51,AC98+1)-INDEX(AZ1:AZ51,AC98))+INDEX(BA1:BA51,AC98)))</f>
        <v>3.2000000000004549</v>
      </c>
      <c r="AB98" s="176" t="e">
        <f>IF(TRIM(AG98)="","",IF(INDEX(BD1:BD51,AD98)=AG98,INDEX(BE1:BE51,AD98),((AG98-INDEX(BD1:BD51,AD98))*(INDEX(BE1:BE51,AD98+1)-INDEX(BE1:BE51,AD98)))/(INDEX(BD1:BD51,AD98+1)-INDEX(BD1:BD51,AD98))+INDEX(BE1:BE51,AD98)))</f>
        <v>#N/A</v>
      </c>
      <c r="AC98" s="164">
        <f>MATCH(AG98,AZ1:AZ51,1)</f>
        <v>3</v>
      </c>
      <c r="AD98" s="164" t="e">
        <f>MATCH(AG98,BD1:BD51,1)</f>
        <v>#N/A</v>
      </c>
      <c r="AE98" s="164">
        <v>4</v>
      </c>
      <c r="AF98" s="164">
        <v>6</v>
      </c>
      <c r="AG98" s="179">
        <f>FIXED('HourGH-JUL'!AB16)*1</f>
        <v>337.86</v>
      </c>
      <c r="AH98" s="164" t="str">
        <f>IF(AND(AE98=AP5,AE98=AR5,AF98&gt;=AQ5,AF98&lt;=AS5),"r1",IF(AND(AE98&gt;AP5,AE98&lt;AR5),"r1",IF(AND(AE98&gt;AP5,AE98=AR5,AF98&lt;=AS5),"r1",IF(AND(AE98=AP5,AE98&lt;AR5,AF98&gt;=AQ5),"r1","n"))))</f>
        <v>r1</v>
      </c>
      <c r="AI98" s="164" t="str">
        <f>IF(AH98&lt;&gt;"n",AH98,IF(AND(AE98=AT5,AE98=AV5,AF98&gt;=AU5,AF98&lt;=AW5),"r2",IF(AND(AE98&gt;AT5,AE98&lt;AV5),"r2",IF(AND(AE98&gt;AT5,AE98=AV5,AF98&lt;=AW5),"r2",IF(AND(AE98=AT5,AE98&lt;AV5,AF98&gt;=AU5),"r2","n")))))</f>
        <v>r1</v>
      </c>
      <c r="AJ98" s="164" t="str">
        <f>IF(AI98&lt;&gt;"n",AI98,IF(AND(AE98=AP6,AE98=AR6,AF98&gt;=AQ6,AF98&lt;=AS6),"r1",IF(AND(AE98&gt;AP6,AE98&lt;AR6),"r1",IF(AND(AE98&gt;AP6,AE98=AR6,AF98&lt;=AS6),"r1",IF(AND(AE98=AP6,AE98&lt;AR6,AF98&gt;=AQ6),"r1","n")))))</f>
        <v>r1</v>
      </c>
      <c r="AK98" s="164" t="str">
        <f>IF(AJ98&lt;&gt;"n",AJ98,IF(AND(AE98=AT6,AE98=AV6,AF98&gt;=AU6,AF98&lt;=AW6),"r2",IF(AND(AE98&gt;AT6,AE98&lt;AV6),"r2",IF(AND(AE98&gt;AT6,AE98=AV6,AF98&lt;=AW6),"r2",IF(AND(AE98=AT6,AE98&lt;AV6,AF98&gt;=AU6),"r2","n")))))</f>
        <v>r1</v>
      </c>
      <c r="AL98" s="164" t="str">
        <f>IF(AK98&lt;&gt;"n",AK98,IF(AND(AE98=AP7,AE98=AR7,AF98&gt;=AQ7,AF98&lt;=AS7),"r1",IF(AND(AE98&gt;AP7,AE98&lt;AR7),"r1",IF(AND(AE98&gt;AP7,AE98=AR7,AF98&lt;=AS7),"r1",IF(AND(AE98=AP7,AE98&lt;AR7,AF98&gt;=AQ7),"r1","n")))))</f>
        <v>r1</v>
      </c>
    </row>
    <row r="99" spans="26:38" ht="17.100000000000001" hidden="1" customHeight="1">
      <c r="Z99" s="176">
        <f t="shared" si="11"/>
        <v>3.2000000000004549</v>
      </c>
      <c r="AA99" s="176">
        <f>IF(TRIM(AG99)="","",IF(INDEX(AZ1:AZ51,AC99)=AG99,INDEX(BA1:BA51,AC99),((AG99-INDEX(AZ1:AZ51,AC99))*(INDEX(BA1:BA51,AC99+1)-INDEX(BA1:BA51,AC99)))/(INDEX(AZ1:AZ51,AC99+1)-INDEX(AZ1:AZ51,AC99))+INDEX(BA1:BA51,AC99)))</f>
        <v>3.2000000000004549</v>
      </c>
      <c r="AB99" s="176" t="e">
        <f>IF(TRIM(AG99)="","",IF(INDEX(BD1:BD51,AD99)=AG99,INDEX(BE1:BE51,AD99),((AG99-INDEX(BD1:BD51,AD99))*(INDEX(BE1:BE51,AD99+1)-INDEX(BE1:BE51,AD99)))/(INDEX(BD1:BD51,AD99+1)-INDEX(BD1:BD51,AD99))+INDEX(BE1:BE51,AD99)))</f>
        <v>#N/A</v>
      </c>
      <c r="AC99" s="164">
        <f>MATCH(AG99,AZ1:AZ51,1)</f>
        <v>3</v>
      </c>
      <c r="AD99" s="164" t="e">
        <f>MATCH(AG99,BD1:BD51,1)</f>
        <v>#N/A</v>
      </c>
      <c r="AE99" s="164">
        <v>4</v>
      </c>
      <c r="AF99" s="164">
        <v>7</v>
      </c>
      <c r="AG99" s="179">
        <f>FIXED('HourGH-JUL'!AB17)*1</f>
        <v>337.86</v>
      </c>
      <c r="AH99" s="164" t="str">
        <f>IF(AND(AE99=AP5,AE99=AR5,AF99&gt;=AQ5,AF99&lt;=AS5),"r1",IF(AND(AE99&gt;AP5,AE99&lt;AR5),"r1",IF(AND(AE99&gt;AP5,AE99=AR5,AF99&lt;=AS5),"r1",IF(AND(AE99=AP5,AE99&lt;AR5,AF99&gt;=AQ5),"r1","n"))))</f>
        <v>r1</v>
      </c>
      <c r="AI99" s="164" t="str">
        <f>IF(AH99&lt;&gt;"n",AH99,IF(AND(AE99=AT5,AE99=AV5,AF99&gt;=AU5,AF99&lt;=AW5),"r2",IF(AND(AE99&gt;AT5,AE99&lt;AV5),"r2",IF(AND(AE99&gt;AT5,AE99=AV5,AF99&lt;=AW5),"r2",IF(AND(AE99=AT5,AE99&lt;AV5,AF99&gt;=AU5),"r2","n")))))</f>
        <v>r1</v>
      </c>
      <c r="AJ99" s="164" t="str">
        <f>IF(AI99&lt;&gt;"n",AI99,IF(AND(AE99=AP6,AE99=AR6,AF99&gt;=AQ6,AF99&lt;=AS6),"r1",IF(AND(AE99&gt;AP6,AE99&lt;AR6),"r1",IF(AND(AE99&gt;AP6,AE99=AR6,AF99&lt;=AS6),"r1",IF(AND(AE99=AP6,AE99&lt;AR6,AF99&gt;=AQ6),"r1","n")))))</f>
        <v>r1</v>
      </c>
      <c r="AK99" s="164" t="str">
        <f>IF(AJ99&lt;&gt;"n",AJ99,IF(AND(AE99=AT6,AE99=AV6,AF99&gt;=AU6,AF99&lt;=AW6),"r2",IF(AND(AE99&gt;AT6,AE99&lt;AV6),"r2",IF(AND(AE99&gt;AT6,AE99=AV6,AF99&lt;=AW6),"r2",IF(AND(AE99=AT6,AE99&lt;AV6,AF99&gt;=AU6),"r2","n")))))</f>
        <v>r1</v>
      </c>
      <c r="AL99" s="164" t="str">
        <f>IF(AK99&lt;&gt;"n",AK99,IF(AND(AE99=AP7,AE99=AR7,AF99&gt;=AQ7,AF99&lt;=AS7),"r1",IF(AND(AE99&gt;AP7,AE99&lt;AR7),"r1",IF(AND(AE99&gt;AP7,AE99=AR7,AF99&lt;=AS7),"r1",IF(AND(AE99=AP7,AE99&lt;AR7,AF99&gt;=AQ7),"r1","n")))))</f>
        <v>r1</v>
      </c>
    </row>
    <row r="100" spans="26:38" ht="17.100000000000001" hidden="1" customHeight="1">
      <c r="Z100" s="176">
        <f t="shared" si="11"/>
        <v>3.6000000000002275</v>
      </c>
      <c r="AA100" s="176">
        <f>IF(TRIM(AG100)="","",IF(INDEX(AZ1:AZ51,AC100)=AG100,INDEX(BA1:BA51,AC100),((AG100-INDEX(AZ1:AZ51,AC100))*(INDEX(BA1:BA51,AC100+1)-INDEX(BA1:BA51,AC100)))/(INDEX(AZ1:AZ51,AC100+1)-INDEX(AZ1:AZ51,AC100))+INDEX(BA1:BA51,AC100)))</f>
        <v>3.6000000000002275</v>
      </c>
      <c r="AB100" s="176" t="e">
        <f>IF(TRIM(AG100)="","",IF(INDEX(BD1:BD51,AD100)=AG100,INDEX(BE1:BE51,AD100),((AG100-INDEX(BD1:BD51,AD100))*(INDEX(BE1:BE51,AD100+1)-INDEX(BE1:BE51,AD100)))/(INDEX(BD1:BD51,AD100+1)-INDEX(BD1:BD51,AD100))+INDEX(BE1:BE51,AD100)))</f>
        <v>#N/A</v>
      </c>
      <c r="AC100" s="164">
        <f>MATCH(AG100,AZ1:AZ51,1)</f>
        <v>3</v>
      </c>
      <c r="AD100" s="164" t="e">
        <f>MATCH(AG100,BD1:BD51,1)</f>
        <v>#N/A</v>
      </c>
      <c r="AE100" s="164">
        <v>4</v>
      </c>
      <c r="AF100" s="164">
        <v>8</v>
      </c>
      <c r="AG100" s="179">
        <f>FIXED('HourGH-JUL'!AB18)*1</f>
        <v>337.88</v>
      </c>
      <c r="AH100" s="164" t="str">
        <f>IF(AND(AE100=AP5,AE100=AR5,AF100&gt;=AQ5,AF100&lt;=AS5),"r1",IF(AND(AE100&gt;AP5,AE100&lt;AR5),"r1",IF(AND(AE100&gt;AP5,AE100=AR5,AF100&lt;=AS5),"r1",IF(AND(AE100=AP5,AE100&lt;AR5,AF100&gt;=AQ5),"r1","n"))))</f>
        <v>r1</v>
      </c>
      <c r="AI100" s="164" t="str">
        <f>IF(AH100&lt;&gt;"n",AH100,IF(AND(AE100=AT5,AE100=AV5,AF100&gt;=AU5,AF100&lt;=AW5),"r2",IF(AND(AE100&gt;AT5,AE100&lt;AV5),"r2",IF(AND(AE100&gt;AT5,AE100=AV5,AF100&lt;=AW5),"r2",IF(AND(AE100=AT5,AE100&lt;AV5,AF100&gt;=AU5),"r2","n")))))</f>
        <v>r1</v>
      </c>
      <c r="AJ100" s="164" t="str">
        <f>IF(AI100&lt;&gt;"n",AI100,IF(AND(AE100=AP6,AE100=AR6,AF100&gt;=AQ6,AF100&lt;=AS6),"r1",IF(AND(AE100&gt;AP6,AE100&lt;AR6),"r1",IF(AND(AE100&gt;AP6,AE100=AR6,AF100&lt;=AS6),"r1",IF(AND(AE100=AP6,AE100&lt;AR6,AF100&gt;=AQ6),"r1","n")))))</f>
        <v>r1</v>
      </c>
      <c r="AK100" s="164" t="str">
        <f>IF(AJ100&lt;&gt;"n",AJ100,IF(AND(AE100=AT6,AE100=AV6,AF100&gt;=AU6,AF100&lt;=AW6),"r2",IF(AND(AE100&gt;AT6,AE100&lt;AV6),"r2",IF(AND(AE100&gt;AT6,AE100=AV6,AF100&lt;=AW6),"r2",IF(AND(AE100=AT6,AE100&lt;AV6,AF100&gt;=AU6),"r2","n")))))</f>
        <v>r1</v>
      </c>
      <c r="AL100" s="164" t="str">
        <f>IF(AK100&lt;&gt;"n",AK100,IF(AND(AE100=AP7,AE100=AR7,AF100&gt;=AQ7,AF100&lt;=AS7),"r1",IF(AND(AE100&gt;AP7,AE100&lt;AR7),"r1",IF(AND(AE100&gt;AP7,AE100=AR7,AF100&lt;=AS7),"r1",IF(AND(AE100=AP7,AE100&lt;AR7,AF100&gt;=AQ7),"r1","n")))))</f>
        <v>r1</v>
      </c>
    </row>
    <row r="101" spans="26:38" ht="17.100000000000001" hidden="1" customHeight="1">
      <c r="Z101" s="176">
        <f t="shared" si="11"/>
        <v>3.6000000000002275</v>
      </c>
      <c r="AA101" s="176">
        <f>IF(TRIM(AG101)="","",IF(INDEX(AZ1:AZ51,AC101)=AG101,INDEX(BA1:BA51,AC101),((AG101-INDEX(AZ1:AZ51,AC101))*(INDEX(BA1:BA51,AC101+1)-INDEX(BA1:BA51,AC101)))/(INDEX(AZ1:AZ51,AC101+1)-INDEX(AZ1:AZ51,AC101))+INDEX(BA1:BA51,AC101)))</f>
        <v>3.6000000000002275</v>
      </c>
      <c r="AB101" s="176" t="e">
        <f>IF(TRIM(AG101)="","",IF(INDEX(BD1:BD51,AD101)=AG101,INDEX(BE1:BE51,AD101),((AG101-INDEX(BD1:BD51,AD101))*(INDEX(BE1:BE51,AD101+1)-INDEX(BE1:BE51,AD101)))/(INDEX(BD1:BD51,AD101+1)-INDEX(BD1:BD51,AD101))+INDEX(BE1:BE51,AD101)))</f>
        <v>#N/A</v>
      </c>
      <c r="AC101" s="164">
        <f>MATCH(AG101,AZ1:AZ51,1)</f>
        <v>3</v>
      </c>
      <c r="AD101" s="164" t="e">
        <f>MATCH(AG101,BD1:BD51,1)</f>
        <v>#N/A</v>
      </c>
      <c r="AE101" s="164">
        <v>4</v>
      </c>
      <c r="AF101" s="164">
        <v>9</v>
      </c>
      <c r="AG101" s="179">
        <f>FIXED('HourGH-JUL'!AB19)*1</f>
        <v>337.88</v>
      </c>
      <c r="AH101" s="164" t="str">
        <f>IF(AND(AE101=AP5,AE101=AR5,AF101&gt;=AQ5,AF101&lt;=AS5),"r1",IF(AND(AE101&gt;AP5,AE101&lt;AR5),"r1",IF(AND(AE101&gt;AP5,AE101=AR5,AF101&lt;=AS5),"r1",IF(AND(AE101=AP5,AE101&lt;AR5,AF101&gt;=AQ5),"r1","n"))))</f>
        <v>r1</v>
      </c>
      <c r="AI101" s="164" t="str">
        <f>IF(AH101&lt;&gt;"n",AH101,IF(AND(AE101=AT5,AE101=AV5,AF101&gt;=AU5,AF101&lt;=AW5),"r2",IF(AND(AE101&gt;AT5,AE101&lt;AV5),"r2",IF(AND(AE101&gt;AT5,AE101=AV5,AF101&lt;=AW5),"r2",IF(AND(AE101=AT5,AE101&lt;AV5,AF101&gt;=AU5),"r2","n")))))</f>
        <v>r1</v>
      </c>
      <c r="AJ101" s="164" t="str">
        <f>IF(AI101&lt;&gt;"n",AI101,IF(AND(AE101=AP6,AE101=AR6,AF101&gt;=AQ6,AF101&lt;=AS6),"r1",IF(AND(AE101&gt;AP6,AE101&lt;AR6),"r1",IF(AND(AE101&gt;AP6,AE101=AR6,AF101&lt;=AS6),"r1",IF(AND(AE101=AP6,AE101&lt;AR6,AF101&gt;=AQ6),"r1","n")))))</f>
        <v>r1</v>
      </c>
      <c r="AK101" s="164" t="str">
        <f>IF(AJ101&lt;&gt;"n",AJ101,IF(AND(AE101=AT6,AE101=AV6,AF101&gt;=AU6,AF101&lt;=AW6),"r2",IF(AND(AE101&gt;AT6,AE101&lt;AV6),"r2",IF(AND(AE101&gt;AT6,AE101=AV6,AF101&lt;=AW6),"r2",IF(AND(AE101=AT6,AE101&lt;AV6,AF101&gt;=AU6),"r2","n")))))</f>
        <v>r1</v>
      </c>
      <c r="AL101" s="164" t="str">
        <f>IF(AK101&lt;&gt;"n",AK101,IF(AND(AE101=AP7,AE101=AR7,AF101&gt;=AQ7,AF101&lt;=AS7),"r1",IF(AND(AE101&gt;AP7,AE101&lt;AR7),"r1",IF(AND(AE101&gt;AP7,AE101=AR7,AF101&lt;=AS7),"r1",IF(AND(AE101=AP7,AE101&lt;AR7,AF101&gt;=AQ7),"r1","n")))))</f>
        <v>r1</v>
      </c>
    </row>
    <row r="102" spans="26:38" ht="17.100000000000001" hidden="1" customHeight="1">
      <c r="Z102" s="176">
        <f t="shared" si="11"/>
        <v>6.8249999999997231</v>
      </c>
      <c r="AA102" s="176">
        <f>IF(TRIM(AG102)="","",IF(INDEX(AZ1:AZ51,AC102)=AG102,INDEX(BA1:BA51,AC102),((AG102-INDEX(AZ1:AZ51,AC102))*(INDEX(BA1:BA51,AC102+1)-INDEX(BA1:BA51,AC102)))/(INDEX(AZ1:AZ51,AC102+1)-INDEX(AZ1:AZ51,AC102))+INDEX(BA1:BA51,AC102)))</f>
        <v>6.8249999999997231</v>
      </c>
      <c r="AB102" s="176" t="e">
        <f>IF(TRIM(AG102)="","",IF(INDEX(BD1:BD51,AD102)=AG102,INDEX(BE1:BE51,AD102),((AG102-INDEX(BD1:BD51,AD102))*(INDEX(BE1:BE51,AD102+1)-INDEX(BE1:BE51,AD102)))/(INDEX(BD1:BD51,AD102+1)-INDEX(BD1:BD51,AD102))+INDEX(BE1:BE51,AD102)))</f>
        <v>#N/A</v>
      </c>
      <c r="AC102" s="164">
        <f>MATCH(AG102,AZ1:AZ51,1)</f>
        <v>5</v>
      </c>
      <c r="AD102" s="164" t="e">
        <f>MATCH(AG102,BD1:BD51,1)</f>
        <v>#N/A</v>
      </c>
      <c r="AE102" s="164">
        <v>4</v>
      </c>
      <c r="AF102" s="164">
        <v>10</v>
      </c>
      <c r="AG102" s="179">
        <f>FIXED('HourGH-JUL'!AB20*1)*1</f>
        <v>338.01</v>
      </c>
      <c r="AH102" s="164" t="str">
        <f>IF(AND(AE102=AP5,AE102=AR5,AF102&gt;=AQ5,AF102&lt;=AS5),"r1",IF(AND(AE102&gt;AP5,AE102&lt;AR5),"r1",IF(AND(AE102&gt;AP5,AE102=AR5,AF102&lt;=AS5),"r1",IF(AND(AE102=AP5,AE102&lt;AR5,AF102&gt;=AQ5),"r1","n"))))</f>
        <v>r1</v>
      </c>
      <c r="AI102" s="164" t="str">
        <f>IF(AH102&lt;&gt;"n",AH102,IF(AND(AE102=AT5,AE102=AV5,AF102&gt;=AU5,AF102&lt;=AW5),"r2",IF(AND(AE102&gt;AT5,AE102&lt;AV5),"r2",IF(AND(AE102&gt;AT5,AE102=AV5,AF102&lt;=AW5),"r2",IF(AND(AE102=AT5,AE102&lt;AV5,AF102&gt;=AU5),"r2","n")))))</f>
        <v>r1</v>
      </c>
      <c r="AJ102" s="164" t="str">
        <f>IF(AI102&lt;&gt;"n",AI102,IF(AND(AE102=AP6,AE102=AR6,AF102&gt;=AQ6,AF102&lt;=AS6),"r1",IF(AND(AE102&gt;AP6,AE102&lt;AR6),"r1",IF(AND(AE102&gt;AP6,AE102=AR6,AF102&lt;=AS6),"r1",IF(AND(AE102=AP6,AE102&lt;AR6,AF102&gt;=AQ6),"r1","n")))))</f>
        <v>r1</v>
      </c>
      <c r="AK102" s="164" t="str">
        <f>IF(AJ102&lt;&gt;"n",AJ102,IF(AND(AE102=AT6,AE102=AV6,AF102&gt;=AU6,AF102&lt;=AW6),"r2",IF(AND(AE102&gt;AT6,AE102&lt;AV6),"r2",IF(AND(AE102&gt;AT6,AE102=AV6,AF102&lt;=AW6),"r2",IF(AND(AE102=AT6,AE102&lt;AV6,AF102&gt;=AU6),"r2","n")))))</f>
        <v>r1</v>
      </c>
      <c r="AL102" s="164" t="str">
        <f>IF(AK102&lt;&gt;"n",AK102,IF(AND(AE102=AP7,AE102=AR7,AF102&gt;=AQ7,AF102&lt;=AS7),"r1",IF(AND(AE102&gt;AP7,AE102&lt;AR7),"r1",IF(AND(AE102&gt;AP7,AE102=AR7,AF102&lt;=AS7),"r1",IF(AND(AE102=AP7,AE102&lt;AR7,AF102&gt;=AQ7),"r1","n")))))</f>
        <v>r1</v>
      </c>
    </row>
    <row r="103" spans="26:38" ht="17.100000000000001" hidden="1" customHeight="1">
      <c r="Z103" s="176">
        <f t="shared" si="11"/>
        <v>8.774999999999908</v>
      </c>
      <c r="AA103" s="176">
        <f>IF(TRIM(AG103)="","",IF(INDEX(AZ1:AZ51,AC103)=AG103,INDEX(BA1:BA51,AC103),((AG103-INDEX(AZ1:AZ51,AC103))*(INDEX(BA1:BA51,AC103+1)-INDEX(BA1:BA51,AC103)))/(INDEX(AZ1:AZ51,AC103+1)-INDEX(AZ1:AZ51,AC103))+INDEX(BA1:BA51,AC103)))</f>
        <v>8.774999999999908</v>
      </c>
      <c r="AB103" s="176" t="e">
        <f>IF(TRIM(AG103)="","",IF(INDEX(BD1:BD51,AD103)=AG103,INDEX(BE1:BE51,AD103),((AG103-INDEX(BD1:BD51,AD103))*(INDEX(BE1:BE51,AD103+1)-INDEX(BE1:BE51,AD103)))/(INDEX(BD1:BD51,AD103+1)-INDEX(BD1:BD51,AD103))+INDEX(BE1:BE51,AD103)))</f>
        <v>#N/A</v>
      </c>
      <c r="AC103" s="164">
        <f>MATCH(AG103,AZ1:AZ51,1)</f>
        <v>5</v>
      </c>
      <c r="AD103" s="164" t="e">
        <f>MATCH(AG103,BD1:BD51,1)</f>
        <v>#N/A</v>
      </c>
      <c r="AE103" s="164">
        <v>4</v>
      </c>
      <c r="AF103" s="164">
        <v>11</v>
      </c>
      <c r="AG103" s="179">
        <f>FIXED('HourGH-JUL'!AB22)*1</f>
        <v>338.07</v>
      </c>
      <c r="AH103" s="164" t="str">
        <f>IF(AND(AE103=AP5,AE103=AR5,AF103&gt;=AQ5,AF103&lt;=AS5),"r1",IF(AND(AE103&gt;AP5,AE103&lt;AR5),"r1",IF(AND(AE103&gt;AP5,AE103=AR5,AF103&lt;=AS5),"r1",IF(AND(AE103=AP5,AE103&lt;AR5,AF103&gt;=AQ5),"r1","n"))))</f>
        <v>r1</v>
      </c>
      <c r="AI103" s="164" t="str">
        <f>IF(AH103&lt;&gt;"n",AH103,IF(AND(AE103=AT5,AE103=AV5,AF103&gt;=AU5,AF103&lt;=AW5),"r2",IF(AND(AE103&gt;AT5,AE103&lt;AV5),"r2",IF(AND(AE103&gt;AT5,AE103=AV5,AF103&lt;=AW5),"r2",IF(AND(AE103=AT5,AE103&lt;AV5,AF103&gt;=AU5),"r2","n")))))</f>
        <v>r1</v>
      </c>
      <c r="AJ103" s="164" t="str">
        <f>IF(AI103&lt;&gt;"n",AI103,IF(AND(AE103=AP6,AE103=AR6,AF103&gt;=AQ6,AF103&lt;=AS6),"r1",IF(AND(AE103&gt;AP6,AE103&lt;AR6),"r1",IF(AND(AE103&gt;AP6,AE103=AR6,AF103&lt;=AS6),"r1",IF(AND(AE103=AP6,AE103&lt;AR6,AF103&gt;=AQ6),"r1","n")))))</f>
        <v>r1</v>
      </c>
      <c r="AK103" s="164" t="str">
        <f>IF(AJ103&lt;&gt;"n",AJ103,IF(AND(AE103=AT6,AE103=AV6,AF103&gt;=AU6,AF103&lt;=AW6),"r2",IF(AND(AE103&gt;AT6,AE103&lt;AV6),"r2",IF(AND(AE103&gt;AT6,AE103=AV6,AF103&lt;=AW6),"r2",IF(AND(AE103=AT6,AE103&lt;AV6,AF103&gt;=AU6),"r2","n")))))</f>
        <v>r1</v>
      </c>
      <c r="AL103" s="164" t="str">
        <f>IF(AK103&lt;&gt;"n",AK103,IF(AND(AE103=AP7,AE103=AR7,AF103&gt;=AQ7,AF103&lt;=AS7),"r1",IF(AND(AE103&gt;AP7,AE103&lt;AR7),"r1",IF(AND(AE103&gt;AP7,AE103=AR7,AF103&lt;=AS7),"r1",IF(AND(AE103=AP7,AE103&lt;AR7,AF103&gt;=AQ7),"r1","n")))))</f>
        <v>r1</v>
      </c>
    </row>
    <row r="104" spans="26:38" ht="17.100000000000001" hidden="1" customHeight="1">
      <c r="Z104" s="176">
        <f t="shared" si="11"/>
        <v>8.450000000000184</v>
      </c>
      <c r="AA104" s="176">
        <f>IF(TRIM(AG104)="","",IF(INDEX(AZ1:AZ51,AC104)=AG104,INDEX(BA1:BA51,AC104),((AG104-INDEX(AZ1:AZ51,AC104))*(INDEX(BA1:BA51,AC104+1)-INDEX(BA1:BA51,AC104)))/(INDEX(AZ1:AZ51,AC104+1)-INDEX(AZ1:AZ51,AC104))+INDEX(BA1:BA51,AC104)))</f>
        <v>8.450000000000184</v>
      </c>
      <c r="AB104" s="176" t="e">
        <f>IF(TRIM(AG104)="","",IF(INDEX(BD1:BD51,AD104)=AG104,INDEX(BE1:BE51,AD104),((AG104-INDEX(BD1:BD51,AD104))*(INDEX(BE1:BE51,AD104+1)-INDEX(BE1:BE51,AD104)))/(INDEX(BD1:BD51,AD104+1)-INDEX(BD1:BD51,AD104))+INDEX(BE1:BE51,AD104)))</f>
        <v>#N/A</v>
      </c>
      <c r="AC104" s="164">
        <f>MATCH(AG104,AZ1:AZ51,1)</f>
        <v>5</v>
      </c>
      <c r="AD104" s="164" t="e">
        <f>MATCH(AG104,BD1:BD51,1)</f>
        <v>#N/A</v>
      </c>
      <c r="AE104" s="164">
        <v>4</v>
      </c>
      <c r="AF104" s="164">
        <v>12</v>
      </c>
      <c r="AG104" s="179">
        <f>FIXED('HourGH-JUL'!AB23)*1</f>
        <v>338.06</v>
      </c>
      <c r="AH104" s="164" t="str">
        <f>IF(AND(AE104=AP5,AE104=AR5,AF104&gt;=AQ5,AF104&lt;=AS5),"r1",IF(AND(AE104&gt;AP5,AE104&lt;AR5),"r1",IF(AND(AE104&gt;AP5,AE104=AR5,AF104&lt;=AS5),"r1",IF(AND(AE104=AP5,AE104&lt;AR5,AF104&gt;=AQ5),"r1","n"))))</f>
        <v>r1</v>
      </c>
      <c r="AI104" s="164" t="str">
        <f>IF(AH104&lt;&gt;"n",AH104,IF(AND(AE104=AT5,AE104=AV5,AF104&gt;=AU5,AF104&lt;=AW5),"r2",IF(AND(AE104&gt;AT5,AE104&lt;AV5),"r2",IF(AND(AE104&gt;AT5,AE104=AV5,AF104&lt;=AW5),"r2",IF(AND(AE104=AT5,AE104&lt;AV5,AF104&gt;=AU5),"r2","n")))))</f>
        <v>r1</v>
      </c>
      <c r="AJ104" s="164" t="str">
        <f>IF(AI104&lt;&gt;"n",AI104,IF(AND(AE104=AP6,AE104=AR6,AF104&gt;=AQ6,AF104&lt;=AS6),"r1",IF(AND(AE104&gt;AP6,AE104&lt;AR6),"r1",IF(AND(AE104&gt;AP6,AE104=AR6,AF104&lt;=AS6),"r1",IF(AND(AE104=AP6,AE104&lt;AR6,AF104&gt;=AQ6),"r1","n")))))</f>
        <v>r1</v>
      </c>
      <c r="AK104" s="164" t="str">
        <f>IF(AJ104&lt;&gt;"n",AJ104,IF(AND(AE104=AT6,AE104=AV6,AF104&gt;=AU6,AF104&lt;=AW6),"r2",IF(AND(AE104&gt;AT6,AE104&lt;AV6),"r2",IF(AND(AE104&gt;AT6,AE104=AV6,AF104&lt;=AW6),"r2",IF(AND(AE104=AT6,AE104&lt;AV6,AF104&gt;=AU6),"r2","n")))))</f>
        <v>r1</v>
      </c>
      <c r="AL104" s="164" t="str">
        <f>IF(AK104&lt;&gt;"n",AK104,IF(AND(AE104=AP7,AE104=AR7,AF104&gt;=AQ7,AF104&lt;=AS7),"r1",IF(AND(AE104&gt;AP7,AE104&lt;AR7),"r1",IF(AND(AE104&gt;AP7,AE104=AR7,AF104&lt;=AS7),"r1",IF(AND(AE104=AP7,AE104&lt;AR7,AF104&gt;=AQ7),"r1","n")))))</f>
        <v>r1</v>
      </c>
    </row>
    <row r="105" spans="26:38" ht="17.100000000000001" hidden="1" customHeight="1">
      <c r="Z105" s="176">
        <f t="shared" si="11"/>
        <v>6.8249999999997231</v>
      </c>
      <c r="AA105" s="176">
        <f>IF(TRIM(AG105)="","",IF(INDEX(AZ51:AZ105,AC105)=AG105,INDEX(BA1:BA51,AC105),((AG105-INDEX(AZ1:AZ51,AC105))*(INDEX(BA1:BA51,AC105+1)-INDEX(BA1:BA51,AC105)))/(INDEX(AZ1:AZ51,AC105+1)-INDEX(AZ1:AZ51,AC105))+INDEX(BA1:BA51,AC105)))</f>
        <v>6.8249999999997231</v>
      </c>
      <c r="AB105" s="176" t="e">
        <f>IF(TRIM(AG105)="","",IF(INDEX(BD1:BD51,AD105)=AG105,INDEX(BE1:BE51,AD105),((AG105-INDEX(BD1:BD51,AD105))*(INDEX(BE1:BE51,AD105+1)-INDEX(BE1:BE51,AD105)))/(INDEX(BD1:BD51,AD105+1)-INDEX(BD1:BD51,AD105))+INDEX(BE1:BE51,AD105)))</f>
        <v>#N/A</v>
      </c>
      <c r="AC105" s="164">
        <f>MATCH(AG105,AZ1:AZ51,1)</f>
        <v>5</v>
      </c>
      <c r="AD105" s="164" t="e">
        <f>MATCH(AG105,BD1:BD51,1)</f>
        <v>#N/A</v>
      </c>
      <c r="AE105" s="164">
        <v>4</v>
      </c>
      <c r="AF105" s="164">
        <v>13</v>
      </c>
      <c r="AG105" s="179">
        <f>FIXED('HourGH-JUL'!AB24)*1</f>
        <v>338.01</v>
      </c>
      <c r="AH105" s="164" t="str">
        <f>IF(AND(AE105=AP5,AE105=AR5,AF105&gt;=AQ5,AF105&lt;=AS5),"r1",IF(AND(AE105&gt;AP5,AE105&lt;AR5),"r1",IF(AND(AE105&gt;AP5,AE105=AR5,AF105&lt;=AS5),"r1",IF(AND(AE105=AP5,AE105&lt;AR5,AF105&gt;=AQ5),"r1","n"))))</f>
        <v>r1</v>
      </c>
      <c r="AI105" s="164" t="str">
        <f>IF(AH105&lt;&gt;"n",AH105,IF(AND(AE105=AT5,AE105=AV5,AF105&gt;=AU5,AF105&lt;=AW5),"r2",IF(AND(AE105&gt;AT5,AE105&lt;AV5),"r2",IF(AND(AE105&gt;AT5,AE105=AV5,AF105&lt;=AW5),"r2",IF(AND(AE105=AT5,AE105&lt;AV5,AF105&gt;=AU5),"r2","n")))))</f>
        <v>r1</v>
      </c>
      <c r="AJ105" s="164" t="str">
        <f>IF(AI105&lt;&gt;"n",AI105,IF(AND(AE105=AP6,AE105=AR6,AF105&gt;=AQ6,AF105&lt;=AS6),"r1",IF(AND(AE105&gt;AP6,AE105&lt;AR6),"r1",IF(AND(AE105&gt;AP6,AE105=AR6,AF105&lt;=AS6),"r1",IF(AND(AE105=AP6,AE105&lt;AR6,AF105&gt;=AQ6),"r1","n")))))</f>
        <v>r1</v>
      </c>
      <c r="AK105" s="164" t="str">
        <f>IF(AJ105&lt;&gt;"n",AJ105,IF(AND(AE105=AT6,AE105=AV6,AF105&gt;=AU6,AF105&lt;=AW6),"r2",IF(AND(AE105&gt;AT6,AE105&lt;AV6),"r2",IF(AND(AE105&gt;AT6,AE105=AV6,AF105&lt;=AW6),"r2",IF(AND(AE105=AT6,AE105&lt;AV6,AF105&gt;=AU6),"r2","n")))))</f>
        <v>r1</v>
      </c>
      <c r="AL105" s="164" t="str">
        <f>IF(AK105&lt;&gt;"n",AK105,IF(AND(AE105=AP7,AE105=AR7,AF105&gt;=AQ7,AF105&lt;=AS7),"r1",IF(AND(AE105&gt;AP7,AE105&lt;AR7),"r1",IF(AND(AE105&gt;AP7,AE105=AR7,AF105&lt;=AS7),"r1",IF(AND(AE105=AP7,AE105&lt;AR7,AF105&gt;=AQ7),"r1","n")))))</f>
        <v>r1</v>
      </c>
    </row>
    <row r="106" spans="26:38" ht="17.100000000000001" hidden="1" customHeight="1">
      <c r="Z106" s="176">
        <f t="shared" si="11"/>
        <v>6.2500000000002842</v>
      </c>
      <c r="AA106" s="176">
        <f>IF(TRIM(AG106)="","",IF(INDEX(AZ1:AZ51,AC106)=AG106,INDEX(BA1:BA51,AC106),((AG106-INDEX(AZ1:AZ51,AC106))*(INDEX(BA1:BA51,AC106+1)-INDEX(BA1:BA51,AC106)))/(INDEX(AZ1:AZ51,AC106+1)-INDEX(AZ1:AZ51,AC106))+INDEX(BA1:BA51,AC106)))</f>
        <v>6.2500000000002842</v>
      </c>
      <c r="AB106" s="176" t="e">
        <f>IF(TRIM(AG106)="","",IF(INDEX(BD1:BD51,AD106)=AG106,INDEX(BE1:BE51,AD106),((AG106-INDEX(BD1:BD51,AD106))*(INDEX(BE1:BE51,AD106+1)-INDEX(BE1:BE51,AD106)))/(INDEX(BD1:BD51,AD106+1)-INDEX(BD1:BD51,AD106))+INDEX(BE1:BE51,AD106)))</f>
        <v>#N/A</v>
      </c>
      <c r="AC106" s="164">
        <f>MATCH(AG106,AZ1:AZ51,1)</f>
        <v>4</v>
      </c>
      <c r="AD106" s="164" t="e">
        <f>MATCH(AG106,BD1:BD51,1)</f>
        <v>#N/A</v>
      </c>
      <c r="AE106" s="164">
        <v>4</v>
      </c>
      <c r="AF106" s="164">
        <v>14</v>
      </c>
      <c r="AG106" s="179">
        <f>FIXED('HourGH-JUL'!AB25)*1</f>
        <v>337.99</v>
      </c>
      <c r="AH106" s="164" t="str">
        <f>IF(AND(AE106=AP5,AE106=AR5,AF106&gt;=AQ5,AF106&lt;=AS5),"r1",IF(AND(AE106&gt;AP5,AE106&lt;AR5),"r1",IF(AND(AE106&gt;AP5,AE106=AR5,AF106&lt;=AS5),"r1",IF(AND(AE106=AP5,AE106&lt;AR5,AF106&gt;=AQ5),"r1","n"))))</f>
        <v>r1</v>
      </c>
      <c r="AI106" s="164" t="str">
        <f>IF(AH106&lt;&gt;"n",AH106,IF(AND(AE106=AT5,AE106=AV5,AF106&gt;=AU5,AF106&lt;=AW5),"r2",IF(AND(AE106&gt;AT5,AE106&lt;AV5),"r2",IF(AND(AE106&gt;AT5,AE106=AV5,AF106&lt;=AW5),"r2",IF(AND(AE106=AT5,AE106&lt;AV5,AF106&gt;=AU5),"r2","n")))))</f>
        <v>r1</v>
      </c>
      <c r="AJ106" s="164" t="str">
        <f>IF(AI106&lt;&gt;"n",AI106,IF(AND(AE106=AP6,AE106=AR6,AF106&gt;=AQ6,AF106&lt;=AS6),"r1",IF(AND(AE106&gt;AP6,AE106&lt;AR6),"r1",IF(AND(AE106&gt;AP6,AE106=AR6,AF106&lt;=AS6),"r1",IF(AND(AE106=AP6,AE106&lt;AR6,AF106&gt;=AQ6),"r1","n")))))</f>
        <v>r1</v>
      </c>
      <c r="AK106" s="164" t="str">
        <f>IF(AJ106&lt;&gt;"n",AJ106,IF(AND(AE106=AT6,AE106=AV6,AF106&gt;=AU6,AF106&lt;=AW6),"r2",IF(AND(AE106&gt;AT6,AE106&lt;AV6),"r2",IF(AND(AE106&gt;AT6,AE106=AV6,AF106&lt;=AW6),"r2",IF(AND(AE106=AT6,AE106&lt;AV6,AF106&gt;=AU6),"r2","n")))))</f>
        <v>r1</v>
      </c>
      <c r="AL106" s="164" t="str">
        <f>IF(AK106&lt;&gt;"n",AK106,IF(AND(AE106=AP7,AE106=AR7,AF106&gt;=AQ7,AF106&lt;=AS7),"r1",IF(AND(AE106&gt;AP7,AE106&lt;AR7),"r1",IF(AND(AE106&gt;AP7,AE106=AR7,AF106&lt;=AS7),"r1",IF(AND(AE106=AP7,AE106&lt;AR7,AF106&gt;=AQ7),"r1","n")))))</f>
        <v>r1</v>
      </c>
    </row>
    <row r="107" spans="26:38" ht="17.100000000000001" hidden="1" customHeight="1">
      <c r="Z107" s="176">
        <f t="shared" si="11"/>
        <v>12.025000000000832</v>
      </c>
      <c r="AA107" s="176">
        <f>IF(TRIM(AG107)="","",IF(INDEX(AZ1:AZ51,AC107)=AG107,INDEX(BA1:BA51,AC107),((AG107-INDEX(AZ1:AZ51,AC107))*(INDEX(BA1:BA51,AC107+1)-INDEX(BA1:BA51,AC107)))/(INDEX(AZ1:AZ51,AC107+1)-INDEX(AZ1:AZ51,AC107))+INDEX(BA1:BA51,AC107)))</f>
        <v>12.025000000000832</v>
      </c>
      <c r="AB107" s="176" t="e">
        <f>IF(TRIM(AG107)="","",IF(INDEX(BD1:BD51,AD107)=AG107,INDEX(BE1:BE51,AD107),((AG107-INDEX(BD1:BD51,AD107))*(INDEX(BE1:BE51,AD107+1)-INDEX(BE1:BE51,AD107)))/(INDEX(BD1:BD51,AD107+1)-INDEX(BD1:BD51,AD107))+INDEX(BE1:BE51,AD107)))</f>
        <v>#N/A</v>
      </c>
      <c r="AC107" s="164">
        <f>MATCH(AG107,AZ1:AZ51,1)</f>
        <v>5</v>
      </c>
      <c r="AD107" s="164" t="e">
        <f>MATCH(AG107,BD1:BD51,1)</f>
        <v>#N/A</v>
      </c>
      <c r="AE107" s="164">
        <v>4</v>
      </c>
      <c r="AF107" s="164">
        <v>15</v>
      </c>
      <c r="AG107" s="179">
        <f>FIXED('HourGH-JUL'!AB26)*1</f>
        <v>338.17</v>
      </c>
      <c r="AH107" s="164" t="str">
        <f>IF(AND(AE107=AP5,AE107=AR5,AF107&gt;=AQ5,AF107&lt;=AS5),"r1",IF(AND(AE107&gt;AP5,AE107&lt;AR5),"r1",IF(AND(AE107&gt;AP5,AE107=AR5,AF107&lt;=AS5),"r1",IF(AND(AE107=AP5,AE107&lt;AR5,AF107&gt;=AQ5),"r1","n"))))</f>
        <v>r1</v>
      </c>
      <c r="AI107" s="164" t="str">
        <f>IF(AH107&lt;&gt;"n",AH107,IF(AND(AE107=AT5,AE107=AV5,AF107&gt;=AU5,AF107&lt;=AW5),"r2",IF(AND(AE107&gt;AT5,AE107&lt;AV5),"r2",IF(AND(AE107&gt;AT5,AE107=AV5,AF107&lt;=AW5),"r2",IF(AND(AE107=AT5,AE107&lt;AV5,AF107&gt;=AU5),"r2","n")))))</f>
        <v>r1</v>
      </c>
      <c r="AJ107" s="164" t="str">
        <f>IF(AI107&lt;&gt;"n",AI107,IF(AND(AE107=AP6,AE107=AR6,AF107&gt;=AQ6,AF107&lt;=AS6),"r1",IF(AND(AE107&gt;AP6,AE107&lt;AR6),"r1",IF(AND(AE107&gt;AP6,AE107=AR6,AF107&lt;=AS6),"r1",IF(AND(AE107=AP6,AE107&lt;AR6,AF107&gt;=AQ6),"r1","n")))))</f>
        <v>r1</v>
      </c>
      <c r="AK107" s="164" t="str">
        <f>IF(AJ107&lt;&gt;"n",AJ107,IF(AND(AE107=AT6,AE107=AV6,AF107&gt;=AU6,AF107&lt;=AW6),"r2",IF(AND(AE107&gt;AT6,AE107&lt;AV6),"r2",IF(AND(AE107&gt;AT6,AE107=AV6,AF107&lt;=AW6),"r2",IF(AND(AE107=AT6,AE107&lt;AV6,AF107&gt;=AU6),"r2","n")))))</f>
        <v>r1</v>
      </c>
      <c r="AL107" s="164" t="str">
        <f>IF(AK107&lt;&gt;"n",AK107,IF(AND(AE107=AP7,AE107=AR7,AF107&gt;=AQ7,AF107&lt;=AS7),"r1",IF(AND(AE107&gt;AP7,AE107&lt;AR7),"r1",IF(AND(AE107&gt;AP7,AE107=AR7,AF107&lt;=AS7),"r1",IF(AND(AE107=AP7,AE107&lt;AR7,AF107&gt;=AQ7),"r1","n")))))</f>
        <v>r1</v>
      </c>
    </row>
    <row r="108" spans="26:38" ht="17.100000000000001" hidden="1" customHeight="1">
      <c r="Z108" s="176">
        <f t="shared" si="11"/>
        <v>10.075000000000646</v>
      </c>
      <c r="AA108" s="176">
        <f>IF(TRIM(AG108)="","",IF(INDEX(AZ1:AZ51,AC108)=AG108,INDEX(BA1:BA51,AC108),((AG108-INDEX(AZ1:AZ51,AC108))*(INDEX(BA1:BA51,AC108+1)-INDEX(BA1:BA51,AC108)))/(INDEX(AZ1:AZ51,AC108+1)-INDEX(AZ1:AZ51,AC108))+INDEX(BA1:BA51,AC108)))</f>
        <v>10.075000000000646</v>
      </c>
      <c r="AB108" s="176" t="e">
        <f>IF(TRIM(AG108)="","",IF(INDEX(BD1:BD51,AD108)=AG108,INDEX(BE1:BE51,AD108),((AG108-INDEX(BD1:BD51,AD108))*(INDEX(BE1:BE51,AD108+1)-INDEX(BE1:BE51,AD108)))/(INDEX(BD1:BD51,AD108+1)-INDEX(BD1:BD51,AD108))+INDEX(BE1:BE51,AD108)))</f>
        <v>#N/A</v>
      </c>
      <c r="AC108" s="164">
        <f>MATCH(AG108,AZ1:AZ51,1)</f>
        <v>5</v>
      </c>
      <c r="AD108" s="164" t="e">
        <f>MATCH(AG108,BD1:BD51,1)</f>
        <v>#N/A</v>
      </c>
      <c r="AE108" s="164">
        <v>4</v>
      </c>
      <c r="AF108" s="164">
        <v>16</v>
      </c>
      <c r="AG108" s="179">
        <f>FIXED('HourGH-JUL'!AB27)*1</f>
        <v>338.11</v>
      </c>
      <c r="AH108" s="164" t="str">
        <f>IF(AND(AE108=AP5,AE108=AR5,AF108&gt;=AQ5,AF108&lt;=AS5),"r1",IF(AND(AE108&gt;AP5,AE108&lt;AR5),"r1",IF(AND(AE108&gt;AP5,AE108=AR5,AF108&lt;=AS5),"r1",IF(AND(AE108=AP5,AE108&lt;AR5,AF108&gt;=AQ5),"r1","n"))))</f>
        <v>r1</v>
      </c>
      <c r="AI108" s="164" t="str">
        <f>IF(AH108&lt;&gt;"n",AH108,IF(AND(AE108=AT5,AE108=AV5,AF108&gt;=AU5,AF108&lt;=AW5),"r2",IF(AND(AE108&gt;AT5,AE108&lt;AV5),"r2",IF(AND(AE108&gt;AT5,AE108=AV5,AF108&lt;=AW5),"r2",IF(AND(AE108=AT5,AE108&lt;AV5,AF108&gt;=AU5),"r2","n")))))</f>
        <v>r1</v>
      </c>
      <c r="AJ108" s="164" t="str">
        <f>IF(AI108&lt;&gt;"n",AI108,IF(AND(AE108=AP6,AE108=AR6,AF108&gt;=AQ6,AF108&lt;=AS6),"r1",IF(AND(AE108&gt;AP6,AE108&lt;AR6),"r1",IF(AND(AE108&gt;AP6,AE108=AR6,AF108&lt;=AS6),"r1",IF(AND(AE108=AP6,AE108&lt;AR6,AF108&gt;=AQ6),"r1","n")))))</f>
        <v>r1</v>
      </c>
      <c r="AK108" s="164" t="str">
        <f>IF(AJ108&lt;&gt;"n",AJ108,IF(AND(AE108=AT6,AE108=AV6,AF108&gt;=AU6,AF108&lt;=AW6),"r2",IF(AND(AE108&gt;AT6,AE108&lt;AV6),"r2",IF(AND(AE108&gt;AT6,AE108=AV6,AF108&lt;=AW6),"r2",IF(AND(AE108=AT6,AE108&lt;AV6,AF108&gt;=AU6),"r2","n")))))</f>
        <v>r1</v>
      </c>
      <c r="AL108" s="164" t="str">
        <f>IF(AK108&lt;&gt;"n",AK108,IF(AND(AE108=AP7,AE108=AR7,AF108&gt;=AQ7,AF108&lt;=AS7),"r1",IF(AND(AE108&gt;AP7,AE108&lt;AR7),"r1",IF(AND(AE108&gt;AP7,AE108=AR7,AF108&lt;=AS7),"r1",IF(AND(AE108=AP7,AE108&lt;AR7,AF108&gt;=AQ7),"r1","n")))))</f>
        <v>r1</v>
      </c>
    </row>
    <row r="109" spans="26:38" ht="17.100000000000001" hidden="1" customHeight="1">
      <c r="Z109" s="176">
        <f t="shared" si="11"/>
        <v>9.0999999999996302</v>
      </c>
      <c r="AA109" s="176">
        <f>IF(TRIM(AG109)="","",IF(INDEX(AZ1:AZ51,AC109)=AG109,INDEX(BA1:BA51,AC109),((AG109-INDEX(AZ1:AZ51,AC109))*(INDEX(BA1:BA51,AC109+1)-INDEX(BA1:BA51,AC109)))/(INDEX(AZ1:AZ51,AC109+1)-INDEX(AZ1:AZ51,AC109))+INDEX(BA1:BA51,AC109)))</f>
        <v>9.0999999999996302</v>
      </c>
      <c r="AB109" s="176" t="e">
        <f>IF(TRIM(AG109)="","",IF(INDEX(BD1:BD51,AD109)=AG109,INDEX(BE1:BE51,AD109),((AG109-INDEX(BD1:BD51,AD109))*(INDEX(BE1:BE51,AD109+1)-INDEX(BE1:BE51,AD109)))/(INDEX(BD1:BD51,AD109+1)-INDEX(BD1:BD51,AD109))+INDEX(BE1:BE51,AD109)))</f>
        <v>#N/A</v>
      </c>
      <c r="AC109" s="164">
        <f>MATCH(AG109,AZ1:AZ51,1)</f>
        <v>5</v>
      </c>
      <c r="AD109" s="164" t="e">
        <f>MATCH(AG109,BD1:BD51,1)</f>
        <v>#N/A</v>
      </c>
      <c r="AE109" s="164">
        <v>4</v>
      </c>
      <c r="AF109" s="164">
        <v>17</v>
      </c>
      <c r="AG109" s="179">
        <f>FIXED('HourGH-JUL'!AB28)*1</f>
        <v>338.08</v>
      </c>
      <c r="AH109" s="164" t="str">
        <f>IF(AND(AE109=AP5,AE109=AR5,AF109&gt;=AQ5,AF109&lt;=AS5),"r1",IF(AND(AE109&gt;AP5,AE109&lt;AR5),"r1",IF(AND(AE109&gt;AP5,AE109=AR5,AF109&lt;=AS5),"r1",IF(AND(AE109=AP5,AE109&lt;AR5,AF109&gt;=AQ5),"r1","n"))))</f>
        <v>r1</v>
      </c>
      <c r="AI109" s="164" t="str">
        <f>IF(AH109&lt;&gt;"n",AH109,IF(AND(AE109=AT5,AE109=AV5,AF109&gt;=AU5,AF109&lt;=AW5),"r2",IF(AND(AE109&gt;AT5,AE109&lt;AV5),"r2",IF(AND(AE109&gt;AT5,AE109=AV5,AF109&lt;=AW5),"r2",IF(AND(AE109=AT5,AE109&lt;AV5,AF109&gt;=AU5),"r2","n")))))</f>
        <v>r1</v>
      </c>
      <c r="AJ109" s="164" t="str">
        <f>IF(AI109&lt;&gt;"n",AI109,IF(AND(AE109=AP6,AE109=AR6,AF109&gt;=AQ6,AF109&lt;=AS6),"r1",IF(AND(AE109&gt;AP6,AE109&lt;AR6),"r1",IF(AND(AE109&gt;AP6,AE109=AR6,AF109&lt;=AS6),"r1",IF(AND(AE109=AP6,AE109&lt;AR6,AF109&gt;=AQ6),"r1","n")))))</f>
        <v>r1</v>
      </c>
      <c r="AK109" s="164" t="str">
        <f>IF(AJ109&lt;&gt;"n",AJ109,IF(AND(AE109=AT6,AE109=AV6,AF109&gt;=AU6,AF109&lt;=AW6),"r2",IF(AND(AE109&gt;AT6,AE109&lt;AV6),"r2",IF(AND(AE109&gt;AT6,AE109=AV6,AF109&lt;=AW6),"r2",IF(AND(AE109=AT6,AE109&lt;AV6,AF109&gt;=AU6),"r2","n")))))</f>
        <v>r1</v>
      </c>
      <c r="AL109" s="164" t="str">
        <f>IF(AK109&lt;&gt;"n",AK109,IF(AND(AE109=AP7,AE109=AR7,AF109&gt;=AQ7,AF109&lt;=AS7),"r1",IF(AND(AE109&gt;AP7,AE109&lt;AR7),"r1",IF(AND(AE109&gt;AP7,AE109=AR7,AF109&lt;=AS7),"r1",IF(AND(AE109=AP7,AE109&lt;AR7,AF109&gt;=AQ7),"r1","n")))))</f>
        <v>r1</v>
      </c>
    </row>
    <row r="110" spans="26:38" ht="17.100000000000001" hidden="1" customHeight="1">
      <c r="Z110" s="176">
        <f t="shared" si="11"/>
        <v>9.0999999999996302</v>
      </c>
      <c r="AA110" s="176">
        <f>IF(TRIM(AG110)="","",IF(INDEX(AZ1:AZ51,AC110)=AG110,INDEX(BA1:BA51,AC110),((AG110-INDEX(AZ1:AZ51,AC110))*(INDEX(BA1:BA51,AC110+1)-INDEX(BA1:BA51,AC110)))/(INDEX(AZ1:AZ51,AC110+1)-INDEX(AZ1:AZ51,AC110))+INDEX(BA1:BA51,AC110)))</f>
        <v>9.0999999999996302</v>
      </c>
      <c r="AB110" s="176" t="e">
        <f>IF(TRIM(AG110)="","",IF(INDEX(BD1:BD51,AD110)=AG110,INDEX(BE1:BE51,AD110),((AG110-INDEX(BD1:BD51,AD110))*(INDEX(BE1:BE51,AD110+1)-INDEX(BE1:BE51,AD110)))/(INDEX(BD1:BD51,AD110+1)-INDEX(BD1:BD51,AD110))+INDEX(BE1:BE51,AD110)))</f>
        <v>#N/A</v>
      </c>
      <c r="AC110" s="164">
        <f>MATCH(AG110,AZ1:AZ51,1)</f>
        <v>5</v>
      </c>
      <c r="AD110" s="164" t="e">
        <f>MATCH(AG110,BD1:BD51,1)</f>
        <v>#N/A</v>
      </c>
      <c r="AE110" s="164">
        <v>4</v>
      </c>
      <c r="AF110" s="164">
        <v>18</v>
      </c>
      <c r="AG110" s="179">
        <f>FIXED('HourGH-JUL'!AB29)*1</f>
        <v>338.08</v>
      </c>
      <c r="AH110" s="164" t="str">
        <f>IF(AND(AE110=AP5,AE110=AR5,AF110&gt;=AQ5,AF110&lt;=AS5),"r1",IF(AND(AE110&gt;AP5,AE110&lt;AR5),"r1",IF(AND(AE110&gt;AP5,AE110=AR5,AF110&lt;=AS5),"r1",IF(AND(AE110=AP5,AE110&lt;AR5,AF110&gt;=AQ5),"r1","n"))))</f>
        <v>r1</v>
      </c>
      <c r="AI110" s="164" t="str">
        <f>IF(AH110&lt;&gt;"n",AH110,IF(AND(AE110=AT5,AE110=AV5,AF110&gt;=AU5,AF110&lt;=AW5),"r2",IF(AND(AE110&gt;AT5,AE110&lt;AV5),"r2",IF(AND(AE110&gt;AT5,AE110=AV5,AF110&lt;=AW5),"r2",IF(AND(AE110=AT5,AE110&lt;AV5,AF110&gt;=AU5),"r2","n")))))</f>
        <v>r1</v>
      </c>
      <c r="AJ110" s="164" t="str">
        <f>IF(AI110&lt;&gt;"n",AI110,IF(AND(AE110=AP6,AE110=AR6,AF110&gt;=AQ6,AF110&lt;=AS6),"r1",IF(AND(AE110&gt;AP6,AE110&lt;AR6),"r1",IF(AND(AE110&gt;AP6,AE110=AR6,AF110&lt;=AS6),"r1",IF(AND(AE110=AP6,AE110&lt;AR6,AF110&gt;=AQ6),"r1","n")))))</f>
        <v>r1</v>
      </c>
      <c r="AK110" s="164" t="str">
        <f>IF(AJ110&lt;&gt;"n",AJ110,IF(AND(AE110=AT6,AE110=AV6,AF110&gt;=AU6,AF110&lt;=AW6),"r2",IF(AND(AE110&gt;AT6,AE110&lt;AV6),"r2",IF(AND(AE110&gt;AT6,AE110=AV6,AF110&lt;=AW6),"r2",IF(AND(AE110=AT6,AE110&lt;AV6,AF110&gt;=AU6),"r2","n")))))</f>
        <v>r1</v>
      </c>
      <c r="AL110" s="164" t="str">
        <f>IF(AK110&lt;&gt;"n",AK110,IF(AND(AE110=AP7,AE110=AR7,AF110&gt;=AQ7,AF110&lt;=AS7),"r1",IF(AND(AE110&gt;AP7,AE110&lt;AR7),"r1",IF(AND(AE110&gt;AP7,AE110=AR7,AF110&lt;=AS7),"r1",IF(AND(AE110=AP7,AE110&lt;AR7,AF110&gt;=AQ7),"r1","n")))))</f>
        <v>r1</v>
      </c>
    </row>
    <row r="111" spans="26:38" ht="17.100000000000001" hidden="1" customHeight="1">
      <c r="Z111" s="176">
        <f t="shared" si="11"/>
        <v>7.8000000000007388</v>
      </c>
      <c r="AA111" s="176">
        <f>IF(TRIM(AG111)="","",IF(INDEX(AZ1:AZ51,AC111)=AG111,INDEX(BA1:BA51,AC111),((AG111-INDEX(AZ1:AZ51,AC111))*(INDEX(BA1:BA51,AC111+1)-INDEX(BA1:BA51,AC111)))/(INDEX(AZ1:AZ51,AC111+1)-INDEX(AZ1:AZ51,AC111))+INDEX(BA1:BA51,AC111)))</f>
        <v>7.8000000000007388</v>
      </c>
      <c r="AB111" s="176" t="e">
        <f>IF(TRIM(AG111)="","",IF(INDEX(BD1:BD51,AD111)=AG111,INDEX(BE1:BE51,AD111),((AG111-INDEX(BD1:BD51,AD111))*(INDEX(BE1:BE51,AD111+1)-INDEX(BE1:BE51,AD111)))/(INDEX(BD1:BD51,AD111+1)-INDEX(BD1:BD51,AD111))+INDEX(BE1:BE51,AD111)))</f>
        <v>#N/A</v>
      </c>
      <c r="AC111" s="164">
        <f>MATCH(AG111,AZ1:AZ51,1)</f>
        <v>5</v>
      </c>
      <c r="AD111" s="164" t="e">
        <f>MATCH(AG111,BD1:BD51,1)</f>
        <v>#N/A</v>
      </c>
      <c r="AE111" s="164">
        <v>4</v>
      </c>
      <c r="AF111" s="164">
        <v>19</v>
      </c>
      <c r="AG111" s="179">
        <f>FIXED('HourGH-JUL'!AB30)*1</f>
        <v>338.04</v>
      </c>
      <c r="AH111" s="164" t="str">
        <f>IF(AND(AE111=AP5,AE111=AR5,AF111&gt;=AQ5,AF111&lt;=AS5),"r1",IF(AND(AE111&gt;AP5,AE111&lt;AR5),"r1",IF(AND(AE111&gt;AP5,AE111=AR5,AF111&lt;=AS5),"r1",IF(AND(AE111=AP5,AE111&lt;AR5,AF111&gt;=AQ5),"r1","n"))))</f>
        <v>r1</v>
      </c>
      <c r="AI111" s="164" t="str">
        <f>IF(AH111&lt;&gt;"n",AH111,IF(AND(AE111=AT5,AE111=AV5,AF111&gt;=AU5,AF111&lt;=AW5),"r2",IF(AND(AE111&gt;AT5,AE111&lt;AV5),"r2",IF(AND(AE111&gt;AT5,AE111=AV5,AF111&lt;=AW5),"r2",IF(AND(AE111=AT5,AE111&lt;AV5,AF111&gt;=AU5),"r2","n")))))</f>
        <v>r1</v>
      </c>
      <c r="AJ111" s="164" t="str">
        <f>IF(AI111&lt;&gt;"n",AI111,IF(AND(AE111=AP6,AE111=AR6,AF111&gt;=AQ6,AF111&lt;=AS6),"r1",IF(AND(AE111&gt;AP6,AE111&lt;AR6),"r1",IF(AND(AE111&gt;AP6,AE111=AR6,AF111&lt;=AS6),"r1",IF(AND(AE111=AP6,AE111&lt;AR6,AF111&gt;=AQ6),"r1","n")))))</f>
        <v>r1</v>
      </c>
      <c r="AK111" s="164" t="str">
        <f>IF(AJ111&lt;&gt;"n",AJ111,IF(AND(AE111=AT6,AE111=AV6,AF111&gt;=AU6,AF111&lt;=AW6),"r2",IF(AND(AE111&gt;AT6,AE111&lt;AV6),"r2",IF(AND(AE111&gt;AT6,AE111=AV6,AF111&lt;=AW6),"r2",IF(AND(AE111=AT6,AE111&lt;AV6,AF111&gt;=AU6),"r2","n")))))</f>
        <v>r1</v>
      </c>
      <c r="AL111" s="164" t="str">
        <f>IF(AK111&lt;&gt;"n",AK111,IF(AND(AE111=AP7,AE111=AR7,AF111&gt;=AQ7,AF111&lt;=AS7),"r1",IF(AND(AE111&gt;AP7,AE111&lt;AR7),"r1",IF(AND(AE111&gt;AP7,AE111=AR7,AF111&lt;=AS7),"r1",IF(AND(AE111=AP7,AE111&lt;AR7,AF111&gt;=AQ7),"r1","n")))))</f>
        <v>r1</v>
      </c>
    </row>
    <row r="112" spans="26:38" ht="17.100000000000001" hidden="1" customHeight="1">
      <c r="Z112" s="176">
        <f t="shared" si="11"/>
        <v>5.7500000000008527</v>
      </c>
      <c r="AA112" s="176">
        <f>IF(TRIM(AG112)="","",IF(INDEX(AZ1:AZ51,AC112)=AG112,INDEX(BA1:BA51,AC112),((AG112-INDEX(AZ1:AZ51,AC112))*(INDEX(BA1:BA51,AC112+1)-INDEX(BA1:BA51,AC112)))/(INDEX(AZ1:AZ51,AC112+1)-INDEX(AZ1:AZ51,AC112))+INDEX(BA1:BA51,AC112)))</f>
        <v>5.7500000000008527</v>
      </c>
      <c r="AB112" s="176" t="e">
        <f>IF(TRIM(AG112)="","",IF(INDEX(BD1:BD51,AD112)=AG112,INDEX(BE1:BE51,AD112),((AG112-INDEX(BD1:BD51,AD112))*(INDEX(BE1:BE51,AD112+1)-INDEX(BE1:BE51,AD112)))/(INDEX(BD1:BD51,AD112+1)-INDEX(BD1:BD51,AD112))+INDEX(BE1:BE51,AD112)))</f>
        <v>#N/A</v>
      </c>
      <c r="AC112" s="164">
        <f>MATCH(AG112,AZ1:AZ51,1)</f>
        <v>4</v>
      </c>
      <c r="AD112" s="164" t="e">
        <f>MATCH(AG112,BD1:BD51,1)</f>
        <v>#N/A</v>
      </c>
      <c r="AE112" s="164">
        <v>4</v>
      </c>
      <c r="AF112" s="164">
        <v>20</v>
      </c>
      <c r="AG112" s="179">
        <f>FIXED('HourGH-JUL'!AB31)*1</f>
        <v>337.97</v>
      </c>
      <c r="AH112" s="164" t="str">
        <f>IF(AND(AE112=AP5,AE112=AR5,AF112&gt;=AQ5,AF112&lt;=AS5),"r1",IF(AND(AE112&gt;AP5,AE112&lt;AR5),"r1",IF(AND(AE112&gt;AP5,AE112=AR5,AF112&lt;=AS5),"r1",IF(AND(AE112=AP5,AE112&lt;AR5,AF112&gt;=AQ5),"r1","n"))))</f>
        <v>r1</v>
      </c>
      <c r="AI112" s="164" t="str">
        <f>IF(AH112&lt;&gt;"n",AH112,IF(AND(AE112=AT5,AE112=AV5,AF112&gt;=AU5,AF112&lt;=AW5),"r2",IF(AND(AE112&gt;AT5,AE112&lt;AV5),"r2",IF(AND(AE112&gt;AT5,AE112=AV5,AF112&lt;=AW5),"r2",IF(AND(AE112=AT5,AE112&lt;AV5,AF112&gt;=AU5),"r2","n")))))</f>
        <v>r1</v>
      </c>
      <c r="AJ112" s="164" t="str">
        <f>IF(AI112&lt;&gt;"n",AI112,IF(AND(AE112=AP6,AE112=AR6,AF112&gt;=AQ6,AF112&lt;=AS6),"r1",IF(AND(AE112&gt;AP6,AE112&lt;AR6),"r1",IF(AND(AE112&gt;AP6,AE112=AR6,AF112&lt;=AS6),"r1",IF(AND(AE112=AP6,AE112&lt;AR6,AF112&gt;=AQ6),"r1","n")))))</f>
        <v>r1</v>
      </c>
      <c r="AK112" s="164" t="str">
        <f>IF(AJ112&lt;&gt;"n",AJ112,IF(AND(AE112=AT6,AE112=AV6,AF112&gt;=AU6,AF112&lt;=AW6),"r2",IF(AND(AE112&gt;AT6,AE112&lt;AV6),"r2",IF(AND(AE112&gt;AT6,AE112=AV6,AF112&lt;=AW6),"r2",IF(AND(AE112=AT6,AE112&lt;AV6,AF112&gt;=AU6),"r2","n")))))</f>
        <v>r1</v>
      </c>
      <c r="AL112" s="164" t="str">
        <f>IF(AK112&lt;&gt;"n",AK112,IF(AND(AE112=AP7,AE112=AR7,AF112&gt;=AQ7,AF112&lt;=AS7),"r1",IF(AND(AE112&gt;AP7,AE112&lt;AR7),"r1",IF(AND(AE112&gt;AP7,AE112=AR7,AF112&lt;=AS7),"r1",IF(AND(AE112=AP7,AE112&lt;AR7,AF112&gt;=AQ7),"r1","n")))))</f>
        <v>r1</v>
      </c>
    </row>
    <row r="113" spans="26:38" ht="17.100000000000001" hidden="1" customHeight="1">
      <c r="Z113" s="176">
        <f t="shared" si="11"/>
        <v>5.0000000000002842</v>
      </c>
      <c r="AA113" s="176">
        <f>IF(TRIM(AG113)="","",IF(INDEX(AZ1:AZ51,AC113)=AG113,INDEX(BA1:BA51,AC113),((AG113-INDEX(AZ1:AZ51,AC113))*(INDEX(BA1:BA51,AC113+1)-INDEX(BA1:BA51,AC113)))/(INDEX(AZ1:AZ51,AC113+1)-INDEX(AZ1:AZ51,AC113))+INDEX(BA1:BA51,AC113)))</f>
        <v>5.0000000000002842</v>
      </c>
      <c r="AB113" s="176" t="e">
        <f>IF(TRIM(AG113)="","",IF(INDEX(BD1:BD51,AD113)=AG113,INDEX(BE1:BE51,AD113),((AG113-INDEX(BD1:BD51,AD113))*(INDEX(BE1:BE51,AD113+1)-INDEX(BE1:BE51,AD113)))/(INDEX(BD1:BD51,AD113+1)-INDEX(BD1:BD51,AD113))+INDEX(BE1:BE51,AD113)))</f>
        <v>#N/A</v>
      </c>
      <c r="AC113" s="164">
        <f>MATCH(AG113,AZ1:AZ51,1)</f>
        <v>4</v>
      </c>
      <c r="AD113" s="164" t="e">
        <f>MATCH(AG113,BD1:BD51,1)</f>
        <v>#N/A</v>
      </c>
      <c r="AE113" s="164">
        <v>4</v>
      </c>
      <c r="AF113" s="164">
        <v>21</v>
      </c>
      <c r="AG113" s="179">
        <f>FIXED('HourGH-JUL'!AB33)*1</f>
        <v>337.94</v>
      </c>
      <c r="AH113" s="164" t="str">
        <f>IF(AND(AE113=AP5,AE113=AR5,AF113&gt;=AQ5,AF113&lt;=AS5),"r1",IF(AND(AE113&gt;AP5,AE113&lt;AR5),"r1",IF(AND(AE113&gt;AP5,AE113=AR5,AF113&lt;=AS5),"r1",IF(AND(AE113=AP5,AE113&lt;AR5,AF113&gt;=AQ5),"r1","n"))))</f>
        <v>r1</v>
      </c>
      <c r="AI113" s="164" t="str">
        <f>IF(AH113&lt;&gt;"n",AH113,IF(AND(AE113=AT5,AE113=AV5,AF113&gt;=AU5,AF113&lt;=AW5),"r2",IF(AND(AE113&gt;AT5,AE113&lt;AV5),"r2",IF(AND(AE113&gt;AT5,AE113=AV5,AF113&lt;=AW5),"r2",IF(AND(AE113=AT5,AE113&lt;AV5,AF113&gt;=AU5),"r2","n")))))</f>
        <v>r1</v>
      </c>
      <c r="AJ113" s="164" t="str">
        <f>IF(AI113&lt;&gt;"n",AI113,IF(AND(AE113=AP6,AE113=AR6,AF113&gt;=AQ6,AF113&lt;=AS6),"r1",IF(AND(AE113&gt;AP6,AE113&lt;AR6),"r1",IF(AND(AE113&gt;AP6,AE113=AR6,AF113&lt;=AS6),"r1",IF(AND(AE113=AP6,AE113&lt;AR6,AF113&gt;=AQ6),"r1","n")))))</f>
        <v>r1</v>
      </c>
      <c r="AK113" s="164" t="str">
        <f>IF(AJ113&lt;&gt;"n",AJ113,IF(AND(AE113=AT6,AE113=AV6,AF113&gt;=AU6,AF113&lt;=AW6),"r2",IF(AND(AE113&gt;AT6,AE113&lt;AV6),"r2",IF(AND(AE113&gt;AT6,AE113=AV6,AF113&lt;=AW6),"r2",IF(AND(AE113=AT6,AE113&lt;AV6,AF113&gt;=AU6),"r2","n")))))</f>
        <v>r1</v>
      </c>
      <c r="AL113" s="164" t="str">
        <f>IF(AK113&lt;&gt;"n",AK113,IF(AND(AE113=AP7,AE113=AR7,AF113&gt;=AQ7,AF113&lt;=AS7),"r1",IF(AND(AE113&gt;AP7,AE113&lt;AR7),"r1",IF(AND(AE113&gt;AP7,AE113=AR7,AF113&lt;=AS7),"r1",IF(AND(AE113=AP7,AE113&lt;AR7,AF113&gt;=AQ7),"r1","n")))))</f>
        <v>r1</v>
      </c>
    </row>
    <row r="114" spans="26:38" ht="17.100000000000001" hidden="1" customHeight="1">
      <c r="Z114" s="176">
        <f t="shared" si="11"/>
        <v>5.0000000000002842</v>
      </c>
      <c r="AA114" s="176">
        <f>IF(TRIM(AG114)="","",IF(INDEX(AZ1:AZ51,AC114)=AG114,INDEX(BA1:BA51,AC114),((AG114-INDEX(AZ1:AZ51,AC114))*(INDEX(BA1:BA51,AC114+1)-INDEX(BA1:BA51,AC114)))/(INDEX(AZ1:AZ51,AC114+1)-INDEX(AZ1:AZ51,AC114))+INDEX(BA1:BA51,AC114)))</f>
        <v>5.0000000000002842</v>
      </c>
      <c r="AB114" s="176" t="e">
        <f>IF(TRIM(AG114)="","",IF(INDEX(BD1:BD51,AD114)=AG114,INDEX(BE1:BE51,AD114),((AG114-INDEX(BD1:BD51,AD114))*(INDEX(BE1:BE51,AD114+1)-INDEX(BE1:BE51,AD114)))/(INDEX(BD1:BD51,AD114+1)-INDEX(BD1:BD51,AD114))+INDEX(BE1:BE51,AD114)))</f>
        <v>#N/A</v>
      </c>
      <c r="AC114" s="164">
        <f>MATCH(AG114,AZ1:AZ51,1)</f>
        <v>4</v>
      </c>
      <c r="AD114" s="164" t="e">
        <f>MATCH(AG114,BD1:BD51,1)</f>
        <v>#N/A</v>
      </c>
      <c r="AE114" s="164">
        <v>4</v>
      </c>
      <c r="AF114" s="164">
        <v>22</v>
      </c>
      <c r="AG114" s="179">
        <f>FIXED('HourGH-JUL'!AB34)*1</f>
        <v>337.94</v>
      </c>
      <c r="AH114" s="164" t="str">
        <f>IF(AND(AE114=AP5,AE114=AR5,AF114&gt;=AQ5,AF114&lt;=AS5),"r1",IF(AND(AE114&gt;AP5,AE114&lt;AR5),"r1",IF(AND(AE114&gt;AP5,AE114=AR5,AF114&lt;=AS5),"r1",IF(AND(AE114=AP5,AE114&lt;AR5,AF114&gt;=AQ5),"r1","n"))))</f>
        <v>r1</v>
      </c>
      <c r="AI114" s="164" t="str">
        <f>IF(AH114&lt;&gt;"n",AH114,IF(AND(AE114=AT5,AE114=AV5,AF114&gt;=AU5,AF114&lt;=AW5),"r2",IF(AND(AE114&gt;AT5,AE114&lt;AV5),"r2",IF(AND(AE114&gt;AT5,AE114=AV5,AF114&lt;=AW5),"r2",IF(AND(AE114=AT5,AE114&lt;AV5,AF114&gt;=AU5),"r2","n")))))</f>
        <v>r1</v>
      </c>
      <c r="AJ114" s="164" t="str">
        <f>IF(AI114&lt;&gt;"n",AI114,IF(AND(AE114=AP6,AE114=AR6,AF114&gt;=AQ6,AF114&lt;=AS6),"r1",IF(AND(AE114&gt;AP6,AE114&lt;AR6),"r1",IF(AND(AE114&gt;AP6,AE114=AR6,AF114&lt;=AS6),"r1",IF(AND(AE114=AP6,AE114&lt;AR6,AF114&gt;=AQ6),"r1","n")))))</f>
        <v>r1</v>
      </c>
      <c r="AK114" s="164" t="str">
        <f>IF(AJ114&lt;&gt;"n",AJ114,IF(AND(AE114=AT6,AE114=AV6,AF114&gt;=AU6,AF114&lt;=AW6),"r2",IF(AND(AE114&gt;AT6,AE114&lt;AV6),"r2",IF(AND(AE114&gt;AT6,AE114=AV6,AF114&lt;=AW6),"r2",IF(AND(AE114=AT6,AE114&lt;AV6,AF114&gt;=AU6),"r2","n")))))</f>
        <v>r1</v>
      </c>
      <c r="AL114" s="164" t="str">
        <f>IF(AK114&lt;&gt;"n",AK114,IF(AND(AE114=AP7,AE114=AR7,AF114&gt;=AQ7,AF114&lt;=AS7),"r1",IF(AND(AE114&gt;AP7,AE114&lt;AR7),"r1",IF(AND(AE114&gt;AP7,AE114=AR7,AF114&lt;=AS7),"r1",IF(AND(AE114=AP7,AE114&lt;AR7,AF114&gt;=AQ7),"r1","n")))))</f>
        <v>r1</v>
      </c>
    </row>
    <row r="115" spans="26:38" ht="17.100000000000001" hidden="1" customHeight="1">
      <c r="Z115" s="176">
        <f t="shared" si="11"/>
        <v>5.4999999999997158</v>
      </c>
      <c r="AA115" s="176">
        <f>IF(TRIM(AG115)="","",IF(INDEX(AZ1:AZ51,AC115)=AG115,INDEX(BA1:BA51,AC115),((AG115-INDEX(AZ1:AZ51,AC115))*(INDEX(BA1:BA51,AC115+1)-INDEX(BA1:BA51,AC115)))/(INDEX(AZ1:AZ51,AC115+1)-INDEX(AZ1:AZ51,AC115))+INDEX(BA1:BA51,AC115)))</f>
        <v>5.4999999999997158</v>
      </c>
      <c r="AB115" s="176" t="e">
        <f>IF(TRIM(AG115)="","",IF(INDEX(BD1:BD51,AD115)=AG115,INDEX(BE1:BE51,AD115),((AG115-INDEX(BD1:BD51,AD115))*(INDEX(BE1:BE51,AD115+1)-INDEX(BE1:BE51,AD115)))/(INDEX(BD1:BD51,AD115+1)-INDEX(BD1:BD51,AD115))+INDEX(BE1:BE51,AD115)))</f>
        <v>#N/A</v>
      </c>
      <c r="AC115" s="164">
        <f>MATCH(AG115,AZ1:AZ51,1)</f>
        <v>4</v>
      </c>
      <c r="AD115" s="164" t="e">
        <f>MATCH(AG115,BD1:BD51,1)</f>
        <v>#N/A</v>
      </c>
      <c r="AE115" s="164">
        <v>4</v>
      </c>
      <c r="AF115" s="164">
        <v>23</v>
      </c>
      <c r="AG115" s="179">
        <f>FIXED('HourGH-JUL'!AB35)*1</f>
        <v>337.96</v>
      </c>
      <c r="AH115" s="164" t="str">
        <f>IF(AND(AE115=AP5,AE115=AR5,AF115&gt;=AQ5,AF115&lt;=AS5),"r1",IF(AND(AE115&gt;AP5,AE115&lt;AR5),"r1",IF(AND(AE115&gt;AP5,AE115=AR5,AF115&lt;=AS5),"r1",IF(AND(AE115=AP5,AE115&lt;AR5,AF115&gt;=AQ5),"r1","n"))))</f>
        <v>r1</v>
      </c>
      <c r="AI115" s="164" t="str">
        <f>IF(AH115&lt;&gt;"n",AH115,IF(AND(AE115=AT5,AE115=AV5,AF115&gt;=AU5,AF115&lt;=AW5),"r2",IF(AND(AE115&gt;AT5,AE115&lt;AV5),"r2",IF(AND(AE115&gt;AT5,AE115=AV5,AF115&lt;=AW5),"r2",IF(AND(AE115=AT5,AE115&lt;AV5,AF115&gt;=AU5),"r2","n")))))</f>
        <v>r1</v>
      </c>
      <c r="AJ115" s="164" t="str">
        <f>IF(AI115&lt;&gt;"n",AI115,IF(AND(AE115=AP6,AE115=AR6,AF115&gt;=AQ6,AF115&lt;=AS6),"r1",IF(AND(AE115&gt;AP6,AE115&lt;AR6),"r1",IF(AND(AE115&gt;AP6,AE115=AR6,AF115&lt;=AS6),"r1",IF(AND(AE115=AP6,AE115&lt;AR6,AF115&gt;=AQ6),"r1","n")))))</f>
        <v>r1</v>
      </c>
      <c r="AK115" s="164" t="str">
        <f>IF(AJ115&lt;&gt;"n",AJ115,IF(AND(AE115=AT6,AE115=AV6,AF115&gt;=AU6,AF115&lt;=AW6),"r2",IF(AND(AE115&gt;AT6,AE115&lt;AV6),"r2",IF(AND(AE115&gt;AT6,AE115=AV6,AF115&lt;=AW6),"r2",IF(AND(AE115=AT6,AE115&lt;AV6,AF115&gt;=AU6),"r2","n")))))</f>
        <v>r1</v>
      </c>
      <c r="AL115" s="164" t="str">
        <f>IF(AK115&lt;&gt;"n",AK115,IF(AND(AE115=AP7,AE115=AR7,AF115&gt;=AQ7,AF115&lt;=AS7),"r1",IF(AND(AE115&gt;AP7,AE115&lt;AR7),"r1",IF(AND(AE115&gt;AP7,AE115=AR7,AF115&lt;=AS7),"r1",IF(AND(AE115=AP7,AE115&lt;AR7,AF115&gt;=AQ7),"r1","n")))))</f>
        <v>r1</v>
      </c>
    </row>
    <row r="116" spans="26:38" ht="17.100000000000001" hidden="1" customHeight="1">
      <c r="Z116" s="176">
        <f t="shared" si="11"/>
        <v>12.350000000000554</v>
      </c>
      <c r="AA116" s="176">
        <f>IF(TRIM(AG116)="","",IF(INDEX(AZ1:AZ51,AC116)=AG116,INDEX(BA1:BA51,AC116),((AG116-INDEX(AZ1:AZ51,AC116))*(INDEX(BA1:BA51,AC116+1)-INDEX(BA1:BA51,AC116)))/(INDEX(AZ1:AZ51,AC116+1)-INDEX(AZ1:AZ51,AC116))+INDEX(BA1:BA51,AC116)))</f>
        <v>12.350000000000554</v>
      </c>
      <c r="AB116" s="176" t="e">
        <f>IF(TRIM(AG116)="","",IF(INDEX(BD1:BD51,AD116)=AG116,INDEX(BE1:BE51,AD116),((AG116-INDEX(BD1:BD51,AD116))*(INDEX(BE1:BE51,AD116+1)-INDEX(BE1:BE51,AD116)))/(INDEX(BD1:BD51,AD116+1)-INDEX(BD1:BD51,AD116))+INDEX(BE1:BE51,AD116)))</f>
        <v>#N/A</v>
      </c>
      <c r="AC116" s="164">
        <f>MATCH(AG116,AZ1:AZ51,1)</f>
        <v>5</v>
      </c>
      <c r="AD116" s="164" t="e">
        <f>MATCH(AG116,BD1:BD51,1)</f>
        <v>#N/A</v>
      </c>
      <c r="AE116" s="164">
        <v>4</v>
      </c>
      <c r="AF116" s="164">
        <v>24</v>
      </c>
      <c r="AG116" s="179">
        <f>FIXED('HourGH-JUL'!AB36)*1</f>
        <v>338.18</v>
      </c>
      <c r="AH116" s="164" t="str">
        <f>IF(AND(AE116=AP5,AE116=AR5,AF116&gt;=AQ5,AF116&lt;=AS5),"r1",IF(AND(AE116&gt;AP5,AE116&lt;AR5),"r1",IF(AND(AE116&gt;AP5,AE116=AR5,AF116&lt;=AS5),"r1",IF(AND(AE116=AP5,AE116&lt;AR5,AF116&gt;=AQ5),"r1","n"))))</f>
        <v>r1</v>
      </c>
      <c r="AI116" s="164" t="str">
        <f>IF(AH116&lt;&gt;"n",AH116,IF(AND(AE116=AT5,AE116=AV5,AF116&gt;=AU5,AF116&lt;=AW5),"r2",IF(AND(AE116&gt;AT5,AE116&lt;AV5),"r2",IF(AND(AE116&gt;AT5,AE116=AV5,AF116&lt;=AW5),"r2",IF(AND(AE116=AT5,AE116&lt;AV5,AF116&gt;=AU5),"r2","n")))))</f>
        <v>r1</v>
      </c>
      <c r="AJ116" s="164" t="str">
        <f>IF(AI116&lt;&gt;"n",AI116,IF(AND(AE116=AP6,AE116=AR6,AF116&gt;=AQ6,AF116&lt;=AS6),"r1",IF(AND(AE116&gt;AP6,AE116&lt;AR6),"r1",IF(AND(AE116&gt;AP6,AE116=AR6,AF116&lt;=AS6),"r1",IF(AND(AE116=AP6,AE116&lt;AR6,AF116&gt;=AQ6),"r1","n")))))</f>
        <v>r1</v>
      </c>
      <c r="AK116" s="164" t="str">
        <f>IF(AJ116&lt;&gt;"n",AJ116,IF(AND(AE116=AT6,AE116=AV6,AF116&gt;=AU6,AF116&lt;=AW6),"r2",IF(AND(AE116&gt;AT6,AE116&lt;AV6),"r2",IF(AND(AE116&gt;AT6,AE116=AV6,AF116&lt;=AW6),"r2",IF(AND(AE116=AT6,AE116&lt;AV6,AF116&gt;=AU6),"r2","n")))))</f>
        <v>r1</v>
      </c>
      <c r="AL116" s="164" t="str">
        <f>IF(AK116&lt;&gt;"n",AK116,IF(AND(AE116=AP7,AE116=AR7,AF116&gt;=AQ7,AF116&lt;=AS7),"r1",IF(AND(AE116&gt;AP7,AE116&lt;AR7),"r1",IF(AND(AE116&gt;AP7,AE116=AR7,AF116&lt;=AS7),"r1",IF(AND(AE116=AP7,AE116&lt;AR7,AF116&gt;=AQ7),"r1","n")))))</f>
        <v>r1</v>
      </c>
    </row>
    <row r="117" spans="26:38" ht="17.100000000000001" hidden="1" customHeight="1">
      <c r="Z117" s="176">
        <f t="shared" si="11"/>
        <v>8.450000000000184</v>
      </c>
      <c r="AA117" s="176">
        <f>IF(TRIM(AG117)="","",IF(INDEX(AZ1:AZ51,AC117)=AG117,INDEX(BA1:BA51,AC117),((AG117-INDEX(AZ1:AZ51,AC117))*(INDEX(BA1:BA51,AC117+1)-INDEX(BA1:BA51,AC117)))/(INDEX(AZ1:AZ51,AC117+1)-INDEX(AZ1:AZ51,AC117))+INDEX(BA1:BA51,AC117)))</f>
        <v>8.450000000000184</v>
      </c>
      <c r="AB117" s="176" t="e">
        <f>IF(TRIM(AG117)="","",IF(INDEX(BD1:BD51,AD117)=AG117,INDEX(BE1:BE51,AD117),((AG117-INDEX(BD1:BD51,AD117))*(INDEX(BE1:BE51,AD117+1)-INDEX(BE1:BE51,AD117)))/(INDEX(BD1:BD51,AD117+1)-INDEX(BD1:BD51,AD117))+INDEX(BE1:BE51,AD117)))</f>
        <v>#N/A</v>
      </c>
      <c r="AC117" s="164">
        <f>MATCH(AG117,AZ1:AZ51,1)</f>
        <v>5</v>
      </c>
      <c r="AD117" s="164" t="e">
        <f>MATCH(AG117,BD1:BD51,1)</f>
        <v>#N/A</v>
      </c>
      <c r="AE117" s="164">
        <v>4</v>
      </c>
      <c r="AF117" s="164">
        <v>25</v>
      </c>
      <c r="AG117" s="179">
        <f>FIXED('HourGH-JUL'!AB37)*1</f>
        <v>338.06</v>
      </c>
      <c r="AH117" s="164" t="str">
        <f>IF(AND(AE117=AP5,AE117=AR5,AF117&gt;=AQ5,AF117&lt;=AS5),"r1",IF(AND(AE117&gt;AP5,AE117&lt;AR5),"r1",IF(AND(AE117&gt;AP5,AE117=AR5,AF117&lt;=AS5),"r1",IF(AND(AE117=AP5,AE117&lt;AR5,AF117&gt;=AQ5),"r1","n"))))</f>
        <v>r1</v>
      </c>
      <c r="AI117" s="164" t="str">
        <f>IF(AH117&lt;&gt;"n",AH117,IF(AND(AE117=AT5,AE117=AV5,AF117&gt;=AU5,AF117&lt;=AW5),"r2",IF(AND(AE117&gt;AT5,AE117&lt;AV5),"r2",IF(AND(AE117&gt;AT5,AE117=AV5,AF117&lt;=AW5),"r2",IF(AND(AE117=AT5,AE117&lt;AV5,AF117&gt;=AU5),"r2","n")))))</f>
        <v>r1</v>
      </c>
      <c r="AJ117" s="164" t="str">
        <f>IF(AI117&lt;&gt;"n",AI117,IF(AND(AE117=AP6,AE117=AR6,AF117&gt;=AQ6,AF117&lt;=AS6),"r1",IF(AND(AE117&gt;AP6,AE117&lt;AR6),"r1",IF(AND(AE117&gt;AP6,AE117=AR6,AF117&lt;=AS6),"r1",IF(AND(AE117=AP6,AE117&lt;AR6,AF117&gt;=AQ6),"r1","n")))))</f>
        <v>r1</v>
      </c>
      <c r="AK117" s="164" t="str">
        <f>IF(AJ117&lt;&gt;"n",AJ117,IF(AND(AE117=AT6,AE117=AV6,AF117&gt;=AU6,AF117&lt;=AW6),"r2",IF(AND(AE117&gt;AT6,AE117&lt;AV6),"r2",IF(AND(AE117&gt;AT6,AE117=AV6,AF117&lt;=AW6),"r2",IF(AND(AE117=AT6,AE117&lt;AV6,AF117&gt;=AU6),"r2","n")))))</f>
        <v>r1</v>
      </c>
      <c r="AL117" s="164" t="str">
        <f>IF(AK117&lt;&gt;"n",AK117,IF(AND(AE117=AP7,AE117=AR7,AF117&gt;=AQ7,AF117&lt;=AS7),"r1",IF(AND(AE117&gt;AP7,AE117&lt;AR7),"r1",IF(AND(AE117&gt;AP7,AE117=AR7,AF117&lt;=AS7),"r1",IF(AND(AE117=AP7,AE117&lt;AR7,AF117&gt;=AQ7),"r1","n")))))</f>
        <v>r1</v>
      </c>
    </row>
    <row r="118" spans="26:38" ht="17.100000000000001" hidden="1" customHeight="1">
      <c r="Z118" s="176">
        <f t="shared" si="11"/>
        <v>6.8249999999997231</v>
      </c>
      <c r="AA118" s="176">
        <f>IF(TRIM(AG118)="","",IF(INDEX(AZ1:AZ51,AC118)=AG118,INDEX(BA1:BA51,AC118),((AG118-INDEX(AZ1:AZ51,AC118))*(INDEX(BA1:BA51,AC118+1)-INDEX(BA1:BA51,AC118)))/(INDEX(AZ1:AZ51,AC118+1)-INDEX(AZ1:AZ51,AC118))+INDEX(BA1:BA51,AC118)))</f>
        <v>6.8249999999997231</v>
      </c>
      <c r="AB118" s="176" t="e">
        <f>IF(TRIM(AG118)="","",IF(INDEX(BD1:BD51,AD118)=AG118,INDEX(BE1:BE51,AD118),((AG118-INDEX(BD1:BD51,AD118))*(INDEX(BE1:BE51,AD118+1)-INDEX(BE1:BE51,AD118)))/(INDEX(BD1:BD51,AD118+1)-INDEX(BD1:BD51,AD118))+INDEX(BE1:BE51,AD118)))</f>
        <v>#N/A</v>
      </c>
      <c r="AC118" s="164">
        <f>MATCH(AG118,AZ1:AZ51,1)</f>
        <v>5</v>
      </c>
      <c r="AD118" s="164" t="e">
        <f>MATCH(AG118,BD1:BD51,1)</f>
        <v>#N/A</v>
      </c>
      <c r="AE118" s="164">
        <v>4</v>
      </c>
      <c r="AF118" s="164">
        <v>26</v>
      </c>
      <c r="AG118" s="179">
        <f>FIXED('HourGH-JUL'!AB38)*1</f>
        <v>338.01</v>
      </c>
      <c r="AH118" s="164" t="str">
        <f>IF(AND(AE118=AP5,AE118=AR5,AF118&gt;=AQ5,AF118&lt;=AS5),"r1",IF(AND(AE118&gt;AP5,AE118&lt;AR5),"r1",IF(AND(AE118&gt;AP5,AE118=AR5,AF118&lt;=AS5),"r1",IF(AND(AE118=AP5,AE118&lt;AR5,AF118&gt;=AQ5),"r1","n"))))</f>
        <v>r1</v>
      </c>
      <c r="AI118" s="164" t="str">
        <f>IF(AH118&lt;&gt;"n",AH118,IF(AND(AE118=AT5,AE118=AV5,AF118&gt;=AU5,AF118&lt;=AW5),"r2",IF(AND(AE118&gt;AT5,AE118&lt;AV5),"r2",IF(AND(AE118&gt;AT5,AE118=AV5,AF118&lt;=AW5),"r2",IF(AND(AE118=AT5,AE118&lt;AV5,AF118&gt;=AU5),"r2","n")))))</f>
        <v>r1</v>
      </c>
      <c r="AJ118" s="164" t="str">
        <f>IF(AI118&lt;&gt;"n",AI118,IF(AND(AE118=AP6,AE118=AR6,AF118&gt;=AQ6,AF118&lt;=AS6),"r1",IF(AND(AE118&gt;AP6,AE118&lt;AR6),"r1",IF(AND(AE118&gt;AP6,AE118=AR6,AF118&lt;=AS6),"r1",IF(AND(AE118=AP6,AE118&lt;AR6,AF118&gt;=AQ6),"r1","n")))))</f>
        <v>r1</v>
      </c>
      <c r="AK118" s="164" t="str">
        <f>IF(AJ118&lt;&gt;"n",AJ118,IF(AND(AE118=AT6,AE118=AV6,AF118&gt;=AU6,AF118&lt;=AW6),"r2",IF(AND(AE118&gt;AT6,AE118&lt;AV6),"r2",IF(AND(AE118&gt;AT6,AE118=AV6,AF118&lt;=AW6),"r2",IF(AND(AE118=AT6,AE118&lt;AV6,AF118&gt;=AU6),"r2","n")))))</f>
        <v>r1</v>
      </c>
      <c r="AL118" s="164" t="str">
        <f>IF(AK118&lt;&gt;"n",AK118,IF(AND(AE118=AP7,AE118=AR7,AF118&gt;=AQ7,AF118&lt;=AS7),"r1",IF(AND(AE118&gt;AP7,AE118&lt;AR7),"r1",IF(AND(AE118&gt;AP7,AE118=AR7,AF118&lt;=AS7),"r1",IF(AND(AE118=AP7,AE118&lt;AR7,AF118&gt;=AQ7),"r1","n")))))</f>
        <v>r1</v>
      </c>
    </row>
    <row r="119" spans="26:38" ht="17.100000000000001" hidden="1" customHeight="1">
      <c r="Z119" s="176">
        <f t="shared" si="11"/>
        <v>5.4999999999997158</v>
      </c>
      <c r="AA119" s="176">
        <f>IF(TRIM(AG119)="","",IF(INDEX(AZ1:AZ51,AC119)=AG119,INDEX(BA1:BA51,AC119),((AG119-INDEX(AZ1:AZ51,AC119))*(INDEX(BA1:BA51,AC119+1)-INDEX(BA1:BA51,AC119)))/(INDEX(AZ1:AZ51,AC119+1)-INDEX(AZ1:AZ51,AC119))+INDEX(BA1:BA51,AC119)))</f>
        <v>5.4999999999997158</v>
      </c>
      <c r="AB119" s="176" t="e">
        <f>IF(TRIM(AG119)="","",IF(INDEX(BD1:BD51,AD119)=AG119,INDEX(BE1:BE51,AD119),((AG119-INDEX(BD1:BD51,AD119))*(INDEX(BE1:BE51,AD119+1)-INDEX(BE1:BE51,AD119)))/(INDEX(BD1:BD51,AD119+1)-INDEX(BD1:BD51,AD119))+INDEX(BE1:BE51,AD119)))</f>
        <v>#N/A</v>
      </c>
      <c r="AC119" s="164">
        <f>MATCH(AG119,AZ1:AZ51,1)</f>
        <v>4</v>
      </c>
      <c r="AD119" s="164" t="e">
        <f>MATCH(AG119,BD1:BD51,1)</f>
        <v>#N/A</v>
      </c>
      <c r="AE119" s="164">
        <v>4</v>
      </c>
      <c r="AF119" s="164">
        <v>27</v>
      </c>
      <c r="AG119" s="179">
        <f>FIXED('HourGH-JUL'!AB39)*1</f>
        <v>337.96</v>
      </c>
      <c r="AH119" s="164" t="str">
        <f>IF(AND(AE119=AP5,AE119=AR5,AF119&gt;=AQ5,AF119&lt;=AS5),"r1",IF(AND(AE119&gt;AP5,AE119&lt;AR5),"r1",IF(AND(AE119&gt;AP5,AE119=AR5,AF119&lt;=AS5),"r1",IF(AND(AE119=AP5,AE119&lt;AR5,AF119&gt;=AQ5),"r1","n"))))</f>
        <v>r1</v>
      </c>
      <c r="AI119" s="164" t="str">
        <f>IF(AH119&lt;&gt;"n",AH119,IF(AND(AE119=AT5,AE119=AV5,AF119&gt;=AU5,AF119&lt;=AW5),"r2",IF(AND(AE119&gt;AT5,AE119&lt;AV5),"r2",IF(AND(AE119&gt;AT5,AE119=AV5,AF119&lt;=AW5),"r2",IF(AND(AE119=AT5,AE119&lt;AV5,AF119&gt;=AU5),"r2","n")))))</f>
        <v>r1</v>
      </c>
      <c r="AJ119" s="164" t="str">
        <f>IF(AI119&lt;&gt;"n",AI119,IF(AND(AE119=AP6,AE119=AR6,AF119&gt;=AQ6,AF119&lt;=AS6),"r1",IF(AND(AE119&gt;AP6,AE119&lt;AR6),"r1",IF(AND(AE119&gt;AP6,AE119=AR6,AF119&lt;=AS6),"r1",IF(AND(AE119=AP6,AE119&lt;AR6,AF119&gt;=AQ6),"r1","n")))))</f>
        <v>r1</v>
      </c>
      <c r="AK119" s="164" t="str">
        <f>IF(AJ119&lt;&gt;"n",AJ119,IF(AND(AE119=AT6,AE119=AV6,AF119&gt;=AU6,AF119&lt;=AW6),"r2",IF(AND(AE119&gt;AT6,AE119&lt;AV6),"r2",IF(AND(AE119&gt;AT6,AE119=AV6,AF119&lt;=AW6),"r2",IF(AND(AE119=AT6,AE119&lt;AV6,AF119&gt;=AU6),"r2","n")))))</f>
        <v>r1</v>
      </c>
      <c r="AL119" s="164" t="str">
        <f>IF(AK119&lt;&gt;"n",AK119,IF(AND(AE119=AP7,AE119=AR7,AF119&gt;=AQ7,AF119&lt;=AS7),"r1",IF(AND(AE119&gt;AP7,AE119&lt;AR7),"r1",IF(AND(AE119&gt;AP7,AE119=AR7,AF119&lt;=AS7),"r1",IF(AND(AE119=AP7,AE119&lt;AR7,AF119&gt;=AQ7),"r1","n")))))</f>
        <v>r1</v>
      </c>
    </row>
    <row r="120" spans="26:38" ht="17.100000000000001" hidden="1" customHeight="1">
      <c r="Z120" s="176">
        <f t="shared" si="11"/>
        <v>6.0000000000005684</v>
      </c>
      <c r="AA120" s="176">
        <f>IF(TRIM(AG120)="","",IF(INDEX(AZ1:AZ51,AC120)=AG120,INDEX(BA1:BA51,AC120),((AG120-INDEX(AZ1:AZ51,AC120))*(INDEX(BA1:BA51,AC120+1)-INDEX(BA1:BA51,AC120)))/(INDEX(AZ1:AZ51,AC120+1)-INDEX(AZ1:AZ51,AC120))+INDEX(BA1:BA51,AC120)))</f>
        <v>6.0000000000005684</v>
      </c>
      <c r="AB120" s="176" t="e">
        <f>IF(TRIM(AG120)="","",IF(INDEX(BD1:BD51,AD120)=AG120,INDEX(BE1:BE51,AD120),((AG120-INDEX(BD1:BD51,AD120))*(INDEX(BE1:BE51,AD120+1)-INDEX(BE1:BE51,AD120)))/(INDEX(BD1:BD51,AD120+1)-INDEX(BD1:BD51,AD120))+INDEX(BE1:BE51,AD120)))</f>
        <v>#N/A</v>
      </c>
      <c r="AC120" s="164">
        <f>MATCH(AG120,AZ1:AZ51,1)</f>
        <v>4</v>
      </c>
      <c r="AD120" s="164" t="e">
        <f>MATCH(AG120,BD1:BD51,1)</f>
        <v>#N/A</v>
      </c>
      <c r="AE120" s="164">
        <v>4</v>
      </c>
      <c r="AF120" s="164">
        <v>28</v>
      </c>
      <c r="AG120" s="179">
        <f>FIXED('HourGH-JUL'!AB40)*1</f>
        <v>337.98</v>
      </c>
      <c r="AH120" s="164" t="str">
        <f>IF(AND(AE120=AP5,AE120=AR5,AF120&gt;=AQ5,AF120&lt;=AS5),"r1",IF(AND(AE120&gt;AP5,AE120&lt;AR5),"r1",IF(AND(AE120&gt;AP5,AE120=AR5,AF120&lt;=AS5),"r1",IF(AND(AE120=AP5,AE120&lt;AR5,AF120&gt;=AQ5),"r1","n"))))</f>
        <v>r1</v>
      </c>
      <c r="AI120" s="164" t="str">
        <f>IF(AH120&lt;&gt;"n",AH120,IF(AND(AE120=AT5,AE120=AV5,AF120&gt;=AU5,AF120&lt;=AW5),"r2",IF(AND(AE120&gt;AT5,AE120&lt;AV5),"r2",IF(AND(AE120&gt;AT5,AE120=AV5,AF120&lt;=AW5),"r2",IF(AND(AE120=AT5,AE120&lt;AV5,AF120&gt;=AU5),"r2","n")))))</f>
        <v>r1</v>
      </c>
      <c r="AJ120" s="164" t="str">
        <f>IF(AI120&lt;&gt;"n",AI120,IF(AND(AE120=AP6,AE120=AR6,AF120&gt;=AQ6,AF120&lt;=AS6),"r1",IF(AND(AE120&gt;AP6,AE120&lt;AR6),"r1",IF(AND(AE120&gt;AP6,AE120=AR6,AF120&lt;=AS6),"r1",IF(AND(AE120=AP6,AE120&lt;AR6,AF120&gt;=AQ6),"r1","n")))))</f>
        <v>r1</v>
      </c>
      <c r="AK120" s="164" t="str">
        <f>IF(AJ120&lt;&gt;"n",AJ120,IF(AND(AE120=AT6,AE120=AV6,AF120&gt;=AU6,AF120&lt;=AW6),"r2",IF(AND(AE120&gt;AT6,AE120&lt;AV6),"r2",IF(AND(AE120&gt;AT6,AE120=AV6,AF120&lt;=AW6),"r2",IF(AND(AE120=AT6,AE120&lt;AV6,AF120&gt;=AU6),"r2","n")))))</f>
        <v>r1</v>
      </c>
      <c r="AL120" s="164" t="str">
        <f>IF(AK120&lt;&gt;"n",AK120,IF(AND(AE120=AP7,AE120=AR7,AF120&gt;=AQ7,AF120&lt;=AS7),"r1",IF(AND(AE120&gt;AP7,AE120&lt;AR7),"r1",IF(AND(AE120&gt;AP7,AE120=AR7,AF120&lt;=AS7),"r1",IF(AND(AE120=AP7,AE120&lt;AR7,AF120&gt;=AQ7),"r1","n")))))</f>
        <v>r1</v>
      </c>
    </row>
    <row r="121" spans="26:38" ht="17.100000000000001" hidden="1" customHeight="1">
      <c r="Z121" s="176">
        <f t="shared" si="11"/>
        <v>7.8000000000007388</v>
      </c>
      <c r="AA121" s="176">
        <f>IF(TRIM(AG121)="","",IF(INDEX(AZ1:AZ51,AC121)=AG121,INDEX(BA1:BA51,AC121),((AG121-INDEX(AZ1:AZ51,AC121))*(INDEX(BA1:BA51,AC121+1)-INDEX(BA1:BA51,AC121)))/(INDEX(AZ1:AZ51,AC121+1)-INDEX(AZ1:AZ51,AC121))+INDEX(BA1:BA51,AC121)))</f>
        <v>7.8000000000007388</v>
      </c>
      <c r="AB121" s="176" t="e">
        <f>IF(TRIM(AG121)="","",IF(INDEX(BD1:BD51,AD121)=AG121,INDEX(BE1:BE51,AD121),((AG121-INDEX(BD1:BD51,AD121))*(INDEX(BE1:BE51,AD121+1)-INDEX(BE1:BE51,AD121)))/(INDEX(BD1:BD51,AD121+1)-INDEX(BD1:BD51,AD121))+INDEX(BE1:BE51,AD121)))</f>
        <v>#N/A</v>
      </c>
      <c r="AC121" s="164">
        <f>MATCH(AG121,AZ1:AZ51,1)</f>
        <v>5</v>
      </c>
      <c r="AD121" s="164" t="e">
        <f>MATCH(AG121,BD1:BD51,1)</f>
        <v>#N/A</v>
      </c>
      <c r="AE121" s="164">
        <v>4</v>
      </c>
      <c r="AF121" s="164">
        <v>29</v>
      </c>
      <c r="AG121" s="179">
        <f>FIXED('HourGH-JUL'!AB41)*1</f>
        <v>338.04</v>
      </c>
      <c r="AH121" s="164" t="str">
        <f>IF(AND(AE121=AP5,AE121=AR5,AF121&gt;=AQ5,AF121&lt;=AS5),"r1",IF(AND(AE121&gt;AP5,AE121&lt;AR5),"r1",IF(AND(AE121&gt;AP5,AE121=AR5,AF121&lt;=AS5),"r1",IF(AND(AE121=AP5,AE121&lt;AR5,AF121&gt;=AQ5),"r1","n"))))</f>
        <v>r1</v>
      </c>
      <c r="AI121" s="164" t="str">
        <f>IF(AH121&lt;&gt;"n",AH121,IF(AND(AE121=AT5,AE121=AV5,AF121&gt;=AU5,AF121&lt;=AW5),"r2",IF(AND(AE121&gt;AT5,AE121&lt;AV5),"r2",IF(AND(AE121&gt;AT5,AE121=AV5,AF121&lt;=AW5),"r2",IF(AND(AE121=AT5,AE121&lt;AV5,AF121&gt;=AU5),"r2","n")))))</f>
        <v>r1</v>
      </c>
      <c r="AJ121" s="164" t="str">
        <f>IF(AI121&lt;&gt;"n",AI121,IF(AND(AE121=AP6,AE121=AR6,AF121&gt;=AQ6,AF121&lt;=AS6),"r1",IF(AND(AE121&gt;AP6,AE121&lt;AR6),"r1",IF(AND(AE121&gt;AP6,AE121=AR6,AF121&lt;=AS6),"r1",IF(AND(AE121=AP6,AE121&lt;AR6,AF121&gt;=AQ6),"r1","n")))))</f>
        <v>r1</v>
      </c>
      <c r="AK121" s="164" t="str">
        <f>IF(AJ121&lt;&gt;"n",AJ121,IF(AND(AE121=AT6,AE121=AV6,AF121&gt;=AU6,AF121&lt;=AW6),"r2",IF(AND(AE121&gt;AT6,AE121&lt;AV6),"r2",IF(AND(AE121&gt;AT6,AE121=AV6,AF121&lt;=AW6),"r2",IF(AND(AE121=AT6,AE121&lt;AV6,AF121&gt;=AU6),"r2","n")))))</f>
        <v>r1</v>
      </c>
      <c r="AL121" s="164" t="str">
        <f>IF(AK121&lt;&gt;"n",AK121,IF(AND(AE121=AP7,AE121=AR7,AF121&gt;=AQ7,AF121&lt;=AS7),"r1",IF(AND(AE121&gt;AP7,AE121&lt;AR7),"r1",IF(AND(AE121&gt;AP7,AE121=AR7,AF121&lt;=AS7),"r1",IF(AND(AE121=AP7,AE121&lt;AR7,AF121&gt;=AQ7),"r1","n")))))</f>
        <v>r1</v>
      </c>
    </row>
    <row r="122" spans="26:38" ht="17.100000000000001" hidden="1" customHeight="1">
      <c r="Z122" s="176">
        <f t="shared" si="11"/>
        <v>11.700000000001108</v>
      </c>
      <c r="AA122" s="176">
        <f>IF(TRIM(AG122)="","",IF(INDEX(AZ1:AZ51,AC122)=AG122,INDEX(BA1:BA51,AC122),((AG122-INDEX(AZ1:AZ51,AC122))*(INDEX(BA1:BA51,AC122+1)-INDEX(BA1:BA51,AC122)))/(INDEX(AZ1:AZ51,AC122+1)-INDEX(AZ1:AZ51,AC122))+INDEX(BA1:BA51,AC122)))</f>
        <v>11.700000000001108</v>
      </c>
      <c r="AB122" s="176" t="e">
        <f>IF(TRIM(AG122)="","",IF(INDEX(BD1:BD51,AD122)=AG122,INDEX(BE1:BE51,AD122),((AG122-INDEX(BD1:BD51,AD122))*(INDEX(BE1:BE51,AD122+1)-INDEX(BE1:BE51,AD122)))/(INDEX(BD1:BD51,AD122+1)-INDEX(BD1:BD51,AD122))+INDEX(BE1:BE51,AD122)))</f>
        <v>#N/A</v>
      </c>
      <c r="AC122" s="164">
        <f>MATCH(AG122,AZ1:AZ51,1)</f>
        <v>5</v>
      </c>
      <c r="AD122" s="164" t="e">
        <f>MATCH(AG122,BD1:BD51,1)</f>
        <v>#N/A</v>
      </c>
      <c r="AE122" s="164">
        <v>4</v>
      </c>
      <c r="AF122" s="164">
        <v>30</v>
      </c>
      <c r="AG122" s="179">
        <f>FIXED('HourGH-JUL'!AB42)*1</f>
        <v>338.16</v>
      </c>
      <c r="AH122" s="164" t="str">
        <f>IF(AND(AE122=AP5,AE122=AR5,AF122&gt;=AQ5,AF122&lt;=AS5),"r1",IF(AND(AE122&gt;AP5,AE122&lt;AR5),"r1",IF(AND(AE122&gt;AP5,AE122=AR5,AF122&lt;=AS5),"r1",IF(AND(AE122=AP5,AE122&lt;AR5,AF122&gt;=AQ5),"r1","n"))))</f>
        <v>r1</v>
      </c>
      <c r="AI122" s="164" t="str">
        <f>IF(AH122&lt;&gt;"n",AH122,IF(AND(AE122=AT5,AE122=AV5,AF122&gt;=AU5,AF122&lt;=AW5),"r2",IF(AND(AE122&gt;AT5,AE122&lt;AV5),"r2",IF(AND(AE122&gt;AT5,AE122=AV5,AF122&lt;=AW5),"r2",IF(AND(AE122=AT5,AE122&lt;AV5,AF122&gt;=AU5),"r2","n")))))</f>
        <v>r1</v>
      </c>
      <c r="AJ122" s="164" t="str">
        <f>IF(AI122&lt;&gt;"n",AI122,IF(AND(AE122=AP6,AE122=AR6,AF122&gt;=AQ6,AF122&lt;=AS6),"r1",IF(AND(AE122&gt;AP6,AE122&lt;AR6),"r1",IF(AND(AE122&gt;AP6,AE122=AR6,AF122&lt;=AS6),"r1",IF(AND(AE122=AP6,AE122&lt;AR6,AF122&gt;=AQ6),"r1","n")))))</f>
        <v>r1</v>
      </c>
      <c r="AK122" s="164" t="str">
        <f>IF(AJ122&lt;&gt;"n",AJ122,IF(AND(AE122=AT6,AE122=AV6,AF122&gt;=AU6,AF122&lt;=AW6),"r2",IF(AND(AE122&gt;AT6,AE122&lt;AV6),"r2",IF(AND(AE122&gt;AT6,AE122=AV6,AF122&lt;=AW6),"r2",IF(AND(AE122=AT6,AE122&lt;AV6,AF122&gt;=AU6),"r2","n")))))</f>
        <v>r1</v>
      </c>
      <c r="AL122" s="164" t="str">
        <f>IF(AK122&lt;&gt;"n",AK122,IF(AND(AE122=AP7,AE122=AR7,AF122&gt;=AQ7,AF122&lt;=AS7),"r1",IF(AND(AE122&gt;AP7,AE122&lt;AR7),"r1",IF(AND(AE122&gt;AP7,AE122=AR7,AF122&lt;=AS7),"r1",IF(AND(AE122=AP7,AE122&lt;AR7,AF122&gt;=AQ7),"r1","n")))))</f>
        <v>r1</v>
      </c>
    </row>
    <row r="123" spans="26:38" ht="17.100000000000001" hidden="1" customHeight="1">
      <c r="Z123" s="176">
        <f t="shared" si="11"/>
        <v>13</v>
      </c>
      <c r="AA123" s="176">
        <f>IF(TRIM(AG123)="","",IF(INDEX(AZ1:AZ51,AC123)=AG123,INDEX(BA1:BA51,AC123),((AG123-INDEX(AZ1:AZ51,AC123))*(INDEX(BA1:BA51,AC123+1)-INDEX(BA1:BA51,AC123)))/(INDEX(AZ1:AZ51,AC123+1)-INDEX(AZ1:AZ51,AC123))+INDEX(BA1:BA51,AC123)))</f>
        <v>13</v>
      </c>
      <c r="AB123" s="176" t="e">
        <f>IF(TRIM(AG123)="","",IF(INDEX(BD1:BD51,AD123)=AG123,INDEX(BE1:BE51,AD123),((AG123-INDEX(BD1:BD51,AD123))*(INDEX(BE1:BE51,AD123+1)-INDEX(BE1:BE51,AD123)))/(INDEX(BD1:BD51,AD123+1)-INDEX(BD1:BD51,AD123))+INDEX(BE1:BE51,AD123)))</f>
        <v>#N/A</v>
      </c>
      <c r="AC123" s="164">
        <f>MATCH(AG123,AZ1:AZ51,1)</f>
        <v>6</v>
      </c>
      <c r="AD123" s="164" t="e">
        <f>MATCH(AG123,BD1:BD51,1)</f>
        <v>#N/A</v>
      </c>
      <c r="AE123" s="164">
        <v>4</v>
      </c>
      <c r="AF123" s="164">
        <v>31</v>
      </c>
      <c r="AG123" s="179">
        <f>FIXED('HourGH-JUL'!AB43)*1</f>
        <v>338.2</v>
      </c>
      <c r="AH123" s="164" t="str">
        <f>IF(AND(AE123=AP5,AE123=AR5,AF123&gt;=AQ5,AF123&lt;=AS5),"r1",IF(AND(AE123&gt;AP5,AE123&lt;AR5),"r1",IF(AND(AE123&gt;AP5,AE123=AR5,AF123&lt;=AS5),"r1",IF(AND(AE123=AP5,AE123&lt;AR5,AF123&gt;=AQ5),"r1","n"))))</f>
        <v>r1</v>
      </c>
      <c r="AI123" s="164" t="str">
        <f>IF(AH123&lt;&gt;"n",AH123,IF(AND(AE123=AT5,AE123=AV5,AF123&gt;=AU5,AF123&lt;=AW5),"r2",IF(AND(AE123&gt;AT5,AE123&lt;AV5),"r2",IF(AND(AE123&gt;AT5,AE123=AV5,AF123&lt;=AW5),"r2",IF(AND(AE123=AT5,AE123&lt;AV5,AF123&gt;=AU5),"r2","n")))))</f>
        <v>r1</v>
      </c>
      <c r="AJ123" s="164" t="str">
        <f>IF(AI123&lt;&gt;"n",AI123,IF(AND(AE123=AP6,AE123=AR6,AF123&gt;=AQ6,AF123&lt;=AS6),"r1",IF(AND(AE123&gt;AP6,AE123&lt;AR6),"r1",IF(AND(AE123&gt;AP6,AE123=AR6,AF123&lt;=AS6),"r1",IF(AND(AE123=AP6,AE123&lt;AR6,AF123&gt;=AQ6),"r1","n")))))</f>
        <v>r1</v>
      </c>
      <c r="AK123" s="164" t="str">
        <f>IF(AJ123&lt;&gt;"n",AJ123,IF(AND(AE123=AT6,AE123=AV6,AF123&gt;=AU6,AF123&lt;=AW6),"r2",IF(AND(AE123&gt;AT6,AE123&lt;AV6),"r2",IF(AND(AE123&gt;AT6,AE123=AV6,AF123&lt;=AW6),"r2",IF(AND(AE123=AT6,AE123&lt;AV6,AF123&gt;=AU6),"r2","n")))))</f>
        <v>r1</v>
      </c>
      <c r="AL123" s="164" t="str">
        <f>IF(AK123&lt;&gt;"n",AK123,IF(AND(AE123=AP7,AE123=AR7,AF123&gt;=AQ7,AF123&lt;=AS7),"r1",IF(AND(AE123&gt;AP7,AE123&lt;AR7),"r1",IF(AND(AE123&gt;AP7,AE123=AR7,AF123&lt;=AS7),"r1",IF(AND(AE123=AP7,AE123&lt;AR7,AF123&gt;=AQ7),"r1","n")))))</f>
        <v>r1</v>
      </c>
    </row>
    <row r="124" spans="26:38" ht="17.100000000000001" hidden="1" customHeight="1">
      <c r="Z124" s="176">
        <f t="shared" si="11"/>
        <v>12.350000000000554</v>
      </c>
      <c r="AA124" s="176">
        <f>IF(TRIM(AG124)="","",IF(INDEX(AZ1:AZ51,AC124)=AG124,INDEX(BA1:BA51,AC124),((AG124-INDEX(AZ1:AZ51,AC124))*(INDEX(BA1:BA51,AC124+1)-INDEX(BA1:BA51,AC124)))/(INDEX(AZ1:AZ51,AC124+1)-INDEX(AZ1:AZ51,AC124))+INDEX(BA1:BA51,AC124)))</f>
        <v>12.350000000000554</v>
      </c>
      <c r="AB124" s="176" t="e">
        <f>IF(TRIM(AG124)="","",IF(INDEX(BD1:BD51,AD124)=AG124,INDEX(BE1:BE51,AD124),((AG124-INDEX(BD1:BD51,AD124))*(INDEX(BE1:BE51,AD124+1)-INDEX(BE1:BE51,AD124)))/(INDEX(BD1:BD51,AD124+1)-INDEX(BD1:BD51,AD124))+INDEX(BE1:BE51,AD124)))</f>
        <v>#N/A</v>
      </c>
      <c r="AC124" s="164">
        <f>MATCH(AG124,AZ1:AZ51,1)</f>
        <v>5</v>
      </c>
      <c r="AD124" s="164" t="e">
        <f>MATCH(AG124,BD1:BD51,1)</f>
        <v>#N/A</v>
      </c>
      <c r="AE124" s="164">
        <v>5</v>
      </c>
      <c r="AF124" s="164">
        <v>1</v>
      </c>
      <c r="AG124" s="179">
        <f>FIXED('HourGH-AUG'!AB11)*1</f>
        <v>338.18</v>
      </c>
      <c r="AH124" s="164" t="str">
        <f>IF(AND(AE124=AP5,AE124=AR5,AF124&gt;=AQ5,AF124&lt;=AS5),"r1",IF(AND(AE124&gt;AP5,AE124&lt;AR5),"r1",IF(AND(AE124&gt;AP5,AE124=AR5,AF124&lt;=AS5),"r1",IF(AND(AE124=AP5,AE124&lt;AR5,AF124&gt;=AQ5),"r1","n"))))</f>
        <v>r1</v>
      </c>
      <c r="AI124" s="164" t="str">
        <f>IF(AH124&lt;&gt;"n",AH124,IF(AND(AE124=AT5,AE124=AV5,AF124&gt;=AU5,AF124&lt;=AW5),"r2",IF(AND(AE124&gt;AT5,AE124&lt;AV5),"r2",IF(AND(AE124&gt;AT5,AE124=AV5,AF124&lt;=AW5),"r2",IF(AND(AE124=AT5,AE124&lt;AV5,AF124&gt;=AU5),"r2","n")))))</f>
        <v>r1</v>
      </c>
      <c r="AJ124" s="164" t="str">
        <f>IF(AI124&lt;&gt;"n",AI124,IF(AND(AE124=AP6,AE124=AR6,AF124&gt;=AQ6,AF124&lt;=AS6),"r1",IF(AND(AE124&gt;AP6,AE124&lt;AR6),"r1",IF(AND(AE124&gt;AP6,AE124=AR6,AF124&lt;=AS6),"r1",IF(AND(AE124=AP6,AE124&lt;AR6,AF124&gt;=AQ6),"r1","n")))))</f>
        <v>r1</v>
      </c>
      <c r="AK124" s="164" t="str">
        <f>IF(AJ124&lt;&gt;"n",AJ124,IF(AND(AE124=AT6,AE124=AV6,AF124&gt;=AU6,AF124&lt;=AW6),"r2",IF(AND(AE124&gt;AT6,AE124&lt;AV6),"r2",IF(AND(AE124&gt;AT6,AE124=AV6,AF124&lt;=AW6),"r2",IF(AND(AE124=AT6,AE124&lt;AV6,AF124&gt;=AU6),"r2","n")))))</f>
        <v>r1</v>
      </c>
      <c r="AL124" s="164" t="str">
        <f>IF(AK124&lt;&gt;"n",AK124,IF(AND(AE124=AP7,AE124=AR7,AF124&gt;=AQ7,AF124&lt;=AS7),"r1",IF(AND(AE124&gt;AP7,AE124&lt;AR7),"r1",IF(AND(AE124&gt;AP7,AE124=AR7,AF124&lt;=AS7),"r1",IF(AND(AE124=AP7,AE124&lt;AR7,AF124&gt;=AQ7),"r1","n")))))</f>
        <v>r1</v>
      </c>
    </row>
    <row r="125" spans="26:38" ht="17.100000000000001" hidden="1" customHeight="1">
      <c r="Z125" s="176">
        <f t="shared" si="11"/>
        <v>11.374999999999538</v>
      </c>
      <c r="AA125" s="176">
        <f>IF(TRIM(AG125)="","",IF(INDEX(AZ1:AZ51,AC125)=AG125,INDEX(BA1:BA51,AC125),((AG125-INDEX(AZ1:AZ51,AC125))*(INDEX(BA1:BA51,AC125+1)-INDEX(BA1:BA51,AC125)))/(INDEX(AZ1:AZ51,AC125+1)-INDEX(AZ1:AZ51,AC125))+INDEX(BA1:BA51,AC125)))</f>
        <v>11.374999999999538</v>
      </c>
      <c r="AB125" s="176" t="e">
        <f>IF(TRIM(AG125)="","",IF(INDEX(BD1:BD51,AD125)=AG125,INDEX(BE1:BE51,AD125),((AG125-INDEX(BD1:BD51,AD125))*(INDEX(BE1:BE51,AD125+1)-INDEX(BE1:BE51,AD125)))/(INDEX(BD1:BD51,AD125+1)-INDEX(BD1:BD51,AD125))+INDEX(BE1:BE51,AD125)))</f>
        <v>#N/A</v>
      </c>
      <c r="AC125" s="164">
        <f>MATCH(AG125,AZ1:AZ51,1)</f>
        <v>5</v>
      </c>
      <c r="AD125" s="164" t="e">
        <f>MATCH(AG125,BD1:BD51,1)</f>
        <v>#N/A</v>
      </c>
      <c r="AE125" s="164">
        <v>5</v>
      </c>
      <c r="AF125" s="164">
        <v>2</v>
      </c>
      <c r="AG125" s="179">
        <f>FIXED('HourGH-AUG'!AB12)*1</f>
        <v>338.15</v>
      </c>
      <c r="AH125" s="164" t="str">
        <f>IF(AND(AE125=AP5,AE125=AR5,AF125&gt;=AQ5,AF125&lt;=AS5),"r1",IF(AND(AE125&gt;AP5,AE125&lt;AR5),"r1",IF(AND(AE125&gt;AP5,AE125=AR5,AF125&lt;=AS5),"r1",IF(AND(AE125=AP5,AE125&lt;AR5,AF125&gt;=AQ5),"r1","n"))))</f>
        <v>r1</v>
      </c>
      <c r="AI125" s="164" t="str">
        <f>IF(AH125&lt;&gt;"n",AH125,IF(AND(AE125=AT5,AE125=AV5,AF125&gt;=AU5,AF125&lt;=AW5),"r2",IF(AND(AE125&gt;AT5,AE125&lt;AV5),"r2",IF(AND(AE125&gt;AT5,AE125=AV5,AF125&lt;=AW5),"r2",IF(AND(AE125=AT5,AE125&lt;AV5,AF125&gt;=AU5),"r2","n")))))</f>
        <v>r1</v>
      </c>
      <c r="AJ125" s="164" t="str">
        <f>IF(AI125&lt;&gt;"n",AI125,IF(AND(AE125=AP6,AE125=AR6,AF125&gt;=AQ6,AF125&lt;=AS6),"r1",IF(AND(AE125&gt;AP6,AE125&lt;AR6),"r1",IF(AND(AE125&gt;AP6,AE125=AR6,AF125&lt;=AS6),"r1",IF(AND(AE125=AP6,AE125&lt;AR6,AF125&gt;=AQ6),"r1","n")))))</f>
        <v>r1</v>
      </c>
      <c r="AK125" s="164" t="str">
        <f>IF(AJ125&lt;&gt;"n",AJ125,IF(AND(AE125=AT6,AE125=AV6,AF125&gt;=AU6,AF125&lt;=AW6),"r2",IF(AND(AE125&gt;AT6,AE125&lt;AV6),"r2",IF(AND(AE125&gt;AT6,AE125=AV6,AF125&lt;=AW6),"r2",IF(AND(AE125=AT6,AE125&lt;AV6,AF125&gt;=AU6),"r2","n")))))</f>
        <v>r1</v>
      </c>
      <c r="AL125" s="164" t="str">
        <f>IF(AK125&lt;&gt;"n",AK125,IF(AND(AE125=AP7,AE125=AR7,AF125&gt;=AQ7,AF125&lt;=AS7),"r1",IF(AND(AE125&gt;AP7,AE125&lt;AR7),"r1",IF(AND(AE125&gt;AP7,AE125=AR7,AF125&lt;=AS7),"r1",IF(AND(AE125=AP7,AE125&lt;AR7,AF125&gt;=AQ7),"r1","n")))))</f>
        <v>r1</v>
      </c>
    </row>
    <row r="126" spans="26:38" ht="17.100000000000001" hidden="1" customHeight="1">
      <c r="Z126" s="176">
        <f t="shared" si="11"/>
        <v>10.075000000000646</v>
      </c>
      <c r="AA126" s="176">
        <f>IF(TRIM(AG126)="","",IF(INDEX(AZ1:AZ51,AC126)=AG126,INDEX(BA1:BA51,AC126),((AG126-INDEX(AZ1:AZ51,AC126))*(INDEX(BA1:BA51,AC126+1)-INDEX(BA1:BA51,AC126)))/(INDEX(AZ1:AZ51,AC126+1)-INDEX(AZ1:AZ51,AC126))+INDEX(BA1:BA51,AC126)))</f>
        <v>10.075000000000646</v>
      </c>
      <c r="AB126" s="176" t="e">
        <f>IF(TRIM(AG126)="","",IF(INDEX(BD1:BD51,AD126)=AG126,INDEX(BE1:BE51,AD126),((AG126-INDEX(BD1:BD51,AD126))*(INDEX(BE1:BE51,AD126+1)-INDEX(BE1:BE51,AD126)))/(INDEX(BD1:BD51,AD126+1)-INDEX(BD1:BD51,AD126))+INDEX(BE1:BE51,AD126)))</f>
        <v>#N/A</v>
      </c>
      <c r="AC126" s="164">
        <f>MATCH(AG126,AZ1:AZ51,1)</f>
        <v>5</v>
      </c>
      <c r="AD126" s="164" t="e">
        <f>MATCH(AG126,BD1:BD51,1)</f>
        <v>#N/A</v>
      </c>
      <c r="AE126" s="164">
        <v>5</v>
      </c>
      <c r="AF126" s="164">
        <v>3</v>
      </c>
      <c r="AG126" s="179">
        <f>FIXED('HourGH-AUG'!AB13)*1</f>
        <v>338.11</v>
      </c>
      <c r="AH126" s="164" t="str">
        <f>IF(AND(AE126=AP5,AE126=AR5,AF126&gt;=AQ5,AF126&lt;=AS5),"r1",IF(AND(AE126&gt;AP5,AE126&lt;AR5),"r1",IF(AND(AE126&gt;AP5,AE126=AR5,AF126&lt;=AS5),"r1",IF(AND(AE126=AP5,AE126&lt;AR5,AF126&gt;=AQ5),"r1","n"))))</f>
        <v>r1</v>
      </c>
      <c r="AI126" s="164" t="str">
        <f>IF(AH126&lt;&gt;"n",AH126,IF(AND(AE126=AT5,AE126=AV5,AF126&gt;=AU5,AF126&lt;=AW5),"r2",IF(AND(AE126&gt;AT5,AE126&lt;AV5),"r2",IF(AND(AE126&gt;AT5,AE126=AV5,AF126&lt;=AW5),"r2",IF(AND(AE126=AT5,AE126&lt;AV5,AF126&gt;=AU5),"r2","n")))))</f>
        <v>r1</v>
      </c>
      <c r="AJ126" s="164" t="str">
        <f>IF(AI126&lt;&gt;"n",AI126,IF(AND(AE126=AP6,AE126=AR6,AF126&gt;=AQ6,AF126&lt;=AS6),"r1",IF(AND(AE126&gt;AP6,AE126&lt;AR6),"r1",IF(AND(AE126&gt;AP6,AE126=AR6,AF126&lt;=AS6),"r1",IF(AND(AE126=AP6,AE126&lt;AR6,AF126&gt;=AQ6),"r1","n")))))</f>
        <v>r1</v>
      </c>
      <c r="AK126" s="164" t="str">
        <f>IF(AJ126&lt;&gt;"n",AJ126,IF(AND(AE126=AT6,AE126=AV6,AF126&gt;=AU6,AF126&lt;=AW6),"r2",IF(AND(AE126&gt;AT6,AE126&lt;AV6),"r2",IF(AND(AE126&gt;AT6,AE126=AV6,AF126&lt;=AW6),"r2",IF(AND(AE126=AT6,AE126&lt;AV6,AF126&gt;=AU6),"r2","n")))))</f>
        <v>r1</v>
      </c>
      <c r="AL126" s="164" t="str">
        <f>IF(AK126&lt;&gt;"n",AK126,IF(AND(AE126=AP7,AE126=AR7,AF126&gt;=AQ7,AF126&lt;=AS7),"r1",IF(AND(AE126&gt;AP7,AE126&lt;AR7),"r1",IF(AND(AE126&gt;AP7,AE126=AR7,AF126&lt;=AS7),"r1",IF(AND(AE126=AP7,AE126&lt;AR7,AF126&gt;=AQ7),"r1","n")))))</f>
        <v>r1</v>
      </c>
    </row>
    <row r="127" spans="26:38" ht="17.100000000000001" hidden="1" customHeight="1">
      <c r="Z127" s="176">
        <f t="shared" si="11"/>
        <v>9.4249999999993541</v>
      </c>
      <c r="AA127" s="176">
        <f>IF(TRIM(AG127)="","",IF(INDEX(AZ1:AZ51,AC127)=AG127,INDEX(BA1:BA51,AC127),((AG127-INDEX(AZ1:AZ51,AC127))*(INDEX(BA1:BA51,AC127+1)-INDEX(BA1:BA51,AC127)))/(INDEX(AZ1:AZ51,AC127+1)-INDEX(AZ1:AZ51,AC127))+INDEX(BA1:BA51,AC127)))</f>
        <v>9.4249999999993541</v>
      </c>
      <c r="AB127" s="176" t="e">
        <f>IF(TRIM(AG127)="","",IF(INDEX(BD1:BD51,AD127)=AG127,INDEX(BE1:BE51,AD127),((AG127-INDEX(BD1:BD51,AD127))*(INDEX(BE1:BE51,AD127+1)-INDEX(BE1:BE51,AD127)))/(INDEX(BD1:BD51,AD127+1)-INDEX(BD1:BD51,AD127))+INDEX(BE1:BE51,AD127)))</f>
        <v>#N/A</v>
      </c>
      <c r="AC127" s="164">
        <f>MATCH(AG127,AZ1:AZ51,1)</f>
        <v>5</v>
      </c>
      <c r="AD127" s="164" t="e">
        <f>MATCH(AG127,BD1:BD51,1)</f>
        <v>#N/A</v>
      </c>
      <c r="AE127" s="164">
        <v>5</v>
      </c>
      <c r="AF127" s="164">
        <v>4</v>
      </c>
      <c r="AG127" s="179">
        <f>FIXED('HourGH-AUG'!AB14)*1</f>
        <v>338.09</v>
      </c>
      <c r="AH127" s="164" t="str">
        <f>IF(AND(AE127=AP5,AE127=AR5,AF127&gt;=AQ5,AF127&lt;=AS5),"r1",IF(AND(AE127&gt;AP5,AE127&lt;AR5),"r1",IF(AND(AE127&gt;AP5,AE127=AR5,AF127&lt;=AS5),"r1",IF(AND(AE127=AP5,AE127&lt;AR5,AF127&gt;=AQ5),"r1","n"))))</f>
        <v>r1</v>
      </c>
      <c r="AI127" s="164" t="str">
        <f>IF(AH127&lt;&gt;"n",AH127,IF(AND(AE127=AT5,AE127=AV5,AF127&gt;=AU5,AF127&lt;=AW5),"r2",IF(AND(AE127&gt;AT5,AE127&lt;AV5),"r2",IF(AND(AE127&gt;AT5,AE127=AV5,AF127&lt;=AW5),"r2",IF(AND(AE127=AT5,AE127&lt;AV5,AF127&gt;=AU5),"r2","n")))))</f>
        <v>r1</v>
      </c>
      <c r="AJ127" s="164" t="str">
        <f>IF(AI127&lt;&gt;"n",AI127,IF(AND(AE127=AP6,AE127=AR6,AF127&gt;=AQ6,AF127&lt;=AS6),"r1",IF(AND(AE127&gt;AP6,AE127&lt;AR6),"r1",IF(AND(AE127&gt;AP6,AE127=AR6,AF127&lt;=AS6),"r1",IF(AND(AE127=AP6,AE127&lt;AR6,AF127&gt;=AQ6),"r1","n")))))</f>
        <v>r1</v>
      </c>
      <c r="AK127" s="164" t="str">
        <f>IF(AJ127&lt;&gt;"n",AJ127,IF(AND(AE127=AT6,AE127=AV6,AF127&gt;=AU6,AF127&lt;=AW6),"r2",IF(AND(AE127&gt;AT6,AE127&lt;AV6),"r2",IF(AND(AE127&gt;AT6,AE127=AV6,AF127&lt;=AW6),"r2",IF(AND(AE127=AT6,AE127&lt;AV6,AF127&gt;=AU6),"r2","n")))))</f>
        <v>r1</v>
      </c>
      <c r="AL127" s="164" t="str">
        <f>IF(AK127&lt;&gt;"n",AK127,IF(AND(AE127=AP7,AE127=AR7,AF127&gt;=AQ7,AF127&lt;=AS7),"r1",IF(AND(AE127&gt;AP7,AE127&lt;AR7),"r1",IF(AND(AE127&gt;AP7,AE127=AR7,AF127&lt;=AS7),"r1",IF(AND(AE127=AP7,AE127&lt;AR7,AF127&gt;=AQ7),"r1","n")))))</f>
        <v>r1</v>
      </c>
    </row>
    <row r="128" spans="26:38" ht="17.100000000000001" hidden="1" customHeight="1">
      <c r="Z128" s="176">
        <f t="shared" si="11"/>
        <v>10.40000000000037</v>
      </c>
      <c r="AA128" s="176">
        <f>IF(TRIM(AG128)="","",IF(INDEX(AZ1:AZ51,AC128)=AG128,INDEX(BA1:BA51,AC128),((AG128-INDEX(AZ1:AZ51,AC128))*(INDEX(BA1:BA51,AC128+1)-INDEX(BA1:BA51,AC128)))/(INDEX(AZ1:AZ51,AC128+1)-INDEX(AZ1:AZ51,AC128))+INDEX(BA1:BA51,AC128)))</f>
        <v>10.40000000000037</v>
      </c>
      <c r="AB128" s="176" t="e">
        <f>IF(TRIM(AG128)="","",IF(INDEX(BD1:BD51,AD128)=AG128,INDEX(BE1:BE51,AD128),((AG128-INDEX(BD1:BD51,AD128))*(INDEX(BE1:BE51,AD128+1)-INDEX(BE1:BE51,AD128)))/(INDEX(BD1:BD51,AD128+1)-INDEX(BD1:BD51,AD128))+INDEX(BE1:BE51,AD128)))</f>
        <v>#N/A</v>
      </c>
      <c r="AC128" s="164">
        <f>MATCH(AG128,AZ1:AZ51,1)</f>
        <v>5</v>
      </c>
      <c r="AD128" s="164" t="e">
        <f>MATCH(AG128,BD1:BD51,1)</f>
        <v>#N/A</v>
      </c>
      <c r="AE128" s="164">
        <v>5</v>
      </c>
      <c r="AF128" s="164">
        <v>5</v>
      </c>
      <c r="AG128" s="179">
        <f>FIXED('HourGH-AUG'!AB15)*1</f>
        <v>338.12</v>
      </c>
      <c r="AH128" s="164" t="str">
        <f>IF(AND(AE128=AP5,AE128=AR5,AF128&gt;=AQ5,AF128&lt;=AS5),"r1",IF(AND(AE128&gt;AP5,AE128&lt;AR5),"r1",IF(AND(AE128&gt;AP5,AE128=AR5,AF128&lt;=AS5),"r1",IF(AND(AE128=AP5,AE128&lt;AR5,AF128&gt;=AQ5),"r1","n"))))</f>
        <v>r1</v>
      </c>
      <c r="AI128" s="164" t="str">
        <f>IF(AH128&lt;&gt;"n",AH128,IF(AND(AE128=AT5,AE128=AV5,AF128&gt;=AU5,AF128&lt;=AW5),"r2",IF(AND(AE128&gt;AT5,AE128&lt;AV5),"r2",IF(AND(AE128&gt;AT5,AE128=AV5,AF128&lt;=AW5),"r2",IF(AND(AE128=AT5,AE128&lt;AV5,AF128&gt;=AU5),"r2","n")))))</f>
        <v>r1</v>
      </c>
      <c r="AJ128" s="164" t="str">
        <f>IF(AI128&lt;&gt;"n",AI128,IF(AND(AE128=AP6,AE128=AR6,AF128&gt;=AQ6,AF128&lt;=AS6),"r1",IF(AND(AE128&gt;AP6,AE128&lt;AR6),"r1",IF(AND(AE128&gt;AP6,AE128=AR6,AF128&lt;=AS6),"r1",IF(AND(AE128=AP6,AE128&lt;AR6,AF128&gt;=AQ6),"r1","n")))))</f>
        <v>r1</v>
      </c>
      <c r="AK128" s="164" t="str">
        <f>IF(AJ128&lt;&gt;"n",AJ128,IF(AND(AE128=AT6,AE128=AV6,AF128&gt;=AU6,AF128&lt;=AW6),"r2",IF(AND(AE128&gt;AT6,AE128&lt;AV6),"r2",IF(AND(AE128&gt;AT6,AE128=AV6,AF128&lt;=AW6),"r2",IF(AND(AE128=AT6,AE128&lt;AV6,AF128&gt;=AU6),"r2","n")))))</f>
        <v>r1</v>
      </c>
      <c r="AL128" s="164" t="str">
        <f>IF(AK128&lt;&gt;"n",AK128,IF(AND(AE128=AP7,AE128=AR7,AF128&gt;=AQ7,AF128&lt;=AS7),"r1",IF(AND(AE128&gt;AP7,AE128&lt;AR7),"r1",IF(AND(AE128&gt;AP7,AE128=AR7,AF128&lt;=AS7),"r1",IF(AND(AE128=AP7,AE128&lt;AR7,AF128&gt;=AQ7),"r1","n")))))</f>
        <v>r1</v>
      </c>
    </row>
    <row r="129" spans="26:40" ht="17.100000000000001" hidden="1" customHeight="1">
      <c r="Z129" s="176">
        <f t="shared" ref="Z129:Z192" si="12">IF(TRIM(AG129)="","",IF(AL129="r1",IF(COUNT(AA129)=0,0,AA129),IF(AL129="n",0,IF(COUNT(AB129)=0,0,AB129))))</f>
        <v>15.700000000000255</v>
      </c>
      <c r="AA129" s="176">
        <f>IF(TRIM(AG129)="","",IF(INDEX(AZ1:AZ51,AC129)=AG129,INDEX(BA1:BA51,AC129),((AG129-INDEX(AZ1:AZ51,AC129))*(INDEX(BA1:BA51,AC129+1)-INDEX(BA1:BA51,AC129)))/(INDEX(AZ1:AZ51,AC129+1)-INDEX(AZ1:AZ51,AC129))+INDEX(BA1:BA51,AC129)))</f>
        <v>15.700000000000255</v>
      </c>
      <c r="AB129" s="176" t="e">
        <f>IF(TRIM(AG129)="","",IF(INDEX(BD1:BD51,AD129)=AG129,INDEX(BE1:BE51,AD129),((AG129-INDEX(BD1:BD51,AD129))*(INDEX(BE1:BE51,AD129+1)-INDEX(BE1:BE51,AD129)))/(INDEX(BD1:BD51,AD129+1)-INDEX(BD1:BD51,AD129))+INDEX(BE1:BE51,AD129)))</f>
        <v>#N/A</v>
      </c>
      <c r="AC129" s="164">
        <f>MATCH(AG129,AZ1:AZ51,1)</f>
        <v>6</v>
      </c>
      <c r="AD129" s="164" t="e">
        <f>MATCH(AG129,BD1:BD51,1)</f>
        <v>#N/A</v>
      </c>
      <c r="AE129" s="164">
        <v>5</v>
      </c>
      <c r="AF129" s="164">
        <v>6</v>
      </c>
      <c r="AG129" s="179">
        <f>FIXED('HourGH-AUG'!AB16)*1</f>
        <v>338.26</v>
      </c>
      <c r="AH129" s="164" t="str">
        <f>IF(AND(AE129=AP5,AE129=AR5,AF129&gt;=AQ5,AF129&lt;=AS5),"r1",IF(AND(AE129&gt;AP5,AE129&lt;AR5),"r1",IF(AND(AE129&gt;AP5,AE129=AR5,AF129&lt;=AS5),"r1",IF(AND(AE129=AP5,AE129&lt;AR5,AF129&gt;=AQ5),"r1","n"))))</f>
        <v>r1</v>
      </c>
      <c r="AI129" s="164" t="str">
        <f>IF(AH129&lt;&gt;"n",AH129,IF(AND(AE129=AT5,AE129=AV5,AF129&gt;=AU5,AF129&lt;=AW5),"r2",IF(AND(AE129&gt;AT5,AE129&lt;AV5),"r2",IF(AND(AE129&gt;AT5,AE129=AV5,AF129&lt;=AW5),"r2",IF(AND(AE129=AT5,AE129&lt;AV5,AF129&gt;=AU5),"r2","n")))))</f>
        <v>r1</v>
      </c>
      <c r="AJ129" s="164" t="str">
        <f>IF(AI129&lt;&gt;"n",AI129,IF(AND(AE129=AP6,AE129=AR6,AF129&gt;=AQ6,AF129&lt;=AS6),"r1",IF(AND(AE129&gt;AP6,AE129&lt;AR6),"r1",IF(AND(AE129&gt;AP6,AE129=AR6,AF129&lt;=AS6),"r1",IF(AND(AE129=AP6,AE129&lt;AR6,AF129&gt;=AQ6),"r1","n")))))</f>
        <v>r1</v>
      </c>
      <c r="AK129" s="164" t="str">
        <f>IF(AJ129&lt;&gt;"n",AJ129,IF(AND(AE129=AT6,AE129=AV6,AF129&gt;=AU6,AF129&lt;=AW6),"r2",IF(AND(AE129&gt;AT6,AE129&lt;AV6),"r2",IF(AND(AE129&gt;AT6,AE129=AV6,AF129&lt;=AW6),"r2",IF(AND(AE129=AT6,AE129&lt;AV6,AF129&gt;=AU6),"r2","n")))))</f>
        <v>r1</v>
      </c>
      <c r="AL129" s="164" t="str">
        <f>IF(AK129&lt;&gt;"n",AK129,IF(AND(AE129=AP7,AE129=AR7,AF129&gt;=AQ7,AF129&lt;=AS7),"r1",IF(AND(AE129&gt;AP7,AE129&lt;AR7),"r1",IF(AND(AE129&gt;AP7,AE129=AR7,AF129&lt;=AS7),"r1",IF(AND(AE129=AP7,AE129&lt;AR7,AF129&gt;=AQ7),"r1","n")))))</f>
        <v>r1</v>
      </c>
    </row>
    <row r="130" spans="26:40" ht="17.100000000000001" hidden="1" customHeight="1">
      <c r="Z130" s="176">
        <f t="shared" si="12"/>
        <v>12.350000000000554</v>
      </c>
      <c r="AA130" s="176">
        <f>IF(TRIM(AG130)="","",IF(INDEX(AZ1:AZ51,AC130)=AG130,INDEX(BA1:BA51,AC130),((AG130-INDEX(AZ1:AZ51,AC130))*(INDEX(BA1:BA51,AC130+1)-INDEX(BA1:BA51,AC130)))/(INDEX(AZ1:AZ51,AC130+1)-INDEX(AZ1:AZ51,AC130))+INDEX(BA1:BA51,AC130)))</f>
        <v>12.350000000000554</v>
      </c>
      <c r="AB130" s="176" t="e">
        <f>IF(TRIM(AG130)="","",IF(INDEX(BD1:BD51,AD130)=AG130,INDEX(BE1:BE51,AD130),((AG130-INDEX(BD1:BD51,AD130))*(INDEX(BE1:BE51,AD130+1)-INDEX(BE1:BE51,AD130)))/(INDEX(BD1:BD51,AD130+1)-INDEX(BD1:BD51,AD130))+INDEX(BE1:BE51,AD130)))</f>
        <v>#N/A</v>
      </c>
      <c r="AC130" s="164">
        <f>MATCH(AG130,AZ1:AZ51,1)</f>
        <v>5</v>
      </c>
      <c r="AD130" s="164" t="e">
        <f>MATCH(AG130,BD1:BD51,1)</f>
        <v>#N/A</v>
      </c>
      <c r="AE130" s="164">
        <v>5</v>
      </c>
      <c r="AF130" s="164">
        <v>7</v>
      </c>
      <c r="AG130" s="179">
        <f>FIXED('HourGH-AUG'!AB17)*1</f>
        <v>338.18</v>
      </c>
      <c r="AH130" s="164" t="str">
        <f>IF(AND(AE130=AP5,AE130=AR5,AF130&gt;=AQ5,AF130&lt;=AS5),"r1",IF(AND(AE130&gt;AP5,AE130&lt;AR5),"r1",IF(AND(AE130&gt;AP5,AE130=AR5,AF130&lt;=AS5),"r1",IF(AND(AE130=AP5,AE130&lt;AR5,AF130&gt;=AQ5),"r1","n"))))</f>
        <v>r1</v>
      </c>
      <c r="AI130" s="164" t="str">
        <f>IF(AH130&lt;&gt;"n",AH130,IF(AND(AE130=AT5,AE130=AV5,AF130&gt;=AU5,AF130&lt;=AW5),"r2",IF(AND(AE130&gt;AT5,AE130&lt;AV5),"r2",IF(AND(AE130&gt;AT5,AE130=AV5,AF130&lt;=AW5),"r2",IF(AND(AE130=AT5,AE130&lt;AV5,AF130&gt;=AU5),"r2","n")))))</f>
        <v>r1</v>
      </c>
      <c r="AJ130" s="164" t="str">
        <f>IF(AI130&lt;&gt;"n",AI130,IF(AND(AE130=AP6,AE130=AR6,AF130&gt;=AQ6,AF130&lt;=AS6),"r1",IF(AND(AE130&gt;AP6,AE130&lt;AR6),"r1",IF(AND(AE130&gt;AP6,AE130=AR6,AF130&lt;=AS6),"r1",IF(AND(AE130=AP6,AE130&lt;AR6,AF130&gt;=AQ6),"r1","n")))))</f>
        <v>r1</v>
      </c>
      <c r="AK130" s="164" t="str">
        <f>IF(AJ130&lt;&gt;"n",AJ130,IF(AND(AE130=AT6,AE130=AV6,AF130&gt;=AU6,AF130&lt;=AW6),"r2",IF(AND(AE130&gt;AT6,AE130&lt;AV6),"r2",IF(AND(AE130&gt;AT6,AE130=AV6,AF130&lt;=AW6),"r2",IF(AND(AE130=AT6,AE130&lt;AV6,AF130&gt;=AU6),"r2","n")))))</f>
        <v>r1</v>
      </c>
      <c r="AL130" s="164" t="str">
        <f>IF(AK130&lt;&gt;"n",AK130,IF(AND(AE130=AP7,AE130=AR7,AF130&gt;=AQ7,AF130&lt;=AS7),"r1",IF(AND(AE130&gt;AP7,AE130&lt;AR7),"r1",IF(AND(AE130&gt;AP7,AE130=AR7,AF130&lt;=AS7),"r1",IF(AND(AE130=AP7,AE130&lt;AR7,AF130&gt;=AQ7),"r1","n")))))</f>
        <v>r1</v>
      </c>
    </row>
    <row r="131" spans="26:40" ht="17.100000000000001" hidden="1" customHeight="1">
      <c r="Z131" s="176">
        <f t="shared" si="12"/>
        <v>12.025000000000832</v>
      </c>
      <c r="AA131" s="176">
        <f>IF(TRIM(AG131)="","",IF(INDEX(AZ1:AZ51,AC131)=AG131,INDEX(BA1:BA51,AC131),((AG131-INDEX(AZ1:AZ51,AC131))*(INDEX(BA1:BA51,AC131+1)-INDEX(BA1:BA51,AC131)))/(INDEX(AZ1:AZ51,AC131+1)-INDEX(AZ1:AZ51,AC131))+INDEX(BA1:BA51,AC131)))</f>
        <v>12.025000000000832</v>
      </c>
      <c r="AB131" s="176" t="e">
        <f>IF(TRIM(AG131)="","",IF(INDEX(BD1:BD51,AD131)=AG131,INDEX(BE1:BE51,AD131),((AG131-INDEX(BD1:BD51,AD131))*(INDEX(BE1:BE51,AD131+1)-INDEX(BE1:BE51,AD131)))/(INDEX(BD1:BD51,AD131+1)-INDEX(BD1:BD51,AD131))+INDEX(BE1:BE51,AD131)))</f>
        <v>#N/A</v>
      </c>
      <c r="AC131" s="164">
        <f>MATCH(AG131,AZ1:AZ51,1)</f>
        <v>5</v>
      </c>
      <c r="AD131" s="164" t="e">
        <f>MATCH(AG131,BD1:BD51,1)</f>
        <v>#N/A</v>
      </c>
      <c r="AE131" s="164">
        <v>5</v>
      </c>
      <c r="AF131" s="164">
        <v>8</v>
      </c>
      <c r="AG131" s="179">
        <f>FIXED('HourGH-AUG'!AB18)*1</f>
        <v>338.17</v>
      </c>
      <c r="AH131" s="164" t="str">
        <f>IF(AND(AE131=AP5,AE131=AR5,AF131&gt;=AQ5,AF131&lt;=AS5),"r1",IF(AND(AE131&gt;AP5,AE131&lt;AR5),"r1",IF(AND(AE131&gt;AP5,AE131=AR5,AF131&lt;=AS5),"r1",IF(AND(AE131=AP5,AE131&lt;AR5,AF131&gt;=AQ5),"r1","n"))))</f>
        <v>r1</v>
      </c>
      <c r="AI131" s="164" t="str">
        <f>IF(AH131&lt;&gt;"n",AH131,IF(AND(AE131=AT5,AE131=AV5,AF131&gt;=AU5,AF131&lt;=AW5),"r2",IF(AND(AE131&gt;AT5,AE131&lt;AV5),"r2",IF(AND(AE131&gt;AT5,AE131=AV5,AF131&lt;=AW5),"r2",IF(AND(AE131=AT5,AE131&lt;AV5,AF131&gt;=AU5),"r2","n")))))</f>
        <v>r1</v>
      </c>
      <c r="AJ131" s="164" t="str">
        <f>IF(AI131&lt;&gt;"n",AI131,IF(AND(AE131=AP6,AE131=AR6,AF131&gt;=AQ6,AF131&lt;=AS6),"r1",IF(AND(AE131&gt;AP6,AE131&lt;AR6),"r1",IF(AND(AE131&gt;AP6,AE131=AR6,AF131&lt;=AS6),"r1",IF(AND(AE131=AP6,AE131&lt;AR6,AF131&gt;=AQ6),"r1","n")))))</f>
        <v>r1</v>
      </c>
      <c r="AK131" s="164" t="str">
        <f>IF(AJ131&lt;&gt;"n",AJ131,IF(AND(AE131=AT6,AE131=AV6,AF131&gt;=AU6,AF131&lt;=AW6),"r2",IF(AND(AE131&gt;AT6,AE131&lt;AV6),"r2",IF(AND(AE131&gt;AT6,AE131=AV6,AF131&lt;=AW6),"r2",IF(AND(AE131=AT6,AE131&lt;AV6,AF131&gt;=AU6),"r2","n")))))</f>
        <v>r1</v>
      </c>
      <c r="AL131" s="164" t="str">
        <f>IF(AK131&lt;&gt;"n",AK131,IF(AND(AE131=AP7,AE131=AR7,AF131&gt;=AQ7,AF131&lt;=AS7),"r1",IF(AND(AE131&gt;AP7,AE131&lt;AR7),"r1",IF(AND(AE131&gt;AP7,AE131=AR7,AF131&lt;=AS7),"r1",IF(AND(AE131=AP7,AE131&lt;AR7,AF131&gt;=AQ7),"r1","n")))))</f>
        <v>r1</v>
      </c>
    </row>
    <row r="132" spans="26:40" ht="17.100000000000001" hidden="1" customHeight="1">
      <c r="Z132" s="176">
        <f t="shared" si="12"/>
        <v>24.000000000000853</v>
      </c>
      <c r="AA132" s="176">
        <f>IF(TRIM(AG132)="","",IF(INDEX(AZ1:AZ51,AC132)=AG132,INDEX(BA1:BA51,AC132),((AG132-INDEX(AZ1:AZ51,AC132))*(INDEX(BA1:BA51,AC132+1)-INDEX(BA1:BA51,AC132)))/(INDEX(AZ1:AZ51,AC132+1)-INDEX(AZ1:AZ51,AC132))+INDEX(BA1:BA51,AC132)))</f>
        <v>24.000000000000853</v>
      </c>
      <c r="AB132" s="176" t="e">
        <f>IF(TRIM(AG132)="","",IF(INDEX(BD1:BD51,AD132)=AG132,INDEX(BE1:BE51,AD132),((AG132-INDEX(BD1:BD51,AD132))*(INDEX(BE1:BE51,AD132+1)-INDEX(BE1:BE51,AD132)))/(INDEX(BD1:BD51,AD132+1)-INDEX(BD1:BD51,AD132))+INDEX(BE1:BE51,AD132)))</f>
        <v>#N/A</v>
      </c>
      <c r="AC132" s="164">
        <f>MATCH(AG132,AZ1:AZ51,1)</f>
        <v>7</v>
      </c>
      <c r="AD132" s="164" t="e">
        <f>MATCH(AG132,BD1:BD51,1)</f>
        <v>#N/A</v>
      </c>
      <c r="AE132" s="164">
        <v>5</v>
      </c>
      <c r="AF132" s="164">
        <v>9</v>
      </c>
      <c r="AG132" s="179">
        <f>FIXED('HourGH-AUG'!AB19)*1</f>
        <v>338.44</v>
      </c>
      <c r="AH132" s="164" t="str">
        <f>IF(AND(AE132=AP5,AE132=AR5,AF132&gt;=AQ5,AF132&lt;=AS5),"r1",IF(AND(AE132&gt;AP5,AE132&lt;AR5),"r1",IF(AND(AE132&gt;AP5,AE132=AR5,AF132&lt;=AS5),"r1",IF(AND(AE132=AP5,AE132&lt;AR5,AF132&gt;=AQ5),"r1","n"))))</f>
        <v>r1</v>
      </c>
      <c r="AI132" s="164" t="str">
        <f>IF(AH132&lt;&gt;"n",AH132,IF(AND(AE132=AT5,AE132=AV5,AF132&gt;=AU5,AF132&lt;=AW5),"r2",IF(AND(AE132&gt;AT5,AE132&lt;AV5),"r2",IF(AND(AE132&gt;AT5,AE132=AV5,AF132&lt;=AW5),"r2",IF(AND(AE132=AT5,AE132&lt;AV5,AF132&gt;=AU5),"r2","n")))))</f>
        <v>r1</v>
      </c>
      <c r="AJ132" s="164" t="str">
        <f>IF(AI132&lt;&gt;"n",AI132,IF(AND(AE132=AP6,AE132=AR6,AF132&gt;=AQ6,AF132&lt;=AS6),"r1",IF(AND(AE132&gt;AP6,AE132&lt;AR6),"r1",IF(AND(AE132&gt;AP6,AE132=AR6,AF132&lt;=AS6),"r1",IF(AND(AE132=AP6,AE132&lt;AR6,AF132&gt;=AQ6),"r1","n")))))</f>
        <v>r1</v>
      </c>
      <c r="AK132" s="164" t="str">
        <f>IF(AJ132&lt;&gt;"n",AJ132,IF(AND(AE132=AT6,AE132=AV6,AF132&gt;=AU6,AF132&lt;=AW6),"r2",IF(AND(AE132&gt;AT6,AE132&lt;AV6),"r2",IF(AND(AE132&gt;AT6,AE132=AV6,AF132&lt;=AW6),"r2",IF(AND(AE132=AT6,AE132&lt;AV6,AF132&gt;=AU6),"r2","n")))))</f>
        <v>r1</v>
      </c>
      <c r="AL132" s="164" t="str">
        <f>IF(AK132&lt;&gt;"n",AK132,IF(AND(AE132=AP7,AE132=AR7,AF132&gt;=AQ7,AF132&lt;=AS7),"r1",IF(AND(AE132&gt;AP7,AE132&lt;AR7),"r1",IF(AND(AE132&gt;AP7,AE132=AR7,AF132&lt;=AS7),"r1",IF(AND(AE132=AP7,AE132&lt;AR7,AF132&gt;=AQ7),"r1","n")))))</f>
        <v>r1</v>
      </c>
    </row>
    <row r="133" spans="26:40" ht="17.100000000000001" hidden="1" customHeight="1">
      <c r="Z133" s="176">
        <f t="shared" si="12"/>
        <v>98.099999999999199</v>
      </c>
      <c r="AA133" s="176">
        <f>IF(TRIM(AG133)="","",IF(INDEX(AZ1:AZ51,AC133)=AG133,INDEX(BA1:BA51,AC133),((AG133-INDEX(AZ1:AZ51,AC133))*(INDEX(BA1:BA51,AC133+1)-INDEX(BA1:BA51,AC133)))/(INDEX(AZ1:AZ51,AC133+1)-INDEX(AZ1:AZ51,AC133))+INDEX(BA1:BA51,AC133)))</f>
        <v>98.099999999999199</v>
      </c>
      <c r="AB133" s="176" t="e">
        <f>IF(TRIM(AG133)="","",IF(INDEX(BD1:BD51,AD133)=AG133,INDEX(BE1:BE51,AD133),((AG133-INDEX(BD1:BD51,AD133))*(INDEX(BE1:BE51,AD133+1)-INDEX(BE1:BE51,AD133)))/(INDEX(BD1:BD51,AD133+1)-INDEX(BD1:BD51,AD133))+INDEX(BE1:BE51,AD133)))</f>
        <v>#N/A</v>
      </c>
      <c r="AC133" s="164">
        <f>MATCH(AG133,AZ1:AZ51,1)</f>
        <v>12</v>
      </c>
      <c r="AD133" s="164" t="e">
        <f>MATCH(AG133,BD1:BD51,1)</f>
        <v>#N/A</v>
      </c>
      <c r="AE133" s="164">
        <v>5</v>
      </c>
      <c r="AF133" s="164">
        <v>10</v>
      </c>
      <c r="AG133" s="179">
        <f>FIXED('HourGH-AUG'!AB20)*1</f>
        <v>339.68</v>
      </c>
      <c r="AH133" s="164" t="str">
        <f>IF(AND(AE133=AP5,AE133=AR5,AF133&gt;=AQ5,AF133&lt;=AS5),"r1",IF(AND(AE133&gt;AP5,AE133&lt;AR5),"r1",IF(AND(AE133&gt;AP5,AE133=AR5,AF133&lt;=AS5),"r1",IF(AND(AE133=AP5,AE133&lt;AR5,AF133&gt;=AQ5),"r1","n"))))</f>
        <v>r1</v>
      </c>
      <c r="AI133" s="164" t="str">
        <f>IF(AH133&lt;&gt;"n",AH133,IF(AND(AE133=AT5,AE133=AV5,AF133&gt;=AU5,AF133&lt;=AW5),"r2",IF(AND(AE133&gt;AT5,AE133&lt;AV5),"r2",IF(AND(AE133&gt;AT5,AE133=AV5,AF133&lt;=AW5),"r2",IF(AND(AE133=AT5,AE133&lt;AV5,AF133&gt;=AU5),"r2","n")))))</f>
        <v>r1</v>
      </c>
      <c r="AJ133" s="164" t="str">
        <f>IF(AI133&lt;&gt;"n",AI133,IF(AND(AE133=AP6,AE133=AR6,AF133&gt;=AQ6,AF133&lt;=AS6),"r1",IF(AND(AE133&gt;AP6,AE133&lt;AR6),"r1",IF(AND(AE133&gt;AP6,AE133=AR6,AF133&lt;=AS6),"r1",IF(AND(AE133=AP6,AE133&lt;AR6,AF133&gt;=AQ6),"r1","n")))))</f>
        <v>r1</v>
      </c>
      <c r="AK133" s="164" t="str">
        <f>IF(AJ133&lt;&gt;"n",AJ133,IF(AND(AE133=AT6,AE133=AV6,AF133&gt;=AU6,AF133&lt;=AW6),"r2",IF(AND(AE133&gt;AT6,AE133&lt;AV6),"r2",IF(AND(AE133&gt;AT6,AE133=AV6,AF133&lt;=AW6),"r2",IF(AND(AE133=AT6,AE133&lt;AV6,AF133&gt;=AU6),"r2","n")))))</f>
        <v>r1</v>
      </c>
      <c r="AL133" s="164" t="str">
        <f>IF(AK133&lt;&gt;"n",AK133,IF(AND(AE133=AP7,AE133=AR7,AF133&gt;=AQ7,AF133&lt;=AS7),"r1",IF(AND(AE133&gt;AP7,AE133&lt;AR7),"r1",IF(AND(AE133&gt;AP7,AE133=AR7,AF133&lt;=AS7),"r1",IF(AND(AE133=AP7,AE133&lt;AR7,AF133&gt;=AQ7),"r1","n")))))</f>
        <v>r1</v>
      </c>
    </row>
    <row r="134" spans="26:40" ht="17.100000000000001" hidden="1" customHeight="1">
      <c r="Z134" s="176">
        <f t="shared" si="12"/>
        <v>124.00000000000099</v>
      </c>
      <c r="AA134" s="176">
        <f>IF(TRIM(AG134)="","",IF(INDEX(AZ1:AZ51,AC134)=AG134,INDEX(BA1:BA51,AC134),((AG134-INDEX(AZ1:AZ51,AC134))*(INDEX(BA1:BA51,AC134+1)-INDEX(BA1:BA51,AC134)))/(INDEX(AZ1:AZ51,AC134+1)-INDEX(AZ1:AZ51,AC134))+INDEX(BA1:BA51,AC134)))</f>
        <v>124.00000000000099</v>
      </c>
      <c r="AB134" s="176" t="e">
        <f>IF(TRIM(AG134)="","",IF(INDEX(BD1:BD51,AD134)=AG134,INDEX(BE1:BE51,AD134),((AG134-INDEX(BD1:BD51,AD134))*(INDEX(BE1:BE51,AD134+1)-INDEX(BE1:BE51,AD134)))/(INDEX(BD1:BD51,AD134+1)-INDEX(BD1:BD51,AD134))+INDEX(BE1:BE51,AD134)))</f>
        <v>#N/A</v>
      </c>
      <c r="AC134" s="164">
        <f>MATCH(AG134,AZ1:AZ51,1)</f>
        <v>12</v>
      </c>
      <c r="AD134" s="164" t="e">
        <f>MATCH(AG134,BD1:BD51,1)</f>
        <v>#N/A</v>
      </c>
      <c r="AE134" s="164">
        <v>5</v>
      </c>
      <c r="AF134" s="164">
        <v>11</v>
      </c>
      <c r="AG134" s="179">
        <f>FIXED('HourGH-AUG'!AB22)*1</f>
        <v>340.05</v>
      </c>
      <c r="AH134" s="164" t="str">
        <f>IF(AND(AE134=AP5,AE134=AR5,AF134&gt;=AQ5,AF134&lt;=AS5),"r1",IF(AND(AE134&gt;AP5,AE134&lt;AR5),"r1",IF(AND(AE134&gt;AP5,AE134=AR5,AF134&lt;=AS5),"r1",IF(AND(AE134=AP5,AE134&lt;AR5,AF134&gt;=AQ5),"r1","n"))))</f>
        <v>r1</v>
      </c>
      <c r="AI134" s="164" t="str">
        <f>IF(AH134&lt;&gt;"n",AH134,IF(AND(AE134=AT5,AE134=AV5,AF134&gt;=AU5,AF134&lt;=AW5),"r2",IF(AND(AE134&gt;AT5,AE134&lt;AV5),"r2",IF(AND(AE134&gt;AT5,AE134=AV5,AF134&lt;=AW5),"r2",IF(AND(AE134=AT5,AE134&lt;AV5,AF134&gt;=AU5),"r2","n")))))</f>
        <v>r1</v>
      </c>
      <c r="AJ134" s="164" t="str">
        <f>IF(AI134&lt;&gt;"n",AI134,IF(AND(AE134=AP6,AE134=AR6,AF134&gt;=AQ6,AF134&lt;=AS6),"r1",IF(AND(AE134&gt;AP6,AE134&lt;AR6),"r1",IF(AND(AE134&gt;AP6,AE134=AR6,AF134&lt;=AS6),"r1",IF(AND(AE134=AP6,AE134&lt;AR6,AF134&gt;=AQ6),"r1","n")))))</f>
        <v>r1</v>
      </c>
      <c r="AK134" s="164" t="str">
        <f>IF(AJ134&lt;&gt;"n",AJ134,IF(AND(AE134=AT6,AE134=AV6,AF134&gt;=AU6,AF134&lt;=AW6),"r2",IF(AND(AE134&gt;AT6,AE134&lt;AV6),"r2",IF(AND(AE134&gt;AT6,AE134=AV6,AF134&lt;=AW6),"r2",IF(AND(AE134=AT6,AE134&lt;AV6,AF134&gt;=AU6),"r2","n")))))</f>
        <v>r1</v>
      </c>
      <c r="AL134" s="164" t="str">
        <f>IF(AK134&lt;&gt;"n",AK134,IF(AND(AE134=AP7,AE134=AR7,AF134&gt;=AQ7,AF134&lt;=AS7),"r1",IF(AND(AE134&gt;AP7,AE134&lt;AR7),"r1",IF(AND(AE134&gt;AP7,AE134=AR7,AF134&lt;=AS7),"r1",IF(AND(AE134=AP7,AE134&lt;AR7,AF134&gt;=AQ7),"r1","n")))))</f>
        <v>r1</v>
      </c>
      <c r="AN134" s="164">
        <f>(INDEX(AZ1:AZ51,8))</f>
        <v>338.8</v>
      </c>
    </row>
    <row r="135" spans="26:40" ht="17.100000000000001" hidden="1" customHeight="1">
      <c r="Z135" s="176">
        <f t="shared" si="12"/>
        <v>91.149999999997704</v>
      </c>
      <c r="AA135" s="176">
        <f>IF(TRIM(AG135)="","",IF(INDEX(AZ1:AZ51,AC135)=AG135,INDEX(BA1:BA51,AC135),((AG135-INDEX(AZ1:AZ51,AC135))*(INDEX(BA1:BA51,AC135+1)-INDEX(BA1:BA51,AC135)))/(INDEX(AZ1:AZ51,AC135+1)-INDEX(AZ1:AZ51,AC135))+INDEX(BA1:BA51,AC135)))</f>
        <v>91.149999999997704</v>
      </c>
      <c r="AB135" s="176" t="e">
        <f>IF(TRIM(AG135)="","",IF(INDEX(BD1:BD51,AD135)=AG135,INDEX(BE1:BE51,AD135),((AG135-INDEX(BD1:BD51,AD135))*(INDEX(BE1:BE51,AD135+1)-INDEX(BE1:BE51,AD135)))/(INDEX(BD1:BD51,AD135+1)-INDEX(BD1:BD51,AD135))+INDEX(BE1:BE51,AD135)))</f>
        <v>#N/A</v>
      </c>
      <c r="AC135" s="164">
        <f>MATCH(AG135,AZ1:AZ51,1)</f>
        <v>11</v>
      </c>
      <c r="AD135" s="164" t="e">
        <f>MATCH(AG135,BD1:BD51,1)</f>
        <v>#N/A</v>
      </c>
      <c r="AE135" s="164">
        <v>5</v>
      </c>
      <c r="AF135" s="164">
        <v>12</v>
      </c>
      <c r="AG135" s="179">
        <f>FIXED('HourGH-AUG'!AB23)*1</f>
        <v>339.58</v>
      </c>
      <c r="AH135" s="164" t="str">
        <f>IF(AND(AE135=AP5,AE135=AR5,AF135&gt;=AQ5,AF135&lt;=AS5),"r1",IF(AND(AE135&gt;AP5,AE135&lt;AR5),"r1",IF(AND(AE135&gt;AP5,AE135=AR5,AF135&lt;=AS5),"r1",IF(AND(AE135=AP5,AE135&lt;AR5,AF135&gt;=AQ5),"r1","n"))))</f>
        <v>r1</v>
      </c>
      <c r="AI135" s="164" t="str">
        <f>IF(AH135&lt;&gt;"n",AH135,IF(AND(AE135=AT5,AE135=AV5,AF135&gt;=AU5,AF135&lt;=AW5),"r2",IF(AND(AE135&gt;AT5,AE135&lt;AV5),"r2",IF(AND(AE135&gt;AT5,AE135=AV5,AF135&lt;=AW5),"r2",IF(AND(AE135=AT5,AE135&lt;AV5,AF135&gt;=AU5),"r2","n")))))</f>
        <v>r1</v>
      </c>
      <c r="AJ135" s="164" t="str">
        <f>IF(AI135&lt;&gt;"n",AI135,IF(AND(AE135=AP6,AE135=AR6,AF135&gt;=AQ6,AF135&lt;=AS6),"r1",IF(AND(AE135&gt;AP6,AE135&lt;AR6),"r1",IF(AND(AE135&gt;AP6,AE135=AR6,AF135&lt;=AS6),"r1",IF(AND(AE135=AP6,AE135&lt;AR6,AF135&gt;=AQ6),"r1","n")))))</f>
        <v>r1</v>
      </c>
      <c r="AK135" s="164" t="str">
        <f>IF(AJ135&lt;&gt;"n",AJ135,IF(AND(AE135=AT6,AE135=AV6,AF135&gt;=AU6,AF135&lt;=AW6),"r2",IF(AND(AE135&gt;AT6,AE135&lt;AV6),"r2",IF(AND(AE135&gt;AT6,AE135=AV6,AF135&lt;=AW6),"r2",IF(AND(AE135=AT6,AE135&lt;AV6,AF135&gt;=AU6),"r2","n")))))</f>
        <v>r1</v>
      </c>
      <c r="AL135" s="164" t="str">
        <f>IF(AK135&lt;&gt;"n",AK135,IF(AND(AE135=AP7,AE135=AR7,AF135&gt;=AQ7,AF135&lt;=AS7),"r1",IF(AND(AE135&gt;AP7,AE135&lt;AR7),"r1",IF(AND(AE135&gt;AP7,AE135=AR7,AF135&lt;=AS7),"r1",IF(AND(AE135=AP7,AE135&lt;AR7,AF135&gt;=AQ7),"r1","n")))))</f>
        <v>r1</v>
      </c>
    </row>
    <row r="136" spans="26:40" ht="17.100000000000001" hidden="1" customHeight="1">
      <c r="Z136" s="176">
        <f t="shared" si="12"/>
        <v>57.250000000000355</v>
      </c>
      <c r="AA136" s="176">
        <f>IF(TRIM(AG136)="","",IF(INDEX(AZ1:AZ51,AC136)=AG136,INDEX(BA1:BA51,AC136),((AG136-INDEX(AZ1:AZ51,AC136))*(INDEX(BA1:BA51,AC136+1)-INDEX(BA1:BA51,AC136)))/(INDEX(AZ1:AZ51,AC136+1)-INDEX(AZ1:AZ51,AC136))+INDEX(BA1:BA51,AC136)))</f>
        <v>57.250000000000355</v>
      </c>
      <c r="AB136" s="176" t="e">
        <f>IF(TRIM(AG136)="","",IF(INDEX(BD1:BD51,AD136)=AG136,INDEX(BE1:BE51,AD136),((AG136-INDEX(BD1:BD51,AD136))*(INDEX(BE1:BE51,AD136+1)-INDEX(BE1:BE51,AD136)))/(INDEX(BD1:BD51,AD136+1)-INDEX(BD1:BD51,AD136))+INDEX(BE1:BE51,AD136)))</f>
        <v>#N/A</v>
      </c>
      <c r="AC136" s="164">
        <f>MATCH(AG136,AZ1:AZ51,1)</f>
        <v>9</v>
      </c>
      <c r="AD136" s="164" t="e">
        <f>MATCH(AG136,BD1:BD51,1)</f>
        <v>#N/A</v>
      </c>
      <c r="AE136" s="164">
        <v>5</v>
      </c>
      <c r="AF136" s="164">
        <v>13</v>
      </c>
      <c r="AG136" s="179">
        <f>FIXED('HourGH-AUG'!AB24)*1</f>
        <v>339.06</v>
      </c>
      <c r="AH136" s="164" t="str">
        <f>IF(AND(AE136=AP5,AE136=AR5,AF136&gt;=AQ5,AF136&lt;=AS5),"r1",IF(AND(AE136&gt;AP5,AE136&lt;AR5),"r1",IF(AND(AE136&gt;AP5,AE136=AR5,AF136&lt;=AS5),"r1",IF(AND(AE136=AP5,AE136&lt;AR5,AF136&gt;=AQ5),"r1","n"))))</f>
        <v>r1</v>
      </c>
      <c r="AI136" s="164" t="str">
        <f>IF(AH136&lt;&gt;"n",AH136,IF(AND(AE136=AT5,AE136=AV5,AF136&gt;=AU5,AF136&lt;=AW5),"r2",IF(AND(AE136&gt;AT5,AE136&lt;AV5),"r2",IF(AND(AE136&gt;AT5,AE136=AV5,AF136&lt;=AW5),"r2",IF(AND(AE136=AT5,AE136&lt;AV5,AF136&gt;=AU5),"r2","n")))))</f>
        <v>r1</v>
      </c>
      <c r="AJ136" s="164" t="str">
        <f>IF(AI136&lt;&gt;"n",AI136,IF(AND(AE136=AP6,AE136=AR6,AF136&gt;=AQ6,AF136&lt;=AS6),"r1",IF(AND(AE136&gt;AP6,AE136&lt;AR6),"r1",IF(AND(AE136&gt;AP6,AE136=AR6,AF136&lt;=AS6),"r1",IF(AND(AE136=AP6,AE136&lt;AR6,AF136&gt;=AQ6),"r1","n")))))</f>
        <v>r1</v>
      </c>
      <c r="AK136" s="164" t="str">
        <f>IF(AJ136&lt;&gt;"n",AJ136,IF(AND(AE136=AT6,AE136=AV6,AF136&gt;=AU6,AF136&lt;=AW6),"r2",IF(AND(AE136&gt;AT6,AE136&lt;AV6),"r2",IF(AND(AE136&gt;AT6,AE136=AV6,AF136&lt;=AW6),"r2",IF(AND(AE136=AT6,AE136&lt;AV6,AF136&gt;=AU6),"r2","n")))))</f>
        <v>r1</v>
      </c>
      <c r="AL136" s="164" t="str">
        <f>IF(AK136&lt;&gt;"n",AK136,IF(AND(AE136=AP7,AE136=AR7,AF136&gt;=AQ7,AF136&lt;=AS7),"r1",IF(AND(AE136&gt;AP7,AE136&lt;AR7),"r1",IF(AND(AE136&gt;AP7,AE136=AR7,AF136&lt;=AS7),"r1",IF(AND(AE136=AP7,AE136&lt;AR7,AF136&gt;=AQ7),"r1","n")))))</f>
        <v>r1</v>
      </c>
    </row>
    <row r="137" spans="26:40" ht="17.100000000000001" hidden="1" customHeight="1">
      <c r="Z137" s="176">
        <f t="shared" si="12"/>
        <v>34.499999999998934</v>
      </c>
      <c r="AA137" s="176">
        <f>IF(TRIM(AG137)="","",IF(INDEX(AZ1:AZ51,AC137)=AG137,INDEX(BA1:BA51,AC137),((AG137-INDEX(AZ1:AZ51,AC137))*(INDEX(BA1:BA51,AC137+1)-INDEX(BA1:BA51,AC137)))/(INDEX(AZ1:AZ51,AC137+1)-INDEX(AZ1:AZ51,AC137))+INDEX(BA1:BA51,AC137)))</f>
        <v>34.499999999998934</v>
      </c>
      <c r="AB137" s="176" t="e">
        <f>IF(TRIM(AG137)="","",IF(INDEX(BD1:BD51,AD137)=AG137,INDEX(BE1:BE51,AD137),((AG137-INDEX(BD1:BD51,AD137))*(INDEX(BE1:BE51,AD137+1)-INDEX(BE1:BE51,AD137)))/(INDEX(BD1:BD51,AD137+1)-INDEX(BD1:BD51,AD137))+INDEX(BE1:BE51,AD137)))</f>
        <v>#N/A</v>
      </c>
      <c r="AC137" s="164">
        <f>MATCH(AG137,AZ1:AZ51,1)</f>
        <v>7</v>
      </c>
      <c r="AD137" s="164" t="e">
        <f>MATCH(AG137,BD1:BD51,1)</f>
        <v>#N/A</v>
      </c>
      <c r="AE137" s="164">
        <v>5</v>
      </c>
      <c r="AF137" s="164">
        <v>14</v>
      </c>
      <c r="AG137" s="179">
        <f>FIXED('HourGH-AUG'!AB25)*1</f>
        <v>338.65</v>
      </c>
      <c r="AH137" s="164" t="str">
        <f>IF(AND(AE137=AP5,AE137=AR5,AF137&gt;=AQ5,AF137&lt;=AS5),"r1",IF(AND(AE137&gt;AP5,AE137&lt;AR5),"r1",IF(AND(AE137&gt;AP5,AE137=AR5,AF137&lt;=AS5),"r1",IF(AND(AE137=AP5,AE137&lt;AR5,AF137&gt;=AQ5),"r1","n"))))</f>
        <v>r1</v>
      </c>
      <c r="AI137" s="164" t="str">
        <f>IF(AH137&lt;&gt;"n",AH137,IF(AND(AE137=AT5,AE137=AV5,AF137&gt;=AU5,AF137&lt;=AW5),"r2",IF(AND(AE137&gt;AT5,AE137&lt;AV5),"r2",IF(AND(AE137&gt;AT5,AE137=AV5,AF137&lt;=AW5),"r2",IF(AND(AE137=AT5,AE137&lt;AV5,AF137&gt;=AU5),"r2","n")))))</f>
        <v>r1</v>
      </c>
      <c r="AJ137" s="164" t="str">
        <f>IF(AI137&lt;&gt;"n",AI137,IF(AND(AE137=AP6,AE137=AR6,AF137&gt;=AQ6,AF137&lt;=AS6),"r1",IF(AND(AE137&gt;AP6,AE137&lt;AR6),"r1",IF(AND(AE137&gt;AP6,AE137=AR6,AF137&lt;=AS6),"r1",IF(AND(AE137=AP6,AE137&lt;AR6,AF137&gt;=AQ6),"r1","n")))))</f>
        <v>r1</v>
      </c>
      <c r="AK137" s="164" t="str">
        <f>IF(AJ137&lt;&gt;"n",AJ137,IF(AND(AE137=AT6,AE137=AV6,AF137&gt;=AU6,AF137&lt;=AW6),"r2",IF(AND(AE137&gt;AT6,AE137&lt;AV6),"r2",IF(AND(AE137&gt;AT6,AE137=AV6,AF137&lt;=AW6),"r2",IF(AND(AE137=AT6,AE137&lt;AV6,AF137&gt;=AU6),"r2","n")))))</f>
        <v>r1</v>
      </c>
      <c r="AL137" s="164" t="str">
        <f>IF(AK137&lt;&gt;"n",AK137,IF(AND(AE137=AP7,AE137=AR7,AF137&gt;=AQ7,AF137&lt;=AS7),"r1",IF(AND(AE137&gt;AP7,AE137&lt;AR7),"r1",IF(AND(AE137&gt;AP7,AE137=AR7,AF137&lt;=AS7),"r1",IF(AND(AE137=AP7,AE137&lt;AR7,AF137&gt;=AQ7),"r1","n")))))</f>
        <v>r1</v>
      </c>
    </row>
    <row r="138" spans="26:40" ht="17.100000000000001" hidden="1" customHeight="1">
      <c r="Z138" s="176">
        <f t="shared" si="12"/>
        <v>36.999999999999289</v>
      </c>
      <c r="AA138" s="176">
        <f>IF(TRIM(AG138)="","",IF(INDEX(AZ1:AZ51,AC138)=AG138,INDEX(BA1:BA51,AC138),((AG138-INDEX(AZ1:AZ51,AC138))*(INDEX(BA1:BA51,AC138+1)-INDEX(BA1:BA51,AC138)))/(INDEX(AZ1:AZ51,AC138+1)-INDEX(AZ1:AZ51,AC138))+INDEX(BA1:BA51,AC138)))</f>
        <v>36.999999999999289</v>
      </c>
      <c r="AB138" s="176" t="e">
        <f>IF(TRIM(AG138)="","",IF(INDEX(BD1:BD51,AD138)=AG138,INDEX(BE1:BE51,AD138),((AG138-INDEX(BD1:BD51,AD138))*(INDEX(BE1:BE51,AD138+1)-INDEX(BE1:BE51,AD138)))/(INDEX(BD1:BD51,AD138+1)-INDEX(BD1:BD51,AD138))+INDEX(BE1:BE51,AD138)))</f>
        <v>#N/A</v>
      </c>
      <c r="AC138" s="164">
        <f>MATCH(AG138,AZ1:AZ51,1)</f>
        <v>7</v>
      </c>
      <c r="AD138" s="164" t="e">
        <f>MATCH(AG138,BD1:BD51,1)</f>
        <v>#N/A</v>
      </c>
      <c r="AE138" s="164">
        <v>5</v>
      </c>
      <c r="AF138" s="164">
        <v>15</v>
      </c>
      <c r="AG138" s="179">
        <f>FIXED('HourGH-AUG'!AB26)*1</f>
        <v>338.7</v>
      </c>
      <c r="AH138" s="164" t="str">
        <f>IF(AND(AE138=AP5,AE138=AR5,AF138&gt;=AQ5,AF138&lt;=AS5),"r1",IF(AND(AE138&gt;AP5,AE138&lt;AR5),"r1",IF(AND(AE138&gt;AP5,AE138=AR5,AF138&lt;=AS5),"r1",IF(AND(AE138=AP5,AE138&lt;AR5,AF138&gt;=AQ5),"r1","n"))))</f>
        <v>r1</v>
      </c>
      <c r="AI138" s="164" t="str">
        <f>IF(AH138&lt;&gt;"n",AH138,IF(AND(AE138=AT5,AE138=AV5,AF138&gt;=AU5,AF138&lt;=AW5),"r2",IF(AND(AE138&gt;AT5,AE138&lt;AV5),"r2",IF(AND(AE138&gt;AT5,AE138=AV5,AF138&lt;=AW5),"r2",IF(AND(AE138=AT5,AE138&lt;AV5,AF138&gt;=AU5),"r2","n")))))</f>
        <v>r1</v>
      </c>
      <c r="AJ138" s="164" t="str">
        <f>IF(AI138&lt;&gt;"n",AI138,IF(AND(AE138=AP6,AE138=AR6,AF138&gt;=AQ6,AF138&lt;=AS6),"r1",IF(AND(AE138&gt;AP6,AE138&lt;AR6),"r1",IF(AND(AE138&gt;AP6,AE138=AR6,AF138&lt;=AS6),"r1",IF(AND(AE138=AP6,AE138&lt;AR6,AF138&gt;=AQ6),"r1","n")))))</f>
        <v>r1</v>
      </c>
      <c r="AK138" s="164" t="str">
        <f>IF(AJ138&lt;&gt;"n",AJ138,IF(AND(AE138=AT6,AE138=AV6,AF138&gt;=AU6,AF138&lt;=AW6),"r2",IF(AND(AE138&gt;AT6,AE138&lt;AV6),"r2",IF(AND(AE138&gt;AT6,AE138=AV6,AF138&lt;=AW6),"r2",IF(AND(AE138=AT6,AE138&lt;AV6,AF138&gt;=AU6),"r2","n")))))</f>
        <v>r1</v>
      </c>
      <c r="AL138" s="164" t="str">
        <f>IF(AK138&lt;&gt;"n",AK138,IF(AND(AE138=AP7,AE138=AR7,AF138&gt;=AQ7,AF138&lt;=AS7),"r1",IF(AND(AE138&gt;AP7,AE138&lt;AR7),"r1",IF(AND(AE138&gt;AP7,AE138=AR7,AF138&lt;=AS7),"r1",IF(AND(AE138=AP7,AE138&lt;AR7,AF138&gt;=AQ7),"r1","n")))))</f>
        <v>r1</v>
      </c>
    </row>
    <row r="139" spans="26:40" ht="17.100000000000001" hidden="1" customHeight="1">
      <c r="Z139" s="176">
        <f t="shared" si="12"/>
        <v>28.499999999999218</v>
      </c>
      <c r="AA139" s="176">
        <f>IF(TRIM(AG139)="","",IF(INDEX(AZ1:AZ51,AC139)=AG139,INDEX(BA1:BA51,AC139),((AG139-INDEX(AZ1:AZ51,AC139))*(INDEX(BA1:BA51,AC139+1)-INDEX(BA1:BA51,AC139)))/(INDEX(AZ1:AZ51,AC139+1)-INDEX(AZ1:AZ51,AC139))+INDEX(BA1:BA51,AC139)))</f>
        <v>28.499999999999218</v>
      </c>
      <c r="AB139" s="176" t="e">
        <f>IF(TRIM(AG139)="","",IF(INDEX(BD1:BD51,AD139)=AG139,INDEX(BE1:BE51,AD139),((AG139-INDEX(BD1:BD51,AD139))*(INDEX(BE1:BE51,AD139+1)-INDEX(BE1:BE51,AD139)))/(INDEX(BD1:BD51,AD139+1)-INDEX(BD1:BD51,AD139))+INDEX(BE1:BE51,AD139)))</f>
        <v>#N/A</v>
      </c>
      <c r="AC139" s="164">
        <f>MATCH(AG139,AZ1:AZ51,1)</f>
        <v>7</v>
      </c>
      <c r="AD139" s="164" t="e">
        <f>MATCH(AG139,BD1:BD51,1)</f>
        <v>#N/A</v>
      </c>
      <c r="AE139" s="164">
        <v>5</v>
      </c>
      <c r="AF139" s="164">
        <v>16</v>
      </c>
      <c r="AG139" s="179">
        <f>FIXED('HourGH-AUG'!AB27)*1</f>
        <v>338.53</v>
      </c>
      <c r="AH139" s="164" t="str">
        <f>IF(AND(AE139=AP5,AE139=AR5,AF139&gt;=AQ5,AF139&lt;=AS5),"r1",IF(AND(AE139&gt;AP5,AE139&lt;AR5),"r1",IF(AND(AE139&gt;AP5,AE139=AR5,AF139&lt;=AS5),"r1",IF(AND(AE139=AP5,AE139&lt;AR5,AF139&gt;=AQ5),"r1","n"))))</f>
        <v>r1</v>
      </c>
      <c r="AI139" s="164" t="str">
        <f>IF(AH139&lt;&gt;"n",AH139,IF(AND(AE139=AT5,AE139=AV5,AF139&gt;=AU5,AF139&lt;=AW5),"r2",IF(AND(AE139&gt;AT5,AE139&lt;AV5),"r2",IF(AND(AE139&gt;AT5,AE139=AV5,AF139&lt;=AW5),"r2",IF(AND(AE139=AT5,AE139&lt;AV5,AF139&gt;=AU5),"r2","n")))))</f>
        <v>r1</v>
      </c>
      <c r="AJ139" s="164" t="str">
        <f>IF(AI139&lt;&gt;"n",AI139,IF(AND(AE139=AP6,AE139=AR6,AF139&gt;=AQ6,AF139&lt;=AS6),"r1",IF(AND(AE139&gt;AP6,AE139&lt;AR6),"r1",IF(AND(AE139&gt;AP6,AE139=AR6,AF139&lt;=AS6),"r1",IF(AND(AE139=AP6,AE139&lt;AR6,AF139&gt;=AQ6),"r1","n")))))</f>
        <v>r1</v>
      </c>
      <c r="AK139" s="164" t="str">
        <f>IF(AJ139&lt;&gt;"n",AJ139,IF(AND(AE139=AT6,AE139=AV6,AF139&gt;=AU6,AF139&lt;=AW6),"r2",IF(AND(AE139&gt;AT6,AE139&lt;AV6),"r2",IF(AND(AE139&gt;AT6,AE139=AV6,AF139&lt;=AW6),"r2",IF(AND(AE139=AT6,AE139&lt;AV6,AF139&gt;=AU6),"r2","n")))))</f>
        <v>r1</v>
      </c>
      <c r="AL139" s="164" t="str">
        <f>IF(AK139&lt;&gt;"n",AK139,IF(AND(AE139=AP7,AE139=AR7,AF139&gt;=AQ7,AF139&lt;=AS7),"r1",IF(AND(AE139&gt;AP7,AE139&lt;AR7),"r1",IF(AND(AE139&gt;AP7,AE139=AR7,AF139&lt;=AS7),"r1",IF(AND(AE139=AP7,AE139&lt;AR7,AF139&gt;=AQ7),"r1","n")))))</f>
        <v>r1</v>
      </c>
    </row>
    <row r="140" spans="26:40" ht="17.100000000000001" hidden="1" customHeight="1">
      <c r="Z140" s="176">
        <f t="shared" si="12"/>
        <v>22.500000000002345</v>
      </c>
      <c r="AA140" s="176">
        <f>IF(TRIM(AG140)="","",IF(INDEX(AZ1:AZ51,AC140)=AG140,INDEX(BA1:BA51,AC140),((AG140-INDEX(AZ1:AZ51,AC140))*(INDEX(BA1:BA51,AC140+1)-INDEX(BA1:BA51,AC140)))/(INDEX(AZ1:AZ51,AC140+1)-INDEX(AZ1:AZ51,AC140))+INDEX(BA1:BA51,AC140)))</f>
        <v>22.500000000002345</v>
      </c>
      <c r="AB140" s="176" t="e">
        <f>IF(TRIM(AG140)="","",IF(INDEX(BD1:BD51,AD140)=AG140,INDEX(BE1:BE51,AD140),((AG140-INDEX(BD1:BD51,AD140))*(INDEX(BE1:BE51,AD140+1)-INDEX(BE1:BE51,AD140)))/(INDEX(BD1:BD51,AD140+1)-INDEX(BD1:BD51,AD140))+INDEX(BE1:BE51,AD140)))</f>
        <v>#N/A</v>
      </c>
      <c r="AC140" s="164">
        <f>MATCH(AG140,AZ1:AZ51,1)</f>
        <v>7</v>
      </c>
      <c r="AD140" s="164" t="e">
        <f>MATCH(AG140,BD1:BD51,1)</f>
        <v>#N/A</v>
      </c>
      <c r="AE140" s="164">
        <v>5</v>
      </c>
      <c r="AF140" s="164">
        <v>17</v>
      </c>
      <c r="AG140" s="179">
        <f>FIXED('HourGH-AUG'!AB28)*1</f>
        <v>338.41</v>
      </c>
      <c r="AH140" s="164" t="str">
        <f>IF(AND(AE140=AP5,AE140=AR5,AF140&gt;=AQ5,AF140&lt;=AS5),"r1",IF(AND(AE140&gt;AP5,AE140&lt;AR5),"r1",IF(AND(AE140&gt;AP5,AE140=AR5,AF140&lt;=AS5),"r1",IF(AND(AE140=AP5,AE140&lt;AR5,AF140&gt;=AQ5),"r1","n"))))</f>
        <v>r1</v>
      </c>
      <c r="AI140" s="164" t="str">
        <f>IF(AH140&lt;&gt;"n",AH140,IF(AND(AE140=AT5,AE140=AV5,AF140&gt;=AU5,AF140&lt;=AW5),"r2",IF(AND(AE140&gt;AT5,AE140&lt;AV5),"r2",IF(AND(AE140&gt;AT5,AE140=AV5,AF140&lt;=AW5),"r2",IF(AND(AE140=AT5,AE140&lt;AV5,AF140&gt;=AU5),"r2","n")))))</f>
        <v>r1</v>
      </c>
      <c r="AJ140" s="164" t="str">
        <f>IF(AI140&lt;&gt;"n",AI140,IF(AND(AE140=AP6,AE140=AR6,AF140&gt;=AQ6,AF140&lt;=AS6),"r1",IF(AND(AE140&gt;AP6,AE140&lt;AR6),"r1",IF(AND(AE140&gt;AP6,AE140=AR6,AF140&lt;=AS6),"r1",IF(AND(AE140=AP6,AE140&lt;AR6,AF140&gt;=AQ6),"r1","n")))))</f>
        <v>r1</v>
      </c>
      <c r="AK140" s="164" t="str">
        <f>IF(AJ140&lt;&gt;"n",AJ140,IF(AND(AE140=AT6,AE140=AV6,AF140&gt;=AU6,AF140&lt;=AW6),"r2",IF(AND(AE140&gt;AT6,AE140&lt;AV6),"r2",IF(AND(AE140&gt;AT6,AE140=AV6,AF140&lt;=AW6),"r2",IF(AND(AE140=AT6,AE140&lt;AV6,AF140&gt;=AU6),"r2","n")))))</f>
        <v>r1</v>
      </c>
      <c r="AL140" s="164" t="str">
        <f>IF(AK140&lt;&gt;"n",AK140,IF(AND(AE140=AP7,AE140=AR7,AF140&gt;=AQ7,AF140&lt;=AS7),"r1",IF(AND(AE140&gt;AP7,AE140&lt;AR7),"r1",IF(AND(AE140&gt;AP7,AE140=AR7,AF140&lt;=AS7),"r1",IF(AND(AE140=AP7,AE140&lt;AR7,AF140&gt;=AQ7),"r1","n")))))</f>
        <v>r1</v>
      </c>
    </row>
    <row r="141" spans="26:40" ht="17.100000000000001" hidden="1" customHeight="1">
      <c r="Z141" s="176">
        <f t="shared" si="12"/>
        <v>16.149999999999871</v>
      </c>
      <c r="AA141" s="176">
        <f>IF(TRIM(AG141)="","",IF(INDEX(AZ1:AZ51,AC141)=AG141,INDEX(BA1:BA51,AC141),((AG141-INDEX(AZ1:AZ51,AC141))*(INDEX(BA1:BA51,AC141+1)-INDEX(BA1:BA51,AC141)))/(INDEX(AZ1:AZ51,AC141+1)-INDEX(AZ1:AZ51,AC141))+INDEX(BA1:BA51,AC141)))</f>
        <v>16.149999999999871</v>
      </c>
      <c r="AB141" s="176" t="e">
        <f>IF(TRIM(AG141)="","",IF(INDEX(BD1:BD51,AD141)=AG141,INDEX(BE1:BE51,AD141),((AG141-INDEX(BD1:BD51,AD141))*(INDEX(BE1:BE51,AD141+1)-INDEX(BE1:BE51,AD141)))/(INDEX(BD1:BD51,AD141+1)-INDEX(BD1:BD51,AD141))+INDEX(BE1:BE51,AD141)))</f>
        <v>#N/A</v>
      </c>
      <c r="AC141" s="164">
        <f>MATCH(AG141,AZ1:AZ51,1)</f>
        <v>6</v>
      </c>
      <c r="AD141" s="164" t="e">
        <f>MATCH(AG141,BD1:BD51,1)</f>
        <v>#N/A</v>
      </c>
      <c r="AE141" s="164">
        <v>5</v>
      </c>
      <c r="AF141" s="164">
        <v>18</v>
      </c>
      <c r="AG141" s="179">
        <f>FIXED('HourGH-AUG'!AB29)*1</f>
        <v>338.27</v>
      </c>
      <c r="AH141" s="164" t="str">
        <f>IF(AND(AE141=AP5,AE141=AR5,AF141&gt;=AQ5,AF141&lt;=AS5),"r1",IF(AND(AE141&gt;AP5,AE141&lt;AR5),"r1",IF(AND(AE141&gt;AP5,AE141=AR5,AF141&lt;=AS5),"r1",IF(AND(AE141=AP5,AE141&lt;AR5,AF141&gt;=AQ5),"r1","n"))))</f>
        <v>r1</v>
      </c>
      <c r="AI141" s="164" t="str">
        <f>IF(AH141&lt;&gt;"n",AH141,IF(AND(AE141=AT5,AE141=AV5,AF141&gt;=AU5,AF141&lt;=AW5),"r2",IF(AND(AE141&gt;AT5,AE141&lt;AV5),"r2",IF(AND(AE141&gt;AT5,AE141=AV5,AF141&lt;=AW5),"r2",IF(AND(AE141=AT5,AE141&lt;AV5,AF141&gt;=AU5),"r2","n")))))</f>
        <v>r1</v>
      </c>
      <c r="AJ141" s="164" t="str">
        <f>IF(AI141&lt;&gt;"n",AI141,IF(AND(AE141=AP6,AE141=AR6,AF141&gt;=AQ6,AF141&lt;=AS6),"r1",IF(AND(AE141&gt;AP6,AE141&lt;AR6),"r1",IF(AND(AE141&gt;AP6,AE141=AR6,AF141&lt;=AS6),"r1",IF(AND(AE141=AP6,AE141&lt;AR6,AF141&gt;=AQ6),"r1","n")))))</f>
        <v>r1</v>
      </c>
      <c r="AK141" s="164" t="str">
        <f>IF(AJ141&lt;&gt;"n",AJ141,IF(AND(AE141=AT6,AE141=AV6,AF141&gt;=AU6,AF141&lt;=AW6),"r2",IF(AND(AE141&gt;AT6,AE141&lt;AV6),"r2",IF(AND(AE141&gt;AT6,AE141=AV6,AF141&lt;=AW6),"r2",IF(AND(AE141=AT6,AE141&lt;AV6,AF141&gt;=AU6),"r2","n")))))</f>
        <v>r1</v>
      </c>
      <c r="AL141" s="164" t="str">
        <f>IF(AK141&lt;&gt;"n",AK141,IF(AND(AE141=AP7,AE141=AR7,AF141&gt;=AQ7,AF141&lt;=AS7),"r1",IF(AND(AE141&gt;AP7,AE141&lt;AR7),"r1",IF(AND(AE141&gt;AP7,AE141=AR7,AF141&lt;=AS7),"r1",IF(AND(AE141=AP7,AE141&lt;AR7,AF141&gt;=AQ7),"r1","n")))))</f>
        <v>r1</v>
      </c>
    </row>
    <row r="142" spans="26:40" ht="17.100000000000001" hidden="1" customHeight="1">
      <c r="Z142" s="176">
        <f t="shared" si="12"/>
        <v>13.900000000001791</v>
      </c>
      <c r="AA142" s="176">
        <f>IF(TRIM(AG142)="","",IF(INDEX(AZ1:AZ51,AC142)=AG142,INDEX(BA1:BA51,AC142),((AG142-INDEX(AZ1:AZ51,AC142))*(INDEX(BA1:BA51,AC142+1)-INDEX(BA1:BA51,AC142)))/(INDEX(AZ1:AZ51,AC142+1)-INDEX(AZ1:AZ51,AC142))+INDEX(BA1:BA51,AC142)))</f>
        <v>13.900000000001791</v>
      </c>
      <c r="AB142" s="176" t="e">
        <f>IF(TRIM(AG142)="","",IF(INDEX(BD1:BD51,AD142)=AG142,INDEX(BE1:BE51,AD142),((AG142-INDEX(BD1:BD51,AD142))*(INDEX(BE1:BE51,AD142+1)-INDEX(BE1:BE51,AD142)))/(INDEX(BD1:BD51,AD142+1)-INDEX(BD1:BD51,AD142))+INDEX(BE1:BE51,AD142)))</f>
        <v>#N/A</v>
      </c>
      <c r="AC142" s="164">
        <f>MATCH(AG142,AZ1:AZ51,1)</f>
        <v>6</v>
      </c>
      <c r="AD142" s="164" t="e">
        <f>MATCH(AG142,BD1:BD51,1)</f>
        <v>#N/A</v>
      </c>
      <c r="AE142" s="164">
        <v>5</v>
      </c>
      <c r="AF142" s="164">
        <v>19</v>
      </c>
      <c r="AG142" s="179">
        <f>FIXED('HourGH-AUG'!AB30)*1</f>
        <v>338.22</v>
      </c>
      <c r="AH142" s="164" t="str">
        <f>IF(AND(AE142=AP5,AE142=AR5,AF142&gt;=AQ5,AF142&lt;=AS5),"r1",IF(AND(AE142&gt;AP5,AE142&lt;AR5),"r1",IF(AND(AE142&gt;AP5,AE142=AR5,AF142&lt;=AS5),"r1",IF(AND(AE142=AP5,AE142&lt;AR5,AF142&gt;=AQ5),"r1","n"))))</f>
        <v>r1</v>
      </c>
      <c r="AI142" s="164" t="str">
        <f>IF(AH142&lt;&gt;"n",AH142,IF(AND(AE142=AT5,AE142=AV5,AF142&gt;=AU5,AF142&lt;=AW5),"r2",IF(AND(AE142&gt;AT5,AE142&lt;AV5),"r2",IF(AND(AE142&gt;AT5,AE142=AV5,AF142&lt;=AW5),"r2",IF(AND(AE142=AT5,AE142&lt;AV5,AF142&gt;=AU5),"r2","n")))))</f>
        <v>r1</v>
      </c>
      <c r="AJ142" s="164" t="str">
        <f>IF(AI142&lt;&gt;"n",AI142,IF(AND(AE142=AP6,AE142=AR6,AF142&gt;=AQ6,AF142&lt;=AS6),"r1",IF(AND(AE142&gt;AP6,AE142&lt;AR6),"r1",IF(AND(AE142&gt;AP6,AE142=AR6,AF142&lt;=AS6),"r1",IF(AND(AE142=AP6,AE142&lt;AR6,AF142&gt;=AQ6),"r1","n")))))</f>
        <v>r1</v>
      </c>
      <c r="AK142" s="164" t="str">
        <f>IF(AJ142&lt;&gt;"n",AJ142,IF(AND(AE142=AT6,AE142=AV6,AF142&gt;=AU6,AF142&lt;=AW6),"r2",IF(AND(AE142&gt;AT6,AE142&lt;AV6),"r2",IF(AND(AE142&gt;AT6,AE142=AV6,AF142&lt;=AW6),"r2",IF(AND(AE142=AT6,AE142&lt;AV6,AF142&gt;=AU6),"r2","n")))))</f>
        <v>r1</v>
      </c>
      <c r="AL142" s="164" t="str">
        <f>IF(AK142&lt;&gt;"n",AK142,IF(AND(AE142=AP7,AE142=AR7,AF142&gt;=AQ7,AF142&lt;=AS7),"r1",IF(AND(AE142&gt;AP7,AE142&lt;AR7),"r1",IF(AND(AE142&gt;AP7,AE142=AR7,AF142&lt;=AS7),"r1",IF(AND(AE142=AP7,AE142&lt;AR7,AF142&gt;=AQ7),"r1","n")))))</f>
        <v>r1</v>
      </c>
    </row>
    <row r="143" spans="26:40" ht="17.100000000000001" hidden="1" customHeight="1">
      <c r="Z143" s="176">
        <f t="shared" si="12"/>
        <v>13.449999999999616</v>
      </c>
      <c r="AA143" s="176">
        <f>IF(TRIM(AG143)="","",IF(INDEX(AZ1:AZ51,AC143)=AG143,INDEX(BA1:BA51,AC143),((AG143-INDEX(AZ1:AZ51,AC143))*(INDEX(BA1:BA51,AC143+1)-INDEX(BA1:BA51,AC143)))/(INDEX(AZ1:AZ51,AC143+1)-INDEX(AZ1:AZ51,AC143))+INDEX(BA1:BA51,AC143)))</f>
        <v>13.449999999999616</v>
      </c>
      <c r="AB143" s="176" t="e">
        <f>IF(TRIM(AG143)="","",IF(INDEX(BD1:BD51,AD143)=AG143,INDEX(BE1:BE51,AD143),((AG143-INDEX(BD1:BD51,AD143))*(INDEX(BE1:BE51,AD143+1)-INDEX(BE1:BE51,AD143)))/(INDEX(BD1:BD51,AD143+1)-INDEX(BD1:BD51,AD143))+INDEX(BE1:BE51,AD143)))</f>
        <v>#N/A</v>
      </c>
      <c r="AC143" s="164">
        <f>MATCH(AG143,AZ1:AZ51,1)</f>
        <v>6</v>
      </c>
      <c r="AD143" s="164" t="e">
        <f>MATCH(AG143,BD1:BD51,1)</f>
        <v>#N/A</v>
      </c>
      <c r="AE143" s="164">
        <v>5</v>
      </c>
      <c r="AF143" s="164">
        <v>20</v>
      </c>
      <c r="AG143" s="179">
        <f>FIXED('HourGH-AUG'!AB31)*1</f>
        <v>338.21</v>
      </c>
      <c r="AH143" s="164" t="str">
        <f>IF(AND(AE143=AP5,AE143=AR5,AF143&gt;=AQ5,AF143&lt;=AS5),"r1",IF(AND(AE143&gt;AP5,AE143&lt;AR5),"r1",IF(AND(AE143&gt;AP5,AE143=AR5,AF143&lt;=AS5),"r1",IF(AND(AE143=AP5,AE143&lt;AR5,AF143&gt;=AQ5),"r1","n"))))</f>
        <v>r1</v>
      </c>
      <c r="AI143" s="164" t="str">
        <f>IF(AH143&lt;&gt;"n",AH143,IF(AND(AE143=AT5,AE143=AV5,AF143&gt;=AU5,AF143&lt;=AW5),"r2",IF(AND(AE143&gt;AT5,AE143&lt;AV5),"r2",IF(AND(AE143&gt;AT5,AE143=AV5,AF143&lt;=AW5),"r2",IF(AND(AE143=AT5,AE143&lt;AV5,AF143&gt;=AU5),"r2","n")))))</f>
        <v>r1</v>
      </c>
      <c r="AJ143" s="164" t="str">
        <f>IF(AI143&lt;&gt;"n",AI143,IF(AND(AE143=AP6,AE143=AR6,AF143&gt;=AQ6,AF143&lt;=AS6),"r1",IF(AND(AE143&gt;AP6,AE143&lt;AR6),"r1",IF(AND(AE143&gt;AP6,AE143=AR6,AF143&lt;=AS6),"r1",IF(AND(AE143=AP6,AE143&lt;AR6,AF143&gt;=AQ6),"r1","n")))))</f>
        <v>r1</v>
      </c>
      <c r="AK143" s="164" t="str">
        <f>IF(AJ143&lt;&gt;"n",AJ143,IF(AND(AE143=AT6,AE143=AV6,AF143&gt;=AU6,AF143&lt;=AW6),"r2",IF(AND(AE143&gt;AT6,AE143&lt;AV6),"r2",IF(AND(AE143&gt;AT6,AE143=AV6,AF143&lt;=AW6),"r2",IF(AND(AE143=AT6,AE143&lt;AV6,AF143&gt;=AU6),"r2","n")))))</f>
        <v>r1</v>
      </c>
      <c r="AL143" s="164" t="str">
        <f>IF(AK143&lt;&gt;"n",AK143,IF(AND(AE143=AP7,AE143=AR7,AF143&gt;=AQ7,AF143&lt;=AS7),"r1",IF(AND(AE143&gt;AP7,AE143&lt;AR7),"r1",IF(AND(AE143&gt;AP7,AE143=AR7,AF143&lt;=AS7),"r1",IF(AND(AE143=AP7,AE143&lt;AR7,AF143&gt;=AQ7),"r1","n")))))</f>
        <v>r1</v>
      </c>
    </row>
    <row r="144" spans="26:40" ht="17.100000000000001" hidden="1" customHeight="1">
      <c r="Z144" s="176">
        <f t="shared" si="12"/>
        <v>13.449999999999616</v>
      </c>
      <c r="AA144" s="176">
        <f>IF(TRIM(AG144)="","",IF(INDEX(AZ1:AZ51,AC144)=AG144,INDEX(BA1:BA51,AC144),((AG144-INDEX(AZ1:AZ51,AC144))*(INDEX(BA1:BA51,AC144+1)-INDEX(BA1:BA51,AC144)))/(INDEX(AZ1:AZ51,AC144+1)-INDEX(AZ1:AZ51,AC144))+INDEX(BA1:BA51,AC144)))</f>
        <v>13.449999999999616</v>
      </c>
      <c r="AB144" s="176" t="e">
        <f>IF(TRIM(AG144)="","",IF(INDEX(BD1:BD51,AD144)=AG144,INDEX(BE1:BE51,AD144),((AG144-INDEX(BD1:BD51,AD144))*(INDEX(BE1:BE51,AD144+1)-INDEX(BE1:BE51,AD144)))/(INDEX(BD1:BD51,AD144+1)-INDEX(BD1:BD51,AD144))+INDEX(BE1:BE51,AD144)))</f>
        <v>#N/A</v>
      </c>
      <c r="AC144" s="164">
        <f>MATCH(AG144,AZ1:AZ51,1)</f>
        <v>6</v>
      </c>
      <c r="AD144" s="164" t="e">
        <f>MATCH(AG144,BD1:BD51,1)</f>
        <v>#N/A</v>
      </c>
      <c r="AE144" s="164">
        <v>5</v>
      </c>
      <c r="AF144" s="164">
        <v>21</v>
      </c>
      <c r="AG144" s="179">
        <f>FIXED('HourGH-AUG'!AB33)*1</f>
        <v>338.21</v>
      </c>
      <c r="AH144" s="164" t="str">
        <f>IF(AND(AE144=AP5,AE144=AR5,AF144&gt;=AQ5,AF144&lt;=AS5),"r1",IF(AND(AE144&gt;AP5,AE144&lt;AR5),"r1",IF(AND(AE144&gt;AP5,AE144=AR5,AF144&lt;=AS5),"r1",IF(AND(AE144=AP5,AE144&lt;AR5,AF144&gt;=AQ5),"r1","n"))))</f>
        <v>r1</v>
      </c>
      <c r="AI144" s="164" t="str">
        <f>IF(AH144&lt;&gt;"n",AH144,IF(AND(AE144=AT5,AE144=AV5,AF144&gt;=AU5,AF144&lt;=AW5),"r2",IF(AND(AE144&gt;AT5,AE144&lt;AV5),"r2",IF(AND(AE144&gt;AT5,AE144=AV5,AF144&lt;=AW5),"r2",IF(AND(AE144=AT5,AE144&lt;AV5,AF144&gt;=AU5),"r2","n")))))</f>
        <v>r1</v>
      </c>
      <c r="AJ144" s="164" t="str">
        <f>IF(AI144&lt;&gt;"n",AI144,IF(AND(AE144=AP6,AE144=AR6,AF144&gt;=AQ6,AF144&lt;=AS6),"r1",IF(AND(AE144&gt;AP6,AE144&lt;AR6),"r1",IF(AND(AE144&gt;AP6,AE144=AR6,AF144&lt;=AS6),"r1",IF(AND(AE144=AP6,AE144&lt;AR6,AF144&gt;=AQ6),"r1","n")))))</f>
        <v>r1</v>
      </c>
      <c r="AK144" s="164" t="str">
        <f>IF(AJ144&lt;&gt;"n",AJ144,IF(AND(AE144=AT6,AE144=AV6,AF144&gt;=AU6,AF144&lt;=AW6),"r2",IF(AND(AE144&gt;AT6,AE144&lt;AV6),"r2",IF(AND(AE144&gt;AT6,AE144=AV6,AF144&lt;=AW6),"r2",IF(AND(AE144=AT6,AE144&lt;AV6,AF144&gt;=AU6),"r2","n")))))</f>
        <v>r1</v>
      </c>
      <c r="AL144" s="164" t="str">
        <f>IF(AK144&lt;&gt;"n",AK144,IF(AND(AE144=AP7,AE144=AR7,AF144&gt;=AQ7,AF144&lt;=AS7),"r1",IF(AND(AE144&gt;AP7,AE144&lt;AR7),"r1",IF(AND(AE144&gt;AP7,AE144=AR7,AF144&lt;=AS7),"r1",IF(AND(AE144=AP7,AE144&lt;AR7,AF144&gt;=AQ7),"r1","n")))))</f>
        <v>r1</v>
      </c>
    </row>
    <row r="145" spans="26:38" ht="17.100000000000001" hidden="1" customHeight="1">
      <c r="Z145" s="176">
        <f t="shared" si="12"/>
        <v>17.950000000000895</v>
      </c>
      <c r="AA145" s="176">
        <f>IF(TRIM(AG145)="","",IF(INDEX(AZ1:AZ51,AC145)=AG145,INDEX(BA1:BA51,AC145),((AG145-INDEX(AZ1:AZ51,AC145))*(INDEX(BA1:BA51,AC145+1)-INDEX(BA1:BA51,AC145)))/(INDEX(AZ1:AZ51,AC145+1)-INDEX(AZ1:AZ51,AC145))+INDEX(BA1:BA51,AC145)))</f>
        <v>17.950000000000895</v>
      </c>
      <c r="AB145" s="176" t="e">
        <f>IF(TRIM(AG145)="","",IF(INDEX(BD1:BD51,AD145)=AG145,INDEX(BE1:BE51,AD145),((AG145-INDEX(BD1:BD51,AD145))*(INDEX(BE1:BE51,AD145+1)-INDEX(BE1:BE51,AD145)))/(INDEX(BD1:BD51,AD145+1)-INDEX(BD1:BD51,AD145))+INDEX(BE1:BE51,AD145)))</f>
        <v>#N/A</v>
      </c>
      <c r="AC145" s="164">
        <f>MATCH(AG145,AZ1:AZ51,1)</f>
        <v>6</v>
      </c>
      <c r="AD145" s="164" t="e">
        <f>MATCH(AG145,BD1:BD51,1)</f>
        <v>#N/A</v>
      </c>
      <c r="AE145" s="164">
        <v>5</v>
      </c>
      <c r="AF145" s="164">
        <v>22</v>
      </c>
      <c r="AG145" s="179">
        <f>FIXED('HourGH-AUG'!AB34)*1</f>
        <v>338.31</v>
      </c>
      <c r="AH145" s="164" t="str">
        <f>IF(AND(AE145=AP5,AE145=AR5,AF145&gt;=AQ5,AF145&lt;=AS5),"r1",IF(AND(AE145&gt;AP5,AE145&lt;AR5),"r1",IF(AND(AE145&gt;AP5,AE145=AR5,AF145&lt;=AS5),"r1",IF(AND(AE145=AP5,AE145&lt;AR5,AF145&gt;=AQ5),"r1","n"))))</f>
        <v>r1</v>
      </c>
      <c r="AI145" s="164" t="str">
        <f>IF(AH145&lt;&gt;"n",AH145,IF(AND(AE145=AT5,AE145=AV5,AF145&gt;=AU5,AF145&lt;=AW5),"r2",IF(AND(AE145&gt;AT5,AE145&lt;AV5),"r2",IF(AND(AE145&gt;AT5,AE145=AV5,AF145&lt;=AW5),"r2",IF(AND(AE145=AT5,AE145&lt;AV5,AF145&gt;=AU5),"r2","n")))))</f>
        <v>r1</v>
      </c>
      <c r="AJ145" s="164" t="str">
        <f>IF(AI145&lt;&gt;"n",AI145,IF(AND(AE145=AP6,AE145=AR6,AF145&gt;=AQ6,AF145&lt;=AS6),"r1",IF(AND(AE145&gt;AP6,AE145&lt;AR6),"r1",IF(AND(AE145&gt;AP6,AE145=AR6,AF145&lt;=AS6),"r1",IF(AND(AE145=AP6,AE145&lt;AR6,AF145&gt;=AQ6),"r1","n")))))</f>
        <v>r1</v>
      </c>
      <c r="AK145" s="164" t="str">
        <f>IF(AJ145&lt;&gt;"n",AJ145,IF(AND(AE145=AT6,AE145=AV6,AF145&gt;=AU6,AF145&lt;=AW6),"r2",IF(AND(AE145&gt;AT6,AE145&lt;AV6),"r2",IF(AND(AE145&gt;AT6,AE145=AV6,AF145&lt;=AW6),"r2",IF(AND(AE145=AT6,AE145&lt;AV6,AF145&gt;=AU6),"r2","n")))))</f>
        <v>r1</v>
      </c>
      <c r="AL145" s="164" t="str">
        <f>IF(AK145&lt;&gt;"n",AK145,IF(AND(AE145=AP7,AE145=AR7,AF145&gt;=AQ7,AF145&lt;=AS7),"r1",IF(AND(AE145&gt;AP7,AE145&lt;AR7),"r1",IF(AND(AE145&gt;AP7,AE145=AR7,AF145&lt;=AS7),"r1",IF(AND(AE145=AP7,AE145&lt;AR7,AF145&gt;=AQ7),"r1","n")))))</f>
        <v>r1</v>
      </c>
    </row>
    <row r="146" spans="26:38" ht="17.100000000000001" hidden="1" customHeight="1">
      <c r="Z146" s="176">
        <f t="shared" si="12"/>
        <v>30.999999999999574</v>
      </c>
      <c r="AA146" s="176">
        <f>IF(TRIM(AG146)="","",IF(INDEX(AZ1:AZ51,AC146)=AG146,INDEX(BA1:BA51,AC146),((AG146-INDEX(AZ1:AZ51,AC146))*(INDEX(BA1:BA51,AC146+1)-INDEX(BA1:BA51,AC146)))/(INDEX(AZ1:AZ51,AC146+1)-INDEX(AZ1:AZ51,AC146))+INDEX(BA1:BA51,AC146)))</f>
        <v>30.999999999999574</v>
      </c>
      <c r="AB146" s="176" t="e">
        <f>IF(TRIM(AG146)="","",IF(INDEX(BD1:BD51,AD146)=AG146,INDEX(BE1:BE51,AD146),((AG146-INDEX(BD1:BD51,AD146))*(INDEX(BE1:BE51,AD146+1)-INDEX(BE1:BE51,AD146)))/(INDEX(BD1:BD51,AD146+1)-INDEX(BD1:BD51,AD146))+INDEX(BE1:BE51,AD146)))</f>
        <v>#N/A</v>
      </c>
      <c r="AC146" s="164">
        <f>MATCH(AG146,AZ1:AZ51,1)</f>
        <v>7</v>
      </c>
      <c r="AD146" s="164" t="e">
        <f>MATCH(AG146,BD1:BD51,1)</f>
        <v>#N/A</v>
      </c>
      <c r="AE146" s="164">
        <v>5</v>
      </c>
      <c r="AF146" s="164">
        <v>23</v>
      </c>
      <c r="AG146" s="179">
        <f>FIXED('HourGH-AUG'!AB35)*1</f>
        <v>338.58</v>
      </c>
      <c r="AH146" s="164" t="str">
        <f>IF(AND(AE146=AP5,AE146=AR5,AF146&gt;=AQ5,AF146&lt;=AS5),"r1",IF(AND(AE146&gt;AP5,AE146&lt;AR5),"r1",IF(AND(AE146&gt;AP5,AE146=AR5,AF146&lt;=AS5),"r1",IF(AND(AE146=AP5,AE146&lt;AR5,AF146&gt;=AQ5),"r1","n"))))</f>
        <v>r1</v>
      </c>
      <c r="AI146" s="164" t="str">
        <f>IF(AH146&lt;&gt;"n",AH146,IF(AND(AE146=AT5,AE146=AV5,AF146&gt;=AU5,AF146&lt;=AW5),"r2",IF(AND(AE146&gt;AT5,AE146&lt;AV5),"r2",IF(AND(AE146&gt;AT5,AE146=AV5,AF146&lt;=AW5),"r2",IF(AND(AE146=AT5,AE146&lt;AV5,AF146&gt;=AU5),"r2","n")))))</f>
        <v>r1</v>
      </c>
      <c r="AJ146" s="164" t="str">
        <f>IF(AI146&lt;&gt;"n",AI146,IF(AND(AE146=AP6,AE146=AR6,AF146&gt;=AQ6,AF146&lt;=AS6),"r1",IF(AND(AE146&gt;AP6,AE146&lt;AR6),"r1",IF(AND(AE146&gt;AP6,AE146=AR6,AF146&lt;=AS6),"r1",IF(AND(AE146=AP6,AE146&lt;AR6,AF146&gt;=AQ6),"r1","n")))))</f>
        <v>r1</v>
      </c>
      <c r="AK146" s="164" t="str">
        <f>IF(AJ146&lt;&gt;"n",AJ146,IF(AND(AE146=AT6,AE146=AV6,AF146&gt;=AU6,AF146&lt;=AW6),"r2",IF(AND(AE146&gt;AT6,AE146&lt;AV6),"r2",IF(AND(AE146&gt;AT6,AE146=AV6,AF146&lt;=AW6),"r2",IF(AND(AE146=AT6,AE146&lt;AV6,AF146&gt;=AU6),"r2","n")))))</f>
        <v>r1</v>
      </c>
      <c r="AL146" s="164" t="str">
        <f>IF(AK146&lt;&gt;"n",AK146,IF(AND(AE146=AP7,AE146=AR7,AF146&gt;=AQ7,AF146&lt;=AS7),"r1",IF(AND(AE146&gt;AP7,AE146&lt;AR7),"r1",IF(AND(AE146&gt;AP7,AE146=AR7,AF146&lt;=AS7),"r1",IF(AND(AE146=AP7,AE146&lt;AR7,AF146&gt;=AQ7),"r1","n")))))</f>
        <v>r1</v>
      </c>
    </row>
    <row r="147" spans="26:38" ht="17.100000000000001" hidden="1" customHeight="1">
      <c r="Z147" s="176">
        <f t="shared" si="12"/>
        <v>29.500000000001066</v>
      </c>
      <c r="AA147" s="176">
        <f>IF(TRIM(AG147)="","",IF(INDEX(AZ1:AZ51,AC147)=AG147,INDEX(BA1:BA51,AC147),((AG147-INDEX(AZ1:AZ51,AC147))*(INDEX(BA1:BA51,AC147+1)-INDEX(BA1:BA51,AC147)))/(INDEX(AZ1:AZ51,AC147+1)-INDEX(AZ1:AZ51,AC147))+INDEX(BA1:BA51,AC147)))</f>
        <v>29.500000000001066</v>
      </c>
      <c r="AB147" s="176" t="e">
        <f>IF(TRIM(AG147)="","",IF(INDEX(BD1:BD51,AD147)=AG147,INDEX(BE1:BE51,AD147),((AG147-INDEX(BD1:BD51,AD147))*(INDEX(BE1:BE51,AD147+1)-INDEX(BE1:BE51,AD147)))/(INDEX(BD1:BD51,AD147+1)-INDEX(BD1:BD51,AD147))+INDEX(BE1:BE51,AD147)))</f>
        <v>#N/A</v>
      </c>
      <c r="AC147" s="164">
        <f>MATCH(AG147,AZ1:AZ51,1)</f>
        <v>7</v>
      </c>
      <c r="AD147" s="164" t="e">
        <f>MATCH(AG147,BD1:BD51,1)</f>
        <v>#N/A</v>
      </c>
      <c r="AE147" s="164">
        <v>5</v>
      </c>
      <c r="AF147" s="164">
        <v>24</v>
      </c>
      <c r="AG147" s="179">
        <f>FIXED('HourGH-AUG'!AB36)*1</f>
        <v>338.55</v>
      </c>
      <c r="AH147" s="164" t="str">
        <f>IF(AND(AE147=AP5,AE147=AR5,AF147&gt;=AQ5,AF147&lt;=AS5),"r1",IF(AND(AE147&gt;AP5,AE147&lt;AR5),"r1",IF(AND(AE147&gt;AP5,AE147=AR5,AF147&lt;=AS5),"r1",IF(AND(AE147=AP5,AE147&lt;AR5,AF147&gt;=AQ5),"r1","n"))))</f>
        <v>r1</v>
      </c>
      <c r="AI147" s="164" t="str">
        <f>IF(AH147&lt;&gt;"n",AH147,IF(AND(AE147=AT5,AE147=AV5,AF147&gt;=AU5,AF147&lt;=AW5),"r2",IF(AND(AE147&gt;AT5,AE147&lt;AV5),"r2",IF(AND(AE147&gt;AT5,AE147=AV5,AF147&lt;=AW5),"r2",IF(AND(AE147=AT5,AE147&lt;AV5,AF147&gt;=AU5),"r2","n")))))</f>
        <v>r1</v>
      </c>
      <c r="AJ147" s="164" t="str">
        <f>IF(AI147&lt;&gt;"n",AI147,IF(AND(AE147=AP6,AE147=AR6,AF147&gt;=AQ6,AF147&lt;=AS6),"r1",IF(AND(AE147&gt;AP6,AE147&lt;AR6),"r1",IF(AND(AE147&gt;AP6,AE147=AR6,AF147&lt;=AS6),"r1",IF(AND(AE147=AP6,AE147&lt;AR6,AF147&gt;=AQ6),"r1","n")))))</f>
        <v>r1</v>
      </c>
      <c r="AK147" s="164" t="str">
        <f>IF(AJ147&lt;&gt;"n",AJ147,IF(AND(AE147=AT6,AE147=AV6,AF147&gt;=AU6,AF147&lt;=AW6),"r2",IF(AND(AE147&gt;AT6,AE147&lt;AV6),"r2",IF(AND(AE147&gt;AT6,AE147=AV6,AF147&lt;=AW6),"r2",IF(AND(AE147=AT6,AE147&lt;AV6,AF147&gt;=AU6),"r2","n")))))</f>
        <v>r1</v>
      </c>
      <c r="AL147" s="164" t="str">
        <f>IF(AK147&lt;&gt;"n",AK147,IF(AND(AE147=AP7,AE147=AR7,AF147&gt;=AQ7,AF147&lt;=AS7),"r1",IF(AND(AE147&gt;AP7,AE147&lt;AR7),"r1",IF(AND(AE147&gt;AP7,AE147=AR7,AF147&lt;=AS7),"r1",IF(AND(AE147=AP7,AE147&lt;AR7,AF147&gt;=AQ7),"r1","n")))))</f>
        <v>r1</v>
      </c>
    </row>
    <row r="148" spans="26:38" ht="17.100000000000001" hidden="1" customHeight="1">
      <c r="Z148" s="176">
        <f t="shared" si="12"/>
        <v>19.750000000001918</v>
      </c>
      <c r="AA148" s="176">
        <f>IF(TRIM(AG148)="","",IF(INDEX(AZ1:AZ51,AC148)=AG148,INDEX(BA1:BA51,AC148),((AG148-INDEX(AZ1:AZ51,AC148))*(INDEX(BA1:BA51,AC148+1)-INDEX(BA1:BA51,AC148)))/(INDEX(AZ1:AZ51,AC148+1)-INDEX(AZ1:AZ51,AC148))+INDEX(BA1:BA51,AC148)))</f>
        <v>19.750000000001918</v>
      </c>
      <c r="AB148" s="176" t="e">
        <f>IF(TRIM(AG148)="","",IF(INDEX(BD1:BD51,AD148)=AG148,INDEX(BE1:BE51,AD148),((AG148-INDEX(BD1:BD51,AD148))*(INDEX(BE1:BE51,AD148+1)-INDEX(BE1:BE51,AD148)))/(INDEX(BD1:BD51,AD148+1)-INDEX(BD1:BD51,AD148))+INDEX(BE1:BE51,AD148)))</f>
        <v>#N/A</v>
      </c>
      <c r="AC148" s="164">
        <f>MATCH(AG148,AZ1:AZ51,1)</f>
        <v>6</v>
      </c>
      <c r="AD148" s="164" t="e">
        <f>MATCH(AG148,BD1:BD51,1)</f>
        <v>#N/A</v>
      </c>
      <c r="AE148" s="164">
        <v>5</v>
      </c>
      <c r="AF148" s="164">
        <v>25</v>
      </c>
      <c r="AG148" s="179">
        <f>FIXED('HourGH-AUG'!AB37)*1</f>
        <v>338.35</v>
      </c>
      <c r="AH148" s="164" t="str">
        <f>IF(AND(AE148=AP5,AE148=AR5,AF148&gt;=AQ5,AF148&lt;=AS5),"r1",IF(AND(AE148&gt;AP5,AE148&lt;AR5),"r1",IF(AND(AE148&gt;AP5,AE148=AR5,AF148&lt;=AS5),"r1",IF(AND(AE148=AP5,AE148&lt;AR5,AF148&gt;=AQ5),"r1","n"))))</f>
        <v>r1</v>
      </c>
      <c r="AI148" s="164" t="str">
        <f>IF(AH148&lt;&gt;"n",AH148,IF(AND(AE148=AT5,AE148=AV5,AF148&gt;=AU5,AF148&lt;=AW5),"r2",IF(AND(AE148&gt;AT5,AE148&lt;AV5),"r2",IF(AND(AE148&gt;AT5,AE148=AV5,AF148&lt;=AW5),"r2",IF(AND(AE148=AT5,AE148&lt;AV5,AF148&gt;=AU5),"r2","n")))))</f>
        <v>r1</v>
      </c>
      <c r="AJ148" s="164" t="str">
        <f>IF(AI148&lt;&gt;"n",AI148,IF(AND(AE148=AP6,AE148=AR6,AF148&gt;=AQ6,AF148&lt;=AS6),"r1",IF(AND(AE148&gt;AP6,AE148&lt;AR6),"r1",IF(AND(AE148&gt;AP6,AE148=AR6,AF148&lt;=AS6),"r1",IF(AND(AE148=AP6,AE148&lt;AR6,AF148&gt;=AQ6),"r1","n")))))</f>
        <v>r1</v>
      </c>
      <c r="AK148" s="164" t="str">
        <f>IF(AJ148&lt;&gt;"n",AJ148,IF(AND(AE148=AT6,AE148=AV6,AF148&gt;=AU6,AF148&lt;=AW6),"r2",IF(AND(AE148&gt;AT6,AE148&lt;AV6),"r2",IF(AND(AE148&gt;AT6,AE148=AV6,AF148&lt;=AW6),"r2",IF(AND(AE148=AT6,AE148&lt;AV6,AF148&gt;=AU6),"r2","n")))))</f>
        <v>r1</v>
      </c>
      <c r="AL148" s="164" t="str">
        <f>IF(AK148&lt;&gt;"n",AK148,IF(AND(AE148=AP7,AE148=AR7,AF148&gt;=AQ7,AF148&lt;=AS7),"r1",IF(AND(AE148&gt;AP7,AE148&lt;AR7),"r1",IF(AND(AE148&gt;AP7,AE148=AR7,AF148&lt;=AS7),"r1",IF(AND(AE148=AP7,AE148&lt;AR7,AF148&gt;=AQ7),"r1","n")))))</f>
        <v>r1</v>
      </c>
    </row>
    <row r="149" spans="26:38" ht="17.100000000000001" hidden="1" customHeight="1">
      <c r="Z149" s="176">
        <f t="shared" si="12"/>
        <v>17.950000000000895</v>
      </c>
      <c r="AA149" s="176">
        <f>IF(TRIM(AG149)="","",IF(INDEX(AZ1:AZ51,AC149)=AG149,INDEX(BA1:BA51,AC149),((AG149-INDEX(AZ1:AZ51,AC149))*(INDEX(BA1:BA51,AC149+1)-INDEX(BA1:BA51,AC149)))/(INDEX(AZ1:AZ51,AC149+1)-INDEX(AZ1:AZ51,AC149))+INDEX(BA1:BA51,AC149)))</f>
        <v>17.950000000000895</v>
      </c>
      <c r="AB149" s="176" t="e">
        <f>IF(TRIM(AG149)="","",IF(INDEX(BD1:BD51,AD149)=AG149,INDEX(BE1:BE51,AD149),((AG149-INDEX(BD1:BD51,AD149))*(INDEX(BE1:BE51,AD149+1)-INDEX(BE1:BE51,AD149)))/(INDEX(BD1:BD51,AD149+1)-INDEX(BD1:BD51,AD149))+INDEX(BE1:BE51,AD149)))</f>
        <v>#N/A</v>
      </c>
      <c r="AC149" s="164">
        <f>MATCH(AG149,AZ1:AZ51,1)</f>
        <v>6</v>
      </c>
      <c r="AD149" s="164" t="e">
        <f>MATCH(AG149,BD1:BD51,1)</f>
        <v>#N/A</v>
      </c>
      <c r="AE149" s="164">
        <v>5</v>
      </c>
      <c r="AF149" s="164">
        <v>26</v>
      </c>
      <c r="AG149" s="179">
        <f>FIXED('HourGH-AUG'!AB38)*1</f>
        <v>338.31</v>
      </c>
      <c r="AH149" s="164" t="str">
        <f>IF(AND(AE149=AP5,AE149=AR5,AF149&gt;=AQ5,AF149&lt;=AS5),"r1",IF(AND(AE149&gt;AP5,AE149&lt;AR5),"r1",IF(AND(AE149&gt;AP5,AE149=AR5,AF149&lt;=AS5),"r1",IF(AND(AE149=AP5,AE149&lt;AR5,AF149&gt;=AQ5),"r1","n"))))</f>
        <v>r1</v>
      </c>
      <c r="AI149" s="164" t="str">
        <f>IF(AH149&lt;&gt;"n",AH149,IF(AND(AE149=AT5,AE149=AV5,AF149&gt;=AU5,AF149&lt;=AW5),"r2",IF(AND(AE149&gt;AT5,AE149&lt;AV5),"r2",IF(AND(AE149&gt;AT5,AE149=AV5,AF149&lt;=AW5),"r2",IF(AND(AE149=AT5,AE149&lt;AV5,AF149&gt;=AU5),"r2","n")))))</f>
        <v>r1</v>
      </c>
      <c r="AJ149" s="164" t="str">
        <f>IF(AI149&lt;&gt;"n",AI149,IF(AND(AE149=AP6,AE149=AR6,AF149&gt;=AQ6,AF149&lt;=AS6),"r1",IF(AND(AE149&gt;AP6,AE149&lt;AR6),"r1",IF(AND(AE149&gt;AP6,AE149=AR6,AF149&lt;=AS6),"r1",IF(AND(AE149=AP6,AE149&lt;AR6,AF149&gt;=AQ6),"r1","n")))))</f>
        <v>r1</v>
      </c>
      <c r="AK149" s="164" t="str">
        <f>IF(AJ149&lt;&gt;"n",AJ149,IF(AND(AE149=AT6,AE149=AV6,AF149&gt;=AU6,AF149&lt;=AW6),"r2",IF(AND(AE149&gt;AT6,AE149&lt;AV6),"r2",IF(AND(AE149&gt;AT6,AE149=AV6,AF149&lt;=AW6),"r2",IF(AND(AE149=AT6,AE149&lt;AV6,AF149&gt;=AU6),"r2","n")))))</f>
        <v>r1</v>
      </c>
      <c r="AL149" s="164" t="str">
        <f>IF(AK149&lt;&gt;"n",AK149,IF(AND(AE149=AP7,AE149=AR7,AF149&gt;=AQ7,AF149&lt;=AS7),"r1",IF(AND(AE149&gt;AP7,AE149&lt;AR7),"r1",IF(AND(AE149&gt;AP7,AE149=AR7,AF149&lt;=AS7),"r1",IF(AND(AE149=AP7,AE149&lt;AR7,AF149&gt;=AQ7),"r1","n")))))</f>
        <v>r1</v>
      </c>
    </row>
    <row r="150" spans="26:38" ht="17.100000000000001" hidden="1" customHeight="1">
      <c r="Z150" s="176">
        <f t="shared" si="12"/>
        <v>16.149999999999871</v>
      </c>
      <c r="AA150" s="176">
        <f>IF(TRIM(AG150)="","",IF(INDEX(AZ1:AZ51,AC150)=AG150,INDEX(BA1:BA51,AC150),((AG150-INDEX(AZ1:AZ51,AC150))*(INDEX(BA1:BA51,AC150+1)-INDEX(BA1:BA51,AC150)))/(INDEX(AZ1:AZ51,AC150+1)-INDEX(AZ1:AZ51,AC150))+INDEX(BA1:BA51,AC150)))</f>
        <v>16.149999999999871</v>
      </c>
      <c r="AB150" s="176" t="e">
        <f>IF(TRIM(AG150)="","",IF(INDEX(BD1:BD51,AD150)=AG150,INDEX(BE1:BE51,AD150),((AG150-INDEX(BD1:BD51,AD150))*(INDEX(BE1:BE51,AD150+1)-INDEX(BE1:BE51,AD150)))/(INDEX(BD1:BD51,AD150+1)-INDEX(BD1:BD51,AD150))+INDEX(BE1:BE51,AD150)))</f>
        <v>#N/A</v>
      </c>
      <c r="AC150" s="164">
        <f>MATCH(AG150,AZ1:AZ51,1)</f>
        <v>6</v>
      </c>
      <c r="AD150" s="164" t="e">
        <f>MATCH(AG150,BD1:BD51,1)</f>
        <v>#N/A</v>
      </c>
      <c r="AE150" s="164">
        <v>5</v>
      </c>
      <c r="AF150" s="164">
        <v>27</v>
      </c>
      <c r="AG150" s="179">
        <f>FIXED('HourGH-AUG'!AB39)*1</f>
        <v>338.27</v>
      </c>
      <c r="AH150" s="164" t="str">
        <f>IF(AND(AE150=AP5,AE150=AR5,AF150&gt;=AQ5,AF150&lt;=AS5),"r1",IF(AND(AE150&gt;AP5,AE150&lt;AR5),"r1",IF(AND(AE150&gt;AP5,AE150=AR5,AF150&lt;=AS5),"r1",IF(AND(AE150=AP5,AE150&lt;AR5,AF150&gt;=AQ5),"r1","n"))))</f>
        <v>r1</v>
      </c>
      <c r="AI150" s="164" t="str">
        <f>IF(AH150&lt;&gt;"n",AH150,IF(AND(AE150=AT5,AE150=AV5,AF150&gt;=AU5,AF150&lt;=AW5),"r2",IF(AND(AE150&gt;AT5,AE150&lt;AV5),"r2",IF(AND(AE150&gt;AT5,AE150=AV5,AF150&lt;=AW5),"r2",IF(AND(AE150=AT5,AE150&lt;AV5,AF150&gt;=AU5),"r2","n")))))</f>
        <v>r1</v>
      </c>
      <c r="AJ150" s="164" t="str">
        <f>IF(AI150&lt;&gt;"n",AI150,IF(AND(AE150=AP6,AE150=AR6,AF150&gt;=AQ6,AF150&lt;=AS6),"r1",IF(AND(AE150&gt;AP6,AE150&lt;AR6),"r1",IF(AND(AE150&gt;AP6,AE150=AR6,AF150&lt;=AS6),"r1",IF(AND(AE150=AP6,AE150&lt;AR6,AF150&gt;=AQ6),"r1","n")))))</f>
        <v>r1</v>
      </c>
      <c r="AK150" s="164" t="str">
        <f>IF(AJ150&lt;&gt;"n",AJ150,IF(AND(AE150=AT6,AE150=AV6,AF150&gt;=AU6,AF150&lt;=AW6),"r2",IF(AND(AE150&gt;AT6,AE150&lt;AV6),"r2",IF(AND(AE150&gt;AT6,AE150=AV6,AF150&lt;=AW6),"r2",IF(AND(AE150=AT6,AE150&lt;AV6,AF150&gt;=AU6),"r2","n")))))</f>
        <v>r1</v>
      </c>
      <c r="AL150" s="164" t="str">
        <f>IF(AK150&lt;&gt;"n",AK150,IF(AND(AE150=AP7,AE150=AR7,AF150&gt;=AQ7,AF150&lt;=AS7),"r1",IF(AND(AE150&gt;AP7,AE150&lt;AR7),"r1",IF(AND(AE150&gt;AP7,AE150=AR7,AF150&lt;=AS7),"r1",IF(AND(AE150=AP7,AE150&lt;AR7,AF150&gt;=AQ7),"r1","n")))))</f>
        <v>r1</v>
      </c>
    </row>
    <row r="151" spans="26:38" ht="17.100000000000001" hidden="1" customHeight="1">
      <c r="Z151" s="176">
        <f t="shared" si="12"/>
        <v>14.350000000001407</v>
      </c>
      <c r="AA151" s="176">
        <f>IF(TRIM(AG151)="","",IF(INDEX(AZ1:AZ51,AC151)=AG151,INDEX(BA1:BA51,AC151),((AG151-INDEX(AZ1:AZ51,AC151))*(INDEX(BA1:BA51,AC151+1)-INDEX(BA1:BA51,AC151)))/(INDEX(AZ1:AZ51,AC151+1)-INDEX(AZ1:AZ51,AC151))+INDEX(BA1:BA51,AC151)))</f>
        <v>14.350000000001407</v>
      </c>
      <c r="AB151" s="176" t="e">
        <f>IF(TRIM(AG151)="","",IF(INDEX(BD1:BD51,AD151)=AG151,INDEX(BE1:BE51,AD151),((AG151-INDEX(BD1:BD51,AD151))*(INDEX(BE1:BE51,AD151+1)-INDEX(BE1:BE51,AD151)))/(INDEX(BD1:BD51,AD151+1)-INDEX(BD1:BD51,AD151))+INDEX(BE1:BE51,AD151)))</f>
        <v>#N/A</v>
      </c>
      <c r="AC151" s="164">
        <f>MATCH(AG151,AZ1:AZ51,1)</f>
        <v>6</v>
      </c>
      <c r="AD151" s="164" t="e">
        <f>MATCH(AG151,BD1:BD51,1)</f>
        <v>#N/A</v>
      </c>
      <c r="AE151" s="164">
        <v>5</v>
      </c>
      <c r="AF151" s="164">
        <v>28</v>
      </c>
      <c r="AG151" s="179">
        <f>FIXED('HourGH-AUG'!AB40)*1</f>
        <v>338.23</v>
      </c>
      <c r="AH151" s="164" t="str">
        <f>IF(AND(AE151=AP5,AE151=AR5,AF151&gt;=AQ5,AF151&lt;=AS5),"r1",IF(AND(AE151&gt;AP5,AE151&lt;AR5),"r1",IF(AND(AE151&gt;AP5,AE151=AR5,AF151&lt;=AS5),"r1",IF(AND(AE151=AP5,AE151&lt;AR5,AF151&gt;=AQ5),"r1","n"))))</f>
        <v>r1</v>
      </c>
      <c r="AI151" s="164" t="str">
        <f>IF(AH151&lt;&gt;"n",AH151,IF(AND(AE151=AT5,AE151=AV5,AF151&gt;=AU5,AF151&lt;=AW5),"r2",IF(AND(AE151&gt;AT5,AE151&lt;AV5),"r2",IF(AND(AE151&gt;AT5,AE151=AV5,AF151&lt;=AW5),"r2",IF(AND(AE151=AT5,AE151&lt;AV5,AF151&gt;=AU5),"r2","n")))))</f>
        <v>r1</v>
      </c>
      <c r="AJ151" s="164" t="str">
        <f>IF(AI151&lt;&gt;"n",AI151,IF(AND(AE151=AP6,AE151=AR6,AF151&gt;=AQ6,AF151&lt;=AS6),"r1",IF(AND(AE151&gt;AP6,AE151&lt;AR6),"r1",IF(AND(AE151&gt;AP6,AE151=AR6,AF151&lt;=AS6),"r1",IF(AND(AE151=AP6,AE151&lt;AR6,AF151&gt;=AQ6),"r1","n")))))</f>
        <v>r1</v>
      </c>
      <c r="AK151" s="164" t="str">
        <f>IF(AJ151&lt;&gt;"n",AJ151,IF(AND(AE151=AT6,AE151=AV6,AF151&gt;=AU6,AF151&lt;=AW6),"r2",IF(AND(AE151&gt;AT6,AE151&lt;AV6),"r2",IF(AND(AE151&gt;AT6,AE151=AV6,AF151&lt;=AW6),"r2",IF(AND(AE151=AT6,AE151&lt;AV6,AF151&gt;=AU6),"r2","n")))))</f>
        <v>r1</v>
      </c>
      <c r="AL151" s="164" t="str">
        <f>IF(AK151&lt;&gt;"n",AK151,IF(AND(AE151=AP7,AE151=AR7,AF151&gt;=AQ7,AF151&lt;=AS7),"r1",IF(AND(AE151&gt;AP7,AE151&lt;AR7),"r1",IF(AND(AE151&gt;AP7,AE151=AR7,AF151&lt;=AS7),"r1",IF(AND(AE151=AP7,AE151&lt;AR7,AF151&gt;=AQ7),"r1","n")))))</f>
        <v>r1</v>
      </c>
    </row>
    <row r="152" spans="26:38" ht="17.100000000000001" hidden="1" customHeight="1">
      <c r="Z152" s="176">
        <f t="shared" si="12"/>
        <v>12.350000000000554</v>
      </c>
      <c r="AA152" s="176">
        <f>IF(TRIM(AG152)="","",IF(INDEX(AZ1:AZ51,AC152)=AG152,INDEX(BA1:BA51,AC152),((AG152-INDEX(AZ1:AZ51,AC152))*(INDEX(BA1:BA51,AC152+1)-INDEX(BA1:BA51,AC152)))/(INDEX(AZ1:AZ51,AC152+1)-INDEX(AZ1:AZ51,AC152))+INDEX(BA1:BA51,AC152)))</f>
        <v>12.350000000000554</v>
      </c>
      <c r="AB152" s="176" t="e">
        <f>IF(TRIM(AG152)="","",IF(INDEX(BD1:BD51,AD152)=AG152,INDEX(BE1:BE51,AD152),((AG152-INDEX(BD1:BD51,AD152))*(INDEX(BE1:BE51,AD152+1)-INDEX(BE1:BE51,AD152)))/(INDEX(BD1:BD51,AD152+1)-INDEX(BD1:BD51,AD152))+INDEX(BE1:BE51,AD152)))</f>
        <v>#N/A</v>
      </c>
      <c r="AC152" s="164">
        <f>MATCH(AG152,AZ1:AZ51,1)</f>
        <v>5</v>
      </c>
      <c r="AD152" s="164" t="e">
        <f>MATCH(AG152,BD1:BD51,1)</f>
        <v>#N/A</v>
      </c>
      <c r="AE152" s="164">
        <v>5</v>
      </c>
      <c r="AF152" s="164">
        <v>29</v>
      </c>
      <c r="AG152" s="179">
        <f>FIXED('HourGH-AUG'!AB41)*1</f>
        <v>338.18</v>
      </c>
      <c r="AH152" s="164" t="str">
        <f>IF(AND(AE152=AP5,AE152=AR5,AF152&gt;=AQ5,AF152&lt;=AS5),"r1",IF(AND(AE152&gt;AP5,AE152&lt;AR5),"r1",IF(AND(AE152&gt;AP5,AE152=AR5,AF152&lt;=AS5),"r1",IF(AND(AE152=AP5,AE152&lt;AR5,AF152&gt;=AQ5),"r1","n"))))</f>
        <v>r1</v>
      </c>
      <c r="AI152" s="164" t="str">
        <f>IF(AH152&lt;&gt;"n",AH152,IF(AND(AE152=AT5,AE152=AV5,AF152&gt;=AU5,AF152&lt;=AW5),"r2",IF(AND(AE152&gt;AT5,AE152&lt;AV5),"r2",IF(AND(AE152&gt;AT5,AE152=AV5,AF152&lt;=AW5),"r2",IF(AND(AE152=AT5,AE152&lt;AV5,AF152&gt;=AU5),"r2","n")))))</f>
        <v>r1</v>
      </c>
      <c r="AJ152" s="164" t="str">
        <f>IF(AI152&lt;&gt;"n",AI152,IF(AND(AE152=AP6,AE152=AR6,AF152&gt;=AQ6,AF152&lt;=AS6),"r1",IF(AND(AE152&gt;AP6,AE152&lt;AR6),"r1",IF(AND(AE152&gt;AP6,AE152=AR6,AF152&lt;=AS6),"r1",IF(AND(AE152=AP6,AE152&lt;AR6,AF152&gt;=AQ6),"r1","n")))))</f>
        <v>r1</v>
      </c>
      <c r="AK152" s="164" t="str">
        <f>IF(AJ152&lt;&gt;"n",AJ152,IF(AND(AE152=AT6,AE152=AV6,AF152&gt;=AU6,AF152&lt;=AW6),"r2",IF(AND(AE152&gt;AT6,AE152&lt;AV6),"r2",IF(AND(AE152&gt;AT6,AE152=AV6,AF152&lt;=AW6),"r2",IF(AND(AE152=AT6,AE152&lt;AV6,AF152&gt;=AU6),"r2","n")))))</f>
        <v>r1</v>
      </c>
      <c r="AL152" s="164" t="str">
        <f>IF(AK152&lt;&gt;"n",AK152,IF(AND(AE152=AP7,AE152=AR7,AF152&gt;=AQ7,AF152&lt;=AS7),"r1",IF(AND(AE152&gt;AP7,AE152&lt;AR7),"r1",IF(AND(AE152&gt;AP7,AE152=AR7,AF152&lt;=AS7),"r1",IF(AND(AE152=AP7,AE152&lt;AR7,AF152&gt;=AQ7),"r1","n")))))</f>
        <v>r1</v>
      </c>
    </row>
    <row r="153" spans="26:38" ht="17.100000000000001" hidden="1" customHeight="1">
      <c r="Z153" s="176">
        <f t="shared" si="12"/>
        <v>11.374999999999538</v>
      </c>
      <c r="AA153" s="176">
        <f>IF(TRIM(AG153)="","",IF(INDEX(AZ1:AZ51,AC153)=AG153,INDEX(BA1:BA51,AC153),((AG153-INDEX(AZ1:AZ51,AC153))*(INDEX(BA1:BA51,AC153+1)-INDEX(BA1:BA51,AC153)))/(INDEX(AZ1:AZ51,AC153+1)-INDEX(AZ1:AZ51,AC153))+INDEX(BA1:BA51,AC153)))</f>
        <v>11.374999999999538</v>
      </c>
      <c r="AB153" s="176" t="e">
        <f>IF(TRIM(AG153)="","",IF(INDEX(BD1:BD51,AD153)=AG153,INDEX(BE1:BE51,AD153),((AG153-INDEX(BD1:BD51,AD153))*(INDEX(BE1:BE51,AD153+1)-INDEX(BE1:BE51,AD153)))/(INDEX(BD1:BD51,AD153+1)-INDEX(BD1:BD51,AD153))+INDEX(BE1:BE51,AD153)))</f>
        <v>#N/A</v>
      </c>
      <c r="AC153" s="164">
        <f>MATCH(AG153,AZ1:AZ51,1)</f>
        <v>5</v>
      </c>
      <c r="AD153" s="164" t="e">
        <f>MATCH(AG153,BD1:BD51,1)</f>
        <v>#N/A</v>
      </c>
      <c r="AE153" s="164">
        <v>5</v>
      </c>
      <c r="AF153" s="164">
        <v>30</v>
      </c>
      <c r="AG153" s="179">
        <f>FIXED('HourGH-AUG'!AB42)*1</f>
        <v>338.15</v>
      </c>
      <c r="AH153" s="164" t="str">
        <f>IF(AND(AE153=AP5,AE153=AR5,AF153&gt;=AQ5,AF153&lt;=AS5),"r1",IF(AND(AE153&gt;AP5,AE153&lt;AR5),"r1",IF(AND(AE153&gt;AP5,AE153=AR5,AF153&lt;=AS5),"r1",IF(AND(AE153=AP5,AE153&lt;AR5,AF153&gt;=AQ5),"r1","n"))))</f>
        <v>r1</v>
      </c>
      <c r="AI153" s="164" t="str">
        <f>IF(AH153&lt;&gt;"n",AH153,IF(AND(AE153=AT5,AE153=AV5,AF153&gt;=AU5,AF153&lt;=AW5),"r2",IF(AND(AE153&gt;AT5,AE153&lt;AV5),"r2",IF(AND(AE153&gt;AT5,AE153=AV5,AF153&lt;=AW5),"r2",IF(AND(AE153=AT5,AE153&lt;AV5,AF153&gt;=AU5),"r2","n")))))</f>
        <v>r1</v>
      </c>
      <c r="AJ153" s="164" t="str">
        <f>IF(AI153&lt;&gt;"n",AI153,IF(AND(AE153=AP6,AE153=AR6,AF153&gt;=AQ6,AF153&lt;=AS6),"r1",IF(AND(AE153&gt;AP6,AE153&lt;AR6),"r1",IF(AND(AE153&gt;AP6,AE153=AR6,AF153&lt;=AS6),"r1",IF(AND(AE153=AP6,AE153&lt;AR6,AF153&gt;=AQ6),"r1","n")))))</f>
        <v>r1</v>
      </c>
      <c r="AK153" s="164" t="str">
        <f>IF(AJ153&lt;&gt;"n",AJ153,IF(AND(AE153=AT6,AE153=AV6,AF153&gt;=AU6,AF153&lt;=AW6),"r2",IF(AND(AE153&gt;AT6,AE153&lt;AV6),"r2",IF(AND(AE153&gt;AT6,AE153=AV6,AF153&lt;=AW6),"r2",IF(AND(AE153=AT6,AE153&lt;AV6,AF153&gt;=AU6),"r2","n")))))</f>
        <v>r1</v>
      </c>
      <c r="AL153" s="164" t="str">
        <f>IF(AK153&lt;&gt;"n",AK153,IF(AND(AE153=AP7,AE153=AR7,AF153&gt;=AQ7,AF153&lt;=AS7),"r1",IF(AND(AE153&gt;AP7,AE153&lt;AR7),"r1",IF(AND(AE153&gt;AP7,AE153=AR7,AF153&lt;=AS7),"r1",IF(AND(AE153=AP7,AE153&lt;AR7,AF153&gt;=AQ7),"r1","n")))))</f>
        <v>r1</v>
      </c>
    </row>
    <row r="154" spans="26:38" ht="17.100000000000001" hidden="1" customHeight="1">
      <c r="Z154" s="176">
        <f t="shared" si="12"/>
        <v>13.449999999999616</v>
      </c>
      <c r="AA154" s="176">
        <f>IF(TRIM(AG154)="","",IF(INDEX(AZ1:AZ51,AC154)=AG154,INDEX(BA1:BA51,AC154),((AG154-INDEX(AZ1:AZ51,AC154))*(INDEX(BA1:BA51,AC154+1)-INDEX(BA1:BA51,AC154)))/(INDEX(AZ1:AZ51,AC154+1)-INDEX(AZ1:AZ51,AC154))+INDEX(BA1:BA51,AC154)))</f>
        <v>13.449999999999616</v>
      </c>
      <c r="AB154" s="176" t="e">
        <f>IF(TRIM(AG154)="","",IF(INDEX(BD1:BD51,AD154)=AG154,INDEX(BE1:BE51,AD154),((AG154-INDEX(BD1:BD51,AD154))*(INDEX(BE1:BE51,AD154+1)-INDEX(BE1:BE51,AD154)))/(INDEX(BD1:BD51,AD154+1)-INDEX(BD1:BD51,AD154))+INDEX(BE1:BE51,AD154)))</f>
        <v>#N/A</v>
      </c>
      <c r="AC154" s="164">
        <f>MATCH(AG154,AZ1:AZ51,1)</f>
        <v>6</v>
      </c>
      <c r="AD154" s="164" t="e">
        <f>MATCH(AG154,BD1:BD51,1)</f>
        <v>#N/A</v>
      </c>
      <c r="AE154" s="164">
        <v>5</v>
      </c>
      <c r="AF154" s="164">
        <v>31</v>
      </c>
      <c r="AG154" s="179">
        <f>FIXED('HourGH-AUG'!AB43)*1</f>
        <v>338.21</v>
      </c>
      <c r="AH154" s="164" t="str">
        <f>IF(AND(AE154=AP5,AE154=AR5,AF154&gt;=AQ5,AF154&lt;=AS5),"r1",IF(AND(AE154&gt;AP5,AE154&lt;AR5),"r1",IF(AND(AE154&gt;AP5,AE154=AR5,AF154&lt;=AS5),"r1",IF(AND(AE154=AP5,AE154&lt;AR5,AF154&gt;=AQ5),"r1","n"))))</f>
        <v>r1</v>
      </c>
      <c r="AI154" s="164" t="str">
        <f>IF(AH154&lt;&gt;"n",AH154,IF(AND(AE154=AT5,AE154=AV5,AF154&gt;=AU5,AF154&lt;=AW5),"r2",IF(AND(AE154&gt;AT5,AE154&lt;AV5),"r2",IF(AND(AE154&gt;AT5,AE154=AV5,AF154&lt;=AW5),"r2",IF(AND(AE154=AT5,AE154&lt;AV5,AF154&gt;=AU5),"r2","n")))))</f>
        <v>r1</v>
      </c>
      <c r="AJ154" s="164" t="str">
        <f>IF(AI154&lt;&gt;"n",AI154,IF(AND(AE154=AP6,AE154=AR6,AF154&gt;=AQ6,AF154&lt;=AS6),"r1",IF(AND(AE154&gt;AP6,AE154&lt;AR6),"r1",IF(AND(AE154&gt;AP6,AE154=AR6,AF154&lt;=AS6),"r1",IF(AND(AE154=AP6,AE154&lt;AR6,AF154&gt;=AQ6),"r1","n")))))</f>
        <v>r1</v>
      </c>
      <c r="AK154" s="164" t="str">
        <f>IF(AJ154&lt;&gt;"n",AJ154,IF(AND(AE154=AT6,AE154=AV6,AF154&gt;=AU6,AF154&lt;=AW6),"r2",IF(AND(AE154&gt;AT6,AE154&lt;AV6),"r2",IF(AND(AE154&gt;AT6,AE154=AV6,AF154&lt;=AW6),"r2",IF(AND(AE154=AT6,AE154&lt;AV6,AF154&gt;=AU6),"r2","n")))))</f>
        <v>r1</v>
      </c>
      <c r="AL154" s="164" t="str">
        <f>IF(AK154&lt;&gt;"n",AK154,IF(AND(AE154=AP7,AE154=AR7,AF154&gt;=AQ7,AF154&lt;=AS7),"r1",IF(AND(AE154&gt;AP7,AE154&lt;AR7),"r1",IF(AND(AE154&gt;AP7,AE154=AR7,AF154&lt;=AS7),"r1",IF(AND(AE154=AP7,AE154&lt;AR7,AF154&gt;=AQ7),"r1","n")))))</f>
        <v>r1</v>
      </c>
    </row>
    <row r="155" spans="26:38" ht="17.100000000000001" hidden="1" customHeight="1">
      <c r="Z155" s="176">
        <f t="shared" si="12"/>
        <v>47.174999999998853</v>
      </c>
      <c r="AA155" s="176">
        <f>IF(TRIM(AG155)="","",IF(INDEX(AZ1:AZ51,AC155)=AG155,INDEX(BA1:BA51,AC155),((AG155-INDEX(AZ1:AZ51,AC155))*(INDEX(BA1:BA51,AC155+1)-INDEX(BA1:BA51,AC155)))/(INDEX(AZ1:AZ51,AC155+1)-INDEX(AZ1:AZ51,AC155))+INDEX(BA1:BA51,AC155)))</f>
        <v>47.174999999998853</v>
      </c>
      <c r="AB155" s="176" t="e">
        <f>IF(TRIM(AG155)="","",IF(INDEX(BD1:BD51,AD155)=AG155,INDEX(BE1:BE51,AD155),((AG155-INDEX(BD1:BD51,AD155))*(INDEX(BE1:BE51,AD155+1)-INDEX(BE1:BE51,AD155)))/(INDEX(BD1:BD51,AD155+1)-INDEX(BD1:BD51,AD155))+INDEX(BE1:BE51,AD155)))</f>
        <v>#N/A</v>
      </c>
      <c r="AC155" s="164">
        <f>MATCH(AG155,AZ1:AZ51,1)</f>
        <v>8</v>
      </c>
      <c r="AD155" s="164" t="e">
        <f>MATCH(AG155,BD1:BD51,1)</f>
        <v>#N/A</v>
      </c>
      <c r="AE155" s="164">
        <v>6</v>
      </c>
      <c r="AF155" s="164">
        <v>1</v>
      </c>
      <c r="AG155" s="179">
        <f>FIXED('HourGH-SEP'!AB11)*1</f>
        <v>338.89</v>
      </c>
      <c r="AH155" s="164" t="str">
        <f>IF(AND(AE155=AP5,AE155=AR5,AF155&gt;=AQ5,AF155&lt;=AS5),"r1",IF(AND(AE155&gt;AP5,AE155&lt;AR5),"r1",IF(AND(AE155&gt;AP5,AE155=AR5,AF155&lt;=AS5),"r1",IF(AND(AE155=AP5,AE155&lt;AR5,AF155&gt;=AQ5),"r1","n"))))</f>
        <v>r1</v>
      </c>
      <c r="AI155" s="164" t="str">
        <f>IF(AH155&lt;&gt;"n",AH155,IF(AND(AE155=AT5,AE155=AV5,AF155&gt;=AU5,AF155&lt;=AW5),"r2",IF(AND(AE155&gt;AT5,AE155&lt;AV5),"r2",IF(AND(AE155&gt;AT5,AE155=AV5,AF155&lt;=AW5),"r2",IF(AND(AE155=AT5,AE155&lt;AV5,AF155&gt;=AU5),"r2","n")))))</f>
        <v>r1</v>
      </c>
      <c r="AJ155" s="164" t="str">
        <f>IF(AI155&lt;&gt;"n",AI155,IF(AND(AE155=AP6,AE155=AR6,AF155&gt;=AQ6,AF155&lt;=AS6),"r1",IF(AND(AE155&gt;AP6,AE155&lt;AR6),"r1",IF(AND(AE155&gt;AP6,AE155=AR6,AF155&lt;=AS6),"r1",IF(AND(AE155=AP6,AE155&lt;AR6,AF155&gt;=AQ6),"r1","n")))))</f>
        <v>r1</v>
      </c>
      <c r="AK155" s="164" t="str">
        <f>IF(AJ155&lt;&gt;"n",AJ155,IF(AND(AE155=AT6,AE155=AV6,AF155&gt;=AU6,AF155&lt;=AW6),"r2",IF(AND(AE155&gt;AT6,AE155&lt;AV6),"r2",IF(AND(AE155&gt;AT6,AE155=AV6,AF155&lt;=AW6),"r2",IF(AND(AE155=AT6,AE155&lt;AV6,AF155&gt;=AU6),"r2","n")))))</f>
        <v>r1</v>
      </c>
      <c r="AL155" s="164" t="str">
        <f>IF(AK155&lt;&gt;"n",AK155,IF(AND(AE155=AP7,AE155=AR7,AF155&gt;=AQ7,AF155&lt;=AS7),"r1",IF(AND(AE155&gt;AP7,AE155&lt;AR7),"r1",IF(AND(AE155&gt;AP7,AE155=AR7,AF155&lt;=AS7),"r1",IF(AND(AE155=AP7,AE155&lt;AR7,AF155&gt;=AQ7),"r1","n")))))</f>
        <v>r1</v>
      </c>
    </row>
    <row r="156" spans="26:38" ht="17.100000000000001" hidden="1" customHeight="1">
      <c r="Z156" s="176">
        <f t="shared" si="12"/>
        <v>39.999999999999147</v>
      </c>
      <c r="AA156" s="176">
        <f>IF(TRIM(AG156)="","",IF(INDEX(AZ1:AZ51,AC156)=AG156,INDEX(BA1:BA51,AC156),((AG156-INDEX(AZ1:AZ51,AC156))*(INDEX(BA1:BA51,AC156+1)-INDEX(BA1:BA51,AC156)))/(INDEX(AZ1:AZ51,AC156+1)-INDEX(AZ1:AZ51,AC156))+INDEX(BA1:BA51,AC156)))</f>
        <v>39.999999999999147</v>
      </c>
      <c r="AB156" s="176" t="e">
        <f>IF(TRIM(AG156)="","",IF(INDEX(BD1:BD51,AD156)=AG156,INDEX(BE1:BE51,AD156),((AG156-INDEX(BD1:BD51,AD156))*(INDEX(BE1:BE51,AD156+1)-INDEX(BE1:BE51,AD156)))/(INDEX(BD1:BD51,AD156+1)-INDEX(BD1:BD51,AD156))+INDEX(BE1:BE51,AD156)))</f>
        <v>#N/A</v>
      </c>
      <c r="AC156" s="164">
        <f>MATCH(AG156,AZ1:AZ51,1)</f>
        <v>7</v>
      </c>
      <c r="AD156" s="164" t="e">
        <f>MATCH(AG156,BD1:BD51,1)</f>
        <v>#N/A</v>
      </c>
      <c r="AE156" s="164">
        <v>6</v>
      </c>
      <c r="AF156" s="164">
        <v>2</v>
      </c>
      <c r="AG156" s="179">
        <f>FIXED('HourGH-SEP'!AB12)*1</f>
        <v>338.76</v>
      </c>
      <c r="AH156" s="164" t="str">
        <f>IF(AND(AE156=AP5,AE156=AR5,AF156&gt;=AQ5,AF156&lt;=AS5),"r1",IF(AND(AE156&gt;AP5,AE156&lt;AR5),"r1",IF(AND(AE156&gt;AP5,AE156=AR5,AF156&lt;=AS5),"r1",IF(AND(AE156=AP5,AE156&lt;AR5,AF156&gt;=AQ5),"r1","n"))))</f>
        <v>r1</v>
      </c>
      <c r="AI156" s="164" t="str">
        <f>IF(AH156&lt;&gt;"n",AH156,IF(AND(AE156=AT5,AE156=AV5,AF156&gt;=AU5,AF156&lt;=AW5),"r2",IF(AND(AE156&gt;AT5,AE156&lt;AV5),"r2",IF(AND(AE156&gt;AT5,AE156=AV5,AF156&lt;=AW5),"r2",IF(AND(AE156=AT5,AE156&lt;AV5,AF156&gt;=AU5),"r2","n")))))</f>
        <v>r1</v>
      </c>
      <c r="AJ156" s="164" t="str">
        <f>IF(AI156&lt;&gt;"n",AI156,IF(AND(AE156=AP6,AE156=AR6,AF156&gt;=AQ6,AF156&lt;=AS6),"r1",IF(AND(AE156&gt;AP6,AE156&lt;AR6),"r1",IF(AND(AE156&gt;AP6,AE156=AR6,AF156&lt;=AS6),"r1",IF(AND(AE156=AP6,AE156&lt;AR6,AF156&gt;=AQ6),"r1","n")))))</f>
        <v>r1</v>
      </c>
      <c r="AK156" s="164" t="str">
        <f>IF(AJ156&lt;&gt;"n",AJ156,IF(AND(AE156=AT6,AE156=AV6,AF156&gt;=AU6,AF156&lt;=AW6),"r2",IF(AND(AE156&gt;AT6,AE156&lt;AV6),"r2",IF(AND(AE156&gt;AT6,AE156=AV6,AF156&lt;=AW6),"r2",IF(AND(AE156=AT6,AE156&lt;AV6,AF156&gt;=AU6),"r2","n")))))</f>
        <v>r1</v>
      </c>
      <c r="AL156" s="164" t="str">
        <f>IF(AK156&lt;&gt;"n",AK156,IF(AND(AE156=AP7,AE156=AR7,AF156&gt;=AQ7,AF156&lt;=AS7),"r1",IF(AND(AE156&gt;AP7,AE156&lt;AR7),"r1",IF(AND(AE156&gt;AP7,AE156=AR7,AF156&lt;=AS7),"r1",IF(AND(AE156=AP7,AE156&lt;AR7,AF156&gt;=AQ7),"r1","n")))))</f>
        <v>r1</v>
      </c>
    </row>
    <row r="157" spans="26:38" ht="17.100000000000001" hidden="1" customHeight="1">
      <c r="Z157" s="176">
        <f t="shared" si="12"/>
        <v>22.500000000002345</v>
      </c>
      <c r="AA157" s="176">
        <f>IF(TRIM(AG157)="","",IF(INDEX(AZ1:AZ51,AC157)=AG157,INDEX(BA1:BA51,AC157),((AG157-INDEX(AZ1:AZ51,AC157))*(INDEX(BA1:BA51,AC157+1)-INDEX(BA1:BA51,AC157)))/(INDEX(AZ1:AZ51,AC157+1)-INDEX(AZ1:AZ51,AC157))+INDEX(BA1:BA51,AC157)))</f>
        <v>22.500000000002345</v>
      </c>
      <c r="AB157" s="176" t="e">
        <f>IF(TRIM(AG157)="","",IF(INDEX(BD1:BD51,AD157)=AG157,INDEX(BE1:BE51,AD157),((AG157-INDEX(BD1:BD51,AD157))*(INDEX(BE1:BE51,AD157+1)-INDEX(BE1:BE51,AD157)))/(INDEX(BD1:BD51,AD157+1)-INDEX(BD1:BD51,AD157))+INDEX(BE1:BE51,AD157)))</f>
        <v>#N/A</v>
      </c>
      <c r="AC157" s="164">
        <f>MATCH(AG157,AZ1:AZ51,1)</f>
        <v>7</v>
      </c>
      <c r="AD157" s="164" t="e">
        <f>MATCH(AG157,BD1:BD51,1)</f>
        <v>#N/A</v>
      </c>
      <c r="AE157" s="164">
        <v>6</v>
      </c>
      <c r="AF157" s="164">
        <v>3</v>
      </c>
      <c r="AG157" s="179">
        <f>FIXED('HourGH-SEP'!AB13)*1</f>
        <v>338.41</v>
      </c>
      <c r="AH157" s="164" t="str">
        <f>IF(AND(AE157=AP5,AE157=AR5,AF157&gt;=AQ5,AF157&lt;=AS5),"r1",IF(AND(AE157&gt;AP5,AE157&lt;AR5),"r1",IF(AND(AE157&gt;AP5,AE157=AR5,AF157&lt;=AS5),"r1",IF(AND(AE157=AP5,AE157&lt;AR5,AF157&gt;=AQ5),"r1","n"))))</f>
        <v>r1</v>
      </c>
      <c r="AI157" s="164" t="str">
        <f>IF(AH157&lt;&gt;"n",AH157,IF(AND(AE157=AT5,AE157=AV5,AF157&gt;=AU5,AF157&lt;=AW5),"r2",IF(AND(AE157&gt;AT5,AE157&lt;AV5),"r2",IF(AND(AE157&gt;AT5,AE157=AV5,AF157&lt;=AW5),"r2",IF(AND(AE157=AT5,AE157&lt;AV5,AF157&gt;=AU5),"r2","n")))))</f>
        <v>r1</v>
      </c>
      <c r="AJ157" s="164" t="str">
        <f>IF(AI157&lt;&gt;"n",AI157,IF(AND(AE157=AP6,AE157=AR6,AF157&gt;=AQ6,AF157&lt;=AS6),"r1",IF(AND(AE157&gt;AP6,AE157&lt;AR6),"r1",IF(AND(AE157&gt;AP6,AE157=AR6,AF157&lt;=AS6),"r1",IF(AND(AE157=AP6,AE157&lt;AR6,AF157&gt;=AQ6),"r1","n")))))</f>
        <v>r1</v>
      </c>
      <c r="AK157" s="164" t="str">
        <f>IF(AJ157&lt;&gt;"n",AJ157,IF(AND(AE157=AT6,AE157=AV6,AF157&gt;=AU6,AF157&lt;=AW6),"r2",IF(AND(AE157&gt;AT6,AE157&lt;AV6),"r2",IF(AND(AE157&gt;AT6,AE157=AV6,AF157&lt;=AW6),"r2",IF(AND(AE157=AT6,AE157&lt;AV6,AF157&gt;=AU6),"r2","n")))))</f>
        <v>r1</v>
      </c>
      <c r="AL157" s="164" t="str">
        <f>IF(AK157&lt;&gt;"n",AK157,IF(AND(AE157=AP7,AE157=AR7,AF157&gt;=AQ7,AF157&lt;=AS7),"r1",IF(AND(AE157&gt;AP7,AE157&lt;AR7),"r1",IF(AND(AE157&gt;AP7,AE157=AR7,AF157&lt;=AS7),"r1",IF(AND(AE157=AP7,AE157&lt;AR7,AF157&gt;=AQ7),"r1","n")))))</f>
        <v>r1</v>
      </c>
    </row>
    <row r="158" spans="26:38" ht="17.100000000000001" hidden="1" customHeight="1">
      <c r="Z158" s="176">
        <f t="shared" si="12"/>
        <v>16.149999999999871</v>
      </c>
      <c r="AA158" s="176">
        <f>IF(TRIM(AG158)="","",IF(INDEX(AZ1:AZ51,AC158)=AG158,INDEX(BA1:BA51,AC158),((AG158-INDEX(AZ1:AZ51,AC158))*(INDEX(BA1:BA51,AC158+1)-INDEX(BA1:BA51,AC158)))/(INDEX(AZ1:AZ51,AC158+1)-INDEX(AZ1:AZ51,AC158))+INDEX(BA1:BA51,AC158)))</f>
        <v>16.149999999999871</v>
      </c>
      <c r="AB158" s="176" t="e">
        <f>IF(TRIM(AG158)="","",IF(INDEX(BD1:BD51,AD158)=AG158,INDEX(BE1:BE51,AD158),((AG158-INDEX(BD1:BD51,AD158))*(INDEX(BE1:BE51,AD158+1)-INDEX(BE1:BE51,AD158)))/(INDEX(BD1:BD51,AD158+1)-INDEX(BD1:BD51,AD158))+INDEX(BE1:BE51,AD158)))</f>
        <v>#N/A</v>
      </c>
      <c r="AC158" s="164">
        <f>MATCH(AG158,AZ1:AZ51,1)</f>
        <v>6</v>
      </c>
      <c r="AD158" s="164" t="e">
        <f>MATCH(AG158,BD1:BD51,1)</f>
        <v>#N/A</v>
      </c>
      <c r="AE158" s="164">
        <v>6</v>
      </c>
      <c r="AF158" s="164">
        <v>4</v>
      </c>
      <c r="AG158" s="179">
        <f>FIXED('HourGH-SEP'!AB14)*1</f>
        <v>338.27</v>
      </c>
      <c r="AH158" s="164" t="str">
        <f>IF(AND(AE158=AP5,AE158=AR5,AF158&gt;=AQ5,AF158&lt;=AS5),"r1",IF(AND(AE158&gt;AP5,AE158&lt;AR5),"r1",IF(AND(AE158&gt;AP5,AE158=AR5,AF158&lt;=AS5),"r1",IF(AND(AE158=AP5,AE158&lt;AR5,AF158&gt;=AQ5),"r1","n"))))</f>
        <v>r1</v>
      </c>
      <c r="AI158" s="164" t="str">
        <f>IF(AH158&lt;&gt;"n",AH158,IF(AND(AE158=AT5,AE158=AV5,AF158&gt;=AU5,AF158&lt;=AW5),"r2",IF(AND(AE158&gt;AT5,AE158&lt;AV5),"r2",IF(AND(AE158&gt;AT5,AE158=AV5,AF158&lt;=AW5),"r2",IF(AND(AE158=AT5,AE158&lt;AV5,AF158&gt;=AU5),"r2","n")))))</f>
        <v>r1</v>
      </c>
      <c r="AJ158" s="164" t="str">
        <f>IF(AI158&lt;&gt;"n",AI158,IF(AND(AE158=AP6,AE158=AR6,AF158&gt;=AQ6,AF158&lt;=AS6),"r1",IF(AND(AE158&gt;AP6,AE158&lt;AR6),"r1",IF(AND(AE158&gt;AP6,AE158=AR6,AF158&lt;=AS6),"r1",IF(AND(AE158=AP6,AE158&lt;AR6,AF158&gt;=AQ6),"r1","n")))))</f>
        <v>r1</v>
      </c>
      <c r="AK158" s="164" t="str">
        <f>IF(AJ158&lt;&gt;"n",AJ158,IF(AND(AE158=AT6,AE158=AV6,AF158&gt;=AU6,AF158&lt;=AW6),"r2",IF(AND(AE158&gt;AT6,AE158&lt;AV6),"r2",IF(AND(AE158&gt;AT6,AE158=AV6,AF158&lt;=AW6),"r2",IF(AND(AE158=AT6,AE158&lt;AV6,AF158&gt;=AU6),"r2","n")))))</f>
        <v>r1</v>
      </c>
      <c r="AL158" s="164" t="str">
        <f>IF(AK158&lt;&gt;"n",AK158,IF(AND(AE158=AP7,AE158=AR7,AF158&gt;=AQ7,AF158&lt;=AS7),"r1",IF(AND(AE158&gt;AP7,AE158&lt;AR7),"r1",IF(AND(AE158&gt;AP7,AE158=AR7,AF158&lt;=AS7),"r1",IF(AND(AE158=AP7,AE158&lt;AR7,AF158&gt;=AQ7),"r1","n")))))</f>
        <v>r1</v>
      </c>
    </row>
    <row r="159" spans="26:38" ht="17.100000000000001" hidden="1" customHeight="1">
      <c r="Z159" s="176">
        <f t="shared" si="12"/>
        <v>13.449999999999616</v>
      </c>
      <c r="AA159" s="176">
        <f>IF(TRIM(AG159)="","",IF(INDEX(AZ1:AZ51,AC159)=AG159,INDEX(BA1:BA51,AC159),((AG159-INDEX(AZ1:AZ51,AC159))*(INDEX(BA1:BA51,AC159+1)-INDEX(BA1:BA51,AC159)))/(INDEX(AZ1:AZ51,AC159+1)-INDEX(AZ1:AZ51,AC159))+INDEX(BA1:BA51,AC159)))</f>
        <v>13.449999999999616</v>
      </c>
      <c r="AB159" s="176" t="e">
        <f>IF(TRIM(AG159)="","",IF(INDEX(BD1:BD51,AD159)=AG159,INDEX(BE1:BE51,AD159),((AG159-INDEX(BD1:BD51,AD159))*(INDEX(BE1:BE51,AD159+1)-INDEX(BE1:BE51,AD159)))/(INDEX(BD1:BD51,AD159+1)-INDEX(BD1:BD51,AD159))+INDEX(BE1:BE51,AD159)))</f>
        <v>#N/A</v>
      </c>
      <c r="AC159" s="164">
        <f>MATCH(AG159,AZ1:AZ51,1)</f>
        <v>6</v>
      </c>
      <c r="AD159" s="164" t="e">
        <f>MATCH(AG159,BD1:BD51,1)</f>
        <v>#N/A</v>
      </c>
      <c r="AE159" s="164">
        <v>6</v>
      </c>
      <c r="AF159" s="164">
        <v>5</v>
      </c>
      <c r="AG159" s="179">
        <f>FIXED('HourGH-SEP'!AB15)*1</f>
        <v>338.21</v>
      </c>
      <c r="AH159" s="164" t="str">
        <f>IF(AND(AE159=AP5,AE159=AR5,AF159&gt;=AQ5,AF159&lt;=AS5),"r1",IF(AND(AE159&gt;AP5,AE159&lt;AR5),"r1",IF(AND(AE159&gt;AP5,AE159=AR5,AF159&lt;=AS5),"r1",IF(AND(AE159=AP5,AE159&lt;AR5,AF159&gt;=AQ5),"r1","n"))))</f>
        <v>r1</v>
      </c>
      <c r="AI159" s="164" t="str">
        <f>IF(AH159&lt;&gt;"n",AH159,IF(AND(AE159=AT5,AE159=AV5,AF159&gt;=AU5,AF159&lt;=AW5),"r2",IF(AND(AE159&gt;AT5,AE159&lt;AV5),"r2",IF(AND(AE159&gt;AT5,AE159=AV5,AF159&lt;=AW5),"r2",IF(AND(AE159=AT5,AE159&lt;AV5,AF159&gt;=AU5),"r2","n")))))</f>
        <v>r1</v>
      </c>
      <c r="AJ159" s="164" t="str">
        <f>IF(AI159&lt;&gt;"n",AI159,IF(AND(AE159=AP6,AE159=AR6,AF159&gt;=AQ6,AF159&lt;=AS6),"r1",IF(AND(AE159&gt;AP6,AE159&lt;AR6),"r1",IF(AND(AE159&gt;AP6,AE159=AR6,AF159&lt;=AS6),"r1",IF(AND(AE159=AP6,AE159&lt;AR6,AF159&gt;=AQ6),"r1","n")))))</f>
        <v>r1</v>
      </c>
      <c r="AK159" s="164" t="str">
        <f>IF(AJ159&lt;&gt;"n",AJ159,IF(AND(AE159=AT6,AE159=AV6,AF159&gt;=AU6,AF159&lt;=AW6),"r2",IF(AND(AE159&gt;AT6,AE159&lt;AV6),"r2",IF(AND(AE159&gt;AT6,AE159=AV6,AF159&lt;=AW6),"r2",IF(AND(AE159=AT6,AE159&lt;AV6,AF159&gt;=AU6),"r2","n")))))</f>
        <v>r1</v>
      </c>
      <c r="AL159" s="164" t="str">
        <f>IF(AK159&lt;&gt;"n",AK159,IF(AND(AE159=AP7,AE159=AR7,AF159&gt;=AQ7,AF159&lt;=AS7),"r1",IF(AND(AE159&gt;AP7,AE159&lt;AR7),"r1",IF(AND(AE159&gt;AP7,AE159=AR7,AF159&lt;=AS7),"r1",IF(AND(AE159=AP7,AE159&lt;AR7,AF159&gt;=AQ7),"r1","n")))))</f>
        <v>r1</v>
      </c>
    </row>
    <row r="160" spans="26:38" ht="17.100000000000001" hidden="1" customHeight="1">
      <c r="Z160" s="176">
        <f t="shared" si="12"/>
        <v>17.050000000001663</v>
      </c>
      <c r="AA160" s="176">
        <f>IF(TRIM(AG160)="","",IF(INDEX(AZ1:AZ51,AC160)=AG160,INDEX(BA1:BA51,AC160),((AG160-INDEX(AZ1:AZ51,AC160))*(INDEX(BA1:BA51,AC160+1)-INDEX(BA1:BA51,AC160)))/(INDEX(AZ1:AZ51,AC160+1)-INDEX(AZ1:AZ51,AC160))+INDEX(BA1:BA51,AC160)))</f>
        <v>17.050000000001663</v>
      </c>
      <c r="AB160" s="176" t="e">
        <f>IF(TRIM(AG160)="","",IF(INDEX(BD1:BD51,AD160)=AG160,INDEX(BE1:BE51,AD160),((AG160-INDEX(BD1:BD51,AD160))*(INDEX(BE1:BE51,AD160+1)-INDEX(BE1:BE51,AD160)))/(INDEX(BD1:BD51,AD160+1)-INDEX(BD1:BD51,AD160))+INDEX(BE1:BE51,AD160)))</f>
        <v>#N/A</v>
      </c>
      <c r="AC160" s="164">
        <f>MATCH(AG160,AZ1:AZ51,1)</f>
        <v>6</v>
      </c>
      <c r="AD160" s="164" t="e">
        <f>MATCH(AG160,BD1:BD51,1)</f>
        <v>#N/A</v>
      </c>
      <c r="AE160" s="164">
        <v>6</v>
      </c>
      <c r="AF160" s="164">
        <v>6</v>
      </c>
      <c r="AG160" s="179">
        <f>FIXED('HourGH-SEP'!AB16)*1</f>
        <v>338.29</v>
      </c>
      <c r="AH160" s="164" t="str">
        <f>IF(AND(AE160=AP5,AE160=AR5,AF160&gt;=AQ5,AF160&lt;=AS5),"r1",IF(AND(AE160&gt;AP5,AE160&lt;AR5),"r1",IF(AND(AE160&gt;AP5,AE160=AR5,AF160&lt;=AS5),"r1",IF(AND(AE160=AP5,AE160&lt;AR5,AF160&gt;=AQ5),"r1","n"))))</f>
        <v>r1</v>
      </c>
      <c r="AI160" s="164" t="str">
        <f>IF(AH160&lt;&gt;"n",AH160,IF(AND(AE160=AT5,AE160=AV5,AF160&gt;=AU5,AF160&lt;=AW5),"r2",IF(AND(AE160&gt;AT5,AE160&lt;AV5),"r2",IF(AND(AE160&gt;AT5,AE160=AV5,AF160&lt;=AW5),"r2",IF(AND(AE160=AT5,AE160&lt;AV5,AF160&gt;=AU5),"r2","n")))))</f>
        <v>r1</v>
      </c>
      <c r="AJ160" s="164" t="str">
        <f>IF(AI160&lt;&gt;"n",AI160,IF(AND(AE160=AP6,AE160=AR6,AF160&gt;=AQ6,AF160&lt;=AS6),"r1",IF(AND(AE160&gt;AP6,AE160&lt;AR6),"r1",IF(AND(AE160&gt;AP6,AE160=AR6,AF160&lt;=AS6),"r1",IF(AND(AE160=AP6,AE160&lt;AR6,AF160&gt;=AQ6),"r1","n")))))</f>
        <v>r1</v>
      </c>
      <c r="AK160" s="164" t="str">
        <f>IF(AJ160&lt;&gt;"n",AJ160,IF(AND(AE160=AT6,AE160=AV6,AF160&gt;=AU6,AF160&lt;=AW6),"r2",IF(AND(AE160&gt;AT6,AE160&lt;AV6),"r2",IF(AND(AE160&gt;AT6,AE160=AV6,AF160&lt;=AW6),"r2",IF(AND(AE160=AT6,AE160&lt;AV6,AF160&gt;=AU6),"r2","n")))))</f>
        <v>r1</v>
      </c>
      <c r="AL160" s="164" t="str">
        <f>IF(AK160&lt;&gt;"n",AK160,IF(AND(AE160=AP7,AE160=AR7,AF160&gt;=AQ7,AF160&lt;=AS7),"r1",IF(AND(AE160&gt;AP7,AE160&lt;AR7),"r1",IF(AND(AE160&gt;AP7,AE160=AR7,AF160&lt;=AS7),"r1",IF(AND(AE160=AP7,AE160&lt;AR7,AF160&gt;=AQ7),"r1","n")))))</f>
        <v>r1</v>
      </c>
    </row>
    <row r="161" spans="26:38" ht="17.100000000000001" hidden="1" customHeight="1">
      <c r="Z161" s="176">
        <f t="shared" si="12"/>
        <v>40.999999999998153</v>
      </c>
      <c r="AA161" s="176">
        <f>IF(TRIM(AG161)="","",IF(INDEX(AZ1:AZ51,AC161)=AG161,INDEX(BA1:BA51,AC161),((AG161-INDEX(AZ1:AZ51,AC161))*(INDEX(BA1:BA51,AC161+1)-INDEX(BA1:BA51,AC161)))/(INDEX(AZ1:AZ51,AC161+1)-INDEX(AZ1:AZ51,AC161))+INDEX(BA1:BA51,AC161)))</f>
        <v>40.999999999998153</v>
      </c>
      <c r="AB161" s="176" t="e">
        <f>IF(TRIM(AG161)="","",IF(INDEX(BD1:BD51,AD161)=AG161,INDEX(BE1:BE51,AD161),((AG161-INDEX(BD1:BD51,AD161))*(INDEX(BE1:BE51,AD161+1)-INDEX(BE1:BE51,AD161)))/(INDEX(BD1:BD51,AD161+1)-INDEX(BD1:BD51,AD161))+INDEX(BE1:BE51,AD161)))</f>
        <v>#N/A</v>
      </c>
      <c r="AC161" s="164">
        <f>MATCH(AG161,AZ1:AZ51,1)</f>
        <v>7</v>
      </c>
      <c r="AD161" s="164" t="e">
        <f>MATCH(AG161,BD1:BD51,1)</f>
        <v>#N/A</v>
      </c>
      <c r="AE161" s="164">
        <v>6</v>
      </c>
      <c r="AF161" s="164">
        <v>7</v>
      </c>
      <c r="AG161" s="179">
        <f>FIXED('HourGH-SEP'!AB17)*1</f>
        <v>338.78</v>
      </c>
      <c r="AH161" s="164" t="str">
        <f>IF(AND(AE161=AP5,AE161=AR5,AF161&gt;=AQ5,AF161&lt;=AS5),"r1",IF(AND(AE161&gt;AP5,AE161&lt;AR5),"r1",IF(AND(AE161&gt;AP5,AE161=AR5,AF161&lt;=AS5),"r1",IF(AND(AE161=AP5,AE161&lt;AR5,AF161&gt;=AQ5),"r1","n"))))</f>
        <v>r1</v>
      </c>
      <c r="AI161" s="164" t="str">
        <f>IF(AH161&lt;&gt;"n",AH161,IF(AND(AE161=AT5,AE161=AV5,AF161&gt;=AU5,AF161&lt;=AW5),"r2",IF(AND(AE161&gt;AT5,AE161&lt;AV5),"r2",IF(AND(AE161&gt;AT5,AE161=AV5,AF161&lt;=AW5),"r2",IF(AND(AE161=AT5,AE161&lt;AV5,AF161&gt;=AU5),"r2","n")))))</f>
        <v>r1</v>
      </c>
      <c r="AJ161" s="164" t="str">
        <f>IF(AI161&lt;&gt;"n",AI161,IF(AND(AE161=AP6,AE161=AR6,AF161&gt;=AQ6,AF161&lt;=AS6),"r1",IF(AND(AE161&gt;AP6,AE161&lt;AR6),"r1",IF(AND(AE161&gt;AP6,AE161=AR6,AF161&lt;=AS6),"r1",IF(AND(AE161=AP6,AE161&lt;AR6,AF161&gt;=AQ6),"r1","n")))))</f>
        <v>r1</v>
      </c>
      <c r="AK161" s="164" t="str">
        <f>IF(AJ161&lt;&gt;"n",AJ161,IF(AND(AE161=AT6,AE161=AV6,AF161&gt;=AU6,AF161&lt;=AW6),"r2",IF(AND(AE161&gt;AT6,AE161&lt;AV6),"r2",IF(AND(AE161&gt;AT6,AE161=AV6,AF161&lt;=AW6),"r2",IF(AND(AE161=AT6,AE161&lt;AV6,AF161&gt;=AU6),"r2","n")))))</f>
        <v>r1</v>
      </c>
      <c r="AL161" s="164" t="str">
        <f>IF(AK161&lt;&gt;"n",AK161,IF(AND(AE161=AP7,AE161=AR7,AF161&gt;=AQ7,AF161&lt;=AS7),"r1",IF(AND(AE161&gt;AP7,AE161&lt;AR7),"r1",IF(AND(AE161&gt;AP7,AE161=AR7,AF161&lt;=AS7),"r1",IF(AND(AE161=AP7,AE161&lt;AR7,AF161&gt;=AQ7),"r1","n")))))</f>
        <v>r1</v>
      </c>
    </row>
    <row r="162" spans="26:38" ht="17.100000000000001" hidden="1" customHeight="1">
      <c r="Z162" s="176">
        <f t="shared" si="12"/>
        <v>73.150000000001299</v>
      </c>
      <c r="AA162" s="176">
        <f>IF(TRIM(AG162)="","",IF(INDEX(AZ1:AZ51,AC162)=AG162,INDEX(BA1:BA51,AC162),((AG162-INDEX(AZ1:AZ51,AC162))*(INDEX(BA1:BA51,AC162+1)-INDEX(BA1:BA51,AC162)))/(INDEX(AZ1:AZ51,AC162+1)-INDEX(AZ1:AZ51,AC162))+INDEX(BA1:BA51,AC162)))</f>
        <v>73.150000000001299</v>
      </c>
      <c r="AB162" s="176" t="e">
        <f>IF(TRIM(AG162)="","",IF(INDEX(BD1:BD51,AD162)=AG162,INDEX(BE1:BE51,AD162),((AG162-INDEX(BD1:BD51,AD162))*(INDEX(BE1:BE51,AD162+1)-INDEX(BE1:BE51,AD162)))/(INDEX(BD1:BD51,AD162+1)-INDEX(BD1:BD51,AD162))+INDEX(BE1:BE51,AD162)))</f>
        <v>#N/A</v>
      </c>
      <c r="AC162" s="164">
        <f>MATCH(AG162,AZ1:AZ51,1)</f>
        <v>10</v>
      </c>
      <c r="AD162" s="164" t="e">
        <f>MATCH(AG162,BD1:BD51,1)</f>
        <v>#N/A</v>
      </c>
      <c r="AE162" s="164">
        <v>6</v>
      </c>
      <c r="AF162" s="164">
        <v>8</v>
      </c>
      <c r="AG162" s="179">
        <f>FIXED('HourGH-SEP'!AB18)*1</f>
        <v>339.31</v>
      </c>
      <c r="AH162" s="164" t="str">
        <f>IF(AND(AE162=AP5,AE162=AR5,AF162&gt;=AQ5,AF162&lt;=AS5),"r1",IF(AND(AE162&gt;AP5,AE162&lt;AR5),"r1",IF(AND(AE162&gt;AP5,AE162=AR5,AF162&lt;=AS5),"r1",IF(AND(AE162=AP5,AE162&lt;AR5,AF162&gt;=AQ5),"r1","n"))))</f>
        <v>r1</v>
      </c>
      <c r="AI162" s="164" t="str">
        <f>IF(AH162&lt;&gt;"n",AH162,IF(AND(AE162=AT5,AE162=AV5,AF162&gt;=AU5,AF162&lt;=AW5),"r2",IF(AND(AE162&gt;AT5,AE162&lt;AV5),"r2",IF(AND(AE162&gt;AT5,AE162=AV5,AF162&lt;=AW5),"r2",IF(AND(AE162=AT5,AE162&lt;AV5,AF162&gt;=AU5),"r2","n")))))</f>
        <v>r1</v>
      </c>
      <c r="AJ162" s="164" t="str">
        <f>IF(AI162&lt;&gt;"n",AI162,IF(AND(AE162=AP6,AE162=AR6,AF162&gt;=AQ6,AF162&lt;=AS6),"r1",IF(AND(AE162&gt;AP6,AE162&lt;AR6),"r1",IF(AND(AE162&gt;AP6,AE162=AR6,AF162&lt;=AS6),"r1",IF(AND(AE162=AP6,AE162&lt;AR6,AF162&gt;=AQ6),"r1","n")))))</f>
        <v>r1</v>
      </c>
      <c r="AK162" s="164" t="str">
        <f>IF(AJ162&lt;&gt;"n",AJ162,IF(AND(AE162=AT6,AE162=AV6,AF162&gt;=AU6,AF162&lt;=AW6),"r2",IF(AND(AE162&gt;AT6,AE162&lt;AV6),"r2",IF(AND(AE162&gt;AT6,AE162=AV6,AF162&lt;=AW6),"r2",IF(AND(AE162=AT6,AE162&lt;AV6,AF162&gt;=AU6),"r2","n")))))</f>
        <v>r1</v>
      </c>
      <c r="AL162" s="164" t="str">
        <f>IF(AK162&lt;&gt;"n",AK162,IF(AND(AE162=AP7,AE162=AR7,AF162&gt;=AQ7,AF162&lt;=AS7),"r1",IF(AND(AE162&gt;AP7,AE162&lt;AR7),"r1",IF(AND(AE162&gt;AP7,AE162=AR7,AF162&lt;=AS7),"r1",IF(AND(AE162=AP7,AE162&lt;AR7,AF162&gt;=AQ7),"r1","n")))))</f>
        <v>r1</v>
      </c>
    </row>
    <row r="163" spans="26:38" ht="17.100000000000001" hidden="1" customHeight="1">
      <c r="Z163" s="176">
        <f t="shared" si="12"/>
        <v>120.5</v>
      </c>
      <c r="AA163" s="176">
        <f>IF(TRIM(AG163)="","",IF(INDEX(AZ1:AZ51,AC163)=AG163,INDEX(BA1:BA51,AC163),((AG163-INDEX(AZ1:AZ51,AC163))*(INDEX(BA1:BA51,AC163+1)-INDEX(BA1:BA51,AC163)))/(INDEX(AZ1:AZ51,AC163+1)-INDEX(AZ1:AZ51,AC163))+INDEX(BA1:BA51,AC163)))</f>
        <v>120.5</v>
      </c>
      <c r="AB163" s="176" t="e">
        <f>IF(TRIM(AG163)="","",IF(INDEX(BD1:BD51,AD163)=AG163,INDEX(BE1:BE51,AD163),((AG163-INDEX(BD1:BD51,AD163))*(INDEX(BE1:BE51,AD163+1)-INDEX(BE1:BE51,AD163)))/(INDEX(BD1:BD51,AD163+1)-INDEX(BD1:BD51,AD163))+INDEX(BE1:BE51,AD163)))</f>
        <v>#N/A</v>
      </c>
      <c r="AC163" s="164">
        <f>MATCH(AG163,AZ1:AZ51,1)</f>
        <v>12</v>
      </c>
      <c r="AD163" s="164" t="e">
        <f>MATCH(AG163,BD1:BD51,1)</f>
        <v>#N/A</v>
      </c>
      <c r="AE163" s="164">
        <v>6</v>
      </c>
      <c r="AF163" s="164">
        <v>9</v>
      </c>
      <c r="AG163" s="179">
        <f>FIXED('HourGH-SEP'!AB19)*1</f>
        <v>340</v>
      </c>
      <c r="AH163" s="164" t="str">
        <f>IF(AND(AE163=AP5,AE163=AR5,AF163&gt;=AQ5,AF163&lt;=AS5),"r1",IF(AND(AE163&gt;AP5,AE163&lt;AR5),"r1",IF(AND(AE163&gt;AP5,AE163=AR5,AF163&lt;=AS5),"r1",IF(AND(AE163=AP5,AE163&lt;AR5,AF163&gt;=AQ5),"r1","n"))))</f>
        <v>r1</v>
      </c>
      <c r="AI163" s="164" t="str">
        <f>IF(AH163&lt;&gt;"n",AH163,IF(AND(AE163=AT5,AE163=AV5,AF163&gt;=AU5,AF163&lt;=AW5),"r2",IF(AND(AE163&gt;AT5,AE163&lt;AV5),"r2",IF(AND(AE163&gt;AT5,AE163=AV5,AF163&lt;=AW5),"r2",IF(AND(AE163=AT5,AE163&lt;AV5,AF163&gt;=AU5),"r2","n")))))</f>
        <v>r1</v>
      </c>
      <c r="AJ163" s="164" t="str">
        <f>IF(AI163&lt;&gt;"n",AI163,IF(AND(AE163=AP6,AE163=AR6,AF163&gt;=AQ6,AF163&lt;=AS6),"r1",IF(AND(AE163&gt;AP6,AE163&lt;AR6),"r1",IF(AND(AE163&gt;AP6,AE163=AR6,AF163&lt;=AS6),"r1",IF(AND(AE163=AP6,AE163&lt;AR6,AF163&gt;=AQ6),"r1","n")))))</f>
        <v>r1</v>
      </c>
      <c r="AK163" s="164" t="str">
        <f>IF(AJ163&lt;&gt;"n",AJ163,IF(AND(AE163=AT6,AE163=AV6,AF163&gt;=AU6,AF163&lt;=AW6),"r2",IF(AND(AE163&gt;AT6,AE163&lt;AV6),"r2",IF(AND(AE163&gt;AT6,AE163=AV6,AF163&lt;=AW6),"r2",IF(AND(AE163=AT6,AE163&lt;AV6,AF163&gt;=AU6),"r2","n")))))</f>
        <v>r1</v>
      </c>
      <c r="AL163" s="164" t="str">
        <f>IF(AK163&lt;&gt;"n",AK163,IF(AND(AE163=AP7,AE163=AR7,AF163&gt;=AQ7,AF163&lt;=AS7),"r1",IF(AND(AE163&gt;AP7,AE163&lt;AR7),"r1",IF(AND(AE163&gt;AP7,AE163=AR7,AF163&lt;=AS7),"r1",IF(AND(AE163=AP7,AE163&lt;AR7,AF163&gt;=AQ7),"r1","n")))))</f>
        <v>r1</v>
      </c>
    </row>
    <row r="164" spans="26:38" ht="17.100000000000001" hidden="1" customHeight="1">
      <c r="Z164" s="176">
        <f t="shared" si="12"/>
        <v>100.9000000000008</v>
      </c>
      <c r="AA164" s="176">
        <f>IF(TRIM(AG164)="","",IF(INDEX(AZ1:AZ51,AC164)=AG164,INDEX(BA1:BA51,AC164),((AG164-INDEX(AZ1:AZ51,AC164))*(INDEX(BA1:BA51,AC164+1)-INDEX(BA1:BA51,AC164)))/(INDEX(AZ1:AZ51,AC164+1)-INDEX(AZ1:AZ51,AC164))+INDEX(BA1:BA51,AC164)))</f>
        <v>100.9000000000008</v>
      </c>
      <c r="AB164" s="176" t="e">
        <f>IF(TRIM(AG164)="","",IF(INDEX(BD1:BD51,AD164)=AG164,INDEX(BE1:BE51,AD164),((AG164-INDEX(BD1:BD51,AD164))*(INDEX(BE1:BE51,AD164+1)-INDEX(BE1:BE51,AD164)))/(INDEX(BD1:BD51,AD164+1)-INDEX(BD1:BD51,AD164))+INDEX(BE1:BE51,AD164)))</f>
        <v>#N/A</v>
      </c>
      <c r="AC164" s="164">
        <f>MATCH(AG164,AZ1:AZ51,1)</f>
        <v>12</v>
      </c>
      <c r="AD164" s="164" t="e">
        <f>MATCH(AG164,BD1:BD51,1)</f>
        <v>#N/A</v>
      </c>
      <c r="AE164" s="164">
        <v>6</v>
      </c>
      <c r="AF164" s="164">
        <v>10</v>
      </c>
      <c r="AG164" s="179">
        <f>FIXED('HourGH-SEP'!AB20)*1</f>
        <v>339.72</v>
      </c>
      <c r="AH164" s="164" t="str">
        <f>IF(AND(AE164=AP5,AE164=AR5,AF164&gt;=AQ5,AF164&lt;=AS5),"r1",IF(AND(AE164&gt;AP5,AE164&lt;AR5),"r1",IF(AND(AE164&gt;AP5,AE164=AR5,AF164&lt;=AS5),"r1",IF(AND(AE164=AP5,AE164&lt;AR5,AF164&gt;=AQ5),"r1","n"))))</f>
        <v>r1</v>
      </c>
      <c r="AI164" s="164" t="str">
        <f>IF(AH164&lt;&gt;"n",AH164,IF(AND(AE164=AT5,AE164=AV5,AF164&gt;=AU5,AF164&lt;=AW5),"r2",IF(AND(AE164&gt;AT5,AE164&lt;AV5),"r2",IF(AND(AE164&gt;AT5,AE164=AV5,AF164&lt;=AW5),"r2",IF(AND(AE164=AT5,AE164&lt;AV5,AF164&gt;=AU5),"r2","n")))))</f>
        <v>r1</v>
      </c>
      <c r="AJ164" s="164" t="str">
        <f>IF(AI164&lt;&gt;"n",AI164,IF(AND(AE164=AP6,AE164=AR6,AF164&gt;=AQ6,AF164&lt;=AS6),"r1",IF(AND(AE164&gt;AP6,AE164&lt;AR6),"r1",IF(AND(AE164&gt;AP6,AE164=AR6,AF164&lt;=AS6),"r1",IF(AND(AE164=AP6,AE164&lt;AR6,AF164&gt;=AQ6),"r1","n")))))</f>
        <v>r1</v>
      </c>
      <c r="AK164" s="164" t="str">
        <f>IF(AJ164&lt;&gt;"n",AJ164,IF(AND(AE164=AT6,AE164=AV6,AF164&gt;=AU6,AF164&lt;=AW6),"r2",IF(AND(AE164&gt;AT6,AE164&lt;AV6),"r2",IF(AND(AE164&gt;AT6,AE164=AV6,AF164&lt;=AW6),"r2",IF(AND(AE164=AT6,AE164&lt;AV6,AF164&gt;=AU6),"r2","n")))))</f>
        <v>r1</v>
      </c>
      <c r="AL164" s="164" t="str">
        <f>IF(AK164&lt;&gt;"n",AK164,IF(AND(AE164=AP7,AE164=AR7,AF164&gt;=AQ7,AF164&lt;=AS7),"r1",IF(AND(AE164&gt;AP7,AE164&lt;AR7),"r1",IF(AND(AE164&gt;AP7,AE164=AR7,AF164&lt;=AS7),"r1",IF(AND(AE164=AP7,AE164&lt;AR7,AF164&gt;=AQ7),"r1","n")))))</f>
        <v>r1</v>
      </c>
    </row>
    <row r="165" spans="26:38" ht="17.100000000000001" hidden="1" customHeight="1">
      <c r="Z165" s="176">
        <f t="shared" si="12"/>
        <v>54.124999999999467</v>
      </c>
      <c r="AA165" s="176">
        <f>IF(TRIM(AG165)="","",IF(INDEX(AZ1:AZ51,AC165)=AG165,INDEX(BA1:BA51,AC165),((AG165-INDEX(AZ1:AZ51,AC165))*(INDEX(BA1:BA51,AC165+1)-INDEX(BA1:BA51,AC165)))/(INDEX(AZ1:AZ51,AC165+1)-INDEX(AZ1:AZ51,AC165))+INDEX(BA1:BA51,AC165)))</f>
        <v>54.124999999999467</v>
      </c>
      <c r="AB165" s="176" t="e">
        <f>IF(TRIM(AG165)="","",IF(INDEX(BD1:BD51,AD165)=AG165,INDEX(BE1:BE51,AD165),((AG165-INDEX(BD1:BD51,AD165))*(INDEX(BE1:BE51,AD165+1)-INDEX(BE1:BE51,AD165)))/(INDEX(BD1:BD51,AD165+1)-INDEX(BD1:BD51,AD165))+INDEX(BE1:BE51,AD165)))</f>
        <v>#N/A</v>
      </c>
      <c r="AC165" s="164">
        <f>MATCH(AG165,AZ1:AZ51,1)</f>
        <v>9</v>
      </c>
      <c r="AD165" s="164" t="e">
        <f>MATCH(AG165,BD1:BD51,1)</f>
        <v>#N/A</v>
      </c>
      <c r="AE165" s="164">
        <v>6</v>
      </c>
      <c r="AF165" s="164">
        <v>11</v>
      </c>
      <c r="AG165" s="179">
        <f>FIXED('HourGH-SEP'!AB22)*1</f>
        <v>339.01</v>
      </c>
      <c r="AH165" s="164" t="str">
        <f>IF(AND(AE165=AP5,AE165=AR5,AF165&gt;=AQ5,AF165&lt;=AS5),"r1",IF(AND(AE165&gt;AP5,AE165&lt;AR5),"r1",IF(AND(AE165&gt;AP5,AE165=AR5,AF165&lt;=AS5),"r1",IF(AND(AE165=AP5,AE165&lt;AR5,AF165&gt;=AQ5),"r1","n"))))</f>
        <v>r1</v>
      </c>
      <c r="AI165" s="164" t="str">
        <f>IF(AH165&lt;&gt;"n",AH165,IF(AND(AE165=AT5,AE165=AV5,AF165&gt;=AU5,AF165&lt;=AW5),"r2",IF(AND(AE165&gt;AT5,AE165&lt;AV5),"r2",IF(AND(AE165&gt;AT5,AE165=AV5,AF165&lt;=AW5),"r2",IF(AND(AE165=AT5,AE165&lt;AV5,AF165&gt;=AU5),"r2","n")))))</f>
        <v>r1</v>
      </c>
      <c r="AJ165" s="164" t="str">
        <f>IF(AI165&lt;&gt;"n",AI165,IF(AND(AE165=AP6,AE165=AR6,AF165&gt;=AQ6,AF165&lt;=AS6),"r1",IF(AND(AE165&gt;AP6,AE165&lt;AR6),"r1",IF(AND(AE165&gt;AP6,AE165=AR6,AF165&lt;=AS6),"r1",IF(AND(AE165=AP6,AE165&lt;AR6,AF165&gt;=AQ6),"r1","n")))))</f>
        <v>r1</v>
      </c>
      <c r="AK165" s="164" t="str">
        <f>IF(AJ165&lt;&gt;"n",AJ165,IF(AND(AE165=AT6,AE165=AV6,AF165&gt;=AU6,AF165&lt;=AW6),"r2",IF(AND(AE165&gt;AT6,AE165&lt;AV6),"r2",IF(AND(AE165&gt;AT6,AE165=AV6,AF165&lt;=AW6),"r2",IF(AND(AE165=AT6,AE165&lt;AV6,AF165&gt;=AU6),"r2","n")))))</f>
        <v>r1</v>
      </c>
      <c r="AL165" s="164" t="str">
        <f>IF(AK165&lt;&gt;"n",AK165,IF(AND(AE165=AP7,AE165=AR7,AF165&gt;=AQ7,AF165&lt;=AS7),"r1",IF(AND(AE165&gt;AP7,AE165&lt;AR7),"r1",IF(AND(AE165&gt;AP7,AE165=AR7,AF165&lt;=AS7),"r1",IF(AND(AE165=AP7,AE165&lt;AR7,AF165&gt;=AQ7),"r1","n")))))</f>
        <v>r1</v>
      </c>
    </row>
    <row r="166" spans="26:38" ht="17.100000000000001" hidden="1" customHeight="1">
      <c r="Z166" s="176">
        <f t="shared" si="12"/>
        <v>42</v>
      </c>
      <c r="AA166" s="176">
        <f>IF(TRIM(AG166)="","",IF(INDEX(AZ1:AZ51,AC166)=AG166,INDEX(BA1:BA51,AC166),((AG166-INDEX(AZ1:AZ51,AC166))*(INDEX(BA1:BA51,AC166+1)-INDEX(BA1:BA51,AC166)))/(INDEX(AZ1:AZ51,AC166+1)-INDEX(AZ1:AZ51,AC166))+INDEX(BA1:BA51,AC166)))</f>
        <v>42</v>
      </c>
      <c r="AB166" s="176" t="e">
        <f>IF(TRIM(AG166)="","",IF(INDEX(BD1:BD51,AD166)=AG166,INDEX(BE1:BE51,AD166),((AG166-INDEX(BD1:BD51,AD166))*(INDEX(BE1:BE51,AD166+1)-INDEX(BE1:BE51,AD166)))/(INDEX(BD1:BD51,AD166+1)-INDEX(BD1:BD51,AD166))+INDEX(BE1:BE51,AD166)))</f>
        <v>#N/A</v>
      </c>
      <c r="AC166" s="164">
        <f>MATCH(AG166,AZ1:AZ51,1)</f>
        <v>8</v>
      </c>
      <c r="AD166" s="164" t="e">
        <f>MATCH(AG166,BD1:BD51,1)</f>
        <v>#N/A</v>
      </c>
      <c r="AE166" s="164">
        <v>6</v>
      </c>
      <c r="AF166" s="164">
        <v>12</v>
      </c>
      <c r="AG166" s="179">
        <f>FIXED('HourGH-SEP'!AB23)*1</f>
        <v>338.8</v>
      </c>
      <c r="AH166" s="164" t="str">
        <f>IF(AND(AE166=AP5,AE166=AR5,AF166&gt;=AQ5,AF166&lt;=AS5),"r1",IF(AND(AE166&gt;AP5,AE166&lt;AR5),"r1",IF(AND(AE166&gt;AP5,AE166=AR5,AF166&lt;=AS5),"r1",IF(AND(AE166=AP5,AE166&lt;AR5,AF166&gt;=AQ5),"r1","n"))))</f>
        <v>r1</v>
      </c>
      <c r="AI166" s="164" t="str">
        <f>IF(AH166&lt;&gt;"n",AH166,IF(AND(AE166=AT5,AE166=AV5,AF166&gt;=AU5,AF166&lt;=AW5),"r2",IF(AND(AE166&gt;AT5,AE166&lt;AV5),"r2",IF(AND(AE166&gt;AT5,AE166=AV5,AF166&lt;=AW5),"r2",IF(AND(AE166=AT5,AE166&lt;AV5,AF166&gt;=AU5),"r2","n")))))</f>
        <v>r1</v>
      </c>
      <c r="AJ166" s="164" t="str">
        <f>IF(AI166&lt;&gt;"n",AI166,IF(AND(AE166=AP6,AE166=AR6,AF166&gt;=AQ6,AF166&lt;=AS6),"r1",IF(AND(AE166&gt;AP6,AE166&lt;AR6),"r1",IF(AND(AE166&gt;AP6,AE166=AR6,AF166&lt;=AS6),"r1",IF(AND(AE166=AP6,AE166&lt;AR6,AF166&gt;=AQ6),"r1","n")))))</f>
        <v>r1</v>
      </c>
      <c r="AK166" s="164" t="str">
        <f>IF(AJ166&lt;&gt;"n",AJ166,IF(AND(AE166=AT6,AE166=AV6,AF166&gt;=AU6,AF166&lt;=AW6),"r2",IF(AND(AE166&gt;AT6,AE166&lt;AV6),"r2",IF(AND(AE166&gt;AT6,AE166=AV6,AF166&lt;=AW6),"r2",IF(AND(AE166=AT6,AE166&lt;AV6,AF166&gt;=AU6),"r2","n")))))</f>
        <v>r1</v>
      </c>
      <c r="AL166" s="164" t="str">
        <f>IF(AK166&lt;&gt;"n",AK166,IF(AND(AE166=AP7,AE166=AR7,AF166&gt;=AQ7,AF166&lt;=AS7),"r1",IF(AND(AE166&gt;AP7,AE166&lt;AR7),"r1",IF(AND(AE166&gt;AP7,AE166=AR7,AF166&lt;=AS7),"r1",IF(AND(AE166=AP7,AE166&lt;AR7,AF166&gt;=AQ7),"r1","n")))))</f>
        <v>r1</v>
      </c>
    </row>
    <row r="167" spans="26:38" ht="17.100000000000001" hidden="1" customHeight="1">
      <c r="Z167" s="176">
        <f t="shared" si="12"/>
        <v>54.124999999999467</v>
      </c>
      <c r="AA167" s="176">
        <f>IF(TRIM(AG167)="","",IF(INDEX(AZ1:AZ51,AC167)=AG167,INDEX(BA1:BA51,AC167),((AG167-INDEX(AZ1:AZ51,AC167))*(INDEX(BA1:BA51,AC167+1)-INDEX(BA1:BA51,AC167)))/(INDEX(AZ1:AZ51,AC167+1)-INDEX(AZ1:AZ51,AC167))+INDEX(BA1:BA51,AC167)))</f>
        <v>54.124999999999467</v>
      </c>
      <c r="AB167" s="176" t="e">
        <f>IF(TRIM(AG167)="","",IF(INDEX(BD1:BD51,AD167)=AG167,INDEX(BE1:BE51,AD167),((AG167-INDEX(BD1:BD51,AD167))*(INDEX(BE1:BE51,AD167+1)-INDEX(BE1:BE51,AD167)))/(INDEX(BD1:BD51,AD167+1)-INDEX(BD1:BD51,AD167))+INDEX(BE1:BE51,AD167)))</f>
        <v>#N/A</v>
      </c>
      <c r="AC167" s="164">
        <f>MATCH(AG167,AZ1:AZ51,1)</f>
        <v>9</v>
      </c>
      <c r="AD167" s="164" t="e">
        <f>MATCH(AG167,BD1:BD51,1)</f>
        <v>#N/A</v>
      </c>
      <c r="AE167" s="164">
        <v>6</v>
      </c>
      <c r="AF167" s="164">
        <v>13</v>
      </c>
      <c r="AG167" s="179">
        <f>FIXED('HourGH-SEP'!AB24)*1</f>
        <v>339.01</v>
      </c>
      <c r="AH167" s="164" t="str">
        <f>IF(AND(AE167=AP5,AE167=AR5,AF167&gt;=AQ5,AF167&lt;=AS5),"r1",IF(AND(AE167&gt;AP5,AE167&lt;AR5),"r1",IF(AND(AE167&gt;AP5,AE167=AR5,AF167&lt;=AS5),"r1",IF(AND(AE167=AP5,AE167&lt;AR5,AF167&gt;=AQ5),"r1","n"))))</f>
        <v>r1</v>
      </c>
      <c r="AI167" s="164" t="str">
        <f>IF(AH167&lt;&gt;"n",AH167,IF(AND(AE167=AT5,AE167=AV5,AF167&gt;=AU5,AF167&lt;=AW5),"r2",IF(AND(AE167&gt;AT5,AE167&lt;AV5),"r2",IF(AND(AE167&gt;AT5,AE167=AV5,AF167&lt;=AW5),"r2",IF(AND(AE167=AT5,AE167&lt;AV5,AF167&gt;=AU5),"r2","n")))))</f>
        <v>r1</v>
      </c>
      <c r="AJ167" s="164" t="str">
        <f>IF(AI167&lt;&gt;"n",AI167,IF(AND(AE167=AP6,AE167=AR6,AF167&gt;=AQ6,AF167&lt;=AS6),"r1",IF(AND(AE167&gt;AP6,AE167&lt;AR6),"r1",IF(AND(AE167&gt;AP6,AE167=AR6,AF167&lt;=AS6),"r1",IF(AND(AE167=AP6,AE167&lt;AR6,AF167&gt;=AQ6),"r1","n")))))</f>
        <v>r1</v>
      </c>
      <c r="AK167" s="164" t="str">
        <f>IF(AJ167&lt;&gt;"n",AJ167,IF(AND(AE167=AT6,AE167=AV6,AF167&gt;=AU6,AF167&lt;=AW6),"r2",IF(AND(AE167&gt;AT6,AE167&lt;AV6),"r2",IF(AND(AE167&gt;AT6,AE167=AV6,AF167&lt;=AW6),"r2",IF(AND(AE167=AT6,AE167&lt;AV6,AF167&gt;=AU6),"r2","n")))))</f>
        <v>r1</v>
      </c>
      <c r="AL167" s="164" t="str">
        <f>IF(AK167&lt;&gt;"n",AK167,IF(AND(AE167=AP7,AE167=AR7,AF167&gt;=AQ7,AF167&lt;=AS7),"r1",IF(AND(AE167&gt;AP7,AE167&lt;AR7),"r1",IF(AND(AE167&gt;AP7,AE167=AR7,AF167&lt;=AS7),"r1",IF(AND(AE167=AP7,AE167&lt;AR7,AF167&gt;=AQ7),"r1","n")))))</f>
        <v>r1</v>
      </c>
    </row>
    <row r="168" spans="26:38" ht="17.100000000000001" hidden="1" customHeight="1">
      <c r="Z168" s="176">
        <f t="shared" si="12"/>
        <v>57.874999999999822</v>
      </c>
      <c r="AA168" s="176">
        <f>IF(TRIM(AG168)="","",IF(INDEX(AZ1:AZ51,AC168)=AG168,INDEX(BA1:BA51,AC168),((AG168-INDEX(AZ1:AZ51,AC168))*(INDEX(BA1:BA51,AC168+1)-INDEX(BA1:BA51,AC168)))/(INDEX(AZ1:AZ51,AC168+1)-INDEX(AZ1:AZ51,AC168))+INDEX(BA1:BA51,AC168)))</f>
        <v>57.874999999999822</v>
      </c>
      <c r="AB168" s="176" t="e">
        <f>IF(TRIM(AG168)="","",IF(INDEX(BD1:BD51,AD168)=AG168,INDEX(BE1:BE51,AD168),((AG168-INDEX(BD1:BD51,AD168))*(INDEX(BE1:BE51,AD168+1)-INDEX(BE1:BE51,AD168)))/(INDEX(BD1:BD51,AD168+1)-INDEX(BD1:BD51,AD168))+INDEX(BE1:BE51,AD168)))</f>
        <v>#N/A</v>
      </c>
      <c r="AC168" s="164">
        <f>MATCH(AG168,AZ1:AZ51,1)</f>
        <v>9</v>
      </c>
      <c r="AD168" s="164" t="e">
        <f>MATCH(AG168,BD1:BD51,1)</f>
        <v>#N/A</v>
      </c>
      <c r="AE168" s="164">
        <v>6</v>
      </c>
      <c r="AF168" s="164">
        <v>14</v>
      </c>
      <c r="AG168" s="179">
        <f>FIXED('HourGH-SEP'!AB25)*1</f>
        <v>339.07</v>
      </c>
      <c r="AH168" s="164" t="str">
        <f>IF(AND(AE168=AP5,AE168=AR5,AF168&gt;=AQ5,AF168&lt;=AS5),"r1",IF(AND(AE168&gt;AP5,AE168&lt;AR5),"r1",IF(AND(AE168&gt;AP5,AE168=AR5,AF168&lt;=AS5),"r1",IF(AND(AE168=AP5,AE168&lt;AR5,AF168&gt;=AQ5),"r1","n"))))</f>
        <v>r1</v>
      </c>
      <c r="AI168" s="164" t="str">
        <f>IF(AH168&lt;&gt;"n",AH168,IF(AND(AE168=AT5,AE168=AV5,AF168&gt;=AU5,AF168&lt;=AW5),"r2",IF(AND(AE168&gt;AT5,AE168&lt;AV5),"r2",IF(AND(AE168&gt;AT5,AE168=AV5,AF168&lt;=AW5),"r2",IF(AND(AE168=AT5,AE168&lt;AV5,AF168&gt;=AU5),"r2","n")))))</f>
        <v>r1</v>
      </c>
      <c r="AJ168" s="164" t="str">
        <f>IF(AI168&lt;&gt;"n",AI168,IF(AND(AE168=AP6,AE168=AR6,AF168&gt;=AQ6,AF168&lt;=AS6),"r1",IF(AND(AE168&gt;AP6,AE168&lt;AR6),"r1",IF(AND(AE168&gt;AP6,AE168=AR6,AF168&lt;=AS6),"r1",IF(AND(AE168=AP6,AE168&lt;AR6,AF168&gt;=AQ6),"r1","n")))))</f>
        <v>r1</v>
      </c>
      <c r="AK168" s="164" t="str">
        <f>IF(AJ168&lt;&gt;"n",AJ168,IF(AND(AE168=AT6,AE168=AV6,AF168&gt;=AU6,AF168&lt;=AW6),"r2",IF(AND(AE168&gt;AT6,AE168&lt;AV6),"r2",IF(AND(AE168&gt;AT6,AE168=AV6,AF168&lt;=AW6),"r2",IF(AND(AE168=AT6,AE168&lt;AV6,AF168&gt;=AU6),"r2","n")))))</f>
        <v>r1</v>
      </c>
      <c r="AL168" s="164" t="str">
        <f>IF(AK168&lt;&gt;"n",AK168,IF(AND(AE168=AP7,AE168=AR7,AF168&gt;=AQ7,AF168&lt;=AS7),"r1",IF(AND(AE168&gt;AP7,AE168&lt;AR7),"r1",IF(AND(AE168&gt;AP7,AE168=AR7,AF168&lt;=AS7),"r1",IF(AND(AE168=AP7,AE168&lt;AR7,AF168&gt;=AQ7),"r1","n")))))</f>
        <v>r1</v>
      </c>
    </row>
    <row r="169" spans="26:38" ht="17.100000000000001" hidden="1" customHeight="1">
      <c r="Z169" s="176">
        <f t="shared" si="12"/>
        <v>83.04999999999923</v>
      </c>
      <c r="AA169" s="176">
        <f>IF(TRIM(AG169)="","",IF(INDEX(AZ1:AZ51,AC169)=AG169,INDEX(BA1:BA51,AC169),((AG169-INDEX(AZ1:AZ51,AC169))*(INDEX(BA1:BA51,AC169+1)-INDEX(BA1:BA51,AC169)))/(INDEX(AZ1:AZ51,AC169+1)-INDEX(AZ1:AZ51,AC169))+INDEX(BA1:BA51,AC169)))</f>
        <v>83.04999999999923</v>
      </c>
      <c r="AB169" s="176" t="e">
        <f>IF(TRIM(AG169)="","",IF(INDEX(BD1:BD51,AD169)=AG169,INDEX(BE1:BE51,AD169),((AG169-INDEX(BD1:BD51,AD169))*(INDEX(BE1:BE51,AD169+1)-INDEX(BE1:BE51,AD169)))/(INDEX(BD1:BD51,AD169+1)-INDEX(BD1:BD51,AD169))+INDEX(BE1:BE51,AD169)))</f>
        <v>#N/A</v>
      </c>
      <c r="AC169" s="164">
        <f>MATCH(AG169,AZ1:AZ51,1)</f>
        <v>11</v>
      </c>
      <c r="AD169" s="164" t="e">
        <f>MATCH(AG169,BD1:BD51,1)</f>
        <v>#N/A</v>
      </c>
      <c r="AE169" s="164">
        <v>6</v>
      </c>
      <c r="AF169" s="164">
        <v>15</v>
      </c>
      <c r="AG169" s="179">
        <f>FIXED('HourGH-SEP'!AB26)*1</f>
        <v>339.46</v>
      </c>
      <c r="AH169" s="164" t="str">
        <f>IF(AND(AE169=AP5,AE169=AR5,AF169&gt;=AQ5,AF169&lt;=AS5),"r1",IF(AND(AE169&gt;AP5,AE169&lt;AR5),"r1",IF(AND(AE169&gt;AP5,AE169=AR5,AF169&lt;=AS5),"r1",IF(AND(AE169=AP5,AE169&lt;AR5,AF169&gt;=AQ5),"r1","n"))))</f>
        <v>r1</v>
      </c>
      <c r="AI169" s="164" t="str">
        <f>IF(AH169&lt;&gt;"n",AH169,IF(AND(AE169=AT5,AE169=AV5,AF169&gt;=AU5,AF169&lt;=AW5),"r2",IF(AND(AE169&gt;AT5,AE169&lt;AV5),"r2",IF(AND(AE169&gt;AT5,AE169=AV5,AF169&lt;=AW5),"r2",IF(AND(AE169=AT5,AE169&lt;AV5,AF169&gt;=AU5),"r2","n")))))</f>
        <v>r1</v>
      </c>
      <c r="AJ169" s="164" t="str">
        <f>IF(AI169&lt;&gt;"n",AI169,IF(AND(AE169=AP6,AE169=AR6,AF169&gt;=AQ6,AF169&lt;=AS6),"r1",IF(AND(AE169&gt;AP6,AE169&lt;AR6),"r1",IF(AND(AE169&gt;AP6,AE169=AR6,AF169&lt;=AS6),"r1",IF(AND(AE169=AP6,AE169&lt;AR6,AF169&gt;=AQ6),"r1","n")))))</f>
        <v>r1</v>
      </c>
      <c r="AK169" s="164" t="str">
        <f>IF(AJ169&lt;&gt;"n",AJ169,IF(AND(AE169=AT6,AE169=AV6,AF169&gt;=AU6,AF169&lt;=AW6),"r2",IF(AND(AE169&gt;AT6,AE169&lt;AV6),"r2",IF(AND(AE169&gt;AT6,AE169=AV6,AF169&lt;=AW6),"r2",IF(AND(AE169=AT6,AE169&lt;AV6,AF169&gt;=AU6),"r2","n")))))</f>
        <v>r1</v>
      </c>
      <c r="AL169" s="164" t="str">
        <f>IF(AK169&lt;&gt;"n",AK169,IF(AND(AE169=AP7,AE169=AR7,AF169&gt;=AQ7,AF169&lt;=AS7),"r1",IF(AND(AE169&gt;AP7,AE169&lt;AR7),"r1",IF(AND(AE169&gt;AP7,AE169=AR7,AF169&lt;=AS7),"r1",IF(AND(AE169=AP7,AE169&lt;AR7,AF169&gt;=AQ7),"r1","n")))))</f>
        <v>r1</v>
      </c>
    </row>
    <row r="170" spans="26:38" ht="17.100000000000001" hidden="1" customHeight="1">
      <c r="Z170" s="176">
        <f t="shared" si="12"/>
        <v>71.199999999999264</v>
      </c>
      <c r="AA170" s="176">
        <f>IF(TRIM(AG170)="","",IF(INDEX(AZ1:AZ51,AC170)=AG170,INDEX(BA1:BA51,AC170),((AG170-INDEX(AZ1:AZ51,AC170))*(INDEX(BA1:BA51,AC170+1)-INDEX(BA1:BA51,AC170)))/(INDEX(AZ1:AZ51,AC170+1)-INDEX(AZ1:AZ51,AC170))+INDEX(BA1:BA51,AC170)))</f>
        <v>71.199999999999264</v>
      </c>
      <c r="AB170" s="176" t="e">
        <f>IF(TRIM(AG170)="","",IF(INDEX(BD1:BD51,AD170)=AG170,INDEX(BE1:BE51,AD170),((AG170-INDEX(BD1:BD51,AD170))*(INDEX(BE1:BE51,AD170+1)-INDEX(BE1:BE51,AD170)))/(INDEX(BD1:BD51,AD170+1)-INDEX(BD1:BD51,AD170))+INDEX(BE1:BE51,AD170)))</f>
        <v>#N/A</v>
      </c>
      <c r="AC170" s="164">
        <f>MATCH(AG170,AZ1:AZ51,1)</f>
        <v>10</v>
      </c>
      <c r="AD170" s="164" t="e">
        <f>MATCH(AG170,BD1:BD51,1)</f>
        <v>#N/A</v>
      </c>
      <c r="AE170" s="164">
        <v>6</v>
      </c>
      <c r="AF170" s="164">
        <v>16</v>
      </c>
      <c r="AG170" s="179">
        <f>FIXED('HourGH-SEP'!AB27)*1</f>
        <v>339.28</v>
      </c>
      <c r="AH170" s="164" t="str">
        <f>IF(AND(AE170=AP5,AE170=AR5,AF170&gt;=AQ5,AF170&lt;=AS5),"r1",IF(AND(AE170&gt;AP5,AE170&lt;AR5),"r1",IF(AND(AE170&gt;AP5,AE170=AR5,AF170&lt;=AS5),"r1",IF(AND(AE170=AP5,AE170&lt;AR5,AF170&gt;=AQ5),"r1","n"))))</f>
        <v>r1</v>
      </c>
      <c r="AI170" s="164" t="str">
        <f>IF(AH170&lt;&gt;"n",AH170,IF(AND(AE170=AT5,AE170=AV5,AF170&gt;=AU5,AF170&lt;=AW5),"r2",IF(AND(AE170&gt;AT5,AE170&lt;AV5),"r2",IF(AND(AE170&gt;AT5,AE170=AV5,AF170&lt;=AW5),"r2",IF(AND(AE170=AT5,AE170&lt;AV5,AF170&gt;=AU5),"r2","n")))))</f>
        <v>r1</v>
      </c>
      <c r="AJ170" s="164" t="str">
        <f>IF(AI170&lt;&gt;"n",AI170,IF(AND(AE170=AP6,AE170=AR6,AF170&gt;=AQ6,AF170&lt;=AS6),"r1",IF(AND(AE170&gt;AP6,AE170&lt;AR6),"r1",IF(AND(AE170&gt;AP6,AE170=AR6,AF170&lt;=AS6),"r1",IF(AND(AE170=AP6,AE170&lt;AR6,AF170&gt;=AQ6),"r1","n")))))</f>
        <v>r1</v>
      </c>
      <c r="AK170" s="164" t="str">
        <f>IF(AJ170&lt;&gt;"n",AJ170,IF(AND(AE170=AT6,AE170=AV6,AF170&gt;=AU6,AF170&lt;=AW6),"r2",IF(AND(AE170&gt;AT6,AE170&lt;AV6),"r2",IF(AND(AE170&gt;AT6,AE170=AV6,AF170&lt;=AW6),"r2",IF(AND(AE170=AT6,AE170&lt;AV6,AF170&gt;=AU6),"r2","n")))))</f>
        <v>r1</v>
      </c>
      <c r="AL170" s="164" t="str">
        <f>IF(AK170&lt;&gt;"n",AK170,IF(AND(AE170=AP7,AE170=AR7,AF170&gt;=AQ7,AF170&lt;=AS7),"r1",IF(AND(AE170&gt;AP7,AE170&lt;AR7),"r1",IF(AND(AE170&gt;AP7,AE170=AR7,AF170&lt;=AS7),"r1",IF(AND(AE170=AP7,AE170&lt;AR7,AF170&gt;=AQ7),"r1","n")))))</f>
        <v>r1</v>
      </c>
    </row>
    <row r="171" spans="26:38" ht="17.100000000000001" hidden="1" customHeight="1">
      <c r="Z171" s="176">
        <f t="shared" si="12"/>
        <v>86.42499999999923</v>
      </c>
      <c r="AA171" s="176">
        <f>IF(TRIM(AG171)="","",IF(INDEX(AZ1:AZ51,AC171)=AG171,INDEX(BA1:BA51,AC171),((AG171-INDEX(AZ1:AZ51,AC171))*(INDEX(BA1:BA51,AC171+1)-INDEX(BA1:BA51,AC171)))/(INDEX(AZ1:AZ51,AC171+1)-INDEX(AZ1:AZ51,AC171))+INDEX(BA1:BA51,AC171)))</f>
        <v>86.42499999999923</v>
      </c>
      <c r="AB171" s="176" t="e">
        <f>IF(TRIM(AG171)="","",IF(INDEX(BD1:BD51,AD171)=AG171,INDEX(BE1:BE51,AD171),((AG171-INDEX(BD1:BD51,AD171))*(INDEX(BE1:BE51,AD171+1)-INDEX(BE1:BE51,AD171)))/(INDEX(BD1:BD51,AD171+1)-INDEX(BD1:BD51,AD171))+INDEX(BE1:BE51,AD171)))</f>
        <v>#N/A</v>
      </c>
      <c r="AC171" s="164">
        <f>MATCH(AG171,AZ1:AZ51,1)</f>
        <v>11</v>
      </c>
      <c r="AD171" s="164" t="e">
        <f>MATCH(AG171,BD1:BD51,1)</f>
        <v>#N/A</v>
      </c>
      <c r="AE171" s="164">
        <v>6</v>
      </c>
      <c r="AF171" s="164">
        <v>17</v>
      </c>
      <c r="AG171" s="179">
        <f>FIXED('HourGH-SEP'!AB28)*1</f>
        <v>339.51</v>
      </c>
      <c r="AH171" s="164" t="str">
        <f>IF(AND(AE171=AP5,AE171=AR5,AF171&gt;=AQ5,AF171&lt;=AS5),"r1",IF(AND(AE171&gt;AP5,AE171&lt;AR5),"r1",IF(AND(AE171&gt;AP5,AE171=AR5,AF171&lt;=AS5),"r1",IF(AND(AE171=AP5,AE171&lt;AR5,AF171&gt;=AQ5),"r1","n"))))</f>
        <v>r1</v>
      </c>
      <c r="AI171" s="164" t="str">
        <f>IF(AH171&lt;&gt;"n",AH171,IF(AND(AE171=AT5,AE171=AV5,AF171&gt;=AU5,AF171&lt;=AW5),"r2",IF(AND(AE171&gt;AT5,AE171&lt;AV5),"r2",IF(AND(AE171&gt;AT5,AE171=AV5,AF171&lt;=AW5),"r2",IF(AND(AE171=AT5,AE171&lt;AV5,AF171&gt;=AU5),"r2","n")))))</f>
        <v>r1</v>
      </c>
      <c r="AJ171" s="164" t="str">
        <f>IF(AI171&lt;&gt;"n",AI171,IF(AND(AE171=AP6,AE171=AR6,AF171&gt;=AQ6,AF171&lt;=AS6),"r1",IF(AND(AE171&gt;AP6,AE171&lt;AR6),"r1",IF(AND(AE171&gt;AP6,AE171=AR6,AF171&lt;=AS6),"r1",IF(AND(AE171=AP6,AE171&lt;AR6,AF171&gt;=AQ6),"r1","n")))))</f>
        <v>r1</v>
      </c>
      <c r="AK171" s="164" t="str">
        <f>IF(AJ171&lt;&gt;"n",AJ171,IF(AND(AE171=AT6,AE171=AV6,AF171&gt;=AU6,AF171&lt;=AW6),"r2",IF(AND(AE171&gt;AT6,AE171&lt;AV6),"r2",IF(AND(AE171&gt;AT6,AE171=AV6,AF171&lt;=AW6),"r2",IF(AND(AE171=AT6,AE171&lt;AV6,AF171&gt;=AU6),"r2","n")))))</f>
        <v>r1</v>
      </c>
      <c r="AL171" s="164" t="str">
        <f>IF(AK171&lt;&gt;"n",AK171,IF(AND(AE171=AP7,AE171=AR7,AF171&gt;=AQ7,AF171&lt;=AS7),"r1",IF(AND(AE171&gt;AP7,AE171&lt;AR7),"r1",IF(AND(AE171&gt;AP7,AE171=AR7,AF171&lt;=AS7),"r1",IF(AND(AE171=AP7,AE171&lt;AR7,AF171&gt;=AQ7),"r1","n")))))</f>
        <v>r1</v>
      </c>
    </row>
    <row r="172" spans="26:38" ht="17.100000000000001" hidden="1" customHeight="1">
      <c r="Z172" s="176">
        <f t="shared" si="12"/>
        <v>83.04999999999923</v>
      </c>
      <c r="AA172" s="176">
        <f>IF(TRIM(AG172)="","",IF(INDEX(AZ1:AZ51,AC172)=AG172,INDEX(BA1:BA51,AC172),((AG172-INDEX(AZ1:AZ51,AC172))*(INDEX(BA1:BA51,AC172+1)-INDEX(BA1:BA51,AC172)))/(INDEX(AZ1:AZ51,AC172+1)-INDEX(AZ1:AZ51,AC172))+INDEX(BA1:BA51,AC172)))</f>
        <v>83.04999999999923</v>
      </c>
      <c r="AB172" s="176" t="e">
        <f>IF(TRIM(AG172)="","",IF(INDEX(BD1:BD51,AD172)=AG172,INDEX(BE1:BE51,AD172),((AG172-INDEX(BD1:BD51,AD172))*(INDEX(BE1:BE51,AD172+1)-INDEX(BE1:BE51,AD172)))/(INDEX(BD1:BD51,AD172+1)-INDEX(BD1:BD51,AD172))+INDEX(BE1:BE51,AD172)))</f>
        <v>#N/A</v>
      </c>
      <c r="AC172" s="164">
        <f>MATCH(AG172,AZ1:AZ51,1)</f>
        <v>11</v>
      </c>
      <c r="AD172" s="164" t="e">
        <f>MATCH(AG172,BD1:BD51,1)</f>
        <v>#N/A</v>
      </c>
      <c r="AE172" s="164">
        <v>6</v>
      </c>
      <c r="AF172" s="164">
        <v>18</v>
      </c>
      <c r="AG172" s="179">
        <f>FIXED('HourGH-SEP'!AB29)*1</f>
        <v>339.46</v>
      </c>
      <c r="AH172" s="164" t="str">
        <f>IF(AND(AE172=AP5,AE172=AR5,AF172&gt;=AQ5,AF172&lt;=AS5),"r1",IF(AND(AE172&gt;AP5,AE172&lt;AR5),"r1",IF(AND(AE172&gt;AP5,AE172=AR5,AF172&lt;=AS5),"r1",IF(AND(AE172=AP5,AE172&lt;AR5,AF172&gt;=AQ5),"r1","n"))))</f>
        <v>r1</v>
      </c>
      <c r="AI172" s="164" t="str">
        <f>IF(AH172&lt;&gt;"n",AH172,IF(AND(AE172=AT5,AE172=AV5,AF172&gt;=AU5,AF172&lt;=AW5),"r2",IF(AND(AE172&gt;AT5,AE172&lt;AV5),"r2",IF(AND(AE172&gt;AT5,AE172=AV5,AF172&lt;=AW5),"r2",IF(AND(AE172=AT5,AE172&lt;AV5,AF172&gt;=AU5),"r2","n")))))</f>
        <v>r1</v>
      </c>
      <c r="AJ172" s="164" t="str">
        <f>IF(AI172&lt;&gt;"n",AI172,IF(AND(AE172=AP6,AE172=AR6,AF172&gt;=AQ6,AF172&lt;=AS6),"r1",IF(AND(AE172&gt;AP6,AE172&lt;AR6),"r1",IF(AND(AE172&gt;AP6,AE172=AR6,AF172&lt;=AS6),"r1",IF(AND(AE172=AP6,AE172&lt;AR6,AF172&gt;=AQ6),"r1","n")))))</f>
        <v>r1</v>
      </c>
      <c r="AK172" s="164" t="str">
        <f>IF(AJ172&lt;&gt;"n",AJ172,IF(AND(AE172=AT6,AE172=AV6,AF172&gt;=AU6,AF172&lt;=AW6),"r2",IF(AND(AE172&gt;AT6,AE172&lt;AV6),"r2",IF(AND(AE172&gt;AT6,AE172=AV6,AF172&lt;=AW6),"r2",IF(AND(AE172=AT6,AE172&lt;AV6,AF172&gt;=AU6),"r2","n")))))</f>
        <v>r1</v>
      </c>
      <c r="AL172" s="164" t="str">
        <f>IF(AK172&lt;&gt;"n",AK172,IF(AND(AE172=AP7,AE172=AR7,AF172&gt;=AQ7,AF172&lt;=AS7),"r1",IF(AND(AE172&gt;AP7,AE172&lt;AR7),"r1",IF(AND(AE172&gt;AP7,AE172=AR7,AF172&lt;=AS7),"r1",IF(AND(AE172=AP7,AE172&lt;AR7,AF172&gt;=AQ7),"r1","n")))))</f>
        <v>r1</v>
      </c>
    </row>
    <row r="173" spans="26:38" ht="17.100000000000001" hidden="1" customHeight="1">
      <c r="Z173" s="176">
        <f t="shared" si="12"/>
        <v>52.350000000000982</v>
      </c>
      <c r="AA173" s="176">
        <f>IF(TRIM(AG173)="","",IF(INDEX(AZ1:AZ51,AC173)=AG173,INDEX(BA1:BA51,AC173),((AG173-INDEX(AZ1:AZ51,AC173))*(INDEX(BA1:BA51,AC173+1)-INDEX(BA1:BA51,AC173)))/(INDEX(AZ1:AZ51,AC173+1)-INDEX(AZ1:AZ51,AC173))+INDEX(BA1:BA51,AC173)))</f>
        <v>52.350000000000982</v>
      </c>
      <c r="AB173" s="176" t="e">
        <f>IF(TRIM(AG173)="","",IF(INDEX(BD1:BD51,AD173)=AG173,INDEX(BE1:BE51,AD173),((AG173-INDEX(BD1:BD51,AD173))*(INDEX(BE1:BE51,AD173+1)-INDEX(BE1:BE51,AD173)))/(INDEX(BD1:BD51,AD173+1)-INDEX(BD1:BD51,AD173))+INDEX(BE1:BE51,AD173)))</f>
        <v>#N/A</v>
      </c>
      <c r="AC173" s="164">
        <f>MATCH(AG173,AZ1:AZ51,1)</f>
        <v>8</v>
      </c>
      <c r="AD173" s="164" t="e">
        <f>MATCH(AG173,BD1:BD51,1)</f>
        <v>#N/A</v>
      </c>
      <c r="AE173" s="164">
        <v>6</v>
      </c>
      <c r="AF173" s="164">
        <v>19</v>
      </c>
      <c r="AG173" s="179">
        <f>FIXED('HourGH-SEP'!AB30)*1</f>
        <v>338.98</v>
      </c>
      <c r="AH173" s="164" t="str">
        <f>IF(AND(AE173=AP5,AE173=AR5,AF173&gt;=AQ5,AF173&lt;=AS5),"r1",IF(AND(AE173&gt;AP5,AE173&lt;AR5),"r1",IF(AND(AE173&gt;AP5,AE173=AR5,AF173&lt;=AS5),"r1",IF(AND(AE173=AP5,AE173&lt;AR5,AF173&gt;=AQ5),"r1","n"))))</f>
        <v>r1</v>
      </c>
      <c r="AI173" s="164" t="str">
        <f>IF(AH173&lt;&gt;"n",AH173,IF(AND(AE173=AT5,AE173=AV5,AF173&gt;=AU5,AF173&lt;=AW5),"r2",IF(AND(AE173&gt;AT5,AE173&lt;AV5),"r2",IF(AND(AE173&gt;AT5,AE173=AV5,AF173&lt;=AW5),"r2",IF(AND(AE173=AT5,AE173&lt;AV5,AF173&gt;=AU5),"r2","n")))))</f>
        <v>r1</v>
      </c>
      <c r="AJ173" s="164" t="str">
        <f>IF(AI173&lt;&gt;"n",AI173,IF(AND(AE173=AP6,AE173=AR6,AF173&gt;=AQ6,AF173&lt;=AS6),"r1",IF(AND(AE173&gt;AP6,AE173&lt;AR6),"r1",IF(AND(AE173&gt;AP6,AE173=AR6,AF173&lt;=AS6),"r1",IF(AND(AE173=AP6,AE173&lt;AR6,AF173&gt;=AQ6),"r1","n")))))</f>
        <v>r1</v>
      </c>
      <c r="AK173" s="164" t="str">
        <f>IF(AJ173&lt;&gt;"n",AJ173,IF(AND(AE173=AT6,AE173=AV6,AF173&gt;=AU6,AF173&lt;=AW6),"r2",IF(AND(AE173&gt;AT6,AE173&lt;AV6),"r2",IF(AND(AE173&gt;AT6,AE173=AV6,AF173&lt;=AW6),"r2",IF(AND(AE173=AT6,AE173&lt;AV6,AF173&gt;=AU6),"r2","n")))))</f>
        <v>r1</v>
      </c>
      <c r="AL173" s="164" t="str">
        <f>IF(AK173&lt;&gt;"n",AK173,IF(AND(AE173=AP7,AE173=AR7,AF173&gt;=AQ7,AF173&lt;=AS7),"r1",IF(AND(AE173&gt;AP7,AE173&lt;AR7),"r1",IF(AND(AE173&gt;AP7,AE173=AR7,AF173&lt;=AS7),"r1",IF(AND(AE173=AP7,AE173&lt;AR7,AF173&gt;=AQ7),"r1","n")))))</f>
        <v>r1</v>
      </c>
    </row>
    <row r="174" spans="26:38" ht="17.100000000000001" hidden="1" customHeight="1">
      <c r="Z174" s="176">
        <f t="shared" si="12"/>
        <v>43.724999999998531</v>
      </c>
      <c r="AA174" s="176">
        <f>IF(TRIM(AG174)="","",IF(INDEX(AZ1:AZ51,AC174)=AG174,INDEX(BA1:BA51,AC174),((AG174-INDEX(AZ1:AZ51,AC174))*(INDEX(BA1:BA51,AC174+1)-INDEX(BA1:BA51,AC174)))/(INDEX(AZ1:AZ51,AC174+1)-INDEX(AZ1:AZ51,AC174))+INDEX(BA1:BA51,AC174)))</f>
        <v>43.724999999998531</v>
      </c>
      <c r="AB174" s="176" t="e">
        <f>IF(TRIM(AG174)="","",IF(INDEX(BD1:BD51,AD174)=AG174,INDEX(BE1:BE51,AD174),((AG174-INDEX(BD1:BD51,AD174))*(INDEX(BE1:BE51,AD174+1)-INDEX(BE1:BE51,AD174)))/(INDEX(BD1:BD51,AD174+1)-INDEX(BD1:BD51,AD174))+INDEX(BE1:BE51,AD174)))</f>
        <v>#N/A</v>
      </c>
      <c r="AC174" s="164">
        <f>MATCH(AG174,AZ1:AZ51,1)</f>
        <v>8</v>
      </c>
      <c r="AD174" s="164" t="e">
        <f>MATCH(AG174,BD1:BD51,1)</f>
        <v>#N/A</v>
      </c>
      <c r="AE174" s="164">
        <v>6</v>
      </c>
      <c r="AF174" s="164">
        <v>20</v>
      </c>
      <c r="AG174" s="179">
        <f>FIXED('HourGH-SEP'!AB31)*1</f>
        <v>338.83</v>
      </c>
      <c r="AH174" s="164" t="str">
        <f>IF(AND(AE174=AP5,AE174=AR5,AF174&gt;=AQ5,AF174&lt;=AS5),"r1",IF(AND(AE174&gt;AP5,AE174&lt;AR5),"r1",IF(AND(AE174&gt;AP5,AE174=AR5,AF174&lt;=AS5),"r1",IF(AND(AE174=AP5,AE174&lt;AR5,AF174&gt;=AQ5),"r1","n"))))</f>
        <v>r1</v>
      </c>
      <c r="AI174" s="164" t="str">
        <f>IF(AH174&lt;&gt;"n",AH174,IF(AND(AE174=AT5,AE174=AV5,AF174&gt;=AU5,AF174&lt;=AW5),"r2",IF(AND(AE174&gt;AT5,AE174&lt;AV5),"r2",IF(AND(AE174&gt;AT5,AE174=AV5,AF174&lt;=AW5),"r2",IF(AND(AE174=AT5,AE174&lt;AV5,AF174&gt;=AU5),"r2","n")))))</f>
        <v>r1</v>
      </c>
      <c r="AJ174" s="164" t="str">
        <f>IF(AI174&lt;&gt;"n",AI174,IF(AND(AE174=AP6,AE174=AR6,AF174&gt;=AQ6,AF174&lt;=AS6),"r1",IF(AND(AE174&gt;AP6,AE174&lt;AR6),"r1",IF(AND(AE174&gt;AP6,AE174=AR6,AF174&lt;=AS6),"r1",IF(AND(AE174=AP6,AE174&lt;AR6,AF174&gt;=AQ6),"r1","n")))))</f>
        <v>r1</v>
      </c>
      <c r="AK174" s="164" t="str">
        <f>IF(AJ174&lt;&gt;"n",AJ174,IF(AND(AE174=AT6,AE174=AV6,AF174&gt;=AU6,AF174&lt;=AW6),"r2",IF(AND(AE174&gt;AT6,AE174&lt;AV6),"r2",IF(AND(AE174&gt;AT6,AE174=AV6,AF174&lt;=AW6),"r2",IF(AND(AE174=AT6,AE174&lt;AV6,AF174&gt;=AU6),"r2","n")))))</f>
        <v>r1</v>
      </c>
      <c r="AL174" s="164" t="str">
        <f>IF(AK174&lt;&gt;"n",AK174,IF(AND(AE174=AP7,AE174=AR7,AF174&gt;=AQ7,AF174&lt;=AS7),"r1",IF(AND(AE174&gt;AP7,AE174&lt;AR7),"r1",IF(AND(AE174&gt;AP7,AE174=AR7,AF174&lt;=AS7),"r1",IF(AND(AE174=AP7,AE174&lt;AR7,AF174&gt;=AQ7),"r1","n")))))</f>
        <v>r1</v>
      </c>
    </row>
    <row r="175" spans="26:38" ht="17.100000000000001" hidden="1" customHeight="1">
      <c r="Z175" s="176">
        <f t="shared" si="12"/>
        <v>38.500000000000639</v>
      </c>
      <c r="AA175" s="176">
        <f>IF(TRIM(AG175)="","",IF(INDEX(AZ1:AZ51,AC175)=AG175,INDEX(BA1:BA51,AC175),((AG175-INDEX(AZ1:AZ51,AC175))*(INDEX(BA1:BA51,AC175+1)-INDEX(BA1:BA51,AC175)))/(INDEX(AZ1:AZ51,AC175+1)-INDEX(AZ1:AZ51,AC175))+INDEX(BA1:BA51,AC175)))</f>
        <v>38.500000000000639</v>
      </c>
      <c r="AB175" s="176" t="e">
        <f>IF(TRIM(AG175)="","",IF(INDEX(BD1:BD51,AD175)=AG175,INDEX(BE1:BE51,AD175),((AG175-INDEX(BD1:BD51,AD175))*(INDEX(BE1:BE51,AD175+1)-INDEX(BE1:BE51,AD175)))/(INDEX(BD1:BD51,AD175+1)-INDEX(BD1:BD51,AD175))+INDEX(BE1:BE51,AD175)))</f>
        <v>#N/A</v>
      </c>
      <c r="AC175" s="164">
        <f>MATCH(AG175,AZ1:AZ51,1)</f>
        <v>7</v>
      </c>
      <c r="AD175" s="164" t="e">
        <f>MATCH(AG175,BD1:BD51,1)</f>
        <v>#N/A</v>
      </c>
      <c r="AE175" s="164">
        <v>6</v>
      </c>
      <c r="AF175" s="164">
        <v>21</v>
      </c>
      <c r="AG175" s="179">
        <f>FIXED('HourGH-SEP'!AB33)*1</f>
        <v>338.73</v>
      </c>
      <c r="AH175" s="164" t="str">
        <f>IF(AND(AE175=AP5,AE175=AR5,AF175&gt;=AQ5,AF175&lt;=AS5),"r1",IF(AND(AE175&gt;AP5,AE175&lt;AR5),"r1",IF(AND(AE175&gt;AP5,AE175=AR5,AF175&lt;=AS5),"r1",IF(AND(AE175=AP5,AE175&lt;AR5,AF175&gt;=AQ5),"r1","n"))))</f>
        <v>r1</v>
      </c>
      <c r="AI175" s="164" t="str">
        <f>IF(AH175&lt;&gt;"n",AH175,IF(AND(AE175=AT5,AE175=AV5,AF175&gt;=AU5,AF175&lt;=AW5),"r2",IF(AND(AE175&gt;AT5,AE175&lt;AV5),"r2",IF(AND(AE175&gt;AT5,AE175=AV5,AF175&lt;=AW5),"r2",IF(AND(AE175=AT5,AE175&lt;AV5,AF175&gt;=AU5),"r2","n")))))</f>
        <v>r1</v>
      </c>
      <c r="AJ175" s="164" t="str">
        <f>IF(AI175&lt;&gt;"n",AI175,IF(AND(AE175=AP6,AE175=AR6,AF175&gt;=AQ6,AF175&lt;=AS6),"r1",IF(AND(AE175&gt;AP6,AE175&lt;AR6),"r1",IF(AND(AE175&gt;AP6,AE175=AR6,AF175&lt;=AS6),"r1",IF(AND(AE175=AP6,AE175&lt;AR6,AF175&gt;=AQ6),"r1","n")))))</f>
        <v>r1</v>
      </c>
      <c r="AK175" s="164" t="str">
        <f>IF(AJ175&lt;&gt;"n",AJ175,IF(AND(AE175=AT6,AE175=AV6,AF175&gt;=AU6,AF175&lt;=AW6),"r2",IF(AND(AE175&gt;AT6,AE175&lt;AV6),"r2",IF(AND(AE175&gt;AT6,AE175=AV6,AF175&lt;=AW6),"r2",IF(AND(AE175=AT6,AE175&lt;AV6,AF175&gt;=AU6),"r2","n")))))</f>
        <v>r1</v>
      </c>
      <c r="AL175" s="164" t="str">
        <f>IF(AK175&lt;&gt;"n",AK175,IF(AND(AE175=AP7,AE175=AR7,AF175&gt;=AQ7,AF175&lt;=AS7),"r1",IF(AND(AE175&gt;AP7,AE175&lt;AR7),"r1",IF(AND(AE175&gt;AP7,AE175=AR7,AF175&lt;=AS7),"r1",IF(AND(AE175=AP7,AE175&lt;AR7,AF175&gt;=AQ7),"r1","n")))))</f>
        <v>r1</v>
      </c>
    </row>
    <row r="176" spans="26:38" ht="17.100000000000001" hidden="1" customHeight="1">
      <c r="Z176" s="176">
        <f t="shared" si="12"/>
        <v>29.500000000001066</v>
      </c>
      <c r="AA176" s="176">
        <f>IF(TRIM(AG176)="","",IF(INDEX(AZ1:AZ51,AC176)=AG176,INDEX(BA1:BA51,AC176),((AG176-INDEX(AZ1:AZ51,AC176))*(INDEX(BA1:BA51,AC176+1)-INDEX(BA1:BA51,AC176)))/(INDEX(AZ1:AZ51,AC176+1)-INDEX(AZ1:AZ51,AC176))+INDEX(BA1:BA51,AC176)))</f>
        <v>29.500000000001066</v>
      </c>
      <c r="AB176" s="176" t="e">
        <f>IF(TRIM(AG176)="","",IF(INDEX(BD1:BD51,AD176)=AG176,INDEX(BE1:BE51,AD176),((AG176-INDEX(BD1:BD51,AD176))*(INDEX(BE1:BE51,AD176+1)-INDEX(BE1:BE51,AD176)))/(INDEX(BD1:BD51,AD176+1)-INDEX(BD1:BD51,AD176))+INDEX(BE1:BE51,AD176)))</f>
        <v>#N/A</v>
      </c>
      <c r="AC176" s="164">
        <f>MATCH(AG176,AZ1:AZ51,1)</f>
        <v>7</v>
      </c>
      <c r="AD176" s="164" t="e">
        <f>MATCH(AG176,BD1:BD51,1)</f>
        <v>#N/A</v>
      </c>
      <c r="AE176" s="164">
        <v>6</v>
      </c>
      <c r="AF176" s="164">
        <v>22</v>
      </c>
      <c r="AG176" s="179">
        <f>FIXED('HourGH-SEP'!AB34)*1</f>
        <v>338.55</v>
      </c>
      <c r="AH176" s="164" t="str">
        <f>IF(AND(AE176=AP5,AE176=AR5,AF176&gt;=AQ5,AF176&lt;=AS5),"r1",IF(AND(AE176&gt;AP5,AE176&lt;AR5),"r1",IF(AND(AE176&gt;AP5,AE176=AR5,AF176&lt;=AS5),"r1",IF(AND(AE176=AP5,AE176&lt;AR5,AF176&gt;=AQ5),"r1","n"))))</f>
        <v>r1</v>
      </c>
      <c r="AI176" s="164" t="str">
        <f>IF(AH176&lt;&gt;"n",AH176,IF(AND(AE176=AT5,AE176=AV5,AF176&gt;=AU5,AF176&lt;=AW5),"r2",IF(AND(AE176&gt;AT5,AE176&lt;AV5),"r2",IF(AND(AE176&gt;AT5,AE176=AV5,AF176&lt;=AW5),"r2",IF(AND(AE176=AT5,AE176&lt;AV5,AF176&gt;=AU5),"r2","n")))))</f>
        <v>r1</v>
      </c>
      <c r="AJ176" s="164" t="str">
        <f>IF(AI176&lt;&gt;"n",AI176,IF(AND(AE176=AP6,AE176=AR6,AF176&gt;=AQ6,AF176&lt;=AS6),"r1",IF(AND(AE176&gt;AP6,AE176&lt;AR6),"r1",IF(AND(AE176&gt;AP6,AE176=AR6,AF176&lt;=AS6),"r1",IF(AND(AE176=AP6,AE176&lt;AR6,AF176&gt;=AQ6),"r1","n")))))</f>
        <v>r1</v>
      </c>
      <c r="AK176" s="164" t="str">
        <f>IF(AJ176&lt;&gt;"n",AJ176,IF(AND(AE176=AT6,AE176=AV6,AF176&gt;=AU6,AF176&lt;=AW6),"r2",IF(AND(AE176&gt;AT6,AE176&lt;AV6),"r2",IF(AND(AE176&gt;AT6,AE176=AV6,AF176&lt;=AW6),"r2",IF(AND(AE176=AT6,AE176&lt;AV6,AF176&gt;=AU6),"r2","n")))))</f>
        <v>r1</v>
      </c>
      <c r="AL176" s="164" t="str">
        <f>IF(AK176&lt;&gt;"n",AK176,IF(AND(AE176=AP7,AE176=AR7,AF176&gt;=AQ7,AF176&lt;=AS7),"r1",IF(AND(AE176&gt;AP7,AE176&lt;AR7),"r1",IF(AND(AE176&gt;AP7,AE176=AR7,AF176&lt;=AS7),"r1",IF(AND(AE176=AP7,AE176&lt;AR7,AF176&gt;=AQ7),"r1","n")))))</f>
        <v>r1</v>
      </c>
    </row>
    <row r="177" spans="26:38" ht="17.100000000000001" hidden="1" customHeight="1">
      <c r="Z177" s="176">
        <f t="shared" si="12"/>
        <v>24.999999999999858</v>
      </c>
      <c r="AA177" s="176">
        <f>IF(TRIM(AG177)="","",IF(INDEX(AZ1:AZ51,AC177)=AG177,INDEX(BA1:BA51,AC177),((AG177-INDEX(AZ1:AZ51,AC177))*(INDEX(BA1:BA51,AC177+1)-INDEX(BA1:BA51,AC177)))/(INDEX(AZ1:AZ51,AC177+1)-INDEX(AZ1:AZ51,AC177))+INDEX(BA1:BA51,AC177)))</f>
        <v>24.999999999999858</v>
      </c>
      <c r="AB177" s="176" t="e">
        <f>IF(TRIM(AG177)="","",IF(INDEX(BD1:BD51,AD177)=AG177,INDEX(BE1:BE51,AD177),((AG177-INDEX(BD1:BD51,AD177))*(INDEX(BE1:BE51,AD177+1)-INDEX(BE1:BE51,AD177)))/(INDEX(BD1:BD51,AD177+1)-INDEX(BD1:BD51,AD177))+INDEX(BE1:BE51,AD177)))</f>
        <v>#N/A</v>
      </c>
      <c r="AC177" s="164">
        <f>MATCH(AG177,AZ1:AZ51,1)</f>
        <v>7</v>
      </c>
      <c r="AD177" s="164" t="e">
        <f>MATCH(AG177,BD1:BD51,1)</f>
        <v>#N/A</v>
      </c>
      <c r="AE177" s="164">
        <v>6</v>
      </c>
      <c r="AF177" s="164">
        <v>23</v>
      </c>
      <c r="AG177" s="179">
        <f>FIXED('HourGH-SEP'!AB35)*1</f>
        <v>338.46</v>
      </c>
      <c r="AH177" s="164" t="str">
        <f>IF(AND(AE177=AP5,AE177=AR5,AF177&gt;=AQ5,AF177&lt;=AS5),"r1",IF(AND(AE177&gt;AP5,AE177&lt;AR5),"r1",IF(AND(AE177&gt;AP5,AE177=AR5,AF177&lt;=AS5),"r1",IF(AND(AE177=AP5,AE177&lt;AR5,AF177&gt;=AQ5),"r1","n"))))</f>
        <v>r1</v>
      </c>
      <c r="AI177" s="164" t="str">
        <f>IF(AH177&lt;&gt;"n",AH177,IF(AND(AE177=AT5,AE177=AV5,AF177&gt;=AU5,AF177&lt;=AW5),"r2",IF(AND(AE177&gt;AT5,AE177&lt;AV5),"r2",IF(AND(AE177&gt;AT5,AE177=AV5,AF177&lt;=AW5),"r2",IF(AND(AE177=AT5,AE177&lt;AV5,AF177&gt;=AU5),"r2","n")))))</f>
        <v>r1</v>
      </c>
      <c r="AJ177" s="164" t="str">
        <f>IF(AI177&lt;&gt;"n",AI177,IF(AND(AE177=AP6,AE177=AR6,AF177&gt;=AQ6,AF177&lt;=AS6),"r1",IF(AND(AE177&gt;AP6,AE177&lt;AR6),"r1",IF(AND(AE177&gt;AP6,AE177=AR6,AF177&lt;=AS6),"r1",IF(AND(AE177=AP6,AE177&lt;AR6,AF177&gt;=AQ6),"r1","n")))))</f>
        <v>r1</v>
      </c>
      <c r="AK177" s="164" t="str">
        <f>IF(AJ177&lt;&gt;"n",AJ177,IF(AND(AE177=AT6,AE177=AV6,AF177&gt;=AU6,AF177&lt;=AW6),"r2",IF(AND(AE177&gt;AT6,AE177&lt;AV6),"r2",IF(AND(AE177&gt;AT6,AE177=AV6,AF177&lt;=AW6),"r2",IF(AND(AE177=AT6,AE177&lt;AV6,AF177&gt;=AU6),"r2","n")))))</f>
        <v>r1</v>
      </c>
      <c r="AL177" s="164" t="str">
        <f>IF(AK177&lt;&gt;"n",AK177,IF(AND(AE177=AP7,AE177=AR7,AF177&gt;=AQ7,AF177&lt;=AS7),"r1",IF(AND(AE177&gt;AP7,AE177&lt;AR7),"r1",IF(AND(AE177&gt;AP7,AE177=AR7,AF177&lt;=AS7),"r1",IF(AND(AE177=AP7,AE177&lt;AR7,AF177&gt;=AQ7),"r1","n")))))</f>
        <v>r1</v>
      </c>
    </row>
    <row r="178" spans="26:38" ht="17.100000000000001" hidden="1" customHeight="1">
      <c r="Z178" s="176">
        <f t="shared" si="12"/>
        <v>23.000000000001847</v>
      </c>
      <c r="AA178" s="176">
        <f>IF(TRIM(AG178)="","",IF(INDEX(AZ1:AZ51,AC178)=AG178,INDEX(BA1:BA51,AC178),((AG178-INDEX(AZ1:AZ51,AC178))*(INDEX(BA1:BA51,AC178+1)-INDEX(BA1:BA51,AC178)))/(INDEX(AZ1:AZ51,AC178+1)-INDEX(AZ1:AZ51,AC178))+INDEX(BA1:BA51,AC178)))</f>
        <v>23.000000000001847</v>
      </c>
      <c r="AB178" s="176" t="e">
        <f>IF(TRIM(AG178)="","",IF(INDEX(BD1:BD51,AD178)=AG178,INDEX(BE1:BE51,AD178),((AG178-INDEX(BD1:BD51,AD178))*(INDEX(BE1:BE51,AD178+1)-INDEX(BE1:BE51,AD178)))/(INDEX(BD1:BD51,AD178+1)-INDEX(BD1:BD51,AD178))+INDEX(BE1:BE51,AD178)))</f>
        <v>#N/A</v>
      </c>
      <c r="AC178" s="164">
        <f>MATCH(AG178,AZ1:AZ51,1)</f>
        <v>7</v>
      </c>
      <c r="AD178" s="164" t="e">
        <f>MATCH(AG178,BD1:BD51,1)</f>
        <v>#N/A</v>
      </c>
      <c r="AE178" s="164">
        <v>6</v>
      </c>
      <c r="AF178" s="164">
        <v>24</v>
      </c>
      <c r="AG178" s="179">
        <f>FIXED('HourGH-SEP'!AB36)*1</f>
        <v>338.42</v>
      </c>
      <c r="AH178" s="164" t="str">
        <f>IF(AND(AE178=AP5,AE178=AR5,AF178&gt;=AQ5,AF178&lt;=AS5),"r1",IF(AND(AE178&gt;AP5,AE178&lt;AR5),"r1",IF(AND(AE178&gt;AP5,AE178=AR5,AF178&lt;=AS5),"r1",IF(AND(AE178=AP5,AE178&lt;AR5,AF178&gt;=AQ5),"r1","n"))))</f>
        <v>r1</v>
      </c>
      <c r="AI178" s="164" t="str">
        <f>IF(AH178&lt;&gt;"n",AH178,IF(AND(AE178=AT5,AE178=AV5,AF178&gt;=AU5,AF178&lt;=AW5),"r2",IF(AND(AE178&gt;AT5,AE178&lt;AV5),"r2",IF(AND(AE178&gt;AT5,AE178=AV5,AF178&lt;=AW5),"r2",IF(AND(AE178=AT5,AE178&lt;AV5,AF178&gt;=AU5),"r2","n")))))</f>
        <v>r1</v>
      </c>
      <c r="AJ178" s="164" t="str">
        <f>IF(AI178&lt;&gt;"n",AI178,IF(AND(AE178=AP6,AE178=AR6,AF178&gt;=AQ6,AF178&lt;=AS6),"r1",IF(AND(AE178&gt;AP6,AE178&lt;AR6),"r1",IF(AND(AE178&gt;AP6,AE178=AR6,AF178&lt;=AS6),"r1",IF(AND(AE178=AP6,AE178&lt;AR6,AF178&gt;=AQ6),"r1","n")))))</f>
        <v>r1</v>
      </c>
      <c r="AK178" s="164" t="str">
        <f>IF(AJ178&lt;&gt;"n",AJ178,IF(AND(AE178=AT6,AE178=AV6,AF178&gt;=AU6,AF178&lt;=AW6),"r2",IF(AND(AE178&gt;AT6,AE178&lt;AV6),"r2",IF(AND(AE178&gt;AT6,AE178=AV6,AF178&lt;=AW6),"r2",IF(AND(AE178=AT6,AE178&lt;AV6,AF178&gt;=AU6),"r2","n")))))</f>
        <v>r1</v>
      </c>
      <c r="AL178" s="164" t="str">
        <f>IF(AK178&lt;&gt;"n",AK178,IF(AND(AE178=AP7,AE178=AR7,AF178&gt;=AQ7,AF178&lt;=AS7),"r1",IF(AND(AE178&gt;AP7,AE178&lt;AR7),"r1",IF(AND(AE178&gt;AP7,AE178=AR7,AF178&lt;=AS7),"r1",IF(AND(AE178=AP7,AE178&lt;AR7,AF178&gt;=AQ7),"r1","n")))))</f>
        <v>r1</v>
      </c>
    </row>
    <row r="179" spans="26:38" ht="17.100000000000001" hidden="1" customHeight="1">
      <c r="Z179" s="176">
        <f t="shared" si="12"/>
        <v>23.000000000001847</v>
      </c>
      <c r="AA179" s="176">
        <f>IF(TRIM(AG179)="","",IF(INDEX(AZ1:AZ51,AC179)=AG179,INDEX(BA1:BA51,AC179),((AG179-INDEX(AZ1:AZ51,AC179))*(INDEX(BA1:BA51,AC179+1)-INDEX(BA1:BA51,AC179)))/(INDEX(AZ1:AZ51,AC179+1)-INDEX(AZ1:AZ51,AC179))+INDEX(BA1:BA51,AC179)))</f>
        <v>23.000000000001847</v>
      </c>
      <c r="AB179" s="176" t="e">
        <f>IF(TRIM(AG179)="","",IF(INDEX(BD1:BD51,AD179)=AG179,INDEX(BE1:BE51,AD179),((AG179-INDEX(BD1:BD51,AD179))*(INDEX(BE1:BE51,AD179+1)-INDEX(BE1:BE51,AD179)))/(INDEX(BD1:BD51,AD179+1)-INDEX(BD1:BD51,AD179))+INDEX(BE1:BE51,AD179)))</f>
        <v>#N/A</v>
      </c>
      <c r="AC179" s="164">
        <f>MATCH(AG179,AZ1:AZ51,1)</f>
        <v>7</v>
      </c>
      <c r="AD179" s="164" t="e">
        <f>MATCH(AG179,BD1:BD51,1)</f>
        <v>#N/A</v>
      </c>
      <c r="AE179" s="164">
        <v>6</v>
      </c>
      <c r="AF179" s="164">
        <v>25</v>
      </c>
      <c r="AG179" s="179">
        <f>FIXED('HourGH-SEP'!AB37)*1</f>
        <v>338.42</v>
      </c>
      <c r="AH179" s="164" t="str">
        <f>IF(AND(AE179=AP5,AE179=AR5,AF179&gt;=AQ5,AF179&lt;=AS5),"r1",IF(AND(AE179&gt;AP5,AE179&lt;AR5),"r1",IF(AND(AE179&gt;AP5,AE179=AR5,AF179&lt;=AS5),"r1",IF(AND(AE179=AP5,AE179&lt;AR5,AF179&gt;=AQ5),"r1","n"))))</f>
        <v>r1</v>
      </c>
      <c r="AI179" s="164" t="str">
        <f>IF(AH179&lt;&gt;"n",AH179,IF(AND(AE179=AT5,AE179=AV5,AF179&gt;=AU5,AF179&lt;=AW5),"r2",IF(AND(AE179&gt;AT5,AE179&lt;AV5),"r2",IF(AND(AE179&gt;AT5,AE179=AV5,AF179&lt;=AW5),"r2",IF(AND(AE179=AT5,AE179&lt;AV5,AF179&gt;=AU5),"r2","n")))))</f>
        <v>r1</v>
      </c>
      <c r="AJ179" s="164" t="str">
        <f>IF(AI179&lt;&gt;"n",AI179,IF(AND(AE179=AP6,AE179=AR6,AF179&gt;=AQ6,AF179&lt;=AS6),"r1",IF(AND(AE179&gt;AP6,AE179&lt;AR6),"r1",IF(AND(AE179&gt;AP6,AE179=AR6,AF179&lt;=AS6),"r1",IF(AND(AE179=AP6,AE179&lt;AR6,AF179&gt;=AQ6),"r1","n")))))</f>
        <v>r1</v>
      </c>
      <c r="AK179" s="164" t="str">
        <f>IF(AJ179&lt;&gt;"n",AJ179,IF(AND(AE179=AT6,AE179=AV6,AF179&gt;=AU6,AF179&lt;=AW6),"r2",IF(AND(AE179&gt;AT6,AE179&lt;AV6),"r2",IF(AND(AE179&gt;AT6,AE179=AV6,AF179&lt;=AW6),"r2",IF(AND(AE179=AT6,AE179&lt;AV6,AF179&gt;=AU6),"r2","n")))))</f>
        <v>r1</v>
      </c>
      <c r="AL179" s="164" t="str">
        <f>IF(AK179&lt;&gt;"n",AK179,IF(AND(AE179=AP7,AE179=AR7,AF179&gt;=AQ7,AF179&lt;=AS7),"r1",IF(AND(AE179&gt;AP7,AE179&lt;AR7),"r1",IF(AND(AE179&gt;AP7,AE179=AR7,AF179&lt;=AS7),"r1",IF(AND(AE179=AP7,AE179&lt;AR7,AF179&gt;=AQ7),"r1","n")))))</f>
        <v>r1</v>
      </c>
    </row>
    <row r="180" spans="26:38" ht="17.100000000000001" hidden="1" customHeight="1">
      <c r="Z180" s="176">
        <f t="shared" si="12"/>
        <v>36.499999999999787</v>
      </c>
      <c r="AA180" s="176">
        <f>IF(TRIM(AG180)="","",IF(INDEX(AZ1:AZ51,AC180)=AG180,INDEX(BA1:BA51,AC180),((AG180-INDEX(AZ1:AZ51,AC180))*(INDEX(BA1:BA51,AC180+1)-INDEX(BA1:BA51,AC180)))/(INDEX(AZ1:AZ51,AC180+1)-INDEX(AZ1:AZ51,AC180))+INDEX(BA1:BA51,AC180)))</f>
        <v>36.499999999999787</v>
      </c>
      <c r="AB180" s="176" t="e">
        <f>IF(TRIM(AG180)="","",IF(INDEX(BD1:BD51,AD180)=AG180,INDEX(BE1:BE51,AD180),((AG180-INDEX(BD1:BD51,AD180))*(INDEX(BE1:BE51,AD180+1)-INDEX(BE1:BE51,AD180)))/(INDEX(BD1:BD51,AD180+1)-INDEX(BD1:BD51,AD180))+INDEX(BE1:BE51,AD180)))</f>
        <v>#N/A</v>
      </c>
      <c r="AC180" s="164">
        <f>MATCH(AG180,AZ1:AZ51,1)</f>
        <v>7</v>
      </c>
      <c r="AD180" s="164" t="e">
        <f>MATCH(AG180,BD1:BD51,1)</f>
        <v>#N/A</v>
      </c>
      <c r="AE180" s="164">
        <v>6</v>
      </c>
      <c r="AF180" s="164">
        <v>26</v>
      </c>
      <c r="AG180" s="179">
        <f>FIXED('HourGH-SEP'!AB38)*1</f>
        <v>338.69</v>
      </c>
      <c r="AH180" s="164" t="str">
        <f>IF(AND(AE180=AP5,AE180=AR5,AF180&gt;=AQ5,AF180&lt;=AS5),"r1",IF(AND(AE180&gt;AP5,AE180&lt;AR5),"r1",IF(AND(AE180&gt;AP5,AE180=AR5,AF180&lt;=AS5),"r1",IF(AND(AE180=AP5,AE180&lt;AR5,AF180&gt;=AQ5),"r1","n"))))</f>
        <v>r1</v>
      </c>
      <c r="AI180" s="164" t="str">
        <f>IF(AH180&lt;&gt;"n",AH180,IF(AND(AE180=AT5,AE180=AV5,AF180&gt;=AU5,AF180&lt;=AW5),"r2",IF(AND(AE180&gt;AT5,AE180&lt;AV5),"r2",IF(AND(AE180&gt;AT5,AE180=AV5,AF180&lt;=AW5),"r2",IF(AND(AE180=AT5,AE180&lt;AV5,AF180&gt;=AU5),"r2","n")))))</f>
        <v>r1</v>
      </c>
      <c r="AJ180" s="164" t="str">
        <f>IF(AI180&lt;&gt;"n",AI180,IF(AND(AE180=AP6,AE180=AR6,AF180&gt;=AQ6,AF180&lt;=AS6),"r1",IF(AND(AE180&gt;AP6,AE180&lt;AR6),"r1",IF(AND(AE180&gt;AP6,AE180=AR6,AF180&lt;=AS6),"r1",IF(AND(AE180=AP6,AE180&lt;AR6,AF180&gt;=AQ6),"r1","n")))))</f>
        <v>r1</v>
      </c>
      <c r="AK180" s="164" t="str">
        <f>IF(AJ180&lt;&gt;"n",AJ180,IF(AND(AE180=AT6,AE180=AV6,AF180&gt;=AU6,AF180&lt;=AW6),"r2",IF(AND(AE180&gt;AT6,AE180&lt;AV6),"r2",IF(AND(AE180&gt;AT6,AE180=AV6,AF180&lt;=AW6),"r2",IF(AND(AE180=AT6,AE180&lt;AV6,AF180&gt;=AU6),"r2","n")))))</f>
        <v>r1</v>
      </c>
      <c r="AL180" s="164" t="str">
        <f>IF(AK180&lt;&gt;"n",AK180,IF(AND(AE180=AP7,AE180=AR7,AF180&gt;=AQ7,AF180&lt;=AS7),"r1",IF(AND(AE180&gt;AP7,AE180&lt;AR7),"r1",IF(AND(AE180&gt;AP7,AE180=AR7,AF180&lt;=AS7),"r1",IF(AND(AE180=AP7,AE180&lt;AR7,AF180&gt;=AQ7),"r1","n")))))</f>
        <v>r1</v>
      </c>
    </row>
    <row r="181" spans="26:38" ht="17.100000000000001" hidden="1" customHeight="1">
      <c r="Z181" s="176">
        <f t="shared" si="12"/>
        <v>85.75</v>
      </c>
      <c r="AA181" s="176">
        <f>IF(TRIM(AG181)="","",IF(INDEX(AZ1:AZ51,AC181)=AG181,INDEX(BA1:BA51,AC181),((AG181-INDEX(AZ1:AZ51,AC181))*(INDEX(BA1:BA51,AC181+1)-INDEX(BA1:BA51,AC181)))/(INDEX(AZ1:AZ51,AC181+1)-INDEX(AZ1:AZ51,AC181))+INDEX(BA1:BA51,AC181)))</f>
        <v>85.75</v>
      </c>
      <c r="AB181" s="176" t="e">
        <f>IF(TRIM(AG181)="","",IF(INDEX(BD1:BD51,AD181)=AG181,INDEX(BE1:BE51,AD181),((AG181-INDEX(BD1:BD51,AD181))*(INDEX(BE1:BE51,AD181+1)-INDEX(BE1:BE51,AD181)))/(INDEX(BD1:BD51,AD181+1)-INDEX(BD1:BD51,AD181))+INDEX(BE1:BE51,AD181)))</f>
        <v>#N/A</v>
      </c>
      <c r="AC181" s="164">
        <f>MATCH(AG181,AZ1:AZ51,1)</f>
        <v>11</v>
      </c>
      <c r="AD181" s="164" t="e">
        <f>MATCH(AG181,BD1:BD51,1)</f>
        <v>#N/A</v>
      </c>
      <c r="AE181" s="164">
        <v>6</v>
      </c>
      <c r="AF181" s="164">
        <v>27</v>
      </c>
      <c r="AG181" s="179">
        <f>FIXED('HourGH-SEP'!AB39)*1</f>
        <v>339.5</v>
      </c>
      <c r="AH181" s="164" t="str">
        <f>IF(AND(AE181=AP5,AE181=AR5,AF181&gt;=AQ5,AF181&lt;=AS5),"r1",IF(AND(AE181&gt;AP5,AE181&lt;AR5),"r1",IF(AND(AE181&gt;AP5,AE181=AR5,AF181&lt;=AS5),"r1",IF(AND(AE181=AP5,AE181&lt;AR5,AF181&gt;=AQ5),"r1","n"))))</f>
        <v>r1</v>
      </c>
      <c r="AI181" s="164" t="str">
        <f>IF(AH181&lt;&gt;"n",AH181,IF(AND(AE181=AT5,AE181=AV5,AF181&gt;=AU5,AF181&lt;=AW5),"r2",IF(AND(AE181&gt;AT5,AE181&lt;AV5),"r2",IF(AND(AE181&gt;AT5,AE181=AV5,AF181&lt;=AW5),"r2",IF(AND(AE181=AT5,AE181&lt;AV5,AF181&gt;=AU5),"r2","n")))))</f>
        <v>r1</v>
      </c>
      <c r="AJ181" s="164" t="str">
        <f>IF(AI181&lt;&gt;"n",AI181,IF(AND(AE181=AP6,AE181=AR6,AF181&gt;=AQ6,AF181&lt;=AS6),"r1",IF(AND(AE181&gt;AP6,AE181&lt;AR6),"r1",IF(AND(AE181&gt;AP6,AE181=AR6,AF181&lt;=AS6),"r1",IF(AND(AE181=AP6,AE181&lt;AR6,AF181&gt;=AQ6),"r1","n")))))</f>
        <v>r1</v>
      </c>
      <c r="AK181" s="164" t="str">
        <f>IF(AJ181&lt;&gt;"n",AJ181,IF(AND(AE181=AT6,AE181=AV6,AF181&gt;=AU6,AF181&lt;=AW6),"r2",IF(AND(AE181&gt;AT6,AE181&lt;AV6),"r2",IF(AND(AE181&gt;AT6,AE181=AV6,AF181&lt;=AW6),"r2",IF(AND(AE181=AT6,AE181&lt;AV6,AF181&gt;=AU6),"r2","n")))))</f>
        <v>r1</v>
      </c>
      <c r="AL181" s="164" t="str">
        <f>IF(AK181&lt;&gt;"n",AK181,IF(AND(AE181=AP7,AE181=AR7,AF181&gt;=AQ7,AF181&lt;=AS7),"r1",IF(AND(AE181&gt;AP7,AE181&lt;AR7),"r1",IF(AND(AE181&gt;AP7,AE181=AR7,AF181&lt;=AS7),"r1",IF(AND(AE181=AP7,AE181&lt;AR7,AF181&gt;=AQ7),"r1","n")))))</f>
        <v>r1</v>
      </c>
    </row>
    <row r="182" spans="26:38" ht="17.100000000000001" hidden="1" customHeight="1">
      <c r="Z182" s="176">
        <f t="shared" si="12"/>
        <v>59.750000000001776</v>
      </c>
      <c r="AA182" s="176">
        <f>IF(TRIM(AG182)="","",IF(INDEX(AZ1:AZ51,AC182)=AG182,INDEX(BA1:BA51,AC182),((AG182-INDEX(AZ1:AZ51,AC182))*(INDEX(BA1:BA51,AC182+1)-INDEX(BA1:BA51,AC182)))/(INDEX(AZ1:AZ51,AC182+1)-INDEX(AZ1:AZ51,AC182))+INDEX(BA1:BA51,AC182)))</f>
        <v>59.750000000001776</v>
      </c>
      <c r="AB182" s="176" t="e">
        <f>IF(TRIM(AG182)="","",IF(INDEX(BD1:BD51,AD182)=AG182,INDEX(BE1:BE51,AD182),((AG182-INDEX(BD1:BD51,AD182))*(INDEX(BE1:BE51,AD182+1)-INDEX(BE1:BE51,AD182)))/(INDEX(BD1:BD51,AD182+1)-INDEX(BD1:BD51,AD182))+INDEX(BE1:BE51,AD182)))</f>
        <v>#N/A</v>
      </c>
      <c r="AC182" s="164">
        <f>MATCH(AG182,AZ1:AZ51,1)</f>
        <v>9</v>
      </c>
      <c r="AD182" s="164" t="e">
        <f>MATCH(AG182,BD1:BD51,1)</f>
        <v>#N/A</v>
      </c>
      <c r="AE182" s="164">
        <v>6</v>
      </c>
      <c r="AF182" s="164">
        <v>28</v>
      </c>
      <c r="AG182" s="179">
        <f>FIXED('HourGH-SEP'!AB40)*1</f>
        <v>339.1</v>
      </c>
      <c r="AH182" s="164" t="str">
        <f>IF(AND(AE182=AP5,AE182=AR5,AF182&gt;=AQ5,AF182&lt;=AS5),"r1",IF(AND(AE182&gt;AP5,AE182&lt;AR5),"r1",IF(AND(AE182&gt;AP5,AE182=AR5,AF182&lt;=AS5),"r1",IF(AND(AE182=AP5,AE182&lt;AR5,AF182&gt;=AQ5),"r1","n"))))</f>
        <v>r1</v>
      </c>
      <c r="AI182" s="164" t="str">
        <f>IF(AH182&lt;&gt;"n",AH182,IF(AND(AE182=AT5,AE182=AV5,AF182&gt;=AU5,AF182&lt;=AW5),"r2",IF(AND(AE182&gt;AT5,AE182&lt;AV5),"r2",IF(AND(AE182&gt;AT5,AE182=AV5,AF182&lt;=AW5),"r2",IF(AND(AE182=AT5,AE182&lt;AV5,AF182&gt;=AU5),"r2","n")))))</f>
        <v>r1</v>
      </c>
      <c r="AJ182" s="164" t="str">
        <f>IF(AI182&lt;&gt;"n",AI182,IF(AND(AE182=AP6,AE182=AR6,AF182&gt;=AQ6,AF182&lt;=AS6),"r1",IF(AND(AE182&gt;AP6,AE182&lt;AR6),"r1",IF(AND(AE182&gt;AP6,AE182=AR6,AF182&lt;=AS6),"r1",IF(AND(AE182=AP6,AE182&lt;AR6,AF182&gt;=AQ6),"r1","n")))))</f>
        <v>r1</v>
      </c>
      <c r="AK182" s="164" t="str">
        <f>IF(AJ182&lt;&gt;"n",AJ182,IF(AND(AE182=AT6,AE182=AV6,AF182&gt;=AU6,AF182&lt;=AW6),"r2",IF(AND(AE182&gt;AT6,AE182&lt;AV6),"r2",IF(AND(AE182&gt;AT6,AE182=AV6,AF182&lt;=AW6),"r2",IF(AND(AE182=AT6,AE182&lt;AV6,AF182&gt;=AU6),"r2","n")))))</f>
        <v>r1</v>
      </c>
      <c r="AL182" s="164" t="str">
        <f>IF(AK182&lt;&gt;"n",AK182,IF(AND(AE182=AP7,AE182=AR7,AF182&gt;=AQ7,AF182&lt;=AS7),"r1",IF(AND(AE182&gt;AP7,AE182&lt;AR7),"r1",IF(AND(AE182&gt;AP7,AE182=AR7,AF182&lt;=AS7),"r1",IF(AND(AE182=AP7,AE182&lt;AR7,AF182&gt;=AQ7),"r1","n")))))</f>
        <v>r1</v>
      </c>
    </row>
    <row r="183" spans="26:38" ht="17.100000000000001" hidden="1" customHeight="1">
      <c r="Z183" s="176">
        <f t="shared" si="12"/>
        <v>77.05000000000166</v>
      </c>
      <c r="AA183" s="176">
        <f>IF(TRIM(AG183)="","",IF(INDEX(AZ1:AZ51,AC183)=AG183,INDEX(BA1:BA51,AC183),((AG183-INDEX(AZ1:AZ51,AC183))*(INDEX(BA1:BA51,AC183+1)-INDEX(BA1:BA51,AC183)))/(INDEX(AZ1:AZ51,AC183+1)-INDEX(AZ1:AZ51,AC183))+INDEX(BA1:BA51,AC183)))</f>
        <v>77.05000000000166</v>
      </c>
      <c r="AB183" s="176" t="e">
        <f>IF(TRIM(AG183)="","",IF(INDEX(BD1:BD51,AD183)=AG183,INDEX(BE1:BE51,AD183),((AG183-INDEX(BD1:BD51,AD183))*(INDEX(BE1:BE51,AD183+1)-INDEX(BE1:BE51,AD183)))/(INDEX(BD1:BD51,AD183+1)-INDEX(BD1:BD51,AD183))+INDEX(BE1:BE51,AD183)))</f>
        <v>#N/A</v>
      </c>
      <c r="AC183" s="164">
        <f>MATCH(AG183,AZ1:AZ51,1)</f>
        <v>10</v>
      </c>
      <c r="AD183" s="164" t="e">
        <f>MATCH(AG183,BD1:BD51,1)</f>
        <v>#N/A</v>
      </c>
      <c r="AE183" s="164">
        <v>6</v>
      </c>
      <c r="AF183" s="164">
        <v>29</v>
      </c>
      <c r="AG183" s="179">
        <f>FIXED('HourGH-SEP'!AB41)*1</f>
        <v>339.37</v>
      </c>
      <c r="AH183" s="164" t="str">
        <f>IF(AND(AE183=AP5,AE183=AR5,AF183&gt;=AQ5,AF183&lt;=AS5),"r1",IF(AND(AE183&gt;AP5,AE183&lt;AR5),"r1",IF(AND(AE183&gt;AP5,AE183=AR5,AF183&lt;=AS5),"r1",IF(AND(AE183=AP5,AE183&lt;AR5,AF183&gt;=AQ5),"r1","n"))))</f>
        <v>r1</v>
      </c>
      <c r="AI183" s="164" t="str">
        <f>IF(AH183&lt;&gt;"n",AH183,IF(AND(AE183=AT5,AE183=AV5,AF183&gt;=AU5,AF183&lt;=AW5),"r2",IF(AND(AE183&gt;AT5,AE183&lt;AV5),"r2",IF(AND(AE183&gt;AT5,AE183=AV5,AF183&lt;=AW5),"r2",IF(AND(AE183=AT5,AE183&lt;AV5,AF183&gt;=AU5),"r2","n")))))</f>
        <v>r1</v>
      </c>
      <c r="AJ183" s="164" t="str">
        <f>IF(AI183&lt;&gt;"n",AI183,IF(AND(AE183=AP6,AE183=AR6,AF183&gt;=AQ6,AF183&lt;=AS6),"r1",IF(AND(AE183&gt;AP6,AE183&lt;AR6),"r1",IF(AND(AE183&gt;AP6,AE183=AR6,AF183&lt;=AS6),"r1",IF(AND(AE183=AP6,AE183&lt;AR6,AF183&gt;=AQ6),"r1","n")))))</f>
        <v>r1</v>
      </c>
      <c r="AK183" s="164" t="str">
        <f>IF(AJ183&lt;&gt;"n",AJ183,IF(AND(AE183=AT6,AE183=AV6,AF183&gt;=AU6,AF183&lt;=AW6),"r2",IF(AND(AE183&gt;AT6,AE183&lt;AV6),"r2",IF(AND(AE183&gt;AT6,AE183=AV6,AF183&lt;=AW6),"r2",IF(AND(AE183=AT6,AE183&lt;AV6,AF183&gt;=AU6),"r2","n")))))</f>
        <v>r1</v>
      </c>
      <c r="AL183" s="164" t="str">
        <f>IF(AK183&lt;&gt;"n",AK183,IF(AND(AE183=AP7,AE183=AR7,AF183&gt;=AQ7,AF183&lt;=AS7),"r1",IF(AND(AE183&gt;AP7,AE183&lt;AR7),"r1",IF(AND(AE183&gt;AP7,AE183=AR7,AF183&lt;=AS7),"r1",IF(AND(AE183=AP7,AE183&lt;AR7,AF183&gt;=AQ7),"r1","n")))))</f>
        <v>r1</v>
      </c>
    </row>
    <row r="184" spans="26:38" ht="17.100000000000001" hidden="1" customHeight="1">
      <c r="Z184" s="176">
        <f t="shared" si="12"/>
        <v>41.500000000000497</v>
      </c>
      <c r="AA184" s="176">
        <f>IF(TRIM(AG184)="","",IF(INDEX(AZ1:AZ51,AC184)=AG184,INDEX(BA1:BA51,AC184),((AG184-INDEX(AZ1:AZ51,AC184))*(INDEX(BA1:BA51,AC184+1)-INDEX(BA1:BA51,AC184)))/(INDEX(AZ1:AZ51,AC184+1)-INDEX(AZ1:AZ51,AC184))+INDEX(BA1:BA51,AC184)))</f>
        <v>41.500000000000497</v>
      </c>
      <c r="AB184" s="176" t="e">
        <f>IF(TRIM(AG184)="","",IF(INDEX(BD1:BD51,AD184)=AG184,INDEX(BE1:BE51,AD184),((AG184-INDEX(BD1:BD51,AD184))*(INDEX(BE1:BE51,AD184+1)-INDEX(BE1:BE51,AD184)))/(INDEX(BD1:BD51,AD184+1)-INDEX(BD1:BD51,AD184))+INDEX(BE1:BE51,AD184)))</f>
        <v>#N/A</v>
      </c>
      <c r="AC184" s="164">
        <f>MATCH(AG184,AZ1:AZ51,1)</f>
        <v>7</v>
      </c>
      <c r="AD184" s="164" t="e">
        <f>MATCH(AG184,BD1:BD51,1)</f>
        <v>#N/A</v>
      </c>
      <c r="AE184" s="164">
        <v>6</v>
      </c>
      <c r="AF184" s="164">
        <v>30</v>
      </c>
      <c r="AG184" s="179">
        <f>FIXED('HourGH-SEP'!AB42)*1</f>
        <v>338.79</v>
      </c>
      <c r="AH184" s="164" t="str">
        <f>IF(AND(AE184=AP5,AE184=AR5,AF184&gt;=AQ5,AF184&lt;=AS5),"r1",IF(AND(AE184&gt;AP5,AE184&lt;AR5),"r1",IF(AND(AE184&gt;AP5,AE184=AR5,AF184&lt;=AS5),"r1",IF(AND(AE184=AP5,AE184&lt;AR5,AF184&gt;=AQ5),"r1","n"))))</f>
        <v>r1</v>
      </c>
      <c r="AI184" s="164" t="str">
        <f>IF(AH184&lt;&gt;"n",AH184,IF(AND(AE184=AT5,AE184=AV5,AF184&gt;=AU5,AF184&lt;=AW5),"r2",IF(AND(AE184&gt;AT5,AE184&lt;AV5),"r2",IF(AND(AE184&gt;AT5,AE184=AV5,AF184&lt;=AW5),"r2",IF(AND(AE184=AT5,AE184&lt;AV5,AF184&gt;=AU5),"r2","n")))))</f>
        <v>r1</v>
      </c>
      <c r="AJ184" s="164" t="str">
        <f>IF(AI184&lt;&gt;"n",AI184,IF(AND(AE184=AP6,AE184=AR6,AF184&gt;=AQ6,AF184&lt;=AS6),"r1",IF(AND(AE184&gt;AP6,AE184&lt;AR6),"r1",IF(AND(AE184&gt;AP6,AE184=AR6,AF184&lt;=AS6),"r1",IF(AND(AE184=AP6,AE184&lt;AR6,AF184&gt;=AQ6),"r1","n")))))</f>
        <v>r1</v>
      </c>
      <c r="AK184" s="164" t="str">
        <f>IF(AJ184&lt;&gt;"n",AJ184,IF(AND(AE184=AT6,AE184=AV6,AF184&gt;=AU6,AF184&lt;=AW6),"r2",IF(AND(AE184&gt;AT6,AE184&lt;AV6),"r2",IF(AND(AE184&gt;AT6,AE184=AV6,AF184&lt;=AW6),"r2",IF(AND(AE184=AT6,AE184&lt;AV6,AF184&gt;=AU6),"r2","n")))))</f>
        <v>r1</v>
      </c>
      <c r="AL184" s="164" t="str">
        <f>IF(AK184&lt;&gt;"n",AK184,IF(AND(AE184=AP7,AE184=AR7,AF184&gt;=AQ7,AF184&lt;=AS7),"r1",IF(AND(AE184&gt;AP7,AE184&lt;AR7),"r1",IF(AND(AE184&gt;AP7,AE184=AR7,AF184&lt;=AS7),"r1",IF(AND(AE184=AP7,AE184&lt;AR7,AF184&gt;=AQ7),"r1","n")))))</f>
        <v>r1</v>
      </c>
    </row>
    <row r="185" spans="26:38" ht="17.100000000000001" hidden="1" customHeight="1">
      <c r="Z185" s="176">
        <f t="shared" si="12"/>
        <v>32.500000000000924</v>
      </c>
      <c r="AA185" s="176">
        <f>IF(TRIM(AG185)="","",IF(INDEX(AZ1:AZ51,AC185)=AG185,INDEX(BA1:BA51,AC185),((AG185-INDEX(AZ1:AZ51,AC185))*(INDEX(BA1:BA51,AC185+1)-INDEX(BA1:BA51,AC185)))/(INDEX(AZ1:AZ51,AC185+1)-INDEX(AZ1:AZ51,AC185))+INDEX(BA1:BA51,AC185)))</f>
        <v>32.500000000000924</v>
      </c>
      <c r="AB185" s="176" t="e">
        <f>IF(TRIM(AG185)="","",IF(INDEX(BD1:BD51,AD185)=AG185,INDEX(BE1:BE51,AD185),((AG185-INDEX(BD1:BD51,AD185))*(INDEX(BE1:BE51,AD185+1)-INDEX(BE1:BE51,AD185)))/(INDEX(BD1:BD51,AD185+1)-INDEX(BD1:BD51,AD185))+INDEX(BE1:BE51,AD185)))</f>
        <v>#N/A</v>
      </c>
      <c r="AC185" s="164">
        <f>MATCH(AG185,AZ1:AZ51,1)</f>
        <v>7</v>
      </c>
      <c r="AD185" s="164" t="e">
        <f>MATCH(AG185,BD1:BD51,1)</f>
        <v>#N/A</v>
      </c>
      <c r="AE185" s="164">
        <v>7</v>
      </c>
      <c r="AF185" s="164">
        <v>1</v>
      </c>
      <c r="AG185" s="179">
        <f>FIXED('HourGH-OCT'!AB11)*1</f>
        <v>338.61</v>
      </c>
      <c r="AH185" s="164" t="str">
        <f>IF(AND(AE185=AP5,AE185=AR5,AF185&gt;=AQ5,AF185&lt;=AS5),"r1",IF(AND(AE185&gt;AP5,AE185&lt;AR5),"r1",IF(AND(AE185&gt;AP5,AE185=AR5,AF185&lt;=AS5),"r1",IF(AND(AE185=AP5,AE185&lt;AR5,AF185&gt;=AQ5),"r1","n"))))</f>
        <v>r1</v>
      </c>
      <c r="AI185" s="164" t="str">
        <f>IF(AH185&lt;&gt;"n",AH185,IF(AND(AE185=AT5,AE185=AV5,AF185&gt;=AU5,AF185&lt;=AW5),"r2",IF(AND(AE185&gt;AT5,AE185&lt;AV5),"r2",IF(AND(AE185&gt;AT5,AE185=AV5,AF185&lt;=AW5),"r2",IF(AND(AE185=AT5,AE185&lt;AV5,AF185&gt;=AU5),"r2","n")))))</f>
        <v>r1</v>
      </c>
      <c r="AJ185" s="164" t="str">
        <f>IF(AI185&lt;&gt;"n",AI185,IF(AND(AE185=AP6,AE185=AR6,AF185&gt;=AQ6,AF185&lt;=AS6),"r1",IF(AND(AE185&gt;AP6,AE185&lt;AR6),"r1",IF(AND(AE185&gt;AP6,AE185=AR6,AF185&lt;=AS6),"r1",IF(AND(AE185=AP6,AE185&lt;AR6,AF185&gt;=AQ6),"r1","n")))))</f>
        <v>r1</v>
      </c>
      <c r="AK185" s="164" t="str">
        <f>IF(AJ185&lt;&gt;"n",AJ185,IF(AND(AE185=AT6,AE185=AV6,AF185&gt;=AU6,AF185&lt;=AW6),"r2",IF(AND(AE185&gt;AT6,AE185&lt;AV6),"r2",IF(AND(AE185&gt;AT6,AE185=AV6,AF185&lt;=AW6),"r2",IF(AND(AE185=AT6,AE185&lt;AV6,AF185&gt;=AU6),"r2","n")))))</f>
        <v>r1</v>
      </c>
      <c r="AL185" s="164" t="str">
        <f>IF(AK185&lt;&gt;"n",AK185,IF(AND(AE185=AP7,AE185=AR7,AF185&gt;=AQ7,AF185&lt;=AS7),"r1",IF(AND(AE185&gt;AP7,AE185&lt;AR7),"r1",IF(AND(AE185&gt;AP7,AE185=AR7,AF185&lt;=AS7),"r1",IF(AND(AE185=AP7,AE185&lt;AR7,AF185&gt;=AQ7),"r1","n")))))</f>
        <v>r1</v>
      </c>
    </row>
    <row r="186" spans="26:38" ht="17.100000000000001" hidden="1" customHeight="1">
      <c r="Z186" s="176">
        <f t="shared" si="12"/>
        <v>30.500000000000071</v>
      </c>
      <c r="AA186" s="176">
        <f>IF(TRIM(AG186)="","",IF(INDEX(AZ1:AZ51,AC186)=AG186,INDEX(BA1:BA51,AC186),((AG186-INDEX(AZ1:AZ51,AC186))*(INDEX(BA1:BA51,AC186+1)-INDEX(BA1:BA51,AC186)))/(INDEX(AZ1:AZ51,AC186+1)-INDEX(AZ1:AZ51,AC186))+INDEX(BA1:BA51,AC186)))</f>
        <v>30.500000000000071</v>
      </c>
      <c r="AB186" s="176" t="e">
        <f>IF(TRIM(AG186)="","",IF(INDEX(BD1:BD51,AD186)=AG186,INDEX(BE1:BE51,AD186),((AG186-INDEX(BD1:BD51,AD186))*(INDEX(BE1:BE51,AD186+1)-INDEX(BE1:BE51,AD186)))/(INDEX(BD1:BD51,AD186+1)-INDEX(BD1:BD51,AD186))+INDEX(BE1:BE51,AD186)))</f>
        <v>#N/A</v>
      </c>
      <c r="AC186" s="164">
        <f>MATCH(AG186,AZ1:AZ51,1)</f>
        <v>7</v>
      </c>
      <c r="AD186" s="164" t="e">
        <f>MATCH(AG186,BD1:BD51,1)</f>
        <v>#N/A</v>
      </c>
      <c r="AE186" s="164">
        <v>7</v>
      </c>
      <c r="AF186" s="164">
        <v>2</v>
      </c>
      <c r="AG186" s="179">
        <f>FIXED('HourGH-OCT'!AB12)*1</f>
        <v>338.57</v>
      </c>
      <c r="AH186" s="164" t="str">
        <f>IF(AND(AE186=AP5,AE186=AR5,AF186&gt;=AQ5,AF186&lt;=AS5),"r1",IF(AND(AE186&gt;AP5,AE186&lt;AR5),"r1",IF(AND(AE186&gt;AP5,AE186=AR5,AF186&lt;=AS5),"r1",IF(AND(AE186=AP5,AE186&lt;AR5,AF186&gt;=AQ5),"r1","n"))))</f>
        <v>r1</v>
      </c>
      <c r="AI186" s="164" t="str">
        <f>IF(AH186&lt;&gt;"n",AH186,IF(AND(AE186=AT5,AE186=AV5,AF186&gt;=AU5,AF186&lt;=AW5),"r2",IF(AND(AE186&gt;AT5,AE186&lt;AV5),"r2",IF(AND(AE186&gt;AT5,AE186=AV5,AF186&lt;=AW5),"r2",IF(AND(AE186=AT5,AE186&lt;AV5,AF186&gt;=AU5),"r2","n")))))</f>
        <v>r1</v>
      </c>
      <c r="AJ186" s="164" t="str">
        <f>IF(AI186&lt;&gt;"n",AI186,IF(AND(AE186=AP6,AE186=AR6,AF186&gt;=AQ6,AF186&lt;=AS6),"r1",IF(AND(AE186&gt;AP6,AE186&lt;AR6),"r1",IF(AND(AE186&gt;AP6,AE186=AR6,AF186&lt;=AS6),"r1",IF(AND(AE186=AP6,AE186&lt;AR6,AF186&gt;=AQ6),"r1","n")))))</f>
        <v>r1</v>
      </c>
      <c r="AK186" s="164" t="str">
        <f>IF(AJ186&lt;&gt;"n",AJ186,IF(AND(AE186=AT6,AE186=AV6,AF186&gt;=AU6,AF186&lt;=AW6),"r2",IF(AND(AE186&gt;AT6,AE186&lt;AV6),"r2",IF(AND(AE186&gt;AT6,AE186=AV6,AF186&lt;=AW6),"r2",IF(AND(AE186=AT6,AE186&lt;AV6,AF186&gt;=AU6),"r2","n")))))</f>
        <v>r1</v>
      </c>
      <c r="AL186" s="164" t="str">
        <f>IF(AK186&lt;&gt;"n",AK186,IF(AND(AE186=AP7,AE186=AR7,AF186&gt;=AQ7,AF186&lt;=AS7),"r1",IF(AND(AE186&gt;AP7,AE186&lt;AR7),"r1",IF(AND(AE186&gt;AP7,AE186=AR7,AF186&lt;=AS7),"r1",IF(AND(AE186=AP7,AE186&lt;AR7,AF186&gt;=AQ7),"r1","n")))))</f>
        <v>r1</v>
      </c>
    </row>
    <row r="187" spans="26:38" ht="17.100000000000001" hidden="1" customHeight="1">
      <c r="Z187" s="176">
        <f t="shared" si="12"/>
        <v>31.499999999999076</v>
      </c>
      <c r="AA187" s="176">
        <f>IF(TRIM(AG187)="","",IF(INDEX(AZ1:AZ51,AC187)=AG187,INDEX(BA1:BA51,AC187),((AG187-INDEX(AZ1:AZ51,AC187))*(INDEX(BA1:BA51,AC187+1)-INDEX(BA1:BA51,AC187)))/(INDEX(AZ1:AZ51,AC187+1)-INDEX(AZ1:AZ51,AC187))+INDEX(BA1:BA51,AC187)))</f>
        <v>31.499999999999076</v>
      </c>
      <c r="AB187" s="176" t="e">
        <f>IF(TRIM(AG187)="","",IF(INDEX(BD1:BD51,AD187)=AG187,INDEX(BE1:BE51,AD187),((AG187-INDEX(BD1:BD51,AD187))*(INDEX(BE1:BE51,AD187+1)-INDEX(BE1:BE51,AD187)))/(INDEX(BD1:BD51,AD187+1)-INDEX(BD1:BD51,AD187))+INDEX(BE1:BE51,AD187)))</f>
        <v>#N/A</v>
      </c>
      <c r="AC187" s="164">
        <f>MATCH(AG187,AZ1:AZ51,1)</f>
        <v>7</v>
      </c>
      <c r="AD187" s="164" t="e">
        <f>MATCH(AG187,BD1:BD51,1)</f>
        <v>#N/A</v>
      </c>
      <c r="AE187" s="164">
        <v>7</v>
      </c>
      <c r="AF187" s="164">
        <v>3</v>
      </c>
      <c r="AG187" s="179">
        <f>FIXED('HourGH-OCT'!AB13)*1</f>
        <v>338.59</v>
      </c>
      <c r="AH187" s="164" t="str">
        <f>IF(AND(AE187=AP5,AE187=AR5,AF187&gt;=AQ5,AF187&lt;=AS5),"r1",IF(AND(AE187&gt;AP5,AE187&lt;AR5),"r1",IF(AND(AE187&gt;AP5,AE187=AR5,AF187&lt;=AS5),"r1",IF(AND(AE187=AP5,AE187&lt;AR5,AF187&gt;=AQ5),"r1","n"))))</f>
        <v>r1</v>
      </c>
      <c r="AI187" s="164" t="str">
        <f>IF(AH187&lt;&gt;"n",AH187,IF(AND(AE187=AT5,AE187=AV5,AF187&gt;=AU5,AF187&lt;=AW5),"r2",IF(AND(AE187&gt;AT5,AE187&lt;AV5),"r2",IF(AND(AE187&gt;AT5,AE187=AV5,AF187&lt;=AW5),"r2",IF(AND(AE187=AT5,AE187&lt;AV5,AF187&gt;=AU5),"r2","n")))))</f>
        <v>r1</v>
      </c>
      <c r="AJ187" s="164" t="str">
        <f>IF(AI187&lt;&gt;"n",AI187,IF(AND(AE187=AP6,AE187=AR6,AF187&gt;=AQ6,AF187&lt;=AS6),"r1",IF(AND(AE187&gt;AP6,AE187&lt;AR6),"r1",IF(AND(AE187&gt;AP6,AE187=AR6,AF187&lt;=AS6),"r1",IF(AND(AE187=AP6,AE187&lt;AR6,AF187&gt;=AQ6),"r1","n")))))</f>
        <v>r1</v>
      </c>
      <c r="AK187" s="164" t="str">
        <f>IF(AJ187&lt;&gt;"n",AJ187,IF(AND(AE187=AT6,AE187=AV6,AF187&gt;=AU6,AF187&lt;=AW6),"r2",IF(AND(AE187&gt;AT6,AE187&lt;AV6),"r2",IF(AND(AE187&gt;AT6,AE187=AV6,AF187&lt;=AW6),"r2",IF(AND(AE187=AT6,AE187&lt;AV6,AF187&gt;=AU6),"r2","n")))))</f>
        <v>r1</v>
      </c>
      <c r="AL187" s="164" t="str">
        <f>IF(AK187&lt;&gt;"n",AK187,IF(AND(AE187=AP7,AE187=AR7,AF187&gt;=AQ7,AF187&lt;=AS7),"r1",IF(AND(AE187&gt;AP7,AE187&lt;AR7),"r1",IF(AND(AE187&gt;AP7,AE187=AR7,AF187&lt;=AS7),"r1",IF(AND(AE187=AP7,AE187&lt;AR7,AF187&gt;=AQ7),"r1","n")))))</f>
        <v>r1</v>
      </c>
    </row>
    <row r="188" spans="26:38" ht="17.100000000000001" hidden="1" customHeight="1">
      <c r="Z188" s="176">
        <f t="shared" si="12"/>
        <v>29.500000000001066</v>
      </c>
      <c r="AA188" s="176">
        <f>IF(TRIM(AG188)="","",IF(INDEX(AZ1:AZ51,AC188)=AG188,INDEX(BA1:BA51,AC188),((AG188-INDEX(AZ1:AZ51,AC188))*(INDEX(BA1:BA51,AC188+1)-INDEX(BA1:BA51,AC188)))/(INDEX(AZ1:AZ51,AC188+1)-INDEX(AZ1:AZ51,AC188))+INDEX(BA1:BA51,AC188)))</f>
        <v>29.500000000001066</v>
      </c>
      <c r="AB188" s="176" t="e">
        <f>IF(TRIM(AG188)="","",IF(INDEX(BD1:BD51,AD188)=AG188,INDEX(BE1:BE51,AD188),((AG188-INDEX(BD1:BD51,AD188))*(INDEX(BE1:BE51,AD188+1)-INDEX(BE1:BE51,AD188)))/(INDEX(BD1:BD51,AD188+1)-INDEX(BD1:BD51,AD188))+INDEX(BE1:BE51,AD188)))</f>
        <v>#N/A</v>
      </c>
      <c r="AC188" s="164">
        <f>MATCH(AG188,AZ1:AZ51,1)</f>
        <v>7</v>
      </c>
      <c r="AD188" s="164" t="e">
        <f>MATCH(AG188,BD1:BD51,1)</f>
        <v>#N/A</v>
      </c>
      <c r="AE188" s="164">
        <v>7</v>
      </c>
      <c r="AF188" s="164">
        <v>4</v>
      </c>
      <c r="AG188" s="179">
        <f>FIXED('HourGH-OCT'!AB14)*1</f>
        <v>338.55</v>
      </c>
      <c r="AH188" s="164" t="str">
        <f>IF(AND(AE188=AP5,AE188=AR5,AF188&gt;=AQ5,AF188&lt;=AS5),"r1",IF(AND(AE188&gt;AP5,AE188&lt;AR5),"r1",IF(AND(AE188&gt;AP5,AE188=AR5,AF188&lt;=AS5),"r1",IF(AND(AE188=AP5,AE188&lt;AR5,AF188&gt;=AQ5),"r1","n"))))</f>
        <v>r1</v>
      </c>
      <c r="AI188" s="164" t="str">
        <f>IF(AH188&lt;&gt;"n",AH188,IF(AND(AE188=AT5,AE188=AV5,AF188&gt;=AU5,AF188&lt;=AW5),"r2",IF(AND(AE188&gt;AT5,AE188&lt;AV5),"r2",IF(AND(AE188&gt;AT5,AE188=AV5,AF188&lt;=AW5),"r2",IF(AND(AE188=AT5,AE188&lt;AV5,AF188&gt;=AU5),"r2","n")))))</f>
        <v>r1</v>
      </c>
      <c r="AJ188" s="164" t="str">
        <f>IF(AI188&lt;&gt;"n",AI188,IF(AND(AE188=AP6,AE188=AR6,AF188&gt;=AQ6,AF188&lt;=AS6),"r1",IF(AND(AE188&gt;AP6,AE188&lt;AR6),"r1",IF(AND(AE188&gt;AP6,AE188=AR6,AF188&lt;=AS6),"r1",IF(AND(AE188=AP6,AE188&lt;AR6,AF188&gt;=AQ6),"r1","n")))))</f>
        <v>r1</v>
      </c>
      <c r="AK188" s="164" t="str">
        <f>IF(AJ188&lt;&gt;"n",AJ188,IF(AND(AE188=AT6,AE188=AV6,AF188&gt;=AU6,AF188&lt;=AW6),"r2",IF(AND(AE188&gt;AT6,AE188&lt;AV6),"r2",IF(AND(AE188&gt;AT6,AE188=AV6,AF188&lt;=AW6),"r2",IF(AND(AE188=AT6,AE188&lt;AV6,AF188&gt;=AU6),"r2","n")))))</f>
        <v>r1</v>
      </c>
      <c r="AL188" s="164" t="str">
        <f>IF(AK188&lt;&gt;"n",AK188,IF(AND(AE188=AP7,AE188=AR7,AF188&gt;=AQ7,AF188&lt;=AS7),"r1",IF(AND(AE188&gt;AP7,AE188&lt;AR7),"r1",IF(AND(AE188&gt;AP7,AE188=AR7,AF188&lt;=AS7),"r1",IF(AND(AE188=AP7,AE188&lt;AR7,AF188&gt;=AQ7),"r1","n")))))</f>
        <v>r1</v>
      </c>
    </row>
    <row r="189" spans="26:38" ht="17.100000000000001" hidden="1" customHeight="1">
      <c r="Z189" s="176">
        <f t="shared" si="12"/>
        <v>26.500000000001208</v>
      </c>
      <c r="AA189" s="176">
        <f>IF(TRIM(AG189)="","",IF(INDEX(AZ1:AZ51,AC189)=AG189,INDEX(BA1:BA51,AC189),((AG189-INDEX(AZ1:AZ51,AC189))*(INDEX(BA1:BA51,AC189+1)-INDEX(BA1:BA51,AC189)))/(INDEX(AZ1:AZ51,AC189+1)-INDEX(AZ1:AZ51,AC189))+INDEX(BA1:BA51,AC189)))</f>
        <v>26.500000000001208</v>
      </c>
      <c r="AB189" s="176" t="e">
        <f>IF(TRIM(AG189)="","",IF(INDEX(BD1:BD51,AD189)=AG189,INDEX(BE1:BE51,AD189),((AG189-INDEX(BD1:BD51,AD189))*(INDEX(BE1:BE51,AD189+1)-INDEX(BE1:BE51,AD189)))/(INDEX(BD1:BD51,AD189+1)-INDEX(BD1:BD51,AD189))+INDEX(BE1:BE51,AD189)))</f>
        <v>#N/A</v>
      </c>
      <c r="AC189" s="164">
        <f>MATCH(AG189,AZ1:AZ51,1)</f>
        <v>7</v>
      </c>
      <c r="AD189" s="164" t="e">
        <f>MATCH(AG189,BD1:BD51,1)</f>
        <v>#N/A</v>
      </c>
      <c r="AE189" s="164">
        <v>7</v>
      </c>
      <c r="AF189" s="164">
        <v>5</v>
      </c>
      <c r="AG189" s="179">
        <f>FIXED('HourGH-OCT'!AB15)*1</f>
        <v>338.49</v>
      </c>
      <c r="AH189" s="164" t="str">
        <f>IF(AND(AE189=AP5,AE189=AR5,AF189&gt;=AQ5,AF189&lt;=AS5),"r1",IF(AND(AE189&gt;AP5,AE189&lt;AR5),"r1",IF(AND(AE189&gt;AP5,AE189=AR5,AF189&lt;=AS5),"r1",IF(AND(AE189=AP5,AE189&lt;AR5,AF189&gt;=AQ5),"r1","n"))))</f>
        <v>r1</v>
      </c>
      <c r="AI189" s="164" t="str">
        <f>IF(AH189&lt;&gt;"n",AH189,IF(AND(AE189=AT5,AE189=AV5,AF189&gt;=AU5,AF189&lt;=AW5),"r2",IF(AND(AE189&gt;AT5,AE189&lt;AV5),"r2",IF(AND(AE189&gt;AT5,AE189=AV5,AF189&lt;=AW5),"r2",IF(AND(AE189=AT5,AE189&lt;AV5,AF189&gt;=AU5),"r2","n")))))</f>
        <v>r1</v>
      </c>
      <c r="AJ189" s="164" t="str">
        <f>IF(AI189&lt;&gt;"n",AI189,IF(AND(AE189=AP6,AE189=AR6,AF189&gt;=AQ6,AF189&lt;=AS6),"r1",IF(AND(AE189&gt;AP6,AE189&lt;AR6),"r1",IF(AND(AE189&gt;AP6,AE189=AR6,AF189&lt;=AS6),"r1",IF(AND(AE189=AP6,AE189&lt;AR6,AF189&gt;=AQ6),"r1","n")))))</f>
        <v>r1</v>
      </c>
      <c r="AK189" s="164" t="str">
        <f>IF(AJ189&lt;&gt;"n",AJ189,IF(AND(AE189=AT6,AE189=AV6,AF189&gt;=AU6,AF189&lt;=AW6),"r2",IF(AND(AE189&gt;AT6,AE189&lt;AV6),"r2",IF(AND(AE189&gt;AT6,AE189=AV6,AF189&lt;=AW6),"r2",IF(AND(AE189=AT6,AE189&lt;AV6,AF189&gt;=AU6),"r2","n")))))</f>
        <v>r1</v>
      </c>
      <c r="AL189" s="164" t="str">
        <f>IF(AK189&lt;&gt;"n",AK189,IF(AND(AE189=AP7,AE189=AR7,AF189&gt;=AQ7,AF189&lt;=AS7),"r1",IF(AND(AE189&gt;AP7,AE189&lt;AR7),"r1",IF(AND(AE189&gt;AP7,AE189=AR7,AF189&lt;=AS7),"r1",IF(AND(AE189=AP7,AE189&lt;AR7,AF189&gt;=AQ7),"r1","n")))))</f>
        <v>r1</v>
      </c>
    </row>
    <row r="190" spans="26:38" ht="17.100000000000001" hidden="1" customHeight="1">
      <c r="Z190" s="176">
        <f t="shared" si="12"/>
        <v>32.500000000000924</v>
      </c>
      <c r="AA190" s="176">
        <f>IF(TRIM(AG190)="","",IF(INDEX(AZ1:AZ51,AC190)=AG190,INDEX(BA1:BA51,AC190),((AG190-INDEX(AZ1:AZ51,AC190))*(INDEX(BA1:BA51,AC190+1)-INDEX(BA1:BA51,AC190)))/(INDEX(AZ1:AZ51,AC190+1)-INDEX(AZ1:AZ51,AC190))+INDEX(BA1:BA51,AC190)))</f>
        <v>32.500000000000924</v>
      </c>
      <c r="AB190" s="176" t="e">
        <f>IF(TRIM(AG190)="","",IF(INDEX(BD1:BD51,AD190)=AG190,INDEX(BE1:BE51,AD190),((AG190-INDEX(BD1:BD51,AD190))*(INDEX(BE1:BE51,AD190+1)-INDEX(BE1:BE51,AD190)))/(INDEX(BD1:BD51,AD190+1)-INDEX(BD1:BD51,AD190))+INDEX(BE1:BE51,AD190)))</f>
        <v>#N/A</v>
      </c>
      <c r="AC190" s="164">
        <f>MATCH(AG190,AZ1:AZ51,1)</f>
        <v>7</v>
      </c>
      <c r="AD190" s="164" t="e">
        <f>MATCH(AG190,BD1:BD51,1)</f>
        <v>#N/A</v>
      </c>
      <c r="AE190" s="164">
        <v>7</v>
      </c>
      <c r="AF190" s="164">
        <v>6</v>
      </c>
      <c r="AG190" s="179">
        <f>FIXED('HourGH-OCT'!AB16)*1</f>
        <v>338.61</v>
      </c>
      <c r="AH190" s="164" t="str">
        <f>IF(AND(AE190=AP5,AE190=AR5,AF190&gt;=AQ5,AF190&lt;=AS5),"r1",IF(AND(AE190&gt;AP5,AE190&lt;AR5),"r1",IF(AND(AE190&gt;AP5,AE190=AR5,AF190&lt;=AS5),"r1",IF(AND(AE190=AP5,AE190&lt;AR5,AF190&gt;=AQ5),"r1","n"))))</f>
        <v>r1</v>
      </c>
      <c r="AI190" s="164" t="str">
        <f>IF(AH190&lt;&gt;"n",AH190,IF(AND(AE190=AT5,AE190=AV5,AF190&gt;=AU5,AF190&lt;=AW5),"r2",IF(AND(AE190&gt;AT5,AE190&lt;AV5),"r2",IF(AND(AE190&gt;AT5,AE190=AV5,AF190&lt;=AW5),"r2",IF(AND(AE190=AT5,AE190&lt;AV5,AF190&gt;=AU5),"r2","n")))))</f>
        <v>r1</v>
      </c>
      <c r="AJ190" s="164" t="str">
        <f>IF(AI190&lt;&gt;"n",AI190,IF(AND(AE190=AP6,AE190=AR6,AF190&gt;=AQ6,AF190&lt;=AS6),"r1",IF(AND(AE190&gt;AP6,AE190&lt;AR6),"r1",IF(AND(AE190&gt;AP6,AE190=AR6,AF190&lt;=AS6),"r1",IF(AND(AE190=AP6,AE190&lt;AR6,AF190&gt;=AQ6),"r1","n")))))</f>
        <v>r1</v>
      </c>
      <c r="AK190" s="164" t="str">
        <f>IF(AJ190&lt;&gt;"n",AJ190,IF(AND(AE190=AT6,AE190=AV6,AF190&gt;=AU6,AF190&lt;=AW6),"r2",IF(AND(AE190&gt;AT6,AE190&lt;AV6),"r2",IF(AND(AE190&gt;AT6,AE190=AV6,AF190&lt;=AW6),"r2",IF(AND(AE190=AT6,AE190&lt;AV6,AF190&gt;=AU6),"r2","n")))))</f>
        <v>r1</v>
      </c>
      <c r="AL190" s="164" t="str">
        <f>IF(AK190&lt;&gt;"n",AK190,IF(AND(AE190=AP7,AE190=AR7,AF190&gt;=AQ7,AF190&lt;=AS7),"r1",IF(AND(AE190&gt;AP7,AE190&lt;AR7),"r1",IF(AND(AE190&gt;AP7,AE190=AR7,AF190&lt;=AS7),"r1",IF(AND(AE190=AP7,AE190&lt;AR7,AF190&gt;=AQ7),"r1","n")))))</f>
        <v>r1</v>
      </c>
    </row>
    <row r="191" spans="26:38" ht="17.100000000000001" hidden="1" customHeight="1">
      <c r="Z191" s="176">
        <f t="shared" si="12"/>
        <v>26.500000000001208</v>
      </c>
      <c r="AA191" s="176">
        <f>IF(TRIM(AG191)="","",IF(INDEX(AZ1:AZ51,AC191)=AG191,INDEX(BA1:BA51,AC191),((AG191-INDEX(AZ1:AZ51,AC191))*(INDEX(BA1:BA51,AC191+1)-INDEX(BA1:BA51,AC191)))/(INDEX(AZ1:AZ51,AC191+1)-INDEX(AZ1:AZ51,AC191))+INDEX(BA1:BA51,AC191)))</f>
        <v>26.500000000001208</v>
      </c>
      <c r="AB191" s="176" t="e">
        <f>IF(TRIM(AG191)="","",IF(INDEX(BD1:BD51,AD191)=AG191,INDEX(BE1:BE51,AD191),((AG191-INDEX(BD1:BD51,AD191))*(INDEX(BE1:BE51,AD191+1)-INDEX(BE1:BE51,AD191)))/(INDEX(BD1:BD51,AD191+1)-INDEX(BD1:BD51,AD191))+INDEX(BE1:BE51,AD191)))</f>
        <v>#N/A</v>
      </c>
      <c r="AC191" s="164">
        <f>MATCH(AG191,AZ1:AZ51,1)</f>
        <v>7</v>
      </c>
      <c r="AD191" s="164" t="e">
        <f>MATCH(AG191,BD1:BD51,1)</f>
        <v>#N/A</v>
      </c>
      <c r="AE191" s="164">
        <v>7</v>
      </c>
      <c r="AF191" s="164">
        <v>7</v>
      </c>
      <c r="AG191" s="179">
        <f>FIXED('HourGH-OCT'!AB17)*1</f>
        <v>338.49</v>
      </c>
      <c r="AH191" s="164" t="str">
        <f>IF(AND(AE191=AP5,AE191=AR5,AF191&gt;=AQ5,AF191&lt;=AS5),"r1",IF(AND(AE191&gt;AP5,AE191&lt;AR5),"r1",IF(AND(AE191&gt;AP5,AE191=AR5,AF191&lt;=AS5),"r1",IF(AND(AE191=AP5,AE191&lt;AR5,AF191&gt;=AQ5),"r1","n"))))</f>
        <v>r1</v>
      </c>
      <c r="AI191" s="164" t="str">
        <f>IF(AH191&lt;&gt;"n",AH191,IF(AND(AE191=AT5,AE191=AV5,AF191&gt;=AU5,AF191&lt;=AW5),"r2",IF(AND(AE191&gt;AT5,AE191&lt;AV5),"r2",IF(AND(AE191&gt;AT5,AE191=AV5,AF191&lt;=AW5),"r2",IF(AND(AE191=AT5,AE191&lt;AV5,AF191&gt;=AU5),"r2","n")))))</f>
        <v>r1</v>
      </c>
      <c r="AJ191" s="164" t="str">
        <f>IF(AI191&lt;&gt;"n",AI191,IF(AND(AE191=AP6,AE191=AR6,AF191&gt;=AQ6,AF191&lt;=AS6),"r1",IF(AND(AE191&gt;AP6,AE191&lt;AR6),"r1",IF(AND(AE191&gt;AP6,AE191=AR6,AF191&lt;=AS6),"r1",IF(AND(AE191=AP6,AE191&lt;AR6,AF191&gt;=AQ6),"r1","n")))))</f>
        <v>r1</v>
      </c>
      <c r="AK191" s="164" t="str">
        <f>IF(AJ191&lt;&gt;"n",AJ191,IF(AND(AE191=AT6,AE191=AV6,AF191&gt;=AU6,AF191&lt;=AW6),"r2",IF(AND(AE191&gt;AT6,AE191&lt;AV6),"r2",IF(AND(AE191&gt;AT6,AE191=AV6,AF191&lt;=AW6),"r2",IF(AND(AE191=AT6,AE191&lt;AV6,AF191&gt;=AU6),"r2","n")))))</f>
        <v>r1</v>
      </c>
      <c r="AL191" s="164" t="str">
        <f>IF(AK191&lt;&gt;"n",AK191,IF(AND(AE191=AP7,AE191=AR7,AF191&gt;=AQ7,AF191&lt;=AS7),"r1",IF(AND(AE191&gt;AP7,AE191&lt;AR7),"r1",IF(AND(AE191&gt;AP7,AE191=AR7,AF191&lt;=AS7),"r1",IF(AND(AE191=AP7,AE191&lt;AR7,AF191&gt;=AQ7),"r1","n")))))</f>
        <v>r1</v>
      </c>
    </row>
    <row r="192" spans="26:38" ht="17.100000000000001" hidden="1" customHeight="1">
      <c r="Z192" s="176">
        <f t="shared" si="12"/>
        <v>23.000000000001847</v>
      </c>
      <c r="AA192" s="176">
        <f>IF(TRIM(AG192)="","",IF(INDEX(AZ1:AZ51,AC192)=AG192,INDEX(BA1:BA51,AC192),((AG192-INDEX(AZ1:AZ51,AC192))*(INDEX(BA1:BA51,AC192+1)-INDEX(BA1:BA51,AC192)))/(INDEX(AZ1:AZ51,AC192+1)-INDEX(AZ1:AZ51,AC192))+INDEX(BA1:BA51,AC192)))</f>
        <v>23.000000000001847</v>
      </c>
      <c r="AB192" s="176" t="e">
        <f>IF(TRIM(AG192)="","",IF(INDEX(BD1:BD51,AD192)=AG192,INDEX(BE1:BE51,AD192),((AG192-INDEX(BD1:BD51,AD192))*(INDEX(BE1:BE51,AD192+1)-INDEX(BE1:BE51,AD192)))/(INDEX(BD1:BD51,AD192+1)-INDEX(BD1:BD51,AD192))+INDEX(BE1:BE51,AD192)))</f>
        <v>#N/A</v>
      </c>
      <c r="AC192" s="164">
        <f>MATCH(AG192,AZ1:AZ51,1)</f>
        <v>7</v>
      </c>
      <c r="AD192" s="164" t="e">
        <f>MATCH(AG192,BD1:BD51,1)</f>
        <v>#N/A</v>
      </c>
      <c r="AE192" s="164">
        <v>7</v>
      </c>
      <c r="AF192" s="164">
        <v>8</v>
      </c>
      <c r="AG192" s="179">
        <f>FIXED('HourGH-OCT'!AB18)*1</f>
        <v>338.42</v>
      </c>
      <c r="AH192" s="164" t="str">
        <f>IF(AND(AE192=AP5,AE192=AR5,AF192&gt;=AQ5,AF192&lt;=AS5),"r1",IF(AND(AE192&gt;AP5,AE192&lt;AR5),"r1",IF(AND(AE192&gt;AP5,AE192=AR5,AF192&lt;=AS5),"r1",IF(AND(AE192=AP5,AE192&lt;AR5,AF192&gt;=AQ5),"r1","n"))))</f>
        <v>r1</v>
      </c>
      <c r="AI192" s="164" t="str">
        <f>IF(AH192&lt;&gt;"n",AH192,IF(AND(AE192=AT5,AE192=AV5,AF192&gt;=AU5,AF192&lt;=AW5),"r2",IF(AND(AE192&gt;AT5,AE192&lt;AV5),"r2",IF(AND(AE192&gt;AT5,AE192=AV5,AF192&lt;=AW5),"r2",IF(AND(AE192=AT5,AE192&lt;AV5,AF192&gt;=AU5),"r2","n")))))</f>
        <v>r1</v>
      </c>
      <c r="AJ192" s="164" t="str">
        <f>IF(AI192&lt;&gt;"n",AI192,IF(AND(AE192=AP6,AE192=AR6,AF192&gt;=AQ6,AF192&lt;=AS6),"r1",IF(AND(AE192&gt;AP6,AE192&lt;AR6),"r1",IF(AND(AE192&gt;AP6,AE192=AR6,AF192&lt;=AS6),"r1",IF(AND(AE192=AP6,AE192&lt;AR6,AF192&gt;=AQ6),"r1","n")))))</f>
        <v>r1</v>
      </c>
      <c r="AK192" s="164" t="str">
        <f>IF(AJ192&lt;&gt;"n",AJ192,IF(AND(AE192=AT6,AE192=AV6,AF192&gt;=AU6,AF192&lt;=AW6),"r2",IF(AND(AE192&gt;AT6,AE192&lt;AV6),"r2",IF(AND(AE192&gt;AT6,AE192=AV6,AF192&lt;=AW6),"r2",IF(AND(AE192=AT6,AE192&lt;AV6,AF192&gt;=AU6),"r2","n")))))</f>
        <v>r1</v>
      </c>
      <c r="AL192" s="164" t="str">
        <f>IF(AK192&lt;&gt;"n",AK192,IF(AND(AE192=AP7,AE192=AR7,AF192&gt;=AQ7,AF192&lt;=AS7),"r1",IF(AND(AE192&gt;AP7,AE192&lt;AR7),"r1",IF(AND(AE192&gt;AP7,AE192=AR7,AF192&lt;=AS7),"r1",IF(AND(AE192=AP7,AE192&lt;AR7,AF192&gt;=AQ7),"r1","n")))))</f>
        <v>r1</v>
      </c>
    </row>
    <row r="193" spans="26:38" ht="17.100000000000001" hidden="1" customHeight="1">
      <c r="Z193" s="176">
        <f t="shared" ref="Z193:Z256" si="13">IF(TRIM(AG193)="","",IF(AL193="r1",IF(COUNT(AA193)=0,0,AA193),IF(AL193="n",0,IF(COUNT(AB193)=0,0,AB193))))</f>
        <v>19.750000000001918</v>
      </c>
      <c r="AA193" s="176">
        <f>IF(TRIM(AG193)="","",IF(INDEX(AZ1:AZ51,AC193)=AG193,INDEX(BA1:BA51,AC193),((AG193-INDEX(AZ1:AZ51,AC193))*(INDEX(BA1:BA51,AC193+1)-INDEX(BA1:BA51,AC193)))/(INDEX(AZ1:AZ51,AC193+1)-INDEX(AZ1:AZ51,AC193))+INDEX(BA1:BA51,AC193)))</f>
        <v>19.750000000001918</v>
      </c>
      <c r="AB193" s="176" t="e">
        <f>IF(TRIM(AG193)="","",IF(INDEX(BD1:BD51,AD193)=AG193,INDEX(BE1:BE51,AD193),((AG193-INDEX(BD1:BD51,AD193))*(INDEX(BE1:BE51,AD193+1)-INDEX(BE1:BE51,AD193)))/(INDEX(BD1:BD51,AD193+1)-INDEX(BD1:BD51,AD193))+INDEX(BE1:BE51,AD193)))</f>
        <v>#N/A</v>
      </c>
      <c r="AC193" s="164">
        <f>MATCH(AG193,AZ1:AZ51,1)</f>
        <v>6</v>
      </c>
      <c r="AD193" s="164" t="e">
        <f>MATCH(AG193,BD1:BD51,1)</f>
        <v>#N/A</v>
      </c>
      <c r="AE193" s="164">
        <v>7</v>
      </c>
      <c r="AF193" s="164">
        <v>9</v>
      </c>
      <c r="AG193" s="179">
        <f>FIXED('HourGH-OCT'!AB19)*1</f>
        <v>338.35</v>
      </c>
      <c r="AH193" s="164" t="str">
        <f>IF(AND(AE193=AP5,AE193=AR5,AF193&gt;=AQ5,AF193&lt;=AS5),"r1",IF(AND(AE193&gt;AP5,AE193&lt;AR5),"r1",IF(AND(AE193&gt;AP5,AE193=AR5,AF193&lt;=AS5),"r1",IF(AND(AE193=AP5,AE193&lt;AR5,AF193&gt;=AQ5),"r1","n"))))</f>
        <v>r1</v>
      </c>
      <c r="AI193" s="164" t="str">
        <f>IF(AH193&lt;&gt;"n",AH193,IF(AND(AE193=AT5,AE193=AV5,AF193&gt;=AU5,AF193&lt;=AW5),"r2",IF(AND(AE193&gt;AT5,AE193&lt;AV5),"r2",IF(AND(AE193&gt;AT5,AE193=AV5,AF193&lt;=AW5),"r2",IF(AND(AE193=AT5,AE193&lt;AV5,AF193&gt;=AU5),"r2","n")))))</f>
        <v>r1</v>
      </c>
      <c r="AJ193" s="164" t="str">
        <f>IF(AI193&lt;&gt;"n",AI193,IF(AND(AE193=AP6,AE193=AR6,AF193&gt;=AQ6,AF193&lt;=AS6),"r1",IF(AND(AE193&gt;AP6,AE193&lt;AR6),"r1",IF(AND(AE193&gt;AP6,AE193=AR6,AF193&lt;=AS6),"r1",IF(AND(AE193=AP6,AE193&lt;AR6,AF193&gt;=AQ6),"r1","n")))))</f>
        <v>r1</v>
      </c>
      <c r="AK193" s="164" t="str">
        <f>IF(AJ193&lt;&gt;"n",AJ193,IF(AND(AE193=AT6,AE193=AV6,AF193&gt;=AU6,AF193&lt;=AW6),"r2",IF(AND(AE193&gt;AT6,AE193&lt;AV6),"r2",IF(AND(AE193&gt;AT6,AE193=AV6,AF193&lt;=AW6),"r2",IF(AND(AE193=AT6,AE193&lt;AV6,AF193&gt;=AU6),"r2","n")))))</f>
        <v>r1</v>
      </c>
      <c r="AL193" s="164" t="str">
        <f>IF(AK193&lt;&gt;"n",AK193,IF(AND(AE193=AP7,AE193=AR7,AF193&gt;=AQ7,AF193&lt;=AS7),"r1",IF(AND(AE193&gt;AP7,AE193&lt;AR7),"r1",IF(AND(AE193&gt;AP7,AE193=AR7,AF193&lt;=AS7),"r1",IF(AND(AE193=AP7,AE193&lt;AR7,AF193&gt;=AQ7),"r1","n")))))</f>
        <v>r1</v>
      </c>
    </row>
    <row r="194" spans="26:38" ht="17.100000000000001" hidden="1" customHeight="1">
      <c r="Z194" s="176">
        <f t="shared" si="13"/>
        <v>17.050000000001663</v>
      </c>
      <c r="AA194" s="176">
        <f>IF(TRIM(AG194)="","",IF(INDEX(AZ1:AZ51,AC194)=AG194,INDEX(BA1:BA51,AC194),((AG194-INDEX(AZ1:AZ51,AC194))*(INDEX(BA1:BA51,AC194+1)-INDEX(BA1:BA51,AC194)))/(INDEX(AZ1:AZ51,AC194+1)-INDEX(AZ1:AZ51,AC194))+INDEX(BA1:BA51,AC194)))</f>
        <v>17.050000000001663</v>
      </c>
      <c r="AB194" s="176" t="e">
        <f>IF(TRIM(AG194)="","",IF(INDEX(BD1:BD51,AD194)=AG194,INDEX(BE1:BE51,AD194),((AG194-INDEX(BD1:BD51,AD194))*(INDEX(BE1:BE51,AD194+1)-INDEX(BE1:BE51,AD194)))/(INDEX(BD1:BD51,AD194+1)-INDEX(BD1:BD51,AD194))+INDEX(BE1:BE51,AD194)))</f>
        <v>#N/A</v>
      </c>
      <c r="AC194" s="164">
        <f>MATCH(AG194,AZ1:AZ51,1)</f>
        <v>6</v>
      </c>
      <c r="AD194" s="164" t="e">
        <f>MATCH(AG194,BD1:BD51,1)</f>
        <v>#N/A</v>
      </c>
      <c r="AE194" s="164">
        <v>7</v>
      </c>
      <c r="AF194" s="164">
        <v>10</v>
      </c>
      <c r="AG194" s="179">
        <f>FIXED('HourGH-OCT'!AB20)*1</f>
        <v>338.29</v>
      </c>
      <c r="AH194" s="164" t="str">
        <f>IF(AND(AE194=AP5,AE194=AR5,AF194&gt;=AQ5,AF194&lt;=AS5),"r1",IF(AND(AE194&gt;AP5,AE194&lt;AR5),"r1",IF(AND(AE194&gt;AP5,AE194=AR5,AF194&lt;=AS5),"r1",IF(AND(AE194=AP5,AE194&lt;AR5,AF194&gt;=AQ5),"r1","n"))))</f>
        <v>r1</v>
      </c>
      <c r="AI194" s="164" t="str">
        <f>IF(AH194&lt;&gt;"n",AH194,IF(AND(AE194=AT5,AE194=AV5,AF194&gt;=AU5,AF194&lt;=AW5),"r2",IF(AND(AE194&gt;AT5,AE194&lt;AV5),"r2",IF(AND(AE194&gt;AT5,AE194=AV5,AF194&lt;=AW5),"r2",IF(AND(AE194=AT5,AE194&lt;AV5,AF194&gt;=AU5),"r2","n")))))</f>
        <v>r1</v>
      </c>
      <c r="AJ194" s="164" t="str">
        <f>IF(AI194&lt;&gt;"n",AI194,IF(AND(AE194=AP6,AE194=AR6,AF194&gt;=AQ6,AF194&lt;=AS6),"r1",IF(AND(AE194&gt;AP6,AE194&lt;AR6),"r1",IF(AND(AE194&gt;AP6,AE194=AR6,AF194&lt;=AS6),"r1",IF(AND(AE194=AP6,AE194&lt;AR6,AF194&gt;=AQ6),"r1","n")))))</f>
        <v>r1</v>
      </c>
      <c r="AK194" s="164" t="str">
        <f>IF(AJ194&lt;&gt;"n",AJ194,IF(AND(AE194=AT6,AE194=AV6,AF194&gt;=AU6,AF194&lt;=AW6),"r2",IF(AND(AE194&gt;AT6,AE194&lt;AV6),"r2",IF(AND(AE194&gt;AT6,AE194=AV6,AF194&lt;=AW6),"r2",IF(AND(AE194=AT6,AE194&lt;AV6,AF194&gt;=AU6),"r2","n")))))</f>
        <v>r1</v>
      </c>
      <c r="AL194" s="164" t="str">
        <f>IF(AK194&lt;&gt;"n",AK194,IF(AND(AE194=AP7,AE194=AR7,AF194&gt;=AQ7,AF194&lt;=AS7),"r1",IF(AND(AE194&gt;AP7,AE194&lt;AR7),"r1",IF(AND(AE194&gt;AP7,AE194=AR7,AF194&lt;=AS7),"r1",IF(AND(AE194=AP7,AE194&lt;AR7,AF194&gt;=AQ7),"r1","n")))))</f>
        <v>r1</v>
      </c>
    </row>
    <row r="195" spans="26:38" ht="17.100000000000001" hidden="1" customHeight="1">
      <c r="Z195" s="176">
        <f t="shared" si="13"/>
        <v>15.250000000000639</v>
      </c>
      <c r="AA195" s="176">
        <f>IF(TRIM(AG195)="","",IF(INDEX(AZ1:AZ51,AC195)=AG195,INDEX(BA1:BA51,AC195),((AG195-INDEX(AZ1:AZ51,AC195))*(INDEX(BA1:BA51,AC195+1)-INDEX(BA1:BA51,AC195)))/(INDEX(AZ1:AZ51,AC195+1)-INDEX(AZ1:AZ51,AC195))+INDEX(BA1:BA51,AC195)))</f>
        <v>15.250000000000639</v>
      </c>
      <c r="AB195" s="176" t="e">
        <f>IF(TRIM(AG195)="","",IF(INDEX(BD1:BD51,AD195)=AG195,INDEX(BE1:BE51,AD195),((AG195-INDEX(BD1:BD51,AD195))*(INDEX(BE1:BE51,AD195+1)-INDEX(BE1:BE51,AD195)))/(INDEX(BD1:BD51,AD195+1)-INDEX(BD1:BD51,AD195))+INDEX(BE1:BE51,AD195)))</f>
        <v>#N/A</v>
      </c>
      <c r="AC195" s="164">
        <f>MATCH(AG195,AZ1:AZ51,1)</f>
        <v>6</v>
      </c>
      <c r="AD195" s="164" t="e">
        <f>MATCH(AG195,BD1:BD51,1)</f>
        <v>#N/A</v>
      </c>
      <c r="AE195" s="164">
        <v>7</v>
      </c>
      <c r="AF195" s="164">
        <v>11</v>
      </c>
      <c r="AG195" s="179">
        <f>FIXED('HourGH-OCT'!AB22)*1</f>
        <v>338.25</v>
      </c>
      <c r="AH195" s="164" t="str">
        <f>IF(AND(AE195=AP5,AE195=AR5,AF195&gt;=AQ5,AF195&lt;=AS5),"r1",IF(AND(AE195&gt;AP5,AE195&lt;AR5),"r1",IF(AND(AE195&gt;AP5,AE195=AR5,AF195&lt;=AS5),"r1",IF(AND(AE195=AP5,AE195&lt;AR5,AF195&gt;=AQ5),"r1","n"))))</f>
        <v>r1</v>
      </c>
      <c r="AI195" s="164" t="str">
        <f>IF(AH195&lt;&gt;"n",AH195,IF(AND(AE195=AT5,AE195=AV5,AF195&gt;=AU5,AF195&lt;=AW5),"r2",IF(AND(AE195&gt;AT5,AE195&lt;AV5),"r2",IF(AND(AE195&gt;AT5,AE195=AV5,AF195&lt;=AW5),"r2",IF(AND(AE195=AT5,AE195&lt;AV5,AF195&gt;=AU5),"r2","n")))))</f>
        <v>r1</v>
      </c>
      <c r="AJ195" s="164" t="str">
        <f>IF(AI195&lt;&gt;"n",AI195,IF(AND(AE195=AP6,AE195=AR6,AF195&gt;=AQ6,AF195&lt;=AS6),"r1",IF(AND(AE195&gt;AP6,AE195&lt;AR6),"r1",IF(AND(AE195&gt;AP6,AE195=AR6,AF195&lt;=AS6),"r1",IF(AND(AE195=AP6,AE195&lt;AR6,AF195&gt;=AQ6),"r1","n")))))</f>
        <v>r1</v>
      </c>
      <c r="AK195" s="164" t="str">
        <f>IF(AJ195&lt;&gt;"n",AJ195,IF(AND(AE195=AT6,AE195=AV6,AF195&gt;=AU6,AF195&lt;=AW6),"r2",IF(AND(AE195&gt;AT6,AE195&lt;AV6),"r2",IF(AND(AE195&gt;AT6,AE195=AV6,AF195&lt;=AW6),"r2",IF(AND(AE195=AT6,AE195&lt;AV6,AF195&gt;=AU6),"r2","n")))))</f>
        <v>r1</v>
      </c>
      <c r="AL195" s="164" t="str">
        <f>IF(AK195&lt;&gt;"n",AK195,IF(AND(AE195=AP7,AE195=AR7,AF195&gt;=AQ7,AF195&lt;=AS7),"r1",IF(AND(AE195&gt;AP7,AE195&lt;AR7),"r1",IF(AND(AE195&gt;AP7,AE195=AR7,AF195&lt;=AS7),"r1",IF(AND(AE195=AP7,AE195&lt;AR7,AF195&gt;=AQ7),"r1","n")))))</f>
        <v>r1</v>
      </c>
    </row>
    <row r="196" spans="26:38" ht="17.100000000000001" hidden="1" customHeight="1">
      <c r="Z196" s="176">
        <f t="shared" si="13"/>
        <v>14.800000000001024</v>
      </c>
      <c r="AA196" s="176">
        <f>IF(TRIM(AG196)="","",IF(INDEX(AZ1:AZ51,AC196)=AG196,INDEX(BA1:BA51,AC196),((AG196-INDEX(AZ1:AZ51,AC196))*(INDEX(BA1:BA51,AC196+1)-INDEX(BA1:BA51,AC196)))/(INDEX(AZ1:AZ51,AC196+1)-INDEX(AZ1:AZ51,AC196))+INDEX(BA1:BA51,AC196)))</f>
        <v>14.800000000001024</v>
      </c>
      <c r="AB196" s="176" t="e">
        <f>IF(TRIM(AG196)="","",IF(INDEX(BD1:BD51,AD196)=AG196,INDEX(BE1:BE51,AD196),((AG196-INDEX(BD1:BD51,AD196))*(INDEX(BE1:BE51,AD196+1)-INDEX(BE1:BE51,AD196)))/(INDEX(BD1:BD51,AD196+1)-INDEX(BD1:BD51,AD196))+INDEX(BE1:BE51,AD196)))</f>
        <v>#N/A</v>
      </c>
      <c r="AC196" s="164">
        <f>MATCH(AG196,AZ1:AZ51,1)</f>
        <v>6</v>
      </c>
      <c r="AD196" s="164" t="e">
        <f>MATCH(AG196,BD1:BD51,1)</f>
        <v>#N/A</v>
      </c>
      <c r="AE196" s="164">
        <v>7</v>
      </c>
      <c r="AF196" s="164">
        <v>12</v>
      </c>
      <c r="AG196" s="179">
        <f>FIXED('HourGH-OCT'!AB23)*1</f>
        <v>338.24</v>
      </c>
      <c r="AH196" s="164" t="str">
        <f>IF(AND(AE196=AP5,AE196=AR5,AF196&gt;=AQ5,AF196&lt;=AS5),"r1",IF(AND(AE196&gt;AP5,AE196&lt;AR5),"r1",IF(AND(AE196&gt;AP5,AE196=AR5,AF196&lt;=AS5),"r1",IF(AND(AE196=AP5,AE196&lt;AR5,AF196&gt;=AQ5),"r1","n"))))</f>
        <v>r1</v>
      </c>
      <c r="AI196" s="164" t="str">
        <f>IF(AH196&lt;&gt;"n",AH196,IF(AND(AE196=AT5,AE196=AV5,AF196&gt;=AU5,AF196&lt;=AW5),"r2",IF(AND(AE196&gt;AT5,AE196&lt;AV5),"r2",IF(AND(AE196&gt;AT5,AE196=AV5,AF196&lt;=AW5),"r2",IF(AND(AE196=AT5,AE196&lt;AV5,AF196&gt;=AU5),"r2","n")))))</f>
        <v>r1</v>
      </c>
      <c r="AJ196" s="164" t="str">
        <f>IF(AI196&lt;&gt;"n",AI196,IF(AND(AE196=AP6,AE196=AR6,AF196&gt;=AQ6,AF196&lt;=AS6),"r1",IF(AND(AE196&gt;AP6,AE196&lt;AR6),"r1",IF(AND(AE196&gt;AP6,AE196=AR6,AF196&lt;=AS6),"r1",IF(AND(AE196=AP6,AE196&lt;AR6,AF196&gt;=AQ6),"r1","n")))))</f>
        <v>r1</v>
      </c>
      <c r="AK196" s="164" t="str">
        <f>IF(AJ196&lt;&gt;"n",AJ196,IF(AND(AE196=AT6,AE196=AV6,AF196&gt;=AU6,AF196&lt;=AW6),"r2",IF(AND(AE196&gt;AT6,AE196&lt;AV6),"r2",IF(AND(AE196&gt;AT6,AE196=AV6,AF196&lt;=AW6),"r2",IF(AND(AE196=AT6,AE196&lt;AV6,AF196&gt;=AU6),"r2","n")))))</f>
        <v>r1</v>
      </c>
      <c r="AL196" s="164" t="str">
        <f>IF(AK196&lt;&gt;"n",AK196,IF(AND(AE196=AP7,AE196=AR7,AF196&gt;=AQ7,AF196&lt;=AS7),"r1",IF(AND(AE196&gt;AP7,AE196&lt;AR7),"r1",IF(AND(AE196&gt;AP7,AE196=AR7,AF196&lt;=AS7),"r1",IF(AND(AE196=AP7,AE196&lt;AR7,AF196&gt;=AQ7),"r1","n")))))</f>
        <v>r1</v>
      </c>
    </row>
    <row r="197" spans="26:38" ht="17.100000000000001" hidden="1" customHeight="1">
      <c r="Z197" s="176">
        <f t="shared" si="13"/>
        <v>14.800000000001024</v>
      </c>
      <c r="AA197" s="176">
        <f>IF(TRIM(AG197)="","",IF(INDEX(AZ1:AZ51,AC197)=AG197,INDEX(BA1:BA51,AC197),((AG197-INDEX(AZ1:AZ51,AC197))*(INDEX(BA1:BA51,AC197+1)-INDEX(BA1:BA51,AC197)))/(INDEX(AZ1:AZ51,AC197+1)-INDEX(AZ1:AZ51,AC197))+INDEX(BA1:BA51,AC197)))</f>
        <v>14.800000000001024</v>
      </c>
      <c r="AB197" s="176" t="e">
        <f>IF(TRIM(AG197)="","",IF(INDEX(BD1:BD51,AD197)=AG197,INDEX(BE1:BE51,AD197),((AG197-INDEX(BD1:BD51,AD197))*(INDEX(BE1:BE51,AD197+1)-INDEX(BE1:BE51,AD197)))/(INDEX(BD1:BD51,AD197+1)-INDEX(BD1:BD51,AD197))+INDEX(BE1:BE51,AD197)))</f>
        <v>#N/A</v>
      </c>
      <c r="AC197" s="164">
        <f>MATCH(AG197,AZ1:AZ51,1)</f>
        <v>6</v>
      </c>
      <c r="AD197" s="164" t="e">
        <f>MATCH(AG197,BD1:BD51,1)</f>
        <v>#N/A</v>
      </c>
      <c r="AE197" s="164">
        <v>7</v>
      </c>
      <c r="AF197" s="164">
        <v>13</v>
      </c>
      <c r="AG197" s="179">
        <f>FIXED('HourGH-OCT'!AB24)*1</f>
        <v>338.24</v>
      </c>
      <c r="AH197" s="164" t="str">
        <f>IF(AND(AE197=AP5,AE197=AR5,AF197&gt;=AQ5,AF197&lt;=AS5),"r1",IF(AND(AE197&gt;AP5,AE197&lt;AR5),"r1",IF(AND(AE197&gt;AP5,AE197=AR5,AF197&lt;=AS5),"r1",IF(AND(AE197=AP5,AE197&lt;AR5,AF197&gt;=AQ5),"r1","n"))))</f>
        <v>r1</v>
      </c>
      <c r="AI197" s="164" t="str">
        <f>IF(AH197&lt;&gt;"n",AH197,IF(AND(AE197=AT5,AE197=AV5,AF197&gt;=AU5,AF197&lt;=AW5),"r2",IF(AND(AE197&gt;AT5,AE197&lt;AV5),"r2",IF(AND(AE197&gt;AT5,AE197=AV5,AF197&lt;=AW5),"r2",IF(AND(AE197=AT5,AE197&lt;AV5,AF197&gt;=AU5),"r2","n")))))</f>
        <v>r1</v>
      </c>
      <c r="AJ197" s="164" t="str">
        <f>IF(AI197&lt;&gt;"n",AI197,IF(AND(AE197=AP6,AE197=AR6,AF197&gt;=AQ6,AF197&lt;=AS6),"r1",IF(AND(AE197&gt;AP6,AE197&lt;AR6),"r1",IF(AND(AE197&gt;AP6,AE197=AR6,AF197&lt;=AS6),"r1",IF(AND(AE197=AP6,AE197&lt;AR6,AF197&gt;=AQ6),"r1","n")))))</f>
        <v>r1</v>
      </c>
      <c r="AK197" s="164" t="str">
        <f>IF(AJ197&lt;&gt;"n",AJ197,IF(AND(AE197=AT6,AE197=AV6,AF197&gt;=AU6,AF197&lt;=AW6),"r2",IF(AND(AE197&gt;AT6,AE197&lt;AV6),"r2",IF(AND(AE197&gt;AT6,AE197=AV6,AF197&lt;=AW6),"r2",IF(AND(AE197=AT6,AE197&lt;AV6,AF197&gt;=AU6),"r2","n")))))</f>
        <v>r1</v>
      </c>
      <c r="AL197" s="164" t="str">
        <f>IF(AK197&lt;&gt;"n",AK197,IF(AND(AE197=AP7,AE197=AR7,AF197&gt;=AQ7,AF197&lt;=AS7),"r1",IF(AND(AE197&gt;AP7,AE197&lt;AR7),"r1",IF(AND(AE197&gt;AP7,AE197=AR7,AF197&lt;=AS7),"r1",IF(AND(AE197=AP7,AE197&lt;AR7,AF197&gt;=AQ7),"r1","n")))))</f>
        <v>r1</v>
      </c>
    </row>
    <row r="198" spans="26:38" ht="17.100000000000001" hidden="1" customHeight="1">
      <c r="Z198" s="176">
        <f t="shared" si="13"/>
        <v>13.900000000001791</v>
      </c>
      <c r="AA198" s="176">
        <f>IF(TRIM(AG198)="","",IF(INDEX(AZ1:AZ51,AC198)=AG198,INDEX(BA1:BA51,AC198),((AG198-INDEX(AZ1:AZ51,AC198))*(INDEX(BA1:BA51,AC198+1)-INDEX(BA1:BA51,AC198)))/(INDEX(AZ1:AZ51,AC198+1)-INDEX(AZ1:AZ51,AC198))+INDEX(BA1:BA51,AC198)))</f>
        <v>13.900000000001791</v>
      </c>
      <c r="AB198" s="176" t="e">
        <f>IF(TRIM(AG198)="","",IF(INDEX(BD1:BD51,AD198)=AG198,INDEX(BE1:BE51,AD198),((AG198-INDEX(BD1:BD51,AD198))*(INDEX(BE1:BE51,AD198+1)-INDEX(BE1:BE51,AD198)))/(INDEX(BD1:BD51,AD198+1)-INDEX(BD1:BD51,AD198))+INDEX(BE1:BE51,AD198)))</f>
        <v>#N/A</v>
      </c>
      <c r="AC198" s="164">
        <f>MATCH(AG198,AZ1:AZ51,1)</f>
        <v>6</v>
      </c>
      <c r="AD198" s="164" t="e">
        <f>MATCH(AG198,BD1:BD51,1)</f>
        <v>#N/A</v>
      </c>
      <c r="AE198" s="164">
        <v>7</v>
      </c>
      <c r="AF198" s="164">
        <v>14</v>
      </c>
      <c r="AG198" s="179">
        <f>FIXED('HourGH-OCT'!AB25)*1</f>
        <v>338.22</v>
      </c>
      <c r="AH198" s="164" t="str">
        <f>IF(AND(AE198=AP5,AE198=AR5,AF198&gt;=AQ5,AF198&lt;=AS5),"r1",IF(AND(AE198&gt;AP5,AE198&lt;AR5),"r1",IF(AND(AE198&gt;AP5,AE198=AR5,AF198&lt;=AS5),"r1",IF(AND(AE198=AP5,AE198&lt;AR5,AF198&gt;=AQ5),"r1","n"))))</f>
        <v>r1</v>
      </c>
      <c r="AI198" s="164" t="str">
        <f>IF(AH198&lt;&gt;"n",AH198,IF(AND(AE198=AT5,AE198=AV5,AF198&gt;=AU5,AF198&lt;=AW5),"r2",IF(AND(AE198&gt;AT5,AE198&lt;AV5),"r2",IF(AND(AE198&gt;AT5,AE198=AV5,AF198&lt;=AW5),"r2",IF(AND(AE198=AT5,AE198&lt;AV5,AF198&gt;=AU5),"r2","n")))))</f>
        <v>r1</v>
      </c>
      <c r="AJ198" s="164" t="str">
        <f>IF(AI198&lt;&gt;"n",AI198,IF(AND(AE198=AP6,AE198=AR6,AF198&gt;=AQ6,AF198&lt;=AS6),"r1",IF(AND(AE198&gt;AP6,AE198&lt;AR6),"r1",IF(AND(AE198&gt;AP6,AE198=AR6,AF198&lt;=AS6),"r1",IF(AND(AE198=AP6,AE198&lt;AR6,AF198&gt;=AQ6),"r1","n")))))</f>
        <v>r1</v>
      </c>
      <c r="AK198" s="164" t="str">
        <f>IF(AJ198&lt;&gt;"n",AJ198,IF(AND(AE198=AT6,AE198=AV6,AF198&gt;=AU6,AF198&lt;=AW6),"r2",IF(AND(AE198&gt;AT6,AE198&lt;AV6),"r2",IF(AND(AE198&gt;AT6,AE198=AV6,AF198&lt;=AW6),"r2",IF(AND(AE198=AT6,AE198&lt;AV6,AF198&gt;=AU6),"r2","n")))))</f>
        <v>r1</v>
      </c>
      <c r="AL198" s="164" t="str">
        <f>IF(AK198&lt;&gt;"n",AK198,IF(AND(AE198=AP7,AE198=AR7,AF198&gt;=AQ7,AF198&lt;=AS7),"r1",IF(AND(AE198&gt;AP7,AE198&lt;AR7),"r1",IF(AND(AE198&gt;AP7,AE198=AR7,AF198&lt;=AS7),"r1",IF(AND(AE198=AP7,AE198&lt;AR7,AF198&gt;=AQ7),"r1","n")))))</f>
        <v>r1</v>
      </c>
    </row>
    <row r="199" spans="26:38" ht="17.100000000000001" hidden="1" customHeight="1">
      <c r="Z199" s="176">
        <f t="shared" si="13"/>
        <v>13</v>
      </c>
      <c r="AA199" s="176">
        <f>IF(TRIM(AG199)="","",IF(INDEX(AZ1:AZ51,AC199)=AG199,INDEX(BA1:BA51,AC199),((AG199-INDEX(AZ1:AZ51,AC199))*(INDEX(BA1:BA51,AC199+1)-INDEX(BA1:BA51,AC199)))/(INDEX(AZ1:AZ51,AC199+1)-INDEX(AZ1:AZ51,AC199))+INDEX(BA1:BA51,AC199)))</f>
        <v>13</v>
      </c>
      <c r="AB199" s="176" t="e">
        <f>IF(TRIM(AG199)="","",IF(INDEX(BD1:BD51,AD199)=AG199,INDEX(BE1:BE51,AD199),((AG199-INDEX(BD1:BD51,AD199))*(INDEX(BE1:BE51,AD199+1)-INDEX(BE1:BE51,AD199)))/(INDEX(BD1:BD51,AD199+1)-INDEX(BD1:BD51,AD199))+INDEX(BE1:BE51,AD199)))</f>
        <v>#N/A</v>
      </c>
      <c r="AC199" s="164">
        <f>MATCH(AG199,AZ1:AZ51,1)</f>
        <v>6</v>
      </c>
      <c r="AD199" s="164" t="e">
        <f>MATCH(AG199,BD1:BD51,1)</f>
        <v>#N/A</v>
      </c>
      <c r="AE199" s="164">
        <v>7</v>
      </c>
      <c r="AF199" s="164">
        <v>15</v>
      </c>
      <c r="AG199" s="179">
        <f>FIXED('HourGH-OCT'!AB26)*1</f>
        <v>338.2</v>
      </c>
      <c r="AH199" s="164" t="str">
        <f>IF(AND(AE199=AP5,AE199=AR5,AF199&gt;=AQ5,AF199&lt;=AS5),"r1",IF(AND(AE199&gt;AP5,AE199&lt;AR5),"r1",IF(AND(AE199&gt;AP5,AE199=AR5,AF199&lt;=AS5),"r1",IF(AND(AE199=AP5,AE199&lt;AR5,AF199&gt;=AQ5),"r1","n"))))</f>
        <v>r1</v>
      </c>
      <c r="AI199" s="164" t="str">
        <f>IF(AH199&lt;&gt;"n",AH199,IF(AND(AE199=AT5,AE199=AV5,AF199&gt;=AU5,AF199&lt;=AW5),"r2",IF(AND(AE199&gt;AT5,AE199&lt;AV5),"r2",IF(AND(AE199&gt;AT5,AE199=AV5,AF199&lt;=AW5),"r2",IF(AND(AE199=AT5,AE199&lt;AV5,AF199&gt;=AU5),"r2","n")))))</f>
        <v>r1</v>
      </c>
      <c r="AJ199" s="164" t="str">
        <f>IF(AI199&lt;&gt;"n",AI199,IF(AND(AE199=AP6,AE199=AR6,AF199&gt;=AQ6,AF199&lt;=AS6),"r1",IF(AND(AE199&gt;AP6,AE199&lt;AR6),"r1",IF(AND(AE199&gt;AP6,AE199=AR6,AF199&lt;=AS6),"r1",IF(AND(AE199=AP6,AE199&lt;AR6,AF199&gt;=AQ6),"r1","n")))))</f>
        <v>r1</v>
      </c>
      <c r="AK199" s="164" t="str">
        <f>IF(AJ199&lt;&gt;"n",AJ199,IF(AND(AE199=AT6,AE199=AV6,AF199&gt;=AU6,AF199&lt;=AW6),"r2",IF(AND(AE199&gt;AT6,AE199&lt;AV6),"r2",IF(AND(AE199&gt;AT6,AE199=AV6,AF199&lt;=AW6),"r2",IF(AND(AE199=AT6,AE199&lt;AV6,AF199&gt;=AU6),"r2","n")))))</f>
        <v>r1</v>
      </c>
      <c r="AL199" s="164" t="str">
        <f>IF(AK199&lt;&gt;"n",AK199,IF(AND(AE199=AP7,AE199=AR7,AF199&gt;=AQ7,AF199&lt;=AS7),"r1",IF(AND(AE199&gt;AP7,AE199&lt;AR7),"r1",IF(AND(AE199&gt;AP7,AE199=AR7,AF199&lt;=AS7),"r1",IF(AND(AE199=AP7,AE199&lt;AR7,AF199&gt;=AQ7),"r1","n")))))</f>
        <v>r1</v>
      </c>
    </row>
    <row r="200" spans="26:38" ht="17.100000000000001" hidden="1" customHeight="1">
      <c r="Z200" s="176">
        <f t="shared" si="13"/>
        <v>12.350000000000554</v>
      </c>
      <c r="AA200" s="176">
        <f>IF(TRIM(AG200)="","",IF(INDEX(AZ1:AZ51,AC200)=AG200,INDEX(BA1:BA51,AC200),((AG200-INDEX(AZ1:AZ51,AC200))*(INDEX(BA1:BA51,AC200+1)-INDEX(BA1:BA51,AC200)))/(INDEX(AZ1:AZ51,AC200+1)-INDEX(AZ1:AZ51,AC200))+INDEX(BA1:BA51,AC200)))</f>
        <v>12.350000000000554</v>
      </c>
      <c r="AB200" s="176" t="e">
        <f>IF(TRIM(AG200)="","",IF(INDEX(BD1:BD51,AD200)=AG200,INDEX(BE1:BE51,AD200),((AG200-INDEX(BD1:BD51,AD200))*(INDEX(BE1:BE51,AD200+1)-INDEX(BE1:BE51,AD200)))/(INDEX(BD1:BD51,AD200+1)-INDEX(BD1:BD51,AD200))+INDEX(BE1:BE51,AD200)))</f>
        <v>#N/A</v>
      </c>
      <c r="AC200" s="164">
        <f>MATCH(AG200,AZ1:AZ51,1)</f>
        <v>5</v>
      </c>
      <c r="AD200" s="164" t="e">
        <f>MATCH(AG200,BD1:BD51,1)</f>
        <v>#N/A</v>
      </c>
      <c r="AE200" s="164">
        <v>7</v>
      </c>
      <c r="AF200" s="164">
        <v>16</v>
      </c>
      <c r="AG200" s="179">
        <f>FIXED('HourGH-OCT'!AB27)*1</f>
        <v>338.18</v>
      </c>
      <c r="AH200" s="164" t="str">
        <f>IF(AND(AE200=AP5,AE200=AR5,AF200&gt;=AQ5,AF200&lt;=AS5),"r1",IF(AND(AE200&gt;AP5,AE200&lt;AR5),"r1",IF(AND(AE200&gt;AP5,AE200=AR5,AF200&lt;=AS5),"r1",IF(AND(AE200=AP5,AE200&lt;AR5,AF200&gt;=AQ5),"r1","n"))))</f>
        <v>r1</v>
      </c>
      <c r="AI200" s="164" t="str">
        <f>IF(AH200&lt;&gt;"n",AH200,IF(AND(AE200=AT5,AE200=AV5,AF200&gt;=AU5,AF200&lt;=AW5),"r2",IF(AND(AE200&gt;AT5,AE200&lt;AV5),"r2",IF(AND(AE200&gt;AT5,AE200=AV5,AF200&lt;=AW5),"r2",IF(AND(AE200=AT5,AE200&lt;AV5,AF200&gt;=AU5),"r2","n")))))</f>
        <v>r1</v>
      </c>
      <c r="AJ200" s="164" t="str">
        <f>IF(AI200&lt;&gt;"n",AI200,IF(AND(AE200=AP6,AE200=AR6,AF200&gt;=AQ6,AF200&lt;=AS6),"r1",IF(AND(AE200&gt;AP6,AE200&lt;AR6),"r1",IF(AND(AE200&gt;AP6,AE200=AR6,AF200&lt;=AS6),"r1",IF(AND(AE200=AP6,AE200&lt;AR6,AF200&gt;=AQ6),"r1","n")))))</f>
        <v>r1</v>
      </c>
      <c r="AK200" s="164" t="str">
        <f>IF(AJ200&lt;&gt;"n",AJ200,IF(AND(AE200=AT6,AE200=AV6,AF200&gt;=AU6,AF200&lt;=AW6),"r2",IF(AND(AE200&gt;AT6,AE200&lt;AV6),"r2",IF(AND(AE200&gt;AT6,AE200=AV6,AF200&lt;=AW6),"r2",IF(AND(AE200=AT6,AE200&lt;AV6,AF200&gt;=AU6),"r2","n")))))</f>
        <v>r1</v>
      </c>
      <c r="AL200" s="164" t="str">
        <f>IF(AK200&lt;&gt;"n",AK200,IF(AND(AE200=AP7,AE200=AR7,AF200&gt;=AQ7,AF200&lt;=AS7),"r1",IF(AND(AE200&gt;AP7,AE200&lt;AR7),"r1",IF(AND(AE200&gt;AP7,AE200=AR7,AF200&lt;=AS7),"r1",IF(AND(AE200=AP7,AE200&lt;AR7,AF200&gt;=AQ7),"r1","n")))))</f>
        <v>r1</v>
      </c>
    </row>
    <row r="201" spans="26:38" ht="17.100000000000001" hidden="1" customHeight="1">
      <c r="Z201" s="176">
        <f t="shared" si="13"/>
        <v>12.675000000000278</v>
      </c>
      <c r="AA201" s="176">
        <f>IF(TRIM(AG201)="","",IF(INDEX(AZ1:AZ51,AC201)=AG201,INDEX(BA1:BA51,AC201),((AG201-INDEX(AZ1:AZ51,AC201))*(INDEX(BA1:BA51,AC201+1)-INDEX(BA1:BA51,AC201)))/(INDEX(AZ1:AZ51,AC201+1)-INDEX(AZ1:AZ51,AC201))+INDEX(BA1:BA51,AC201)))</f>
        <v>12.675000000000278</v>
      </c>
      <c r="AB201" s="176" t="e">
        <f>IF(TRIM(AG201)="","",IF(INDEX(BD1:BD51,AD201)=AG201,INDEX(BE1:BE51,AD201),((AG201-INDEX(BD1:BD51,AD201))*(INDEX(BE1:BE51,AD201+1)-INDEX(BE1:BE51,AD201)))/(INDEX(BD1:BD51,AD201+1)-INDEX(BD1:BD51,AD201))+INDEX(BE1:BE51,AD201)))</f>
        <v>#N/A</v>
      </c>
      <c r="AC201" s="164">
        <f>MATCH(AG201,AZ1:AZ51,1)</f>
        <v>5</v>
      </c>
      <c r="AD201" s="164" t="e">
        <f>MATCH(AG201,BD1:BD51,1)</f>
        <v>#N/A</v>
      </c>
      <c r="AE201" s="164">
        <v>7</v>
      </c>
      <c r="AF201" s="164">
        <v>17</v>
      </c>
      <c r="AG201" s="179">
        <f>FIXED('HourGH-OCT'!AB28)*1</f>
        <v>338.19</v>
      </c>
      <c r="AH201" s="164" t="str">
        <f>IF(AND(AE201=AP5,AE201=AR5,AF201&gt;=AQ5,AF201&lt;=AS5),"r1",IF(AND(AE201&gt;AP5,AE201&lt;AR5),"r1",IF(AND(AE201&gt;AP5,AE201=AR5,AF201&lt;=AS5),"r1",IF(AND(AE201=AP5,AE201&lt;AR5,AF201&gt;=AQ5),"r1","n"))))</f>
        <v>r1</v>
      </c>
      <c r="AI201" s="164" t="str">
        <f>IF(AH201&lt;&gt;"n",AH201,IF(AND(AE201=AT5,AE201=AV5,AF201&gt;=AU5,AF201&lt;=AW5),"r2",IF(AND(AE201&gt;AT5,AE201&lt;AV5),"r2",IF(AND(AE201&gt;AT5,AE201=AV5,AF201&lt;=AW5),"r2",IF(AND(AE201=AT5,AE201&lt;AV5,AF201&gt;=AU5),"r2","n")))))</f>
        <v>r1</v>
      </c>
      <c r="AJ201" s="164" t="str">
        <f>IF(AI201&lt;&gt;"n",AI201,IF(AND(AE201=AP6,AE201=AR6,AF201&gt;=AQ6,AF201&lt;=AS6),"r1",IF(AND(AE201&gt;AP6,AE201&lt;AR6),"r1",IF(AND(AE201&gt;AP6,AE201=AR6,AF201&lt;=AS6),"r1",IF(AND(AE201=AP6,AE201&lt;AR6,AF201&gt;=AQ6),"r1","n")))))</f>
        <v>r1</v>
      </c>
      <c r="AK201" s="164" t="str">
        <f>IF(AJ201&lt;&gt;"n",AJ201,IF(AND(AE201=AT6,AE201=AV6,AF201&gt;=AU6,AF201&lt;=AW6),"r2",IF(AND(AE201&gt;AT6,AE201&lt;AV6),"r2",IF(AND(AE201&gt;AT6,AE201=AV6,AF201&lt;=AW6),"r2",IF(AND(AE201=AT6,AE201&lt;AV6,AF201&gt;=AU6),"r2","n")))))</f>
        <v>r1</v>
      </c>
      <c r="AL201" s="164" t="str">
        <f>IF(AK201&lt;&gt;"n",AK201,IF(AND(AE201=AP7,AE201=AR7,AF201&gt;=AQ7,AF201&lt;=AS7),"r1",IF(AND(AE201&gt;AP7,AE201&lt;AR7),"r1",IF(AND(AE201&gt;AP7,AE201=AR7,AF201&lt;=AS7),"r1",IF(AND(AE201=AP7,AE201&lt;AR7,AF201&gt;=AQ7),"r1","n")))))</f>
        <v>r1</v>
      </c>
    </row>
    <row r="202" spans="26:38" ht="17.100000000000001" hidden="1" customHeight="1">
      <c r="Z202" s="176">
        <f t="shared" si="13"/>
        <v>51.199999999998695</v>
      </c>
      <c r="AA202" s="176">
        <f>IF(TRIM(AG202)="","",IF(INDEX(AZ1:AZ51,AC202)=AG202,INDEX(BA1:BA51,AC202),((AG202-INDEX(AZ1:AZ51,AC202))*(INDEX(BA1:BA51,AC202+1)-INDEX(BA1:BA51,AC202)))/(INDEX(AZ1:AZ51,AC202+1)-INDEX(AZ1:AZ51,AC202))+INDEX(BA1:BA51,AC202)))</f>
        <v>51.199999999998695</v>
      </c>
      <c r="AB202" s="176" t="e">
        <f>IF(TRIM(AG202)="","",IF(INDEX(BD1:BD51,AD202)=AG202,INDEX(BE1:BE51,AD202),((AG202-INDEX(BD1:BD51,AD202))*(INDEX(BE1:BE51,AD202+1)-INDEX(BE1:BE51,AD202)))/(INDEX(BD1:BD51,AD202+1)-INDEX(BD1:BD51,AD202))+INDEX(BE1:BE51,AD202)))</f>
        <v>#N/A</v>
      </c>
      <c r="AC202" s="164">
        <f>MATCH(AG202,AZ1:AZ51,1)</f>
        <v>8</v>
      </c>
      <c r="AD202" s="164" t="e">
        <f>MATCH(AG202,BD1:BD51,1)</f>
        <v>#N/A</v>
      </c>
      <c r="AE202" s="164">
        <v>7</v>
      </c>
      <c r="AF202" s="164">
        <v>18</v>
      </c>
      <c r="AG202" s="179">
        <f>FIXED('HourGH-OCT'!AB29)*1</f>
        <v>338.96</v>
      </c>
      <c r="AH202" s="164" t="str">
        <f>IF(AND(AE202=AP5,AE202=AR5,AF202&gt;=AQ5,AF202&lt;=AS5),"r1",IF(AND(AE202&gt;AP5,AE202&lt;AR5),"r1",IF(AND(AE202&gt;AP5,AE202=AR5,AF202&lt;=AS5),"r1",IF(AND(AE202=AP5,AE202&lt;AR5,AF202&gt;=AQ5),"r1","n"))))</f>
        <v>r1</v>
      </c>
      <c r="AI202" s="164" t="str">
        <f>IF(AH202&lt;&gt;"n",AH202,IF(AND(AE202=AT5,AE202=AV5,AF202&gt;=AU5,AF202&lt;=AW5),"r2",IF(AND(AE202&gt;AT5,AE202&lt;AV5),"r2",IF(AND(AE202&gt;AT5,AE202=AV5,AF202&lt;=AW5),"r2",IF(AND(AE202=AT5,AE202&lt;AV5,AF202&gt;=AU5),"r2","n")))))</f>
        <v>r1</v>
      </c>
      <c r="AJ202" s="164" t="str">
        <f>IF(AI202&lt;&gt;"n",AI202,IF(AND(AE202=AP6,AE202=AR6,AF202&gt;=AQ6,AF202&lt;=AS6),"r1",IF(AND(AE202&gt;AP6,AE202&lt;AR6),"r1",IF(AND(AE202&gt;AP6,AE202=AR6,AF202&lt;=AS6),"r1",IF(AND(AE202=AP6,AE202&lt;AR6,AF202&gt;=AQ6),"r1","n")))))</f>
        <v>r1</v>
      </c>
      <c r="AK202" s="164" t="str">
        <f>IF(AJ202&lt;&gt;"n",AJ202,IF(AND(AE202=AT6,AE202=AV6,AF202&gt;=AU6,AF202&lt;=AW6),"r2",IF(AND(AE202&gt;AT6,AE202&lt;AV6),"r2",IF(AND(AE202&gt;AT6,AE202=AV6,AF202&lt;=AW6),"r2",IF(AND(AE202=AT6,AE202&lt;AV6,AF202&gt;=AU6),"r2","n")))))</f>
        <v>r1</v>
      </c>
      <c r="AL202" s="164" t="str">
        <f>IF(AK202&lt;&gt;"n",AK202,IF(AND(AE202=AP7,AE202=AR7,AF202&gt;=AQ7,AF202&lt;=AS7),"r1",IF(AND(AE202&gt;AP7,AE202&lt;AR7),"r1",IF(AND(AE202&gt;AP7,AE202=AR7,AF202&lt;=AS7),"r1",IF(AND(AE202=AP7,AE202&lt;AR7,AF202&gt;=AQ7),"r1","n")))))</f>
        <v>r1</v>
      </c>
    </row>
    <row r="203" spans="26:38" ht="17.100000000000001" hidden="1" customHeight="1">
      <c r="Z203" s="176">
        <f t="shared" si="13"/>
        <v>130.99999999999901</v>
      </c>
      <c r="AA203" s="176">
        <f>IF(TRIM(AG203)="","",IF(INDEX(AZ1:AZ51,AC203)=AG203,INDEX(BA1:BA51,AC203),((AG203-INDEX(AZ1:AZ51,AC203))*(INDEX(BA1:BA51,AC203+1)-INDEX(BA1:BA51,AC203)))/(INDEX(AZ1:AZ51,AC203+1)-INDEX(AZ1:AZ51,AC203))+INDEX(BA1:BA51,AC203)))</f>
        <v>130.99999999999901</v>
      </c>
      <c r="AB203" s="176" t="e">
        <f>IF(TRIM(AG203)="","",IF(INDEX(BD1:BD51,AD203)=AG203,INDEX(BE1:BE51,AD203),((AG203-INDEX(BD1:BD51,AD203))*(INDEX(BE1:BE51,AD203+1)-INDEX(BE1:BE51,AD203)))/(INDEX(BD1:BD51,AD203+1)-INDEX(BD1:BD51,AD203))+INDEX(BE1:BE51,AD203)))</f>
        <v>#N/A</v>
      </c>
      <c r="AC203" s="164">
        <f>MATCH(AG203,AZ1:AZ51,1)</f>
        <v>12</v>
      </c>
      <c r="AD203" s="164" t="e">
        <f>MATCH(AG203,BD1:BD51,1)</f>
        <v>#N/A</v>
      </c>
      <c r="AE203" s="164">
        <v>7</v>
      </c>
      <c r="AF203" s="164">
        <v>19</v>
      </c>
      <c r="AG203" s="179">
        <f>FIXED('HourGH-OCT'!AB30)*1</f>
        <v>340.15</v>
      </c>
      <c r="AH203" s="164" t="str">
        <f>IF(AND(AE203=AP5,AE203=AR5,AF203&gt;=AQ5,AF203&lt;=AS5),"r1",IF(AND(AE203&gt;AP5,AE203&lt;AR5),"r1",IF(AND(AE203&gt;AP5,AE203=AR5,AF203&lt;=AS5),"r1",IF(AND(AE203=AP5,AE203&lt;AR5,AF203&gt;=AQ5),"r1","n"))))</f>
        <v>r1</v>
      </c>
      <c r="AI203" s="164" t="str">
        <f>IF(AH203&lt;&gt;"n",AH203,IF(AND(AE203=AT5,AE203=AV5,AF203&gt;=AU5,AF203&lt;=AW5),"r2",IF(AND(AE203&gt;AT5,AE203&lt;AV5),"r2",IF(AND(AE203&gt;AT5,AE203=AV5,AF203&lt;=AW5),"r2",IF(AND(AE203=AT5,AE203&lt;AV5,AF203&gt;=AU5),"r2","n")))))</f>
        <v>r1</v>
      </c>
      <c r="AJ203" s="164" t="str">
        <f>IF(AI203&lt;&gt;"n",AI203,IF(AND(AE203=AP6,AE203=AR6,AF203&gt;=AQ6,AF203&lt;=AS6),"r1",IF(AND(AE203&gt;AP6,AE203&lt;AR6),"r1",IF(AND(AE203&gt;AP6,AE203=AR6,AF203&lt;=AS6),"r1",IF(AND(AE203=AP6,AE203&lt;AR6,AF203&gt;=AQ6),"r1","n")))))</f>
        <v>r1</v>
      </c>
      <c r="AK203" s="164" t="str">
        <f>IF(AJ203&lt;&gt;"n",AJ203,IF(AND(AE203=AT6,AE203=AV6,AF203&gt;=AU6,AF203&lt;=AW6),"r2",IF(AND(AE203&gt;AT6,AE203&lt;AV6),"r2",IF(AND(AE203&gt;AT6,AE203=AV6,AF203&lt;=AW6),"r2",IF(AND(AE203=AT6,AE203&lt;AV6,AF203&gt;=AU6),"r2","n")))))</f>
        <v>r1</v>
      </c>
      <c r="AL203" s="164" t="str">
        <f>IF(AK203&lt;&gt;"n",AK203,IF(AND(AE203=AP7,AE203=AR7,AF203&gt;=AQ7,AF203&lt;=AS7),"r1",IF(AND(AE203&gt;AP7,AE203&lt;AR7),"r1",IF(AND(AE203&gt;AP7,AE203=AR7,AF203&lt;=AS7),"r1",IF(AND(AE203=AP7,AE203&lt;AR7,AF203&gt;=AQ7),"r1","n")))))</f>
        <v>r1</v>
      </c>
    </row>
    <row r="204" spans="26:38" ht="17.100000000000001" hidden="1" customHeight="1">
      <c r="Z204" s="176">
        <f t="shared" si="13"/>
        <v>91.824999999996933</v>
      </c>
      <c r="AA204" s="176">
        <f>IF(TRIM(AG204)="","",IF(INDEX(AZ1:AZ51,AC204)=AG204,INDEX(BA1:BA51,AC204),((AG204-INDEX(AZ1:AZ51,AC204))*(INDEX(BA1:BA51,AC204+1)-INDEX(BA1:BA51,AC204)))/(INDEX(AZ1:AZ51,AC204+1)-INDEX(AZ1:AZ51,AC204))+INDEX(BA1:BA51,AC204)))</f>
        <v>91.824999999996933</v>
      </c>
      <c r="AB204" s="176" t="e">
        <f>IF(TRIM(AG204)="","",IF(INDEX(BD1:BD51,AD204)=AG204,INDEX(BE1:BE51,AD204),((AG204-INDEX(BD1:BD51,AD204))*(INDEX(BE1:BE51,AD204+1)-INDEX(BE1:BE51,AD204)))/(INDEX(BD1:BD51,AD204+1)-INDEX(BD1:BD51,AD204))+INDEX(BE1:BE51,AD204)))</f>
        <v>#N/A</v>
      </c>
      <c r="AC204" s="164">
        <f>MATCH(AG204,AZ1:AZ51,1)</f>
        <v>11</v>
      </c>
      <c r="AD204" s="164" t="e">
        <f>MATCH(AG204,BD1:BD51,1)</f>
        <v>#N/A</v>
      </c>
      <c r="AE204" s="164">
        <v>7</v>
      </c>
      <c r="AF204" s="164">
        <v>20</v>
      </c>
      <c r="AG204" s="179">
        <f>FIXED('HourGH-OCT'!AB31)*1</f>
        <v>339.59</v>
      </c>
      <c r="AH204" s="164" t="str">
        <f>IF(AND(AE204=AP5,AE204=AR5,AF204&gt;=AQ5,AF204&lt;=AS5),"r1",IF(AND(AE204&gt;AP5,AE204&lt;AR5),"r1",IF(AND(AE204&gt;AP5,AE204=AR5,AF204&lt;=AS5),"r1",IF(AND(AE204=AP5,AE204&lt;AR5,AF204&gt;=AQ5),"r1","n"))))</f>
        <v>r1</v>
      </c>
      <c r="AI204" s="164" t="str">
        <f>IF(AH204&lt;&gt;"n",AH204,IF(AND(AE204=AT5,AE204=AV5,AF204&gt;=AU5,AF204&lt;=AW5),"r2",IF(AND(AE204&gt;AT5,AE204&lt;AV5),"r2",IF(AND(AE204&gt;AT5,AE204=AV5,AF204&lt;=AW5),"r2",IF(AND(AE204=AT5,AE204&lt;AV5,AF204&gt;=AU5),"r2","n")))))</f>
        <v>r1</v>
      </c>
      <c r="AJ204" s="164" t="str">
        <f>IF(AI204&lt;&gt;"n",AI204,IF(AND(AE204=AP6,AE204=AR6,AF204&gt;=AQ6,AF204&lt;=AS6),"r1",IF(AND(AE204&gt;AP6,AE204&lt;AR6),"r1",IF(AND(AE204&gt;AP6,AE204=AR6,AF204&lt;=AS6),"r1",IF(AND(AE204=AP6,AE204&lt;AR6,AF204&gt;=AQ6),"r1","n")))))</f>
        <v>r1</v>
      </c>
      <c r="AK204" s="164" t="str">
        <f>IF(AJ204&lt;&gt;"n",AJ204,IF(AND(AE204=AT6,AE204=AV6,AF204&gt;=AU6,AF204&lt;=AW6),"r2",IF(AND(AE204&gt;AT6,AE204&lt;AV6),"r2",IF(AND(AE204&gt;AT6,AE204=AV6,AF204&lt;=AW6),"r2",IF(AND(AE204=AT6,AE204&lt;AV6,AF204&gt;=AU6),"r2","n")))))</f>
        <v>r1</v>
      </c>
      <c r="AL204" s="164" t="str">
        <f>IF(AK204&lt;&gt;"n",AK204,IF(AND(AE204=AP7,AE204=AR7,AF204&gt;=AQ7,AF204&lt;=AS7),"r1",IF(AND(AE204&gt;AP7,AE204&lt;AR7),"r1",IF(AND(AE204&gt;AP7,AE204=AR7,AF204&lt;=AS7),"r1",IF(AND(AE204=AP7,AE204&lt;AR7,AF204&gt;=AQ7),"r1","n")))))</f>
        <v>r1</v>
      </c>
    </row>
    <row r="205" spans="26:38" ht="17.100000000000001" hidden="1" customHeight="1">
      <c r="Z205" s="176">
        <f t="shared" si="13"/>
        <v>73.800000000000736</v>
      </c>
      <c r="AA205" s="176">
        <f>IF(TRIM(AG205)="","",IF(INDEX(AZ1:AZ51,AC205)=AG205,INDEX(BA1:BA51,AC205),((AG205-INDEX(AZ1:AZ51,AC205))*(INDEX(BA1:BA51,AC205+1)-INDEX(BA1:BA51,AC205)))/(INDEX(AZ1:AZ51,AC205+1)-INDEX(AZ1:AZ51,AC205))+INDEX(BA1:BA51,AC205)))</f>
        <v>73.800000000000736</v>
      </c>
      <c r="AB205" s="176" t="e">
        <f>IF(TRIM(AG205)="","",IF(INDEX(BD1:BD51,AD205)=AG205,INDEX(BE1:BE51,AD205),((AG205-INDEX(BD1:BD51,AD205))*(INDEX(BE1:BE51,AD205+1)-INDEX(BE1:BE51,AD205)))/(INDEX(BD1:BD51,AD205+1)-INDEX(BD1:BD51,AD205))+INDEX(BE1:BE51,AD205)))</f>
        <v>#N/A</v>
      </c>
      <c r="AC205" s="164">
        <f>MATCH(AG205,AZ1:AZ51,1)</f>
        <v>10</v>
      </c>
      <c r="AD205" s="164" t="e">
        <f>MATCH(AG205,BD1:BD51,1)</f>
        <v>#N/A</v>
      </c>
      <c r="AE205" s="164">
        <v>7</v>
      </c>
      <c r="AF205" s="164">
        <v>21</v>
      </c>
      <c r="AG205" s="179">
        <f>FIXED('HourGH-OCT'!AB33)*1</f>
        <v>339.32</v>
      </c>
      <c r="AH205" s="164" t="str">
        <f>IF(AND(AE205=AP5,AE205=AR5,AF205&gt;=AQ5,AF205&lt;=AS5),"r1",IF(AND(AE205&gt;AP5,AE205&lt;AR5),"r1",IF(AND(AE205&gt;AP5,AE205=AR5,AF205&lt;=AS5),"r1",IF(AND(AE205=AP5,AE205&lt;AR5,AF205&gt;=AQ5),"r1","n"))))</f>
        <v>r1</v>
      </c>
      <c r="AI205" s="164" t="str">
        <f>IF(AH205&lt;&gt;"n",AH205,IF(AND(AE205=AT5,AE205=AV5,AF205&gt;=AU5,AF205&lt;=AW5),"r2",IF(AND(AE205&gt;AT5,AE205&lt;AV5),"r2",IF(AND(AE205&gt;AT5,AE205=AV5,AF205&lt;=AW5),"r2",IF(AND(AE205=AT5,AE205&lt;AV5,AF205&gt;=AU5),"r2","n")))))</f>
        <v>r1</v>
      </c>
      <c r="AJ205" s="164" t="str">
        <f>IF(AI205&lt;&gt;"n",AI205,IF(AND(AE205=AP6,AE205=AR6,AF205&gt;=AQ6,AF205&lt;=AS6),"r1",IF(AND(AE205&gt;AP6,AE205&lt;AR6),"r1",IF(AND(AE205&gt;AP6,AE205=AR6,AF205&lt;=AS6),"r1",IF(AND(AE205=AP6,AE205&lt;AR6,AF205&gt;=AQ6),"r1","n")))))</f>
        <v>r1</v>
      </c>
      <c r="AK205" s="164" t="str">
        <f>IF(AJ205&lt;&gt;"n",AJ205,IF(AND(AE205=AT6,AE205=AV6,AF205&gt;=AU6,AF205&lt;=AW6),"r2",IF(AND(AE205&gt;AT6,AE205&lt;AV6),"r2",IF(AND(AE205&gt;AT6,AE205=AV6,AF205&lt;=AW6),"r2",IF(AND(AE205=AT6,AE205&lt;AV6,AF205&gt;=AU6),"r2","n")))))</f>
        <v>r1</v>
      </c>
      <c r="AL205" s="164" t="str">
        <f>IF(AK205&lt;&gt;"n",AK205,IF(AND(AE205=AP7,AE205=AR7,AF205&gt;=AQ7,AF205&lt;=AS7),"r1",IF(AND(AE205&gt;AP7,AE205&lt;AR7),"r1",IF(AND(AE205&gt;AP7,AE205=AR7,AF205&lt;=AS7),"r1",IF(AND(AE205=AP7,AE205&lt;AR7,AF205&gt;=AQ7),"r1","n")))))</f>
        <v>r1</v>
      </c>
    </row>
    <row r="206" spans="26:38" ht="17.100000000000001" hidden="1" customHeight="1">
      <c r="Z206" s="176">
        <f t="shared" si="13"/>
        <v>94.599999999998204</v>
      </c>
      <c r="AA206" s="176">
        <f>IF(TRIM(AG206)="","",IF(INDEX(AZ1:AZ51,AC206)=AG206,INDEX(BA1:BA51,AC206),((AG206-INDEX(AZ1:AZ51,AC206))*(INDEX(BA1:BA51,AC206+1)-INDEX(BA1:BA51,AC206)))/(INDEX(AZ1:AZ51,AC206+1)-INDEX(AZ1:AZ51,AC206))+INDEX(BA1:BA51,AC206)))</f>
        <v>94.599999999998204</v>
      </c>
      <c r="AB206" s="176" t="e">
        <f>IF(TRIM(AG206)="","",IF(INDEX(BD1:BD51,AD206)=AG206,INDEX(BE1:BE51,AD206),((AG206-INDEX(BD1:BD51,AD206))*(INDEX(BE1:BE51,AD206+1)-INDEX(BE1:BE51,AD206)))/(INDEX(BD1:BD51,AD206+1)-INDEX(BD1:BD51,AD206))+INDEX(BE1:BE51,AD206)))</f>
        <v>#N/A</v>
      </c>
      <c r="AC206" s="164">
        <f>MATCH(AG206,AZ1:AZ51,1)</f>
        <v>12</v>
      </c>
      <c r="AD206" s="164" t="e">
        <f>MATCH(AG206,BD1:BD51,1)</f>
        <v>#N/A</v>
      </c>
      <c r="AE206" s="164">
        <v>7</v>
      </c>
      <c r="AF206" s="164">
        <v>22</v>
      </c>
      <c r="AG206" s="179">
        <f>FIXED('HourGH-OCT'!AB34)*1</f>
        <v>339.63</v>
      </c>
      <c r="AH206" s="164" t="str">
        <f>IF(AND(AE206=AP5,AE206=AR5,AF206&gt;=AQ5,AF206&lt;=AS5),"r1",IF(AND(AE206&gt;AP5,AE206&lt;AR5),"r1",IF(AND(AE206&gt;AP5,AE206=AR5,AF206&lt;=AS5),"r1",IF(AND(AE206=AP5,AE206&lt;AR5,AF206&gt;=AQ5),"r1","n"))))</f>
        <v>r1</v>
      </c>
      <c r="AI206" s="164" t="str">
        <f>IF(AH206&lt;&gt;"n",AH206,IF(AND(AE206=AT5,AE206=AV5,AF206&gt;=AU5,AF206&lt;=AW5),"r2",IF(AND(AE206&gt;AT5,AE206&lt;AV5),"r2",IF(AND(AE206&gt;AT5,AE206=AV5,AF206&lt;=AW5),"r2",IF(AND(AE206=AT5,AE206&lt;AV5,AF206&gt;=AU5),"r2","n")))))</f>
        <v>r1</v>
      </c>
      <c r="AJ206" s="164" t="str">
        <f>IF(AI206&lt;&gt;"n",AI206,IF(AND(AE206=AP6,AE206=AR6,AF206&gt;=AQ6,AF206&lt;=AS6),"r1",IF(AND(AE206&gt;AP6,AE206&lt;AR6),"r1",IF(AND(AE206&gt;AP6,AE206=AR6,AF206&lt;=AS6),"r1",IF(AND(AE206=AP6,AE206&lt;AR6,AF206&gt;=AQ6),"r1","n")))))</f>
        <v>r1</v>
      </c>
      <c r="AK206" s="164" t="str">
        <f>IF(AJ206&lt;&gt;"n",AJ206,IF(AND(AE206=AT6,AE206=AV6,AF206&gt;=AU6,AF206&lt;=AW6),"r2",IF(AND(AE206&gt;AT6,AE206&lt;AV6),"r2",IF(AND(AE206&gt;AT6,AE206=AV6,AF206&lt;=AW6),"r2",IF(AND(AE206=AT6,AE206&lt;AV6,AF206&gt;=AU6),"r2","n")))))</f>
        <v>r1</v>
      </c>
      <c r="AL206" s="164" t="str">
        <f>IF(AK206&lt;&gt;"n",AK206,IF(AND(AE206=AP7,AE206=AR7,AF206&gt;=AQ7,AF206&lt;=AS7),"r1",IF(AND(AE206&gt;AP7,AE206&lt;AR7),"r1",IF(AND(AE206&gt;AP7,AE206=AR7,AF206&lt;=AS7),"r1",IF(AND(AE206=AP7,AE206&lt;AR7,AF206&gt;=AQ7),"r1","n")))))</f>
        <v>r1</v>
      </c>
    </row>
    <row r="207" spans="26:38" ht="17.100000000000001" hidden="1" customHeight="1">
      <c r="Z207" s="176">
        <f t="shared" si="13"/>
        <v>76.400000000002223</v>
      </c>
      <c r="AA207" s="176">
        <f>IF(TRIM(AG207)="","",IF(INDEX(AZ1:AZ51,AC207)=AG207,INDEX(BA1:BA51,AC207),((AG207-INDEX(AZ1:AZ51,AC207))*(INDEX(BA1:BA51,AC207+1)-INDEX(BA1:BA51,AC207)))/(INDEX(AZ1:AZ51,AC207+1)-INDEX(AZ1:AZ51,AC207))+INDEX(BA1:BA51,AC207)))</f>
        <v>76.400000000002223</v>
      </c>
      <c r="AB207" s="176" t="e">
        <f>IF(TRIM(AG207)="","",IF(INDEX(BD1:BD51,AD207)=AG207,INDEX(BE1:BE51,AD207),((AG207-INDEX(BD1:BD51,AD207))*(INDEX(BE1:BE51,AD207+1)-INDEX(BE1:BE51,AD207)))/(INDEX(BD1:BD51,AD207+1)-INDEX(BD1:BD51,AD207))+INDEX(BE1:BE51,AD207)))</f>
        <v>#N/A</v>
      </c>
      <c r="AC207" s="164">
        <f>MATCH(AG207,AZ1:AZ51,1)</f>
        <v>10</v>
      </c>
      <c r="AD207" s="164" t="e">
        <f>MATCH(AG207,BD1:BD51,1)</f>
        <v>#N/A</v>
      </c>
      <c r="AE207" s="164">
        <v>7</v>
      </c>
      <c r="AF207" s="164">
        <v>23</v>
      </c>
      <c r="AG207" s="179">
        <f>FIXED('HourGH-OCT'!AB35)*1</f>
        <v>339.36</v>
      </c>
      <c r="AH207" s="164" t="str">
        <f>IF(AND(AE207=AP5,AE207=AR5,AF207&gt;=AQ5,AF207&lt;=AS5),"r1",IF(AND(AE207&gt;AP5,AE207&lt;AR5),"r1",IF(AND(AE207&gt;AP5,AE207=AR5,AF207&lt;=AS5),"r1",IF(AND(AE207=AP5,AE207&lt;AR5,AF207&gt;=AQ5),"r1","n"))))</f>
        <v>r1</v>
      </c>
      <c r="AI207" s="164" t="str">
        <f>IF(AH207&lt;&gt;"n",AH207,IF(AND(AE207=AT5,AE207=AV5,AF207&gt;=AU5,AF207&lt;=AW5),"r2",IF(AND(AE207&gt;AT5,AE207&lt;AV5),"r2",IF(AND(AE207&gt;AT5,AE207=AV5,AF207&lt;=AW5),"r2",IF(AND(AE207=AT5,AE207&lt;AV5,AF207&gt;=AU5),"r2","n")))))</f>
        <v>r1</v>
      </c>
      <c r="AJ207" s="164" t="str">
        <f>IF(AI207&lt;&gt;"n",AI207,IF(AND(AE207=AP6,AE207=AR6,AF207&gt;=AQ6,AF207&lt;=AS6),"r1",IF(AND(AE207&gt;AP6,AE207&lt;AR6),"r1",IF(AND(AE207&gt;AP6,AE207=AR6,AF207&lt;=AS6),"r1",IF(AND(AE207=AP6,AE207&lt;AR6,AF207&gt;=AQ6),"r1","n")))))</f>
        <v>r1</v>
      </c>
      <c r="AK207" s="164" t="str">
        <f>IF(AJ207&lt;&gt;"n",AJ207,IF(AND(AE207=AT6,AE207=AV6,AF207&gt;=AU6,AF207&lt;=AW6),"r2",IF(AND(AE207&gt;AT6,AE207&lt;AV6),"r2",IF(AND(AE207&gt;AT6,AE207=AV6,AF207&lt;=AW6),"r2",IF(AND(AE207=AT6,AE207&lt;AV6,AF207&gt;=AU6),"r2","n")))))</f>
        <v>r1</v>
      </c>
      <c r="AL207" s="164" t="str">
        <f>IF(AK207&lt;&gt;"n",AK207,IF(AND(AE207=AP7,AE207=AR7,AF207&gt;=AQ7,AF207&lt;=AS7),"r1",IF(AND(AE207&gt;AP7,AE207&lt;AR7),"r1",IF(AND(AE207&gt;AP7,AE207=AR7,AF207&lt;=AS7),"r1",IF(AND(AE207=AP7,AE207&lt;AR7,AF207&gt;=AQ7),"r1","n")))))</f>
        <v>r1</v>
      </c>
    </row>
    <row r="208" spans="26:38" ht="17.100000000000001" hidden="1" customHeight="1">
      <c r="Z208" s="176">
        <f t="shared" si="13"/>
        <v>66.649999999999451</v>
      </c>
      <c r="AA208" s="176">
        <f>IF(TRIM(AG208)="","",IF(INDEX(AZ1:AZ51,AC208)=AG208,INDEX(BA1:BA51,AC208),((AG208-INDEX(AZ1:AZ51,AC208))*(INDEX(BA1:BA51,AC208+1)-INDEX(BA1:BA51,AC208)))/(INDEX(AZ1:AZ51,AC208+1)-INDEX(AZ1:AZ51,AC208))+INDEX(BA1:BA51,AC208)))</f>
        <v>66.649999999999451</v>
      </c>
      <c r="AB208" s="176" t="e">
        <f>IF(TRIM(AG208)="","",IF(INDEX(BD1:BD51,AD208)=AG208,INDEX(BE1:BE51,AD208),((AG208-INDEX(BD1:BD51,AD208))*(INDEX(BE1:BE51,AD208+1)-INDEX(BE1:BE51,AD208)))/(INDEX(BD1:BD51,AD208+1)-INDEX(BD1:BD51,AD208))+INDEX(BE1:BE51,AD208)))</f>
        <v>#N/A</v>
      </c>
      <c r="AC208" s="164">
        <f>MATCH(AG208,AZ1:AZ51,1)</f>
        <v>10</v>
      </c>
      <c r="AD208" s="164" t="e">
        <f>MATCH(AG208,BD1:BD51,1)</f>
        <v>#N/A</v>
      </c>
      <c r="AE208" s="164">
        <v>7</v>
      </c>
      <c r="AF208" s="164">
        <v>24</v>
      </c>
      <c r="AG208" s="179">
        <f>FIXED('HourGH-OCT'!AB36)*1</f>
        <v>339.21</v>
      </c>
      <c r="AH208" s="164" t="str">
        <f>IF(AND(AE208=AP5,AE208=AR5,AF208&gt;=AQ5,AF208&lt;=AS5),"r1",IF(AND(AE208&gt;AP5,AE208&lt;AR5),"r1",IF(AND(AE208&gt;AP5,AE208=AR5,AF208&lt;=AS5),"r1",IF(AND(AE208=AP5,AE208&lt;AR5,AF208&gt;=AQ5),"r1","n"))))</f>
        <v>r1</v>
      </c>
      <c r="AI208" s="164" t="str">
        <f>IF(AH208&lt;&gt;"n",AH208,IF(AND(AE208=AT5,AE208=AV5,AF208&gt;=AU5,AF208&lt;=AW5),"r2",IF(AND(AE208&gt;AT5,AE208&lt;AV5),"r2",IF(AND(AE208&gt;AT5,AE208=AV5,AF208&lt;=AW5),"r2",IF(AND(AE208=AT5,AE208&lt;AV5,AF208&gt;=AU5),"r2","n")))))</f>
        <v>r1</v>
      </c>
      <c r="AJ208" s="164" t="str">
        <f>IF(AI208&lt;&gt;"n",AI208,IF(AND(AE208=AP6,AE208=AR6,AF208&gt;=AQ6,AF208&lt;=AS6),"r1",IF(AND(AE208&gt;AP6,AE208&lt;AR6),"r1",IF(AND(AE208&gt;AP6,AE208=AR6,AF208&lt;=AS6),"r1",IF(AND(AE208=AP6,AE208&lt;AR6,AF208&gt;=AQ6),"r1","n")))))</f>
        <v>r1</v>
      </c>
      <c r="AK208" s="164" t="str">
        <f>IF(AJ208&lt;&gt;"n",AJ208,IF(AND(AE208=AT6,AE208=AV6,AF208&gt;=AU6,AF208&lt;=AW6),"r2",IF(AND(AE208&gt;AT6,AE208&lt;AV6),"r2",IF(AND(AE208&gt;AT6,AE208=AV6,AF208&lt;=AW6),"r2",IF(AND(AE208=AT6,AE208&lt;AV6,AF208&gt;=AU6),"r2","n")))))</f>
        <v>r1</v>
      </c>
      <c r="AL208" s="164" t="str">
        <f>IF(AK208&lt;&gt;"n",AK208,IF(AND(AE208=AP7,AE208=AR7,AF208&gt;=AQ7,AF208&lt;=AS7),"r1",IF(AND(AE208&gt;AP7,AE208&lt;AR7),"r1",IF(AND(AE208&gt;AP7,AE208=AR7,AF208&lt;=AS7),"r1",IF(AND(AE208=AP7,AE208&lt;AR7,AF208&gt;=AQ7),"r1","n")))))</f>
        <v>r1</v>
      </c>
    </row>
    <row r="209" spans="26:38" ht="17.100000000000001" hidden="1" customHeight="1">
      <c r="Z209" s="176">
        <f t="shared" si="13"/>
        <v>56.625000000000888</v>
      </c>
      <c r="AA209" s="176">
        <f>IF(TRIM(AG209)="","",IF(INDEX(AZ1:AZ51,AC209)=AG209,INDEX(BA1:BA51,AC209),((AG209-INDEX(AZ1:AZ51,AC209))*(INDEX(BA1:BA51,AC209+1)-INDEX(BA1:BA51,AC209)))/(INDEX(AZ1:AZ51,AC209+1)-INDEX(AZ1:AZ51,AC209))+INDEX(BA1:BA51,AC209)))</f>
        <v>56.625000000000888</v>
      </c>
      <c r="AB209" s="176" t="e">
        <f>IF(TRIM(AG209)="","",IF(INDEX(BD1:BD51,AD209)=AG209,INDEX(BE1:BE51,AD209),((AG209-INDEX(BD1:BD51,AD209))*(INDEX(BE1:BE51,AD209+1)-INDEX(BE1:BE51,AD209)))/(INDEX(BD1:BD51,AD209+1)-INDEX(BD1:BD51,AD209))+INDEX(BE1:BE51,AD209)))</f>
        <v>#N/A</v>
      </c>
      <c r="AC209" s="164">
        <f>MATCH(AG209,AZ1:AZ51,1)</f>
        <v>9</v>
      </c>
      <c r="AD209" s="164" t="e">
        <f>MATCH(AG209,BD1:BD51,1)</f>
        <v>#N/A</v>
      </c>
      <c r="AE209" s="164">
        <v>7</v>
      </c>
      <c r="AF209" s="164">
        <v>25</v>
      </c>
      <c r="AG209" s="179">
        <f>FIXED('HourGH-OCT'!AB37)*1</f>
        <v>339.05</v>
      </c>
      <c r="AH209" s="164" t="str">
        <f>IF(AND(AE209=AP5,AE209=AR5,AF209&gt;=AQ5,AF209&lt;=AS5),"r1",IF(AND(AE209&gt;AP5,AE209&lt;AR5),"r1",IF(AND(AE209&gt;AP5,AE209=AR5,AF209&lt;=AS5),"r1",IF(AND(AE209=AP5,AE209&lt;AR5,AF209&gt;=AQ5),"r1","n"))))</f>
        <v>r1</v>
      </c>
      <c r="AI209" s="164" t="str">
        <f>IF(AH209&lt;&gt;"n",AH209,IF(AND(AE209=AT5,AE209=AV5,AF209&gt;=AU5,AF209&lt;=AW5),"r2",IF(AND(AE209&gt;AT5,AE209&lt;AV5),"r2",IF(AND(AE209&gt;AT5,AE209=AV5,AF209&lt;=AW5),"r2",IF(AND(AE209=AT5,AE209&lt;AV5,AF209&gt;=AU5),"r2","n")))))</f>
        <v>r1</v>
      </c>
      <c r="AJ209" s="164" t="str">
        <f>IF(AI209&lt;&gt;"n",AI209,IF(AND(AE209=AP6,AE209=AR6,AF209&gt;=AQ6,AF209&lt;=AS6),"r1",IF(AND(AE209&gt;AP6,AE209&lt;AR6),"r1",IF(AND(AE209&gt;AP6,AE209=AR6,AF209&lt;=AS6),"r1",IF(AND(AE209=AP6,AE209&lt;AR6,AF209&gt;=AQ6),"r1","n")))))</f>
        <v>r1</v>
      </c>
      <c r="AK209" s="164" t="str">
        <f>IF(AJ209&lt;&gt;"n",AJ209,IF(AND(AE209=AT6,AE209=AV6,AF209&gt;=AU6,AF209&lt;=AW6),"r2",IF(AND(AE209&gt;AT6,AE209&lt;AV6),"r2",IF(AND(AE209&gt;AT6,AE209=AV6,AF209&lt;=AW6),"r2",IF(AND(AE209=AT6,AE209&lt;AV6,AF209&gt;=AU6),"r2","n")))))</f>
        <v>r1</v>
      </c>
      <c r="AL209" s="164" t="str">
        <f>IF(AK209&lt;&gt;"n",AK209,IF(AND(AE209=AP7,AE209=AR7,AF209&gt;=AQ7,AF209&lt;=AS7),"r1",IF(AND(AE209&gt;AP7,AE209&lt;AR7),"r1",IF(AND(AE209&gt;AP7,AE209=AR7,AF209&lt;=AS7),"r1",IF(AND(AE209=AP7,AE209&lt;AR7,AF209&gt;=AQ7),"r1","n")))))</f>
        <v>r1</v>
      </c>
    </row>
    <row r="210" spans="26:38" ht="17.100000000000001" hidden="1" customHeight="1">
      <c r="Z210" s="176">
        <f t="shared" si="13"/>
        <v>46.599999999999348</v>
      </c>
      <c r="AA210" s="176">
        <f>IF(TRIM(AG210)="","",IF(INDEX(AZ1:AZ51,AC210)=AG210,INDEX(BA1:BA51,AC210),((AG210-INDEX(AZ1:AZ51,AC210))*(INDEX(BA1:BA51,AC210+1)-INDEX(BA1:BA51,AC210)))/(INDEX(AZ1:AZ51,AC210+1)-INDEX(AZ1:AZ51,AC210))+INDEX(BA1:BA51,AC210)))</f>
        <v>46.599999999999348</v>
      </c>
      <c r="AB210" s="176" t="e">
        <f>IF(TRIM(AG210)="","",IF(INDEX(BD1:BD51,AD210)=AG210,INDEX(BE1:BE51,AD210),((AG210-INDEX(BD1:BD51,AD210))*(INDEX(BE1:BE51,AD210+1)-INDEX(BE1:BE51,AD210)))/(INDEX(BD1:BD51,AD210+1)-INDEX(BD1:BD51,AD210))+INDEX(BE1:BE51,AD210)))</f>
        <v>#N/A</v>
      </c>
      <c r="AC210" s="164">
        <f>MATCH(AG210,AZ1:AZ51,1)</f>
        <v>8</v>
      </c>
      <c r="AD210" s="164" t="e">
        <f>MATCH(AG210,BD1:BD51,1)</f>
        <v>#N/A</v>
      </c>
      <c r="AE210" s="164">
        <v>7</v>
      </c>
      <c r="AF210" s="164">
        <v>26</v>
      </c>
      <c r="AG210" s="179">
        <f>FIXED('HourGH-OCT'!AB38)*1</f>
        <v>338.88</v>
      </c>
      <c r="AH210" s="164" t="str">
        <f>IF(AND(AE210=AP5,AE210=AR5,AF210&gt;=AQ5,AF210&lt;=AS5),"r1",IF(AND(AE210&gt;AP5,AE210&lt;AR5),"r1",IF(AND(AE210&gt;AP5,AE210=AR5,AF210&lt;=AS5),"r1",IF(AND(AE210=AP5,AE210&lt;AR5,AF210&gt;=AQ5),"r1","n"))))</f>
        <v>r1</v>
      </c>
      <c r="AI210" s="164" t="str">
        <f>IF(AH210&lt;&gt;"n",AH210,IF(AND(AE210=AT5,AE210=AV5,AF210&gt;=AU5,AF210&lt;=AW5),"r2",IF(AND(AE210&gt;AT5,AE210&lt;AV5),"r2",IF(AND(AE210&gt;AT5,AE210=AV5,AF210&lt;=AW5),"r2",IF(AND(AE210=AT5,AE210&lt;AV5,AF210&gt;=AU5),"r2","n")))))</f>
        <v>r1</v>
      </c>
      <c r="AJ210" s="164" t="str">
        <f>IF(AI210&lt;&gt;"n",AI210,IF(AND(AE210=AP6,AE210=AR6,AF210&gt;=AQ6,AF210&lt;=AS6),"r1",IF(AND(AE210&gt;AP6,AE210&lt;AR6),"r1",IF(AND(AE210&gt;AP6,AE210=AR6,AF210&lt;=AS6),"r1",IF(AND(AE210=AP6,AE210&lt;AR6,AF210&gt;=AQ6),"r1","n")))))</f>
        <v>r1</v>
      </c>
      <c r="AK210" s="164" t="str">
        <f>IF(AJ210&lt;&gt;"n",AJ210,IF(AND(AE210=AT6,AE210=AV6,AF210&gt;=AU6,AF210&lt;=AW6),"r2",IF(AND(AE210&gt;AT6,AE210&lt;AV6),"r2",IF(AND(AE210&gt;AT6,AE210=AV6,AF210&lt;=AW6),"r2",IF(AND(AE210=AT6,AE210&lt;AV6,AF210&gt;=AU6),"r2","n")))))</f>
        <v>r1</v>
      </c>
      <c r="AL210" s="164" t="str">
        <f>IF(AK210&lt;&gt;"n",AK210,IF(AND(AE210=AP7,AE210=AR7,AF210&gt;=AQ7,AF210&lt;=AS7),"r1",IF(AND(AE210&gt;AP7,AE210&lt;AR7),"r1",IF(AND(AE210&gt;AP7,AE210=AR7,AF210&lt;=AS7),"r1",IF(AND(AE210=AP7,AE210&lt;AR7,AF210&gt;=AQ7),"r1","n")))))</f>
        <v>r1</v>
      </c>
    </row>
    <row r="211" spans="26:38" ht="17.100000000000001" hidden="1" customHeight="1">
      <c r="Z211" s="176">
        <f t="shared" si="13"/>
        <v>40.999999999998153</v>
      </c>
      <c r="AA211" s="176">
        <f>IF(TRIM(AG211)="","",IF(INDEX(AZ1:AZ51,AC211)=AG211,INDEX(BA1:BA51,AC211),((AG211-INDEX(AZ1:AZ51,AC211))*(INDEX(BA1:BA51,AC211+1)-INDEX(BA1:BA51,AC211)))/(INDEX(AZ1:AZ51,AC211+1)-INDEX(AZ1:AZ51,AC211))+INDEX(BA1:BA51,AC211)))</f>
        <v>40.999999999998153</v>
      </c>
      <c r="AB211" s="176" t="e">
        <f>IF(TRIM(AG211)="","",IF(INDEX(BD1:BD51,AD211)=AG211,INDEX(BE1:BE51,AD211),((AG211-INDEX(BD1:BD51,AD211))*(INDEX(BE1:BE51,AD211+1)-INDEX(BE1:BE51,AD211)))/(INDEX(BD1:BD51,AD211+1)-INDEX(BD1:BD51,AD211))+INDEX(BE1:BE51,AD211)))</f>
        <v>#N/A</v>
      </c>
      <c r="AC211" s="164">
        <f>MATCH(AG211,AZ1:AZ51,1)</f>
        <v>7</v>
      </c>
      <c r="AD211" s="164" t="e">
        <f>MATCH(AG211,BD1:BD51,1)</f>
        <v>#N/A</v>
      </c>
      <c r="AE211" s="164">
        <v>7</v>
      </c>
      <c r="AF211" s="164">
        <v>27</v>
      </c>
      <c r="AG211" s="179">
        <f>FIXED('HourGH-OCT'!AB39)*1</f>
        <v>338.78</v>
      </c>
      <c r="AH211" s="164" t="str">
        <f>IF(AND(AE211=AP5,AE211=AR5,AF211&gt;=AQ5,AF211&lt;=AS5),"r1",IF(AND(AE211&gt;AP5,AE211&lt;AR5),"r1",IF(AND(AE211&gt;AP5,AE211=AR5,AF211&lt;=AS5),"r1",IF(AND(AE211=AP5,AE211&lt;AR5,AF211&gt;=AQ5),"r1","n"))))</f>
        <v>r1</v>
      </c>
      <c r="AI211" s="164" t="str">
        <f>IF(AH211&lt;&gt;"n",AH211,IF(AND(AE211=AT5,AE211=AV5,AF211&gt;=AU5,AF211&lt;=AW5),"r2",IF(AND(AE211&gt;AT5,AE211&lt;AV5),"r2",IF(AND(AE211&gt;AT5,AE211=AV5,AF211&lt;=AW5),"r2",IF(AND(AE211=AT5,AE211&lt;AV5,AF211&gt;=AU5),"r2","n")))))</f>
        <v>r1</v>
      </c>
      <c r="AJ211" s="164" t="str">
        <f>IF(AI211&lt;&gt;"n",AI211,IF(AND(AE211=AP6,AE211=AR6,AF211&gt;=AQ6,AF211&lt;=AS6),"r1",IF(AND(AE211&gt;AP6,AE211&lt;AR6),"r1",IF(AND(AE211&gt;AP6,AE211=AR6,AF211&lt;=AS6),"r1",IF(AND(AE211=AP6,AE211&lt;AR6,AF211&gt;=AQ6),"r1","n")))))</f>
        <v>r1</v>
      </c>
      <c r="AK211" s="164" t="str">
        <f>IF(AJ211&lt;&gt;"n",AJ211,IF(AND(AE211=AT6,AE211=AV6,AF211&gt;=AU6,AF211&lt;=AW6),"r2",IF(AND(AE211&gt;AT6,AE211&lt;AV6),"r2",IF(AND(AE211&gt;AT6,AE211=AV6,AF211&lt;=AW6),"r2",IF(AND(AE211=AT6,AE211&lt;AV6,AF211&gt;=AU6),"r2","n")))))</f>
        <v>r1</v>
      </c>
      <c r="AL211" s="164" t="str">
        <f>IF(AK211&lt;&gt;"n",AK211,IF(AND(AE211=AP7,AE211=AR7,AF211&gt;=AQ7,AF211&lt;=AS7),"r1",IF(AND(AE211&gt;AP7,AE211&lt;AR7),"r1",IF(AND(AE211&gt;AP7,AE211=AR7,AF211&lt;=AS7),"r1",IF(AND(AE211=AP7,AE211&lt;AR7,AF211&gt;=AQ7),"r1","n")))))</f>
        <v>r1</v>
      </c>
    </row>
    <row r="212" spans="26:38" ht="17.100000000000001" hidden="1" customHeight="1">
      <c r="Z212" s="176">
        <f t="shared" si="13"/>
        <v>39.999999999999147</v>
      </c>
      <c r="AA212" s="176">
        <f>IF(TRIM(AG212)="","",IF(INDEX(AZ1:AZ51,AC212)=AG212,INDEX(BA1:BA51,AC212),((AG212-INDEX(AZ1:AZ51,AC212))*(INDEX(BA1:BA51,AC212+1)-INDEX(BA1:BA51,AC212)))/(INDEX(AZ1:AZ51,AC212+1)-INDEX(AZ1:AZ51,AC212))+INDEX(BA1:BA51,AC212)))</f>
        <v>39.999999999999147</v>
      </c>
      <c r="AB212" s="176" t="e">
        <f>IF(TRIM(AG212)="","",IF(INDEX(BD1:BD51,AD212)=AG212,INDEX(BE1:BE51,AD212),((AG212-INDEX(BD1:BD51,AD212))*(INDEX(BE1:BE51,AD212+1)-INDEX(BE1:BE51,AD212)))/(INDEX(BD1:BD51,AD212+1)-INDEX(BD1:BD51,AD212))+INDEX(BE1:BE51,AD212)))</f>
        <v>#N/A</v>
      </c>
      <c r="AC212" s="164">
        <f>MATCH(AG212,AZ1:AZ51,1)</f>
        <v>7</v>
      </c>
      <c r="AD212" s="164" t="e">
        <f>MATCH(AG212,BD1:BD51,1)</f>
        <v>#N/A</v>
      </c>
      <c r="AE212" s="164">
        <v>7</v>
      </c>
      <c r="AF212" s="164">
        <v>28</v>
      </c>
      <c r="AG212" s="179">
        <f>FIXED('HourGH-OCT'!AB40)*1</f>
        <v>338.76</v>
      </c>
      <c r="AH212" s="164" t="str">
        <f>IF(AND(AE212=AP5,AE212=AR5,AF212&gt;=AQ5,AF212&lt;=AS5),"r1",IF(AND(AE212&gt;AP5,AE212&lt;AR5),"r1",IF(AND(AE212&gt;AP5,AE212=AR5,AF212&lt;=AS5),"r1",IF(AND(AE212=AP5,AE212&lt;AR5,AF212&gt;=AQ5),"r1","n"))))</f>
        <v>r1</v>
      </c>
      <c r="AI212" s="164" t="str">
        <f>IF(AH212&lt;&gt;"n",AH212,IF(AND(AE212=AT5,AE212=AV5,AF212&gt;=AU5,AF212&lt;=AW5),"r2",IF(AND(AE212&gt;AT5,AE212&lt;AV5),"r2",IF(AND(AE212&gt;AT5,AE212=AV5,AF212&lt;=AW5),"r2",IF(AND(AE212=AT5,AE212&lt;AV5,AF212&gt;=AU5),"r2","n")))))</f>
        <v>r1</v>
      </c>
      <c r="AJ212" s="164" t="str">
        <f>IF(AI212&lt;&gt;"n",AI212,IF(AND(AE212=AP6,AE212=AR6,AF212&gt;=AQ6,AF212&lt;=AS6),"r1",IF(AND(AE212&gt;AP6,AE212&lt;AR6),"r1",IF(AND(AE212&gt;AP6,AE212=AR6,AF212&lt;=AS6),"r1",IF(AND(AE212=AP6,AE212&lt;AR6,AF212&gt;=AQ6),"r1","n")))))</f>
        <v>r1</v>
      </c>
      <c r="AK212" s="164" t="str">
        <f>IF(AJ212&lt;&gt;"n",AJ212,IF(AND(AE212=AT6,AE212=AV6,AF212&gt;=AU6,AF212&lt;=AW6),"r2",IF(AND(AE212&gt;AT6,AE212&lt;AV6),"r2",IF(AND(AE212&gt;AT6,AE212=AV6,AF212&lt;=AW6),"r2",IF(AND(AE212=AT6,AE212&lt;AV6,AF212&gt;=AU6),"r2","n")))))</f>
        <v>r1</v>
      </c>
      <c r="AL212" s="164" t="str">
        <f>IF(AK212&lt;&gt;"n",AK212,IF(AND(AE212=AP7,AE212=AR7,AF212&gt;=AQ7,AF212&lt;=AS7),"r1",IF(AND(AE212&gt;AP7,AE212&lt;AR7),"r1",IF(AND(AE212&gt;AP7,AE212=AR7,AF212&lt;=AS7),"r1",IF(AND(AE212=AP7,AE212&lt;AR7,AF212&gt;=AQ7),"r1","n")))))</f>
        <v>r1</v>
      </c>
    </row>
    <row r="213" spans="26:38" ht="17.100000000000001" hidden="1" customHeight="1">
      <c r="Z213" s="176">
        <f t="shared" si="13"/>
        <v>54.124999999999467</v>
      </c>
      <c r="AA213" s="176">
        <f>IF(TRIM(AG213)="","",IF(INDEX(AZ1:AZ51,AC213)=AG213,INDEX(BA1:BA51,AC213),((AG213-INDEX(AZ1:AZ51,AC213))*(INDEX(BA1:BA51,AC213+1)-INDEX(BA1:BA51,AC213)))/(INDEX(AZ1:AZ51,AC213+1)-INDEX(AZ1:AZ51,AC213))+INDEX(BA1:BA51,AC213)))</f>
        <v>54.124999999999467</v>
      </c>
      <c r="AB213" s="176" t="e">
        <f>IF(TRIM(AG213)="","",IF(INDEX(BD1:BD51,AD213)=AG213,INDEX(BE1:BE51,AD213),((AG213-INDEX(BD1:BD51,AD213))*(INDEX(BE1:BE51,AD213+1)-INDEX(BE1:BE51,AD213)))/(INDEX(BD1:BD51,AD213+1)-INDEX(BD1:BD51,AD213))+INDEX(BE1:BE51,AD213)))</f>
        <v>#N/A</v>
      </c>
      <c r="AC213" s="164">
        <f>MATCH(AG213,AZ1:AZ51,1)</f>
        <v>9</v>
      </c>
      <c r="AD213" s="164" t="e">
        <f>MATCH(AG213,BD1:BD51,1)</f>
        <v>#N/A</v>
      </c>
      <c r="AE213" s="164">
        <v>7</v>
      </c>
      <c r="AF213" s="164">
        <v>29</v>
      </c>
      <c r="AG213" s="179">
        <f>FIXED('HourGH-OCT'!AB41)*1</f>
        <v>339.01</v>
      </c>
      <c r="AH213" s="164" t="str">
        <f>IF(AND(AE213=AP5,AE213=AR5,AF213&gt;=AQ5,AF213&lt;=AS5),"r1",IF(AND(AE213&gt;AP5,AE213&lt;AR5),"r1",IF(AND(AE213&gt;AP5,AE213=AR5,AF213&lt;=AS5),"r1",IF(AND(AE213=AP5,AE213&lt;AR5,AF213&gt;=AQ5),"r1","n"))))</f>
        <v>r1</v>
      </c>
      <c r="AI213" s="164" t="str">
        <f>IF(AH213&lt;&gt;"n",AH213,IF(AND(AE213=AT5,AE213=AV5,AF213&gt;=AU5,AF213&lt;=AW5),"r2",IF(AND(AE213&gt;AT5,AE213&lt;AV5),"r2",IF(AND(AE213&gt;AT5,AE213=AV5,AF213&lt;=AW5),"r2",IF(AND(AE213=AT5,AE213&lt;AV5,AF213&gt;=AU5),"r2","n")))))</f>
        <v>r1</v>
      </c>
      <c r="AJ213" s="164" t="str">
        <f>IF(AI213&lt;&gt;"n",AI213,IF(AND(AE213=AP6,AE213=AR6,AF213&gt;=AQ6,AF213&lt;=AS6),"r1",IF(AND(AE213&gt;AP6,AE213&lt;AR6),"r1",IF(AND(AE213&gt;AP6,AE213=AR6,AF213&lt;=AS6),"r1",IF(AND(AE213=AP6,AE213&lt;AR6,AF213&gt;=AQ6),"r1","n")))))</f>
        <v>r1</v>
      </c>
      <c r="AK213" s="164" t="str">
        <f>IF(AJ213&lt;&gt;"n",AJ213,IF(AND(AE213=AT6,AE213=AV6,AF213&gt;=AU6,AF213&lt;=AW6),"r2",IF(AND(AE213&gt;AT6,AE213&lt;AV6),"r2",IF(AND(AE213&gt;AT6,AE213=AV6,AF213&lt;=AW6),"r2",IF(AND(AE213=AT6,AE213&lt;AV6,AF213&gt;=AU6),"r2","n")))))</f>
        <v>r1</v>
      </c>
      <c r="AL213" s="164" t="str">
        <f>IF(AK213&lt;&gt;"n",AK213,IF(AND(AE213=AP7,AE213=AR7,AF213&gt;=AQ7,AF213&lt;=AS7),"r1",IF(AND(AE213&gt;AP7,AE213&lt;AR7),"r1",IF(AND(AE213&gt;AP7,AE213=AR7,AF213&lt;=AS7),"r1",IF(AND(AE213=AP7,AE213&lt;AR7,AF213&gt;=AQ7),"r1","n")))))</f>
        <v>r1</v>
      </c>
    </row>
    <row r="214" spans="26:38" ht="17.100000000000001" hidden="1" customHeight="1">
      <c r="Z214" s="176">
        <f t="shared" si="13"/>
        <v>39.499999999999645</v>
      </c>
      <c r="AA214" s="176">
        <f>IF(TRIM(AG214)="","",IF(INDEX(AZ1:AZ51,AC214)=AG214,INDEX(BA1:BA51,AC214),((AG214-INDEX(AZ1:AZ51,AC214))*(INDEX(BA1:BA51,AC214+1)-INDEX(BA1:BA51,AC214)))/(INDEX(AZ1:AZ51,AC214+1)-INDEX(AZ1:AZ51,AC214))+INDEX(BA1:BA51,AC214)))</f>
        <v>39.499999999999645</v>
      </c>
      <c r="AB214" s="176" t="e">
        <f>IF(TRIM(AG214)="","",IF(INDEX(BD1:BD51,AD214)=AG214,INDEX(BE1:BE51,AD214),((AG214-INDEX(BD1:BD51,AD214))*(INDEX(BE1:BE51,AD214+1)-INDEX(BE1:BE51,AD214)))/(INDEX(BD1:BD51,AD214+1)-INDEX(BD1:BD51,AD214))+INDEX(BE1:BE51,AD214)))</f>
        <v>#N/A</v>
      </c>
      <c r="AC214" s="164">
        <f>MATCH(AG214,AZ1:AZ51,1)</f>
        <v>7</v>
      </c>
      <c r="AD214" s="164" t="e">
        <f>MATCH(AG214,BD1:BD51,1)</f>
        <v>#N/A</v>
      </c>
      <c r="AE214" s="164">
        <v>7</v>
      </c>
      <c r="AF214" s="164">
        <v>30</v>
      </c>
      <c r="AG214" s="179">
        <f>FIXED('HourGH-OCT'!AB42)*1</f>
        <v>338.75</v>
      </c>
      <c r="AH214" s="164" t="str">
        <f>IF(AND(AE214=AP5,AE214=AR5,AF214&gt;=AQ5,AF214&lt;=AS5),"r1",IF(AND(AE214&gt;AP5,AE214&lt;AR5),"r1",IF(AND(AE214&gt;AP5,AE214=AR5,AF214&lt;=AS5),"r1",IF(AND(AE214=AP5,AE214&lt;AR5,AF214&gt;=AQ5),"r1","n"))))</f>
        <v>r1</v>
      </c>
      <c r="AI214" s="164" t="str">
        <f>IF(AH214&lt;&gt;"n",AH214,IF(AND(AE214=AT5,AE214=AV5,AF214&gt;=AU5,AF214&lt;=AW5),"r2",IF(AND(AE214&gt;AT5,AE214&lt;AV5),"r2",IF(AND(AE214&gt;AT5,AE214=AV5,AF214&lt;=AW5),"r2",IF(AND(AE214=AT5,AE214&lt;AV5,AF214&gt;=AU5),"r2","n")))))</f>
        <v>r1</v>
      </c>
      <c r="AJ214" s="164" t="str">
        <f>IF(AI214&lt;&gt;"n",AI214,IF(AND(AE214=AP6,AE214=AR6,AF214&gt;=AQ6,AF214&lt;=AS6),"r1",IF(AND(AE214&gt;AP6,AE214&lt;AR6),"r1",IF(AND(AE214&gt;AP6,AE214=AR6,AF214&lt;=AS6),"r1",IF(AND(AE214=AP6,AE214&lt;AR6,AF214&gt;=AQ6),"r1","n")))))</f>
        <v>r1</v>
      </c>
      <c r="AK214" s="164" t="str">
        <f>IF(AJ214&lt;&gt;"n",AJ214,IF(AND(AE214=AT6,AE214=AV6,AF214&gt;=AU6,AF214&lt;=AW6),"r2",IF(AND(AE214&gt;AT6,AE214&lt;AV6),"r2",IF(AND(AE214&gt;AT6,AE214=AV6,AF214&lt;=AW6),"r2",IF(AND(AE214=AT6,AE214&lt;AV6,AF214&gt;=AU6),"r2","n")))))</f>
        <v>r1</v>
      </c>
      <c r="AL214" s="164" t="str">
        <f>IF(AK214&lt;&gt;"n",AK214,IF(AND(AE214=AP7,AE214=AR7,AF214&gt;=AQ7,AF214&lt;=AS7),"r1",IF(AND(AE214&gt;AP7,AE214&lt;AR7),"r1",IF(AND(AE214&gt;AP7,AE214=AR7,AF214&lt;=AS7),"r1",IF(AND(AE214=AP7,AE214&lt;AR7,AF214&gt;=AQ7),"r1","n")))))</f>
        <v>r1</v>
      </c>
    </row>
    <row r="215" spans="26:38" ht="17.100000000000001" hidden="1" customHeight="1">
      <c r="Z215" s="176">
        <f t="shared" si="13"/>
        <v>36.000000000000284</v>
      </c>
      <c r="AA215" s="176">
        <f>IF(TRIM(AG215)="","",IF(INDEX(AZ1:AZ51,AC215)=AG215,INDEX(BA1:BA51,AC215),((AG215-INDEX(AZ1:AZ51,AC215))*(INDEX(BA1:BA51,AC215+1)-INDEX(BA1:BA51,AC215)))/(INDEX(AZ1:AZ51,AC215+1)-INDEX(AZ1:AZ51,AC215))+INDEX(BA1:BA51,AC215)))</f>
        <v>36.000000000000284</v>
      </c>
      <c r="AB215" s="176" t="e">
        <f>IF(TRIM(AG215)="","",IF(INDEX(BD1:BD51,AD215)=AG215,INDEX(BE1:BE51,AD215),((AG215-INDEX(BD1:BD51,AD215))*(INDEX(BE1:BE51,AD215+1)-INDEX(BE1:BE51,AD215)))/(INDEX(BD1:BD51,AD215+1)-INDEX(BD1:BD51,AD215))+INDEX(BE1:BE51,AD215)))</f>
        <v>#N/A</v>
      </c>
      <c r="AC215" s="164">
        <f>MATCH(AG215,AZ1:AZ51,1)</f>
        <v>7</v>
      </c>
      <c r="AD215" s="164" t="e">
        <f>MATCH(AG215,BD1:BD51,1)</f>
        <v>#N/A</v>
      </c>
      <c r="AE215" s="164">
        <v>7</v>
      </c>
      <c r="AF215" s="164">
        <v>31</v>
      </c>
      <c r="AG215" s="179">
        <f>FIXED('HourGH-OCT'!AB43)*1</f>
        <v>338.68</v>
      </c>
      <c r="AH215" s="164" t="str">
        <f>IF(AND(AE215=AP5,AE215=AR5,AF215&gt;=AQ5,AF215&lt;=AS5),"r1",IF(AND(AE215&gt;AP5,AE215&lt;AR5),"r1",IF(AND(AE215&gt;AP5,AE215=AR5,AF215&lt;=AS5),"r1",IF(AND(AE215=AP5,AE215&lt;AR5,AF215&gt;=AQ5),"r1","n"))))</f>
        <v>r1</v>
      </c>
      <c r="AI215" s="164" t="str">
        <f>IF(AH215&lt;&gt;"n",AH215,IF(AND(AE215=AT5,AE215=AV5,AF215&gt;=AU5,AF215&lt;=AW5),"r2",IF(AND(AE215&gt;AT5,AE215&lt;AV5),"r2",IF(AND(AE215&gt;AT5,AE215=AV5,AF215&lt;=AW5),"r2",IF(AND(AE215=AT5,AE215&lt;AV5,AF215&gt;=AU5),"r2","n")))))</f>
        <v>r1</v>
      </c>
      <c r="AJ215" s="164" t="str">
        <f>IF(AI215&lt;&gt;"n",AI215,IF(AND(AE215=AP6,AE215=AR6,AF215&gt;=AQ6,AF215&lt;=AS6),"r1",IF(AND(AE215&gt;AP6,AE215&lt;AR6),"r1",IF(AND(AE215&gt;AP6,AE215=AR6,AF215&lt;=AS6),"r1",IF(AND(AE215=AP6,AE215&lt;AR6,AF215&gt;=AQ6),"r1","n")))))</f>
        <v>r1</v>
      </c>
      <c r="AK215" s="164" t="str">
        <f>IF(AJ215&lt;&gt;"n",AJ215,IF(AND(AE215=AT6,AE215=AV6,AF215&gt;=AU6,AF215&lt;=AW6),"r2",IF(AND(AE215&gt;AT6,AE215&lt;AV6),"r2",IF(AND(AE215&gt;AT6,AE215=AV6,AF215&lt;=AW6),"r2",IF(AND(AE215=AT6,AE215&lt;AV6,AF215&gt;=AU6),"r2","n")))))</f>
        <v>r1</v>
      </c>
      <c r="AL215" s="164" t="str">
        <f>IF(AK215&lt;&gt;"n",AK215,IF(AND(AE215=AP7,AE215=AR7,AF215&gt;=AQ7,AF215&lt;=AS7),"r1",IF(AND(AE215&gt;AP7,AE215&lt;AR7),"r1",IF(AND(AE215&gt;AP7,AE215=AR7,AF215&lt;=AS7),"r1",IF(AND(AE215=AP7,AE215&lt;AR7,AF215&gt;=AQ7),"r1","n")))))</f>
        <v>r1</v>
      </c>
    </row>
    <row r="216" spans="26:38" ht="17.100000000000001" hidden="1" customHeight="1">
      <c r="Z216" s="176">
        <f t="shared" si="13"/>
        <v>33.000000000000426</v>
      </c>
      <c r="AA216" s="176">
        <f>IF(TRIM(AG216)="","",IF(INDEX(AZ1:AZ51,AC216)=AG216,INDEX(BA1:BA51,AC216),((AG216-INDEX(AZ1:AZ51,AC216))*(INDEX(BA1:BA51,AC216+1)-INDEX(BA1:BA51,AC216)))/(INDEX(AZ1:AZ51,AC216+1)-INDEX(AZ1:AZ51,AC216))+INDEX(BA1:BA51,AC216)))</f>
        <v>33.000000000000426</v>
      </c>
      <c r="AB216" s="176" t="e">
        <f>IF(TRIM(AG216)="","",IF(INDEX(BD1:BD51,AD216)=AG216,INDEX(BE1:BE51,AD216),((AG216-INDEX(BD1:BD51,AD216))*(INDEX(BE1:BE51,AD216+1)-INDEX(BE1:BE51,AD216)))/(INDEX(BD1:BD51,AD216+1)-INDEX(BD1:BD51,AD216))+INDEX(BE1:BE51,AD216)))</f>
        <v>#N/A</v>
      </c>
      <c r="AC216" s="164">
        <f>MATCH(AG216,AZ1:AZ51,1)</f>
        <v>7</v>
      </c>
      <c r="AD216" s="164" t="e">
        <f>MATCH(AG216,BD1:BD51,1)</f>
        <v>#N/A</v>
      </c>
      <c r="AE216" s="164">
        <v>8</v>
      </c>
      <c r="AF216" s="164">
        <v>1</v>
      </c>
      <c r="AG216" s="179">
        <f>FIXED('HourGH-NOV'!AB11)*1</f>
        <v>338.62</v>
      </c>
      <c r="AH216" s="164" t="str">
        <f>IF(AND(AE216=AP5,AE216=AR5,AF216&gt;=AQ5,AF216&lt;=AS5),"r1",IF(AND(AE216&gt;AP5,AE216&lt;AR5),"r1",IF(AND(AE216&gt;AP5,AE216=AR5,AF216&lt;=AS5),"r1",IF(AND(AE216=AP5,AE216&lt;AR5,AF216&gt;=AQ5),"r1","n"))))</f>
        <v>r1</v>
      </c>
      <c r="AI216" s="164" t="str">
        <f>IF(AH216&lt;&gt;"n",AH216,IF(AND(AE216=AT5,AE216=AV5,AF216&gt;=AU5,AF216&lt;=AW5),"r2",IF(AND(AE216&gt;AT5,AE216&lt;AV5),"r2",IF(AND(AE216&gt;AT5,AE216=AV5,AF216&lt;=AW5),"r2",IF(AND(AE216=AT5,AE216&lt;AV5,AF216&gt;=AU5),"r2","n")))))</f>
        <v>r1</v>
      </c>
      <c r="AJ216" s="164" t="str">
        <f>IF(AI216&lt;&gt;"n",AI216,IF(AND(AE216=AP6,AE216=AR6,AF216&gt;=AQ6,AF216&lt;=AS6),"r1",IF(AND(AE216&gt;AP6,AE216&lt;AR6),"r1",IF(AND(AE216&gt;AP6,AE216=AR6,AF216&lt;=AS6),"r1",IF(AND(AE216=AP6,AE216&lt;AR6,AF216&gt;=AQ6),"r1","n")))))</f>
        <v>r1</v>
      </c>
      <c r="AK216" s="164" t="str">
        <f>IF(AJ216&lt;&gt;"n",AJ216,IF(AND(AE216=AT6,AE216=AV6,AF216&gt;=AU6,AF216&lt;=AW6),"r2",IF(AND(AE216&gt;AT6,AE216&lt;AV6),"r2",IF(AND(AE216&gt;AT6,AE216=AV6,AF216&lt;=AW6),"r2",IF(AND(AE216=AT6,AE216&lt;AV6,AF216&gt;=AU6),"r2","n")))))</f>
        <v>r1</v>
      </c>
      <c r="AL216" s="164" t="str">
        <f>IF(AK216&lt;&gt;"n",AK216,IF(AND(AE216=AP7,AE216=AR7,AF216&gt;=AQ7,AF216&lt;=AS7),"r1",IF(AND(AE216&gt;AP7,AE216&lt;AR7),"r1",IF(AND(AE216&gt;AP7,AE216=AR7,AF216&lt;=AS7),"r1",IF(AND(AE216=AP7,AE216&lt;AR7,AF216&gt;=AQ7),"r1","n")))))</f>
        <v>r1</v>
      </c>
    </row>
    <row r="217" spans="26:38" ht="17.100000000000001" hidden="1" customHeight="1">
      <c r="Z217" s="176">
        <f t="shared" si="13"/>
        <v>29.500000000001066</v>
      </c>
      <c r="AA217" s="176">
        <f>IF(TRIM(AG217)="","",IF(INDEX(AZ1:AZ51,AC217)=AG217,INDEX(BA1:BA51,AC217),((AG217-INDEX(AZ1:AZ51,AC217))*(INDEX(BA1:BA51,AC217+1)-INDEX(BA1:BA51,AC217)))/(INDEX(AZ1:AZ51,AC217+1)-INDEX(AZ1:AZ51,AC217))+INDEX(BA1:BA51,AC217)))</f>
        <v>29.500000000001066</v>
      </c>
      <c r="AB217" s="176" t="e">
        <f>IF(TRIM(AG217)="","",IF(INDEX(BD1:BD51,AD217)=AG217,INDEX(BE1:BE51,AD217),((AG217-INDEX(BD1:BD51,AD217))*(INDEX(BE1:BE51,AD217+1)-INDEX(BE1:BE51,AD217)))/(INDEX(BD1:BD51,AD217+1)-INDEX(BD1:BD51,AD217))+INDEX(BE1:BE51,AD217)))</f>
        <v>#N/A</v>
      </c>
      <c r="AC217" s="164">
        <f>MATCH(AG217,AZ1:AZ51,1)</f>
        <v>7</v>
      </c>
      <c r="AD217" s="164" t="e">
        <f>MATCH(AG217,BD1:BD51,1)</f>
        <v>#N/A</v>
      </c>
      <c r="AE217" s="164">
        <v>8</v>
      </c>
      <c r="AF217" s="164">
        <v>2</v>
      </c>
      <c r="AG217" s="179">
        <f>FIXED('HourGH-NOV'!AB12)*1</f>
        <v>338.55</v>
      </c>
      <c r="AH217" s="164" t="str">
        <f>IF(AND(AE217=AP5,AE217=AR5,AF217&gt;=AQ5,AF217&lt;=AS5),"r1",IF(AND(AE217&gt;AP5,AE217&lt;AR5),"r1",IF(AND(AE217&gt;AP5,AE217=AR5,AF217&lt;=AS5),"r1",IF(AND(AE217=AP5,AE217&lt;AR5,AF217&gt;=AQ5),"r1","n"))))</f>
        <v>r1</v>
      </c>
      <c r="AI217" s="164" t="str">
        <f>IF(AH217&lt;&gt;"n",AH217,IF(AND(AE217=AT5,AE217=AV5,AF217&gt;=AU5,AF217&lt;=AW5),"r2",IF(AND(AE217&gt;AT5,AE217&lt;AV5),"r2",IF(AND(AE217&gt;AT5,AE217=AV5,AF217&lt;=AW5),"r2",IF(AND(AE217=AT5,AE217&lt;AV5,AF217&gt;=AU5),"r2","n")))))</f>
        <v>r1</v>
      </c>
      <c r="AJ217" s="164" t="str">
        <f>IF(AI217&lt;&gt;"n",AI217,IF(AND(AE217=AP6,AE217=AR6,AF217&gt;=AQ6,AF217&lt;=AS6),"r1",IF(AND(AE217&gt;AP6,AE217&lt;AR6),"r1",IF(AND(AE217&gt;AP6,AE217=AR6,AF217&lt;=AS6),"r1",IF(AND(AE217=AP6,AE217&lt;AR6,AF217&gt;=AQ6),"r1","n")))))</f>
        <v>r1</v>
      </c>
      <c r="AK217" s="164" t="str">
        <f>IF(AJ217&lt;&gt;"n",AJ217,IF(AND(AE217=AT6,AE217=AV6,AF217&gt;=AU6,AF217&lt;=AW6),"r2",IF(AND(AE217&gt;AT6,AE217&lt;AV6),"r2",IF(AND(AE217&gt;AT6,AE217=AV6,AF217&lt;=AW6),"r2",IF(AND(AE217=AT6,AE217&lt;AV6,AF217&gt;=AU6),"r2","n")))))</f>
        <v>r1</v>
      </c>
      <c r="AL217" s="164" t="str">
        <f>IF(AK217&lt;&gt;"n",AK217,IF(AND(AE217=AP7,AE217=AR7,AF217&gt;=AQ7,AF217&lt;=AS7),"r1",IF(AND(AE217&gt;AP7,AE217&lt;AR7),"r1",IF(AND(AE217&gt;AP7,AE217=AR7,AF217&lt;=AS7),"r1",IF(AND(AE217=AP7,AE217&lt;AR7,AF217&gt;=AQ7),"r1","n")))))</f>
        <v>r1</v>
      </c>
    </row>
    <row r="218" spans="26:38" ht="17.100000000000001" hidden="1" customHeight="1">
      <c r="Z218" s="176">
        <f t="shared" si="13"/>
        <v>26.500000000001208</v>
      </c>
      <c r="AA218" s="176">
        <f>IF(TRIM(AG218)="","",IF(INDEX(AZ1:AZ51,AC218)=AG218,INDEX(BA1:BA51,AC218),((AG218-INDEX(AZ1:AZ51,AC218))*(INDEX(BA1:BA51,AC218+1)-INDEX(BA1:BA51,AC218)))/(INDEX(AZ1:AZ51,AC218+1)-INDEX(AZ1:AZ51,AC218))+INDEX(BA1:BA51,AC218)))</f>
        <v>26.500000000001208</v>
      </c>
      <c r="AB218" s="176" t="e">
        <f>IF(TRIM(AG218)="","",IF(INDEX(BD1:BD51,AD218)=AG218,INDEX(BE1:BE51,AD218),((AG218-INDEX(BD1:BD51,AD218))*(INDEX(BE1:BE51,AD218+1)-INDEX(BE1:BE51,AD218)))/(INDEX(BD1:BD51,AD218+1)-INDEX(BD1:BD51,AD218))+INDEX(BE1:BE51,AD218)))</f>
        <v>#N/A</v>
      </c>
      <c r="AC218" s="164">
        <f>MATCH(AG218,AZ1:AZ51,1)</f>
        <v>7</v>
      </c>
      <c r="AD218" s="164" t="e">
        <f>MATCH(AG218,BD1:BD51,1)</f>
        <v>#N/A</v>
      </c>
      <c r="AE218" s="164">
        <v>8</v>
      </c>
      <c r="AF218" s="164">
        <v>3</v>
      </c>
      <c r="AG218" s="179">
        <f>FIXED('HourGH-NOV'!AB13)*1</f>
        <v>338.49</v>
      </c>
      <c r="AH218" s="164" t="str">
        <f>IF(AND(AE218=AP5,AE218=AR5,AF218&gt;=AQ5,AF218&lt;=AS5),"r1",IF(AND(AE218&gt;AP5,AE218&lt;AR5),"r1",IF(AND(AE218&gt;AP5,AE218=AR5,AF218&lt;=AS5),"r1",IF(AND(AE218=AP5,AE218&lt;AR5,AF218&gt;=AQ5),"r1","n"))))</f>
        <v>r1</v>
      </c>
      <c r="AI218" s="164" t="str">
        <f>IF(AH218&lt;&gt;"n",AH218,IF(AND(AE218=AT5,AE218=AV5,AF218&gt;=AU5,AF218&lt;=AW5),"r2",IF(AND(AE218&gt;AT5,AE218&lt;AV5),"r2",IF(AND(AE218&gt;AT5,AE218=AV5,AF218&lt;=AW5),"r2",IF(AND(AE218=AT5,AE218&lt;AV5,AF218&gt;=AU5),"r2","n")))))</f>
        <v>r1</v>
      </c>
      <c r="AJ218" s="164" t="str">
        <f>IF(AI218&lt;&gt;"n",AI218,IF(AND(AE218=AP6,AE218=AR6,AF218&gt;=AQ6,AF218&lt;=AS6),"r1",IF(AND(AE218&gt;AP6,AE218&lt;AR6),"r1",IF(AND(AE218&gt;AP6,AE218=AR6,AF218&lt;=AS6),"r1",IF(AND(AE218=AP6,AE218&lt;AR6,AF218&gt;=AQ6),"r1","n")))))</f>
        <v>r1</v>
      </c>
      <c r="AK218" s="164" t="str">
        <f>IF(AJ218&lt;&gt;"n",AJ218,IF(AND(AE218=AT6,AE218=AV6,AF218&gt;=AU6,AF218&lt;=AW6),"r2",IF(AND(AE218&gt;AT6,AE218&lt;AV6),"r2",IF(AND(AE218&gt;AT6,AE218=AV6,AF218&lt;=AW6),"r2",IF(AND(AE218=AT6,AE218&lt;AV6,AF218&gt;=AU6),"r2","n")))))</f>
        <v>r1</v>
      </c>
      <c r="AL218" s="164" t="str">
        <f>IF(AK218&lt;&gt;"n",AK218,IF(AND(AE218=AP7,AE218=AR7,AF218&gt;=AQ7,AF218&lt;=AS7),"r1",IF(AND(AE218&gt;AP7,AE218&lt;AR7),"r1",IF(AND(AE218&gt;AP7,AE218=AR7,AF218&lt;=AS7),"r1",IF(AND(AE218=AP7,AE218&lt;AR7,AF218&gt;=AQ7),"r1","n")))))</f>
        <v>r1</v>
      </c>
    </row>
    <row r="219" spans="26:38" ht="17.100000000000001" hidden="1" customHeight="1">
      <c r="Z219" s="176">
        <f t="shared" si="13"/>
        <v>24.500000000000355</v>
      </c>
      <c r="AA219" s="176">
        <f>IF(TRIM(AG219)="","",IF(INDEX(AZ1:AZ51,AC219)=AG219,INDEX(BA1:BA51,AC219),((AG219-INDEX(AZ1:AZ51,AC219))*(INDEX(BA1:BA51,AC219+1)-INDEX(BA1:BA51,AC219)))/(INDEX(AZ1:AZ51,AC219+1)-INDEX(AZ1:AZ51,AC219))+INDEX(BA1:BA51,AC219)))</f>
        <v>24.500000000000355</v>
      </c>
      <c r="AB219" s="176" t="e">
        <f>IF(TRIM(AG219)="","",IF(INDEX(BD1:BD51,AD219)=AG219,INDEX(BE1:BE51,AD219),((AG219-INDEX(BD1:BD51,AD219))*(INDEX(BE1:BE51,AD219+1)-INDEX(BE1:BE51,AD219)))/(INDEX(BD1:BD51,AD219+1)-INDEX(BD1:BD51,AD219))+INDEX(BE1:BE51,AD219)))</f>
        <v>#N/A</v>
      </c>
      <c r="AC219" s="164">
        <f>MATCH(AG219,AZ1:AZ51,1)</f>
        <v>7</v>
      </c>
      <c r="AD219" s="164" t="e">
        <f>MATCH(AG219,BD1:BD51,1)</f>
        <v>#N/A</v>
      </c>
      <c r="AE219" s="164">
        <v>8</v>
      </c>
      <c r="AF219" s="164">
        <v>4</v>
      </c>
      <c r="AG219" s="179">
        <f>FIXED('HourGH-NOV'!AB14)*1</f>
        <v>338.45</v>
      </c>
      <c r="AH219" s="164" t="str">
        <f>IF(AND(AE219=AP5,AE219=AR5,AF219&gt;=AQ5,AF219&lt;=AS5),"r1",IF(AND(AE219&gt;AP5,AE219&lt;AR5),"r1",IF(AND(AE219&gt;AP5,AE219=AR5,AF219&lt;=AS5),"r1",IF(AND(AE219=AP5,AE219&lt;AR5,AF219&gt;=AQ5),"r1","n"))))</f>
        <v>r1</v>
      </c>
      <c r="AI219" s="164" t="str">
        <f>IF(AH219&lt;&gt;"n",AH219,IF(AND(AE219=AT5,AE219=AV5,AF219&gt;=AU5,AF219&lt;=AW5),"r2",IF(AND(AE219&gt;AT5,AE219&lt;AV5),"r2",IF(AND(AE219&gt;AT5,AE219=AV5,AF219&lt;=AW5),"r2",IF(AND(AE219=AT5,AE219&lt;AV5,AF219&gt;=AU5),"r2","n")))))</f>
        <v>r1</v>
      </c>
      <c r="AJ219" s="164" t="str">
        <f>IF(AI219&lt;&gt;"n",AI219,IF(AND(AE219=AP6,AE219=AR6,AF219&gt;=AQ6,AF219&lt;=AS6),"r1",IF(AND(AE219&gt;AP6,AE219&lt;AR6),"r1",IF(AND(AE219&gt;AP6,AE219=AR6,AF219&lt;=AS6),"r1",IF(AND(AE219=AP6,AE219&lt;AR6,AF219&gt;=AQ6),"r1","n")))))</f>
        <v>r1</v>
      </c>
      <c r="AK219" s="164" t="str">
        <f>IF(AJ219&lt;&gt;"n",AJ219,IF(AND(AE219=AT6,AE219=AV6,AF219&gt;=AU6,AF219&lt;=AW6),"r2",IF(AND(AE219&gt;AT6,AE219&lt;AV6),"r2",IF(AND(AE219&gt;AT6,AE219=AV6,AF219&lt;=AW6),"r2",IF(AND(AE219=AT6,AE219&lt;AV6,AF219&gt;=AU6),"r2","n")))))</f>
        <v>r1</v>
      </c>
      <c r="AL219" s="164" t="str">
        <f>IF(AK219&lt;&gt;"n",AK219,IF(AND(AE219=AP7,AE219=AR7,AF219&gt;=AQ7,AF219&lt;=AS7),"r1",IF(AND(AE219&gt;AP7,AE219&lt;AR7),"r1",IF(AND(AE219&gt;AP7,AE219=AR7,AF219&lt;=AS7),"r1",IF(AND(AE219=AP7,AE219&lt;AR7,AF219&gt;=AQ7),"r1","n")))))</f>
        <v>r1</v>
      </c>
    </row>
    <row r="220" spans="26:38" ht="17.100000000000001" hidden="1" customHeight="1">
      <c r="Z220" s="176">
        <f t="shared" si="13"/>
        <v>22</v>
      </c>
      <c r="AA220" s="176">
        <f>IF(TRIM(AG220)="","",IF(INDEX(AZ1:AZ51,AC220)=AG220,INDEX(BA1:BA51,AC220),((AG220-INDEX(AZ1:AZ51,AC220))*(INDEX(BA1:BA51,AC220+1)-INDEX(BA1:BA51,AC220)))/(INDEX(AZ1:AZ51,AC220+1)-INDEX(AZ1:AZ51,AC220))+INDEX(BA1:BA51,AC220)))</f>
        <v>22</v>
      </c>
      <c r="AB220" s="176" t="e">
        <f>IF(TRIM(AG220)="","",IF(INDEX(BD1:BD51,AD220)=AG220,INDEX(BE1:BE51,AD220),((AG220-INDEX(BD1:BD51,AD220))*(INDEX(BE1:BE51,AD220+1)-INDEX(BE1:BE51,AD220)))/(INDEX(BD1:BD51,AD220+1)-INDEX(BD1:BD51,AD220))+INDEX(BE1:BE51,AD220)))</f>
        <v>#N/A</v>
      </c>
      <c r="AC220" s="164">
        <f>MATCH(AG220,AZ1:AZ51,1)</f>
        <v>7</v>
      </c>
      <c r="AD220" s="164" t="e">
        <f>MATCH(AG220,BD1:BD51,1)</f>
        <v>#N/A</v>
      </c>
      <c r="AE220" s="164">
        <v>8</v>
      </c>
      <c r="AF220" s="164">
        <v>5</v>
      </c>
      <c r="AG220" s="179">
        <f>FIXED('HourGH-NOV'!AB15)*1</f>
        <v>338.4</v>
      </c>
      <c r="AH220" s="164" t="str">
        <f>IF(AND(AE220=AP5,AE220=AR5,AF220&gt;=AQ5,AF220&lt;=AS5),"r1",IF(AND(AE220&gt;AP5,AE220&lt;AR5),"r1",IF(AND(AE220&gt;AP5,AE220=AR5,AF220&lt;=AS5),"r1",IF(AND(AE220=AP5,AE220&lt;AR5,AF220&gt;=AQ5),"r1","n"))))</f>
        <v>r1</v>
      </c>
      <c r="AI220" s="164" t="str">
        <f>IF(AH220&lt;&gt;"n",AH220,IF(AND(AE220=AT5,AE220=AV5,AF220&gt;=AU5,AF220&lt;=AW5),"r2",IF(AND(AE220&gt;AT5,AE220&lt;AV5),"r2",IF(AND(AE220&gt;AT5,AE220=AV5,AF220&lt;=AW5),"r2",IF(AND(AE220=AT5,AE220&lt;AV5,AF220&gt;=AU5),"r2","n")))))</f>
        <v>r1</v>
      </c>
      <c r="AJ220" s="164" t="str">
        <f>IF(AI220&lt;&gt;"n",AI220,IF(AND(AE220=AP6,AE220=AR6,AF220&gt;=AQ6,AF220&lt;=AS6),"r1",IF(AND(AE220&gt;AP6,AE220&lt;AR6),"r1",IF(AND(AE220&gt;AP6,AE220=AR6,AF220&lt;=AS6),"r1",IF(AND(AE220=AP6,AE220&lt;AR6,AF220&gt;=AQ6),"r1","n")))))</f>
        <v>r1</v>
      </c>
      <c r="AK220" s="164" t="str">
        <f>IF(AJ220&lt;&gt;"n",AJ220,IF(AND(AE220=AT6,AE220=AV6,AF220&gt;=AU6,AF220&lt;=AW6),"r2",IF(AND(AE220&gt;AT6,AE220&lt;AV6),"r2",IF(AND(AE220&gt;AT6,AE220=AV6,AF220&lt;=AW6),"r2",IF(AND(AE220=AT6,AE220&lt;AV6,AF220&gt;=AU6),"r2","n")))))</f>
        <v>r1</v>
      </c>
      <c r="AL220" s="164" t="str">
        <f>IF(AK220&lt;&gt;"n",AK220,IF(AND(AE220=AP7,AE220=AR7,AF220&gt;=AQ7,AF220&lt;=AS7),"r1",IF(AND(AE220&gt;AP7,AE220&lt;AR7),"r1",IF(AND(AE220&gt;AP7,AE220=AR7,AF220&lt;=AS7),"r1",IF(AND(AE220=AP7,AE220&lt;AR7,AF220&gt;=AQ7),"r1","n")))))</f>
        <v>r1</v>
      </c>
    </row>
    <row r="221" spans="26:38" ht="17.100000000000001" hidden="1" customHeight="1">
      <c r="Z221" s="176">
        <f t="shared" si="13"/>
        <v>20.65000000000115</v>
      </c>
      <c r="AA221" s="176">
        <f>IF(TRIM(AG221)="","",IF(INDEX(AZ1:AZ51,AC221)=AG221,INDEX(BA1:BA51,AC221),((AG221-INDEX(AZ1:AZ51,AC221))*(INDEX(BA1:BA51,AC221+1)-INDEX(BA1:BA51,AC221)))/(INDEX(AZ1:AZ51,AC221+1)-INDEX(AZ1:AZ51,AC221))+INDEX(BA1:BA51,AC221)))</f>
        <v>20.65000000000115</v>
      </c>
      <c r="AB221" s="176" t="e">
        <f>IF(TRIM(AG221)="","",IF(INDEX(BD1:BD51,AD221)=AG221,INDEX(BE1:BE51,AD221),((AG221-INDEX(BD1:BD51,AD221))*(INDEX(BE1:BE51,AD221+1)-INDEX(BE1:BE51,AD221)))/(INDEX(BD1:BD51,AD221+1)-INDEX(BD1:BD51,AD221))+INDEX(BE1:BE51,AD221)))</f>
        <v>#N/A</v>
      </c>
      <c r="AC221" s="164">
        <f>MATCH(AG221,AZ1:AZ51,1)</f>
        <v>6</v>
      </c>
      <c r="AD221" s="164" t="e">
        <f>MATCH(AG221,BD1:BD51,1)</f>
        <v>#N/A</v>
      </c>
      <c r="AE221" s="164">
        <v>8</v>
      </c>
      <c r="AF221" s="164">
        <v>6</v>
      </c>
      <c r="AG221" s="179">
        <f>FIXED('HourGH-NOV'!AB16)*1</f>
        <v>338.37</v>
      </c>
      <c r="AH221" s="164" t="str">
        <f>IF(AND(AE221=AP5,AE221=AR5,AF221&gt;=AQ5,AF221&lt;=AS5),"r1",IF(AND(AE221&gt;AP5,AE221&lt;AR5),"r1",IF(AND(AE221&gt;AP5,AE221=AR5,AF221&lt;=AS5),"r1",IF(AND(AE221=AP5,AE221&lt;AR5,AF221&gt;=AQ5),"r1","n"))))</f>
        <v>r1</v>
      </c>
      <c r="AI221" s="164" t="str">
        <f>IF(AH221&lt;&gt;"n",AH221,IF(AND(AE221=AT5,AE221=AV5,AF221&gt;=AU5,AF221&lt;=AW5),"r2",IF(AND(AE221&gt;AT5,AE221&lt;AV5),"r2",IF(AND(AE221&gt;AT5,AE221=AV5,AF221&lt;=AW5),"r2",IF(AND(AE221=AT5,AE221&lt;AV5,AF221&gt;=AU5),"r2","n")))))</f>
        <v>r1</v>
      </c>
      <c r="AJ221" s="164" t="str">
        <f>IF(AI221&lt;&gt;"n",AI221,IF(AND(AE221=AP6,AE221=AR6,AF221&gt;=AQ6,AF221&lt;=AS6),"r1",IF(AND(AE221&gt;AP6,AE221&lt;AR6),"r1",IF(AND(AE221&gt;AP6,AE221=AR6,AF221&lt;=AS6),"r1",IF(AND(AE221=AP6,AE221&lt;AR6,AF221&gt;=AQ6),"r1","n")))))</f>
        <v>r1</v>
      </c>
      <c r="AK221" s="164" t="str">
        <f>IF(AJ221&lt;&gt;"n",AJ221,IF(AND(AE221=AT6,AE221=AV6,AF221&gt;=AU6,AF221&lt;=AW6),"r2",IF(AND(AE221&gt;AT6,AE221&lt;AV6),"r2",IF(AND(AE221&gt;AT6,AE221=AV6,AF221&lt;=AW6),"r2",IF(AND(AE221=AT6,AE221&lt;AV6,AF221&gt;=AU6),"r2","n")))))</f>
        <v>r1</v>
      </c>
      <c r="AL221" s="164" t="str">
        <f>IF(AK221&lt;&gt;"n",AK221,IF(AND(AE221=AP7,AE221=AR7,AF221&gt;=AQ7,AF221&lt;=AS7),"r1",IF(AND(AE221&gt;AP7,AE221&lt;AR7),"r1",IF(AND(AE221&gt;AP7,AE221=AR7,AF221&lt;=AS7),"r1",IF(AND(AE221=AP7,AE221&lt;AR7,AF221&gt;=AQ7),"r1","n")))))</f>
        <v>r1</v>
      </c>
    </row>
    <row r="222" spans="26:38" ht="17.100000000000001" hidden="1" customHeight="1">
      <c r="Z222" s="176">
        <f t="shared" si="13"/>
        <v>19.299999999999745</v>
      </c>
      <c r="AA222" s="176">
        <f>IF(TRIM(AG222)="","",IF(INDEX(AZ1:AZ51,AC222)=AG222,INDEX(BA1:BA51,AC222),((AG222-INDEX(AZ1:AZ51,AC222))*(INDEX(BA1:BA51,AC222+1)-INDEX(BA1:BA51,AC222)))/(INDEX(AZ1:AZ51,AC222+1)-INDEX(AZ1:AZ51,AC222))+INDEX(BA1:BA51,AC222)))</f>
        <v>19.299999999999745</v>
      </c>
      <c r="AB222" s="176" t="e">
        <f>IF(TRIM(AG222)="","",IF(INDEX(BD1:BD51,AD222)=AG222,INDEX(BE1:BE51,AD222),((AG222-INDEX(BD1:BD51,AD222))*(INDEX(BE1:BE51,AD222+1)-INDEX(BE1:BE51,AD222)))/(INDEX(BD1:BD51,AD222+1)-INDEX(BD1:BD51,AD222))+INDEX(BE1:BE51,AD222)))</f>
        <v>#N/A</v>
      </c>
      <c r="AC222" s="164">
        <f>MATCH(AG222,AZ1:AZ51,1)</f>
        <v>6</v>
      </c>
      <c r="AD222" s="164" t="e">
        <f>MATCH(AG222,BD1:BD51,1)</f>
        <v>#N/A</v>
      </c>
      <c r="AE222" s="164">
        <v>8</v>
      </c>
      <c r="AF222" s="164">
        <v>7</v>
      </c>
      <c r="AG222" s="179">
        <f>FIXED('HourGH-NOV'!AB17)*1</f>
        <v>338.34</v>
      </c>
      <c r="AH222" s="164" t="str">
        <f>IF(AND(AE222=AP5,AE222=AR5,AF222&gt;=AQ5,AF222&lt;=AS5),"r1",IF(AND(AE222&gt;AP5,AE222&lt;AR5),"r1",IF(AND(AE222&gt;AP5,AE222=AR5,AF222&lt;=AS5),"r1",IF(AND(AE222=AP5,AE222&lt;AR5,AF222&gt;=AQ5),"r1","n"))))</f>
        <v>r1</v>
      </c>
      <c r="AI222" s="164" t="str">
        <f>IF(AH222&lt;&gt;"n",AH222,IF(AND(AE222=AT5,AE222=AV5,AF222&gt;=AU5,AF222&lt;=AW5),"r2",IF(AND(AE222&gt;AT5,AE222&lt;AV5),"r2",IF(AND(AE222&gt;AT5,AE222=AV5,AF222&lt;=AW5),"r2",IF(AND(AE222=AT5,AE222&lt;AV5,AF222&gt;=AU5),"r2","n")))))</f>
        <v>r1</v>
      </c>
      <c r="AJ222" s="164" t="str">
        <f>IF(AI222&lt;&gt;"n",AI222,IF(AND(AE222=AP6,AE222=AR6,AF222&gt;=AQ6,AF222&lt;=AS6),"r1",IF(AND(AE222&gt;AP6,AE222&lt;AR6),"r1",IF(AND(AE222&gt;AP6,AE222=AR6,AF222&lt;=AS6),"r1",IF(AND(AE222=AP6,AE222&lt;AR6,AF222&gt;=AQ6),"r1","n")))))</f>
        <v>r1</v>
      </c>
      <c r="AK222" s="164" t="str">
        <f>IF(AJ222&lt;&gt;"n",AJ222,IF(AND(AE222=AT6,AE222=AV6,AF222&gt;=AU6,AF222&lt;=AW6),"r2",IF(AND(AE222&gt;AT6,AE222&lt;AV6),"r2",IF(AND(AE222&gt;AT6,AE222=AV6,AF222&lt;=AW6),"r2",IF(AND(AE222=AT6,AE222&lt;AV6,AF222&gt;=AU6),"r2","n")))))</f>
        <v>r1</v>
      </c>
      <c r="AL222" s="164" t="str">
        <f>IF(AK222&lt;&gt;"n",AK222,IF(AND(AE222=AP7,AE222=AR7,AF222&gt;=AQ7,AF222&lt;=AS7),"r1",IF(AND(AE222&gt;AP7,AE222&lt;AR7),"r1",IF(AND(AE222&gt;AP7,AE222=AR7,AF222&lt;=AS7),"r1",IF(AND(AE222=AP7,AE222&lt;AR7,AF222&gt;=AQ7),"r1","n")))))</f>
        <v>r1</v>
      </c>
    </row>
    <row r="223" spans="26:38" ht="17.100000000000001" hidden="1" customHeight="1">
      <c r="Z223" s="176">
        <f t="shared" si="13"/>
        <v>18.40000000000051</v>
      </c>
      <c r="AA223" s="176">
        <f>IF(TRIM(AG223)="","",IF(INDEX(AZ1:AZ51,AC223)=AG223,INDEX(BA1:BA51,AC223),((AG223-INDEX(AZ1:AZ51,AC223))*(INDEX(BA1:BA51,AC223+1)-INDEX(BA1:BA51,AC223)))/(INDEX(AZ1:AZ51,AC223+1)-INDEX(AZ1:AZ51,AC223))+INDEX(BA1:BA51,AC223)))</f>
        <v>18.40000000000051</v>
      </c>
      <c r="AB223" s="176" t="e">
        <f>IF(TRIM(AG223)="","",IF(INDEX(BD1:BD51,AD223)=AG223,INDEX(BE1:BE51,AD223),((AG223-INDEX(BD1:BD51,AD223))*(INDEX(BE1:BE51,AD223+1)-INDEX(BE1:BE51,AD223)))/(INDEX(BD1:BD51,AD223+1)-INDEX(BD1:BD51,AD223))+INDEX(BE1:BE51,AD223)))</f>
        <v>#N/A</v>
      </c>
      <c r="AC223" s="164">
        <f>MATCH(AG223,AZ1:AZ51,1)</f>
        <v>6</v>
      </c>
      <c r="AD223" s="164" t="e">
        <f>MATCH(AG223,BD1:BD51,1)</f>
        <v>#N/A</v>
      </c>
      <c r="AE223" s="164">
        <v>8</v>
      </c>
      <c r="AF223" s="164">
        <v>8</v>
      </c>
      <c r="AG223" s="179">
        <f>FIXED('HourGH-NOV'!AB18)*1</f>
        <v>338.32</v>
      </c>
      <c r="AH223" s="164" t="str">
        <f>IF(AND(AE223=AP5,AE223=AR5,AF223&gt;=AQ5,AF223&lt;=AS5),"r1",IF(AND(AE223&gt;AP5,AE223&lt;AR5),"r1",IF(AND(AE223&gt;AP5,AE223=AR5,AF223&lt;=AS5),"r1",IF(AND(AE223=AP5,AE223&lt;AR5,AF223&gt;=AQ5),"r1","n"))))</f>
        <v>r1</v>
      </c>
      <c r="AI223" s="164" t="str">
        <f>IF(AH223&lt;&gt;"n",AH223,IF(AND(AE223=AT5,AE223=AV5,AF223&gt;=AU5,AF223&lt;=AW5),"r2",IF(AND(AE223&gt;AT5,AE223&lt;AV5),"r2",IF(AND(AE223&gt;AT5,AE223=AV5,AF223&lt;=AW5),"r2",IF(AND(AE223=AT5,AE223&lt;AV5,AF223&gt;=AU5),"r2","n")))))</f>
        <v>r1</v>
      </c>
      <c r="AJ223" s="164" t="str">
        <f>IF(AI223&lt;&gt;"n",AI223,IF(AND(AE223=AP6,AE223=AR6,AF223&gt;=AQ6,AF223&lt;=AS6),"r1",IF(AND(AE223&gt;AP6,AE223&lt;AR6),"r1",IF(AND(AE223&gt;AP6,AE223=AR6,AF223&lt;=AS6),"r1",IF(AND(AE223=AP6,AE223&lt;AR6,AF223&gt;=AQ6),"r1","n")))))</f>
        <v>r1</v>
      </c>
      <c r="AK223" s="164" t="str">
        <f>IF(AJ223&lt;&gt;"n",AJ223,IF(AND(AE223=AT6,AE223=AV6,AF223&gt;=AU6,AF223&lt;=AW6),"r2",IF(AND(AE223&gt;AT6,AE223&lt;AV6),"r2",IF(AND(AE223&gt;AT6,AE223=AV6,AF223&lt;=AW6),"r2",IF(AND(AE223=AT6,AE223&lt;AV6,AF223&gt;=AU6),"r2","n")))))</f>
        <v>r1</v>
      </c>
      <c r="AL223" s="164" t="str">
        <f>IF(AK223&lt;&gt;"n",AK223,IF(AND(AE223=AP7,AE223=AR7,AF223&gt;=AQ7,AF223&lt;=AS7),"r1",IF(AND(AE223&gt;AP7,AE223&lt;AR7),"r1",IF(AND(AE223&gt;AP7,AE223=AR7,AF223&lt;=AS7),"r1",IF(AND(AE223=AP7,AE223&lt;AR7,AF223&gt;=AQ7),"r1","n")))))</f>
        <v>r1</v>
      </c>
    </row>
    <row r="224" spans="26:38" ht="17.100000000000001" hidden="1" customHeight="1">
      <c r="Z224" s="176">
        <f t="shared" si="13"/>
        <v>17.500000000001279</v>
      </c>
      <c r="AA224" s="176">
        <f>IF(TRIM(AG224)="","",IF(INDEX(AZ1:AZ51,AC224)=AG224,INDEX(BA1:BA51,AC224),((AG224-INDEX(AZ1:AZ51,AC224))*(INDEX(BA1:BA51,AC224+1)-INDEX(BA1:BA51,AC224)))/(INDEX(AZ1:AZ51,AC224+1)-INDEX(AZ1:AZ51,AC224))+INDEX(BA1:BA51,AC224)))</f>
        <v>17.500000000001279</v>
      </c>
      <c r="AB224" s="176" t="e">
        <f>IF(TRIM(AG224)="","",IF(INDEX(BD1:BD51,AD224)=AG224,INDEX(BE1:BE51,AD224),((AG224-INDEX(BD1:BD51,AD224))*(INDEX(BE1:BE51,AD224+1)-INDEX(BE1:BE51,AD224)))/(INDEX(BD1:BD51,AD224+1)-INDEX(BD1:BD51,AD224))+INDEX(BE1:BE51,AD224)))</f>
        <v>#N/A</v>
      </c>
      <c r="AC224" s="164">
        <f>MATCH(AG224,AZ1:AZ51,1)</f>
        <v>6</v>
      </c>
      <c r="AD224" s="164" t="e">
        <f>MATCH(AG224,BD1:BD51,1)</f>
        <v>#N/A</v>
      </c>
      <c r="AE224" s="164">
        <v>8</v>
      </c>
      <c r="AF224" s="164">
        <v>9</v>
      </c>
      <c r="AG224" s="179">
        <f>FIXED('HourGH-NOV'!AB19)*1</f>
        <v>338.3</v>
      </c>
      <c r="AH224" s="164" t="str">
        <f>IF(AND(AE224=AP5,AE224=AR5,AF224&gt;=AQ5,AF224&lt;=AS5),"r1",IF(AND(AE224&gt;AP5,AE224&lt;AR5),"r1",IF(AND(AE224&gt;AP5,AE224=AR5,AF224&lt;=AS5),"r1",IF(AND(AE224=AP5,AE224&lt;AR5,AF224&gt;=AQ5),"r1","n"))))</f>
        <v>r1</v>
      </c>
      <c r="AI224" s="164" t="str">
        <f>IF(AH224&lt;&gt;"n",AH224,IF(AND(AE224=AT5,AE224=AV5,AF224&gt;=AU5,AF224&lt;=AW5),"r2",IF(AND(AE224&gt;AT5,AE224&lt;AV5),"r2",IF(AND(AE224&gt;AT5,AE224=AV5,AF224&lt;=AW5),"r2",IF(AND(AE224=AT5,AE224&lt;AV5,AF224&gt;=AU5),"r2","n")))))</f>
        <v>r1</v>
      </c>
      <c r="AJ224" s="164" t="str">
        <f>IF(AI224&lt;&gt;"n",AI224,IF(AND(AE224=AP6,AE224=AR6,AF224&gt;=AQ6,AF224&lt;=AS6),"r1",IF(AND(AE224&gt;AP6,AE224&lt;AR6),"r1",IF(AND(AE224&gt;AP6,AE224=AR6,AF224&lt;=AS6),"r1",IF(AND(AE224=AP6,AE224&lt;AR6,AF224&gt;=AQ6),"r1","n")))))</f>
        <v>r1</v>
      </c>
      <c r="AK224" s="164" t="str">
        <f>IF(AJ224&lt;&gt;"n",AJ224,IF(AND(AE224=AT6,AE224=AV6,AF224&gt;=AU6,AF224&lt;=AW6),"r2",IF(AND(AE224&gt;AT6,AE224&lt;AV6),"r2",IF(AND(AE224&gt;AT6,AE224=AV6,AF224&lt;=AW6),"r2",IF(AND(AE224=AT6,AE224&lt;AV6,AF224&gt;=AU6),"r2","n")))))</f>
        <v>r1</v>
      </c>
      <c r="AL224" s="164" t="str">
        <f>IF(AK224&lt;&gt;"n",AK224,IF(AND(AE224=AP7,AE224=AR7,AF224&gt;=AQ7,AF224&lt;=AS7),"r1",IF(AND(AE224&gt;AP7,AE224&lt;AR7),"r1",IF(AND(AE224&gt;AP7,AE224=AR7,AF224&lt;=AS7),"r1",IF(AND(AE224=AP7,AE224&lt;AR7,AF224&gt;=AQ7),"r1","n")))))</f>
        <v>r1</v>
      </c>
    </row>
    <row r="225" spans="26:38" ht="17.100000000000001" hidden="1" customHeight="1">
      <c r="Z225" s="176">
        <f t="shared" si="13"/>
        <v>16.59999999999949</v>
      </c>
      <c r="AA225" s="176">
        <f>IF(TRIM(AG225)="","",IF(INDEX(AZ1:AZ51,AC225)=AG225,INDEX(BA1:BA51,AC225),((AG225-INDEX(AZ1:AZ51,AC225))*(INDEX(BA1:BA51,AC225+1)-INDEX(BA1:BA51,AC225)))/(INDEX(AZ1:AZ51,AC225+1)-INDEX(AZ1:AZ51,AC225))+INDEX(BA1:BA51,AC225)))</f>
        <v>16.59999999999949</v>
      </c>
      <c r="AB225" s="176" t="e">
        <f>IF(TRIM(AG225)="","",IF(INDEX(BD1:BD51,AD225)=AG225,INDEX(BE1:BE51,AD225),((AG225-INDEX(BD1:BD51,AD225))*(INDEX(BE1:BE51,AD225+1)-INDEX(BE1:BE51,AD225)))/(INDEX(BD1:BD51,AD225+1)-INDEX(BD1:BD51,AD225))+INDEX(BE1:BE51,AD225)))</f>
        <v>#N/A</v>
      </c>
      <c r="AC225" s="164">
        <f>MATCH(AG225,AZ1:AZ51,1)</f>
        <v>6</v>
      </c>
      <c r="AD225" s="164" t="e">
        <f>MATCH(AG225,BD1:BD51,1)</f>
        <v>#N/A</v>
      </c>
      <c r="AE225" s="164">
        <v>8</v>
      </c>
      <c r="AF225" s="164">
        <v>10</v>
      </c>
      <c r="AG225" s="179">
        <f>FIXED('HourGH-NOV'!AB20)*1</f>
        <v>338.28</v>
      </c>
      <c r="AH225" s="164" t="str">
        <f>IF(AND(AE225=AP5,AE225=AR5,AF225&gt;=AQ5,AF225&lt;=AS5),"r1",IF(AND(AE225&gt;AP5,AE225&lt;AR5),"r1",IF(AND(AE225&gt;AP5,AE225=AR5,AF225&lt;=AS5),"r1",IF(AND(AE225=AP5,AE225&lt;AR5,AF225&gt;=AQ5),"r1","n"))))</f>
        <v>r1</v>
      </c>
      <c r="AI225" s="164" t="str">
        <f>IF(AH225&lt;&gt;"n",AH225,IF(AND(AE225=AT5,AE225=AV5,AF225&gt;=AU5,AF225&lt;=AW5),"r2",IF(AND(AE225&gt;AT5,AE225&lt;AV5),"r2",IF(AND(AE225&gt;AT5,AE225=AV5,AF225&lt;=AW5),"r2",IF(AND(AE225=AT5,AE225&lt;AV5,AF225&gt;=AU5),"r2","n")))))</f>
        <v>r1</v>
      </c>
      <c r="AJ225" s="164" t="str">
        <f>IF(AI225&lt;&gt;"n",AI225,IF(AND(AE225=AP6,AE225=AR6,AF225&gt;=AQ6,AF225&lt;=AS6),"r1",IF(AND(AE225&gt;AP6,AE225&lt;AR6),"r1",IF(AND(AE225&gt;AP6,AE225=AR6,AF225&lt;=AS6),"r1",IF(AND(AE225=AP6,AE225&lt;AR6,AF225&gt;=AQ6),"r1","n")))))</f>
        <v>r1</v>
      </c>
      <c r="AK225" s="164" t="str">
        <f>IF(AJ225&lt;&gt;"n",AJ225,IF(AND(AE225=AT6,AE225=AV6,AF225&gt;=AU6,AF225&lt;=AW6),"r2",IF(AND(AE225&gt;AT6,AE225&lt;AV6),"r2",IF(AND(AE225&gt;AT6,AE225=AV6,AF225&lt;=AW6),"r2",IF(AND(AE225=AT6,AE225&lt;AV6,AF225&gt;=AU6),"r2","n")))))</f>
        <v>r1</v>
      </c>
      <c r="AL225" s="164" t="str">
        <f>IF(AK225&lt;&gt;"n",AK225,IF(AND(AE225=AP7,AE225=AR7,AF225&gt;=AQ7,AF225&lt;=AS7),"r1",IF(AND(AE225&gt;AP7,AE225&lt;AR7),"r1",IF(AND(AE225&gt;AP7,AE225=AR7,AF225&lt;=AS7),"r1",IF(AND(AE225=AP7,AE225&lt;AR7,AF225&gt;=AQ7),"r1","n")))))</f>
        <v>r1</v>
      </c>
    </row>
    <row r="226" spans="26:38" ht="17.100000000000001" hidden="1" customHeight="1">
      <c r="Z226" s="176">
        <f t="shared" si="13"/>
        <v>15.700000000000255</v>
      </c>
      <c r="AA226" s="176">
        <f>IF(TRIM(AG226)="","",IF(INDEX(AZ1:AZ51,AC226)=AG226,INDEX(BA1:BA51,AC226),((AG226-INDEX(AZ1:AZ51,AC226))*(INDEX(BA1:BA51,AC226+1)-INDEX(BA1:BA51,AC226)))/(INDEX(AZ1:AZ51,AC226+1)-INDEX(AZ1:AZ51,AC226))+INDEX(BA1:BA51,AC226)))</f>
        <v>15.700000000000255</v>
      </c>
      <c r="AB226" s="176" t="e">
        <f>IF(TRIM(AG226)="","",IF(INDEX(BD1:BD51,AD226)=AG226,INDEX(BE1:BE51,AD226),((AG226-INDEX(BD1:BD51,AD226))*(INDEX(BE1:BE51,AD226+1)-INDEX(BE1:BE51,AD226)))/(INDEX(BD1:BD51,AD226+1)-INDEX(BD1:BD51,AD226))+INDEX(BE1:BE51,AD226)))</f>
        <v>#N/A</v>
      </c>
      <c r="AC226" s="164">
        <f>MATCH(AG226,AZ1:AZ51,1)</f>
        <v>6</v>
      </c>
      <c r="AD226" s="164" t="e">
        <f>MATCH(AG226,BD1:BD51,1)</f>
        <v>#N/A</v>
      </c>
      <c r="AE226" s="164">
        <v>8</v>
      </c>
      <c r="AF226" s="164">
        <v>11</v>
      </c>
      <c r="AG226" s="179">
        <f>FIXED('HourGH-NOV'!AB22)*1</f>
        <v>338.26</v>
      </c>
      <c r="AH226" s="164" t="str">
        <f>IF(AND(AE226=AP5,AE226=AR5,AF226&gt;=AQ5,AF226&lt;=AS5),"r1",IF(AND(AE226&gt;AP5,AE226&lt;AR5),"r1",IF(AND(AE226&gt;AP5,AE226=AR5,AF226&lt;=AS5),"r1",IF(AND(AE226=AP5,AE226&lt;AR5,AF226&gt;=AQ5),"r1","n"))))</f>
        <v>r1</v>
      </c>
      <c r="AI226" s="164" t="str">
        <f>IF(AH226&lt;&gt;"n",AH226,IF(AND(AE226=AT5,AE226=AV5,AF226&gt;=AU5,AF226&lt;=AW5),"r2",IF(AND(AE226&gt;AT5,AE226&lt;AV5),"r2",IF(AND(AE226&gt;AT5,AE226=AV5,AF226&lt;=AW5),"r2",IF(AND(AE226=AT5,AE226&lt;AV5,AF226&gt;=AU5),"r2","n")))))</f>
        <v>r1</v>
      </c>
      <c r="AJ226" s="164" t="str">
        <f>IF(AI226&lt;&gt;"n",AI226,IF(AND(AE226=AP6,AE226=AR6,AF226&gt;=AQ6,AF226&lt;=AS6),"r1",IF(AND(AE226&gt;AP6,AE226&lt;AR6),"r1",IF(AND(AE226&gt;AP6,AE226=AR6,AF226&lt;=AS6),"r1",IF(AND(AE226=AP6,AE226&lt;AR6,AF226&gt;=AQ6),"r1","n")))))</f>
        <v>r1</v>
      </c>
      <c r="AK226" s="164" t="str">
        <f>IF(AJ226&lt;&gt;"n",AJ226,IF(AND(AE226=AT6,AE226=AV6,AF226&gt;=AU6,AF226&lt;=AW6),"r2",IF(AND(AE226&gt;AT6,AE226&lt;AV6),"r2",IF(AND(AE226&gt;AT6,AE226=AV6,AF226&lt;=AW6),"r2",IF(AND(AE226=AT6,AE226&lt;AV6,AF226&gt;=AU6),"r2","n")))))</f>
        <v>r1</v>
      </c>
      <c r="AL226" s="164" t="str">
        <f>IF(AK226&lt;&gt;"n",AK226,IF(AND(AE226=AP7,AE226=AR7,AF226&gt;=AQ7,AF226&lt;=AS7),"r1",IF(AND(AE226&gt;AP7,AE226&lt;AR7),"r1",IF(AND(AE226&gt;AP7,AE226=AR7,AF226&lt;=AS7),"r1",IF(AND(AE226=AP7,AE226&lt;AR7,AF226&gt;=AQ7),"r1","n")))))</f>
        <v>r1</v>
      </c>
    </row>
    <row r="227" spans="26:38" ht="17.100000000000001" hidden="1" customHeight="1">
      <c r="Z227" s="176">
        <f t="shared" si="13"/>
        <v>15.700000000000255</v>
      </c>
      <c r="AA227" s="176">
        <f>IF(TRIM(AG227)="","",IF(INDEX(AZ1:AZ51,AC227)=AG227,INDEX(BA1:BA51,AC227),((AG227-INDEX(AZ1:AZ51,AC227))*(INDEX(BA1:BA51,AC227+1)-INDEX(BA1:BA51,AC227)))/(INDEX(AZ1:AZ51,AC227+1)-INDEX(AZ1:AZ51,AC227))+INDEX(BA1:BA51,AC227)))</f>
        <v>15.700000000000255</v>
      </c>
      <c r="AB227" s="176" t="e">
        <f>IF(TRIM(AG227)="","",IF(INDEX(BD1:BD51,AD227)=AG227,INDEX(BE1:BE51,AD227),((AG227-INDEX(BD1:BD51,AD227))*(INDEX(BE1:BE51,AD227+1)-INDEX(BE1:BE51,AD227)))/(INDEX(BD1:BD51,AD227+1)-INDEX(BD1:BD51,AD227))+INDEX(BE1:BE51,AD227)))</f>
        <v>#N/A</v>
      </c>
      <c r="AC227" s="164">
        <f>MATCH(AG227,AZ1:AZ51,1)</f>
        <v>6</v>
      </c>
      <c r="AD227" s="164" t="e">
        <f>MATCH(AG227,BD1:BD51,1)</f>
        <v>#N/A</v>
      </c>
      <c r="AE227" s="164">
        <v>8</v>
      </c>
      <c r="AF227" s="164">
        <v>12</v>
      </c>
      <c r="AG227" s="179">
        <f>FIXED('HourGH-NOV'!AB23)*1</f>
        <v>338.26</v>
      </c>
      <c r="AH227" s="164" t="str">
        <f>IF(AND(AE227=AP5,AE227=AR5,AF227&gt;=AQ5,AF227&lt;=AS5),"r1",IF(AND(AE227&gt;AP5,AE227&lt;AR5),"r1",IF(AND(AE227&gt;AP5,AE227=AR5,AF227&lt;=AS5),"r1",IF(AND(AE227=AP5,AE227&lt;AR5,AF227&gt;=AQ5),"r1","n"))))</f>
        <v>r1</v>
      </c>
      <c r="AI227" s="164" t="str">
        <f>IF(AH227&lt;&gt;"n",AH227,IF(AND(AE227=AT5,AE227=AV5,AF227&gt;=AU5,AF227&lt;=AW5),"r2",IF(AND(AE227&gt;AT5,AE227&lt;AV5),"r2",IF(AND(AE227&gt;AT5,AE227=AV5,AF227&lt;=AW5),"r2",IF(AND(AE227=AT5,AE227&lt;AV5,AF227&gt;=AU5),"r2","n")))))</f>
        <v>r1</v>
      </c>
      <c r="AJ227" s="164" t="str">
        <f>IF(AI227&lt;&gt;"n",AI227,IF(AND(AE227=AP6,AE227=AR6,AF227&gt;=AQ6,AF227&lt;=AS6),"r1",IF(AND(AE227&gt;AP6,AE227&lt;AR6),"r1",IF(AND(AE227&gt;AP6,AE227=AR6,AF227&lt;=AS6),"r1",IF(AND(AE227=AP6,AE227&lt;AR6,AF227&gt;=AQ6),"r1","n")))))</f>
        <v>r1</v>
      </c>
      <c r="AK227" s="164" t="str">
        <f>IF(AJ227&lt;&gt;"n",AJ227,IF(AND(AE227=AT6,AE227=AV6,AF227&gt;=AU6,AF227&lt;=AW6),"r2",IF(AND(AE227&gt;AT6,AE227&lt;AV6),"r2",IF(AND(AE227&gt;AT6,AE227=AV6,AF227&lt;=AW6),"r2",IF(AND(AE227=AT6,AE227&lt;AV6,AF227&gt;=AU6),"r2","n")))))</f>
        <v>r1</v>
      </c>
      <c r="AL227" s="164" t="str">
        <f>IF(AK227&lt;&gt;"n",AK227,IF(AND(AE227=AP7,AE227=AR7,AF227&gt;=AQ7,AF227&lt;=AS7),"r1",IF(AND(AE227&gt;AP7,AE227&lt;AR7),"r1",IF(AND(AE227&gt;AP7,AE227=AR7,AF227&lt;=AS7),"r1",IF(AND(AE227=AP7,AE227&lt;AR7,AF227&gt;=AQ7),"r1","n")))))</f>
        <v>r1</v>
      </c>
    </row>
    <row r="228" spans="26:38" ht="17.100000000000001" hidden="1" customHeight="1">
      <c r="Z228" s="176">
        <f t="shared" si="13"/>
        <v>14.800000000001024</v>
      </c>
      <c r="AA228" s="176">
        <f>IF(TRIM(AG228)="","",IF(INDEX(AZ1:AZ51,AC228)=AG228,INDEX(BA1:BA51,AC228),((AG228-INDEX(AZ1:AZ51,AC228))*(INDEX(BA1:BA51,AC228+1)-INDEX(BA1:BA51,AC228)))/(INDEX(AZ1:AZ51,AC228+1)-INDEX(AZ1:AZ51,AC228))+INDEX(BA1:BA51,AC228)))</f>
        <v>14.800000000001024</v>
      </c>
      <c r="AB228" s="176" t="e">
        <f>IF(TRIM(AG228)="","",IF(INDEX(BD1:BD51,AD228)=AG228,INDEX(BE1:BE51,AD228),((AG228-INDEX(BD1:BD51,AD228))*(INDEX(BE1:BE51,AD228+1)-INDEX(BE1:BE51,AD228)))/(INDEX(BD1:BD51,AD228+1)-INDEX(BD1:BD51,AD228))+INDEX(BE1:BE51,AD228)))</f>
        <v>#N/A</v>
      </c>
      <c r="AC228" s="164">
        <f>MATCH(AG228,AZ1:AZ51,1)</f>
        <v>6</v>
      </c>
      <c r="AD228" s="164" t="e">
        <f>MATCH(AG228,BD1:BD51,1)</f>
        <v>#N/A</v>
      </c>
      <c r="AE228" s="164">
        <v>8</v>
      </c>
      <c r="AF228" s="164">
        <v>13</v>
      </c>
      <c r="AG228" s="179">
        <f>FIXED('HourGH-NOV'!AB24)*1</f>
        <v>338.24</v>
      </c>
      <c r="AH228" s="164" t="str">
        <f>IF(AND(AE228=AP5,AE228=AR5,AF228&gt;=AQ5,AF228&lt;=AS5),"r1",IF(AND(AE228&gt;AP5,AE228&lt;AR5),"r1",IF(AND(AE228&gt;AP5,AE228=AR5,AF228&lt;=AS5),"r1",IF(AND(AE228=AP5,AE228&lt;AR5,AF228&gt;=AQ5),"r1","n"))))</f>
        <v>r1</v>
      </c>
      <c r="AI228" s="164" t="str">
        <f>IF(AH228&lt;&gt;"n",AH228,IF(AND(AE228=AT5,AE228=AV5,AF228&gt;=AU5,AF228&lt;=AW5),"r2",IF(AND(AE228&gt;AT5,AE228&lt;AV5),"r2",IF(AND(AE228&gt;AT5,AE228=AV5,AF228&lt;=AW5),"r2",IF(AND(AE228=AT5,AE228&lt;AV5,AF228&gt;=AU5),"r2","n")))))</f>
        <v>r1</v>
      </c>
      <c r="AJ228" s="164" t="str">
        <f>IF(AI228&lt;&gt;"n",AI228,IF(AND(AE228=AP6,AE228=AR6,AF228&gt;=AQ6,AF228&lt;=AS6),"r1",IF(AND(AE228&gt;AP6,AE228&lt;AR6),"r1",IF(AND(AE228&gt;AP6,AE228=AR6,AF228&lt;=AS6),"r1",IF(AND(AE228=AP6,AE228&lt;AR6,AF228&gt;=AQ6),"r1","n")))))</f>
        <v>r1</v>
      </c>
      <c r="AK228" s="164" t="str">
        <f>IF(AJ228&lt;&gt;"n",AJ228,IF(AND(AE228=AT6,AE228=AV6,AF228&gt;=AU6,AF228&lt;=AW6),"r2",IF(AND(AE228&gt;AT6,AE228&lt;AV6),"r2",IF(AND(AE228&gt;AT6,AE228=AV6,AF228&lt;=AW6),"r2",IF(AND(AE228=AT6,AE228&lt;AV6,AF228&gt;=AU6),"r2","n")))))</f>
        <v>r1</v>
      </c>
      <c r="AL228" s="164" t="str">
        <f>IF(AK228&lt;&gt;"n",AK228,IF(AND(AE228=AP7,AE228=AR7,AF228&gt;=AQ7,AF228&lt;=AS7),"r1",IF(AND(AE228&gt;AP7,AE228&lt;AR7),"r1",IF(AND(AE228&gt;AP7,AE228=AR7,AF228&lt;=AS7),"r1",IF(AND(AE228=AP7,AE228&lt;AR7,AF228&gt;=AQ7),"r1","n")))))</f>
        <v>r1</v>
      </c>
    </row>
    <row r="229" spans="26:38" ht="17.100000000000001" hidden="1" customHeight="1">
      <c r="Z229" s="176">
        <f t="shared" si="13"/>
        <v>15.700000000000255</v>
      </c>
      <c r="AA229" s="176">
        <f>IF(TRIM(AG229)="","",IF(INDEX(AZ1:AZ51,AC229)=AG229,INDEX(BA1:BA51,AC229),((AG229-INDEX(AZ1:AZ51,AC229))*(INDEX(BA1:BA51,AC229+1)-INDEX(BA1:BA51,AC229)))/(INDEX(AZ1:AZ51,AC229+1)-INDEX(AZ1:AZ51,AC229))+INDEX(BA1:BA51,AC229)))</f>
        <v>15.700000000000255</v>
      </c>
      <c r="AB229" s="176" t="e">
        <f>IF(TRIM(AG229)="","",IF(INDEX(BD1:BD51,AD229)=AG229,INDEX(BE1:BE51,AD229),((AG229-INDEX(BD1:BD51,AD229))*(INDEX(BE1:BE51,AD229+1)-INDEX(BE1:BE51,AD229)))/(INDEX(BD1:BD51,AD229+1)-INDEX(BD1:BD51,AD229))+INDEX(BE1:BE51,AD229)))</f>
        <v>#N/A</v>
      </c>
      <c r="AC229" s="164">
        <f>MATCH(AG229,AZ1:AZ51,1)</f>
        <v>6</v>
      </c>
      <c r="AD229" s="164" t="e">
        <f>MATCH(AG229,BD1:BD51,1)</f>
        <v>#N/A</v>
      </c>
      <c r="AE229" s="164">
        <v>8</v>
      </c>
      <c r="AF229" s="164">
        <v>14</v>
      </c>
      <c r="AG229" s="179">
        <f>FIXED('HourGH-NOV'!AB25)*1</f>
        <v>338.26</v>
      </c>
      <c r="AH229" s="164" t="str">
        <f>IF(AND(AE229=AP5,AE229=AR5,AF229&gt;=AQ5,AF229&lt;=AS5),"r1",IF(AND(AE229&gt;AP5,AE229&lt;AR5),"r1",IF(AND(AE229&gt;AP5,AE229=AR5,AF229&lt;=AS5),"r1",IF(AND(AE229=AP5,AE229&lt;AR5,AF229&gt;=AQ5),"r1","n"))))</f>
        <v>r1</v>
      </c>
      <c r="AI229" s="164" t="str">
        <f>IF(AH229&lt;&gt;"n",AH229,IF(AND(AE229=AT5,AE229=AV5,AF229&gt;=AU5,AF229&lt;=AW5),"r2",IF(AND(AE229&gt;AT5,AE229&lt;AV5),"r2",IF(AND(AE229&gt;AT5,AE229=AV5,AF229&lt;=AW5),"r2",IF(AND(AE229=AT5,AE229&lt;AV5,AF229&gt;=AU5),"r2","n")))))</f>
        <v>r1</v>
      </c>
      <c r="AJ229" s="164" t="str">
        <f>IF(AI229&lt;&gt;"n",AI229,IF(AND(AE229=AP6,AE229=AR6,AF229&gt;=AQ6,AF229&lt;=AS6),"r1",IF(AND(AE229&gt;AP6,AE229&lt;AR6),"r1",IF(AND(AE229&gt;AP6,AE229=AR6,AF229&lt;=AS6),"r1",IF(AND(AE229=AP6,AE229&lt;AR6,AF229&gt;=AQ6),"r1","n")))))</f>
        <v>r1</v>
      </c>
      <c r="AK229" s="164" t="str">
        <f>IF(AJ229&lt;&gt;"n",AJ229,IF(AND(AE229=AT6,AE229=AV6,AF229&gt;=AU6,AF229&lt;=AW6),"r2",IF(AND(AE229&gt;AT6,AE229&lt;AV6),"r2",IF(AND(AE229&gt;AT6,AE229=AV6,AF229&lt;=AW6),"r2",IF(AND(AE229=AT6,AE229&lt;AV6,AF229&gt;=AU6),"r2","n")))))</f>
        <v>r1</v>
      </c>
      <c r="AL229" s="164" t="str">
        <f>IF(AK229&lt;&gt;"n",AK229,IF(AND(AE229=AP7,AE229=AR7,AF229&gt;=AQ7,AF229&lt;=AS7),"r1",IF(AND(AE229&gt;AP7,AE229&lt;AR7),"r1",IF(AND(AE229&gt;AP7,AE229=AR7,AF229&lt;=AS7),"r1",IF(AND(AE229=AP7,AE229&lt;AR7,AF229&gt;=AQ7),"r1","n")))))</f>
        <v>r1</v>
      </c>
    </row>
    <row r="230" spans="26:38" ht="17.100000000000001" hidden="1" customHeight="1">
      <c r="Z230" s="176">
        <f t="shared" si="13"/>
        <v>23.50000000000135</v>
      </c>
      <c r="AA230" s="176">
        <f>IF(TRIM(AG230)="","",IF(INDEX(AZ1:AZ51,AC230)=AG230,INDEX(BA1:BA51,AC230),((AG230-INDEX(AZ1:AZ51,AC230))*(INDEX(BA1:BA51,AC230+1)-INDEX(BA1:BA51,AC230)))/(INDEX(AZ1:AZ51,AC230+1)-INDEX(AZ1:AZ51,AC230))+INDEX(BA1:BA51,AC230)))</f>
        <v>23.50000000000135</v>
      </c>
      <c r="AB230" s="176" t="e">
        <f>IF(TRIM(AG230)="","",IF(INDEX(BD1:BD51,AD230)=AG230,INDEX(BE1:BE51,AD230),((AG230-INDEX(BD1:BD51,AD230))*(INDEX(BE1:BE51,AD230+1)-INDEX(BE1:BE51,AD230)))/(INDEX(BD1:BD51,AD230+1)-INDEX(BD1:BD51,AD230))+INDEX(BE1:BE51,AD230)))</f>
        <v>#N/A</v>
      </c>
      <c r="AC230" s="164">
        <f>MATCH(AG230,AZ1:AZ51,1)</f>
        <v>7</v>
      </c>
      <c r="AD230" s="164" t="e">
        <f>MATCH(AG230,BD1:BD51,1)</f>
        <v>#N/A</v>
      </c>
      <c r="AE230" s="164">
        <v>8</v>
      </c>
      <c r="AF230" s="164">
        <v>15</v>
      </c>
      <c r="AG230" s="179">
        <f>FIXED('HourGH-NOV'!AB26)*1</f>
        <v>338.43</v>
      </c>
      <c r="AH230" s="164" t="str">
        <f>IF(AND(AE230=AP5,AE230=AR5,AF230&gt;=AQ5,AF230&lt;=AS5),"r1",IF(AND(AE230&gt;AP5,AE230&lt;AR5),"r1",IF(AND(AE230&gt;AP5,AE230=AR5,AF230&lt;=AS5),"r1",IF(AND(AE230=AP5,AE230&lt;AR5,AF230&gt;=AQ5),"r1","n"))))</f>
        <v>r1</v>
      </c>
      <c r="AI230" s="164" t="str">
        <f>IF(AH230&lt;&gt;"n",AH230,IF(AND(AE230=AT5,AE230=AV5,AF230&gt;=AU5,AF230&lt;=AW5),"r2",IF(AND(AE230&gt;AT5,AE230&lt;AV5),"r2",IF(AND(AE230&gt;AT5,AE230=AV5,AF230&lt;=AW5),"r2",IF(AND(AE230=AT5,AE230&lt;AV5,AF230&gt;=AU5),"r2","n")))))</f>
        <v>r1</v>
      </c>
      <c r="AJ230" s="164" t="str">
        <f>IF(AI230&lt;&gt;"n",AI230,IF(AND(AE230=AP6,AE230=AR6,AF230&gt;=AQ6,AF230&lt;=AS6),"r1",IF(AND(AE230&gt;AP6,AE230&lt;AR6),"r1",IF(AND(AE230&gt;AP6,AE230=AR6,AF230&lt;=AS6),"r1",IF(AND(AE230=AP6,AE230&lt;AR6,AF230&gt;=AQ6),"r1","n")))))</f>
        <v>r1</v>
      </c>
      <c r="AK230" s="164" t="str">
        <f>IF(AJ230&lt;&gt;"n",AJ230,IF(AND(AE230=AT6,AE230=AV6,AF230&gt;=AU6,AF230&lt;=AW6),"r2",IF(AND(AE230&gt;AT6,AE230&lt;AV6),"r2",IF(AND(AE230&gt;AT6,AE230=AV6,AF230&lt;=AW6),"r2",IF(AND(AE230=AT6,AE230&lt;AV6,AF230&gt;=AU6),"r2","n")))))</f>
        <v>r1</v>
      </c>
      <c r="AL230" s="164" t="str">
        <f>IF(AK230&lt;&gt;"n",AK230,IF(AND(AE230=AP7,AE230=AR7,AF230&gt;=AQ7,AF230&lt;=AS7),"r1",IF(AND(AE230&gt;AP7,AE230&lt;AR7),"r1",IF(AND(AE230&gt;AP7,AE230=AR7,AF230&lt;=AS7),"r1",IF(AND(AE230=AP7,AE230&lt;AR7,AF230&gt;=AQ7),"r1","n")))))</f>
        <v>r1</v>
      </c>
    </row>
    <row r="231" spans="26:38" ht="17.100000000000001" hidden="1" customHeight="1">
      <c r="Z231" s="176">
        <f t="shared" si="13"/>
        <v>16.59999999999949</v>
      </c>
      <c r="AA231" s="176">
        <f>IF(TRIM(AG231)="","",IF(INDEX(AZ1:AZ51,AC231)=AG231,INDEX(BA1:BA51,AC231),((AG231-INDEX(AZ1:AZ51,AC231))*(INDEX(BA1:BA51,AC231+1)-INDEX(BA1:BA51,AC231)))/(INDEX(AZ1:AZ51,AC231+1)-INDEX(AZ1:AZ51,AC231))+INDEX(BA1:BA51,AC231)))</f>
        <v>16.59999999999949</v>
      </c>
      <c r="AB231" s="176" t="e">
        <f>IF(TRIM(AG231)="","",IF(INDEX(BD1:BD51,AD231)=AG231,INDEX(BE1:BE51,AD231),((AG231-INDEX(BD1:BD51,AD231))*(INDEX(BE1:BE51,AD231+1)-INDEX(BE1:BE51,AD231)))/(INDEX(BD1:BD51,AD231+1)-INDEX(BD1:BD51,AD231))+INDEX(BE1:BE51,AD231)))</f>
        <v>#N/A</v>
      </c>
      <c r="AC231" s="164">
        <f>MATCH(AG231,AZ1:AZ51,1)</f>
        <v>6</v>
      </c>
      <c r="AD231" s="164" t="e">
        <f>MATCH(AG231,BD1:BD51,1)</f>
        <v>#N/A</v>
      </c>
      <c r="AE231" s="164">
        <v>8</v>
      </c>
      <c r="AF231" s="164">
        <v>16</v>
      </c>
      <c r="AG231" s="179">
        <f>FIXED('HourGH-NOV'!AB27)*1</f>
        <v>338.28</v>
      </c>
      <c r="AH231" s="164" t="str">
        <f>IF(AND(AE231=AP5,AE231=AR5,AF231&gt;=AQ5,AF231&lt;=AS5),"r1",IF(AND(AE231&gt;AP5,AE231&lt;AR5),"r1",IF(AND(AE231&gt;AP5,AE231=AR5,AF231&lt;=AS5),"r1",IF(AND(AE231=AP5,AE231&lt;AR5,AF231&gt;=AQ5),"r1","n"))))</f>
        <v>r1</v>
      </c>
      <c r="AI231" s="164" t="str">
        <f>IF(AH231&lt;&gt;"n",AH231,IF(AND(AE231=AT5,AE231=AV5,AF231&gt;=AU5,AF231&lt;=AW5),"r2",IF(AND(AE231&gt;AT5,AE231&lt;AV5),"r2",IF(AND(AE231&gt;AT5,AE231=AV5,AF231&lt;=AW5),"r2",IF(AND(AE231=AT5,AE231&lt;AV5,AF231&gt;=AU5),"r2","n")))))</f>
        <v>r1</v>
      </c>
      <c r="AJ231" s="164" t="str">
        <f>IF(AI231&lt;&gt;"n",AI231,IF(AND(AE231=AP6,AE231=AR6,AF231&gt;=AQ6,AF231&lt;=AS6),"r1",IF(AND(AE231&gt;AP6,AE231&lt;AR6),"r1",IF(AND(AE231&gt;AP6,AE231=AR6,AF231&lt;=AS6),"r1",IF(AND(AE231=AP6,AE231&lt;AR6,AF231&gt;=AQ6),"r1","n")))))</f>
        <v>r1</v>
      </c>
      <c r="AK231" s="164" t="str">
        <f>IF(AJ231&lt;&gt;"n",AJ231,IF(AND(AE231=AT6,AE231=AV6,AF231&gt;=AU6,AF231&lt;=AW6),"r2",IF(AND(AE231&gt;AT6,AE231&lt;AV6),"r2",IF(AND(AE231&gt;AT6,AE231=AV6,AF231&lt;=AW6),"r2",IF(AND(AE231=AT6,AE231&lt;AV6,AF231&gt;=AU6),"r2","n")))))</f>
        <v>r1</v>
      </c>
      <c r="AL231" s="164" t="str">
        <f>IF(AK231&lt;&gt;"n",AK231,IF(AND(AE231=AP7,AE231=AR7,AF231&gt;=AQ7,AF231&lt;=AS7),"r1",IF(AND(AE231&gt;AP7,AE231&lt;AR7),"r1",IF(AND(AE231&gt;AP7,AE231=AR7,AF231&lt;=AS7),"r1",IF(AND(AE231=AP7,AE231&lt;AR7,AF231&gt;=AQ7),"r1","n")))))</f>
        <v>r1</v>
      </c>
    </row>
    <row r="232" spans="26:38" ht="17.100000000000001" hidden="1" customHeight="1">
      <c r="Z232" s="176">
        <f t="shared" si="13"/>
        <v>15.700000000000255</v>
      </c>
      <c r="AA232" s="176">
        <f>IF(TRIM(AG232)="","",IF(INDEX(AZ1:AZ51,AC232)=AG232,INDEX(BA1:BA51,AC232),((AG232-INDEX(AZ1:AZ51,AC232))*(INDEX(BA1:BA51,AC232+1)-INDEX(BA1:BA51,AC232)))/(INDEX(AZ1:AZ51,AC232+1)-INDEX(AZ1:AZ51,AC232))+INDEX(BA1:BA51,AC232)))</f>
        <v>15.700000000000255</v>
      </c>
      <c r="AB232" s="176" t="e">
        <f>IF(TRIM(AG232)="","",IF(INDEX(BD1:BD51,AD232)=AG232,INDEX(BE1:BE51,AD232),((AG232-INDEX(BD1:BD51,AD232))*(INDEX(BE1:BE51,AD232+1)-INDEX(BE1:BE51,AD232)))/(INDEX(BD1:BD51,AD232+1)-INDEX(BD1:BD51,AD232))+INDEX(BE1:BE51,AD232)))</f>
        <v>#N/A</v>
      </c>
      <c r="AC232" s="164">
        <f>MATCH(AG232,AZ1:AZ51,1)</f>
        <v>6</v>
      </c>
      <c r="AD232" s="164" t="e">
        <f>MATCH(AG232,BD1:BD51,1)</f>
        <v>#N/A</v>
      </c>
      <c r="AE232" s="164">
        <v>8</v>
      </c>
      <c r="AF232" s="164">
        <v>17</v>
      </c>
      <c r="AG232" s="179">
        <f>FIXED('HourGH-NOV'!AB28)*1</f>
        <v>338.26</v>
      </c>
      <c r="AH232" s="164" t="str">
        <f>IF(AND(AE232=AP5,AE232=AR5,AF232&gt;=AQ5,AF232&lt;=AS5),"r1",IF(AND(AE232&gt;AP5,AE232&lt;AR5),"r1",IF(AND(AE232&gt;AP5,AE232=AR5,AF232&lt;=AS5),"r1",IF(AND(AE232=AP5,AE232&lt;AR5,AF232&gt;=AQ5),"r1","n"))))</f>
        <v>r1</v>
      </c>
      <c r="AI232" s="164" t="str">
        <f>IF(AH232&lt;&gt;"n",AH232,IF(AND(AE232=AT5,AE232=AV5,AF232&gt;=AU5,AF232&lt;=AW5),"r2",IF(AND(AE232&gt;AT5,AE232&lt;AV5),"r2",IF(AND(AE232&gt;AT5,AE232=AV5,AF232&lt;=AW5),"r2",IF(AND(AE232=AT5,AE232&lt;AV5,AF232&gt;=AU5),"r2","n")))))</f>
        <v>r1</v>
      </c>
      <c r="AJ232" s="164" t="str">
        <f>IF(AI232&lt;&gt;"n",AI232,IF(AND(AE232=AP6,AE232=AR6,AF232&gt;=AQ6,AF232&lt;=AS6),"r1",IF(AND(AE232&gt;AP6,AE232&lt;AR6),"r1",IF(AND(AE232&gt;AP6,AE232=AR6,AF232&lt;=AS6),"r1",IF(AND(AE232=AP6,AE232&lt;AR6,AF232&gt;=AQ6),"r1","n")))))</f>
        <v>r1</v>
      </c>
      <c r="AK232" s="164" t="str">
        <f>IF(AJ232&lt;&gt;"n",AJ232,IF(AND(AE232=AT6,AE232=AV6,AF232&gt;=AU6,AF232&lt;=AW6),"r2",IF(AND(AE232&gt;AT6,AE232&lt;AV6),"r2",IF(AND(AE232&gt;AT6,AE232=AV6,AF232&lt;=AW6),"r2",IF(AND(AE232=AT6,AE232&lt;AV6,AF232&gt;=AU6),"r2","n")))))</f>
        <v>r1</v>
      </c>
      <c r="AL232" s="164" t="str">
        <f>IF(AK232&lt;&gt;"n",AK232,IF(AND(AE232=AP7,AE232=AR7,AF232&gt;=AQ7,AF232&lt;=AS7),"r1",IF(AND(AE232&gt;AP7,AE232&lt;AR7),"r1",IF(AND(AE232&gt;AP7,AE232=AR7,AF232&lt;=AS7),"r1",IF(AND(AE232=AP7,AE232&lt;AR7,AF232&gt;=AQ7),"r1","n")))))</f>
        <v>r1</v>
      </c>
    </row>
    <row r="233" spans="26:38" ht="17.100000000000001" hidden="1" customHeight="1">
      <c r="Z233" s="176">
        <f t="shared" si="13"/>
        <v>16.149999999999871</v>
      </c>
      <c r="AA233" s="176">
        <f>IF(TRIM(AG233)="","",IF(INDEX(AZ1:AZ51,AC233)=AG233,INDEX(BA1:BA51,AC233),((AG233-INDEX(AZ1:AZ51,AC233))*(INDEX(BA1:BA51,AC233+1)-INDEX(BA1:BA51,AC233)))/(INDEX(AZ1:AZ51,AC233+1)-INDEX(AZ1:AZ51,AC233))+INDEX(BA1:BA51,AC233)))</f>
        <v>16.149999999999871</v>
      </c>
      <c r="AB233" s="176" t="e">
        <f>IF(TRIM(AG233)="","",IF(INDEX(BD1:BD51,AD233)=AG233,INDEX(BE1:BE51,AD233),((AG233-INDEX(BD1:BD51,AD233))*(INDEX(BE1:BE51,AD233+1)-INDEX(BE1:BE51,AD233)))/(INDEX(BD1:BD51,AD233+1)-INDEX(BD1:BD51,AD233))+INDEX(BE1:BE51,AD233)))</f>
        <v>#N/A</v>
      </c>
      <c r="AC233" s="164">
        <f>MATCH(AG233,AZ1:AZ51,1)</f>
        <v>6</v>
      </c>
      <c r="AD233" s="164" t="e">
        <f>MATCH(AG233,BD1:BD51,1)</f>
        <v>#N/A</v>
      </c>
      <c r="AE233" s="164">
        <v>8</v>
      </c>
      <c r="AF233" s="164">
        <v>18</v>
      </c>
      <c r="AG233" s="179">
        <f>FIXED('HourGH-NOV'!AB29)*1</f>
        <v>338.27</v>
      </c>
      <c r="AH233" s="164" t="str">
        <f>IF(AND(AE233=AP5,AE233=AR5,AF233&gt;=AQ5,AF233&lt;=AS5),"r1",IF(AND(AE233&gt;AP5,AE233&lt;AR5),"r1",IF(AND(AE233&gt;AP5,AE233=AR5,AF233&lt;=AS5),"r1",IF(AND(AE233=AP5,AE233&lt;AR5,AF233&gt;=AQ5),"r1","n"))))</f>
        <v>r1</v>
      </c>
      <c r="AI233" s="164" t="str">
        <f>IF(AH233&lt;&gt;"n",AH233,IF(AND(AE233=AT5,AE233=AV5,AF233&gt;=AU5,AF233&lt;=AW5),"r2",IF(AND(AE233&gt;AT5,AE233&lt;AV5),"r2",IF(AND(AE233&gt;AT5,AE233=AV5,AF233&lt;=AW5),"r2",IF(AND(AE233=AT5,AE233&lt;AV5,AF233&gt;=AU5),"r2","n")))))</f>
        <v>r1</v>
      </c>
      <c r="AJ233" s="164" t="str">
        <f>IF(AI233&lt;&gt;"n",AI233,IF(AND(AE233=AP6,AE233=AR6,AF233&gt;=AQ6,AF233&lt;=AS6),"r1",IF(AND(AE233&gt;AP6,AE233&lt;AR6),"r1",IF(AND(AE233&gt;AP6,AE233=AR6,AF233&lt;=AS6),"r1",IF(AND(AE233=AP6,AE233&lt;AR6,AF233&gt;=AQ6),"r1","n")))))</f>
        <v>r1</v>
      </c>
      <c r="AK233" s="164" t="str">
        <f>IF(AJ233&lt;&gt;"n",AJ233,IF(AND(AE233=AT6,AE233=AV6,AF233&gt;=AU6,AF233&lt;=AW6),"r2",IF(AND(AE233&gt;AT6,AE233&lt;AV6),"r2",IF(AND(AE233&gt;AT6,AE233=AV6,AF233&lt;=AW6),"r2",IF(AND(AE233=AT6,AE233&lt;AV6,AF233&gt;=AU6),"r2","n")))))</f>
        <v>r1</v>
      </c>
      <c r="AL233" s="164" t="str">
        <f>IF(AK233&lt;&gt;"n",AK233,IF(AND(AE233=AP7,AE233=AR7,AF233&gt;=AQ7,AF233&lt;=AS7),"r1",IF(AND(AE233&gt;AP7,AE233&lt;AR7),"r1",IF(AND(AE233&gt;AP7,AE233=AR7,AF233&lt;=AS7),"r1",IF(AND(AE233=AP7,AE233&lt;AR7,AF233&gt;=AQ7),"r1","n")))))</f>
        <v>r1</v>
      </c>
    </row>
    <row r="234" spans="26:38" ht="17.100000000000001" hidden="1" customHeight="1">
      <c r="Z234" s="176">
        <f t="shared" si="13"/>
        <v>19.299999999999745</v>
      </c>
      <c r="AA234" s="176">
        <f>IF(TRIM(AG234)="","",IF(INDEX(AZ1:AZ51,AC234)=AG234,INDEX(BA1:BA51,AC234),((AG234-INDEX(AZ1:AZ51,AC234))*(INDEX(BA1:BA51,AC234+1)-INDEX(BA1:BA51,AC234)))/(INDEX(AZ1:AZ51,AC234+1)-INDEX(AZ1:AZ51,AC234))+INDEX(BA1:BA51,AC234)))</f>
        <v>19.299999999999745</v>
      </c>
      <c r="AB234" s="176" t="e">
        <f>IF(TRIM(AG234)="","",IF(INDEX(BD1:BD51,AD234)=AG234,INDEX(BE1:BE51,AD234),((AG234-INDEX(BD1:BD51,AD234))*(INDEX(BE1:BE51,AD234+1)-INDEX(BE1:BE51,AD234)))/(INDEX(BD1:BD51,AD234+1)-INDEX(BD1:BD51,AD234))+INDEX(BE1:BE51,AD234)))</f>
        <v>#N/A</v>
      </c>
      <c r="AC234" s="164">
        <f>MATCH(AG234,AZ1:AZ51,1)</f>
        <v>6</v>
      </c>
      <c r="AD234" s="164" t="e">
        <f>MATCH(AG234,BD1:BD51,1)</f>
        <v>#N/A</v>
      </c>
      <c r="AE234" s="164">
        <v>8</v>
      </c>
      <c r="AF234" s="164">
        <v>19</v>
      </c>
      <c r="AG234" s="179">
        <f>FIXED('HourGH-NOV'!AB30)*1</f>
        <v>338.34</v>
      </c>
      <c r="AH234" s="164" t="str">
        <f>IF(AND(AE234=AP5,AE234=AR5,AF234&gt;=AQ5,AF234&lt;=AS5),"r1",IF(AND(AE234&gt;AP5,AE234&lt;AR5),"r1",IF(AND(AE234&gt;AP5,AE234=AR5,AF234&lt;=AS5),"r1",IF(AND(AE234=AP5,AE234&lt;AR5,AF234&gt;=AQ5),"r1","n"))))</f>
        <v>r1</v>
      </c>
      <c r="AI234" s="164" t="str">
        <f>IF(AH234&lt;&gt;"n",AH234,IF(AND(AE234=AT5,AE234=AV5,AF234&gt;=AU5,AF234&lt;=AW5),"r2",IF(AND(AE234&gt;AT5,AE234&lt;AV5),"r2",IF(AND(AE234&gt;AT5,AE234=AV5,AF234&lt;=AW5),"r2",IF(AND(AE234=AT5,AE234&lt;AV5,AF234&gt;=AU5),"r2","n")))))</f>
        <v>r1</v>
      </c>
      <c r="AJ234" s="164" t="str">
        <f>IF(AI234&lt;&gt;"n",AI234,IF(AND(AE234=AP6,AE234=AR6,AF234&gt;=AQ6,AF234&lt;=AS6),"r1",IF(AND(AE234&gt;AP6,AE234&lt;AR6),"r1",IF(AND(AE234&gt;AP6,AE234=AR6,AF234&lt;=AS6),"r1",IF(AND(AE234=AP6,AE234&lt;AR6,AF234&gt;=AQ6),"r1","n")))))</f>
        <v>r1</v>
      </c>
      <c r="AK234" s="164" t="str">
        <f>IF(AJ234&lt;&gt;"n",AJ234,IF(AND(AE234=AT6,AE234=AV6,AF234&gt;=AU6,AF234&lt;=AW6),"r2",IF(AND(AE234&gt;AT6,AE234&lt;AV6),"r2",IF(AND(AE234&gt;AT6,AE234=AV6,AF234&lt;=AW6),"r2",IF(AND(AE234=AT6,AE234&lt;AV6,AF234&gt;=AU6),"r2","n")))))</f>
        <v>r1</v>
      </c>
      <c r="AL234" s="164" t="str">
        <f>IF(AK234&lt;&gt;"n",AK234,IF(AND(AE234=AP7,AE234=AR7,AF234&gt;=AQ7,AF234&lt;=AS7),"r1",IF(AND(AE234&gt;AP7,AE234&lt;AR7),"r1",IF(AND(AE234&gt;AP7,AE234=AR7,AF234&lt;=AS7),"r1",IF(AND(AE234=AP7,AE234&lt;AR7,AF234&gt;=AQ7),"r1","n")))))</f>
        <v>r1</v>
      </c>
    </row>
    <row r="235" spans="26:38" ht="17.100000000000001" hidden="1" customHeight="1">
      <c r="Z235" s="176">
        <f t="shared" si="13"/>
        <v>24.999999999999858</v>
      </c>
      <c r="AA235" s="176">
        <f>IF(TRIM(AG235)="","",IF(INDEX(AZ1:AZ51,AC235)=AG235,INDEX(BA1:BA51,AC235),((AG235-INDEX(AZ1:AZ51,AC235))*(INDEX(BA1:BA51,AC235+1)-INDEX(BA1:BA51,AC235)))/(INDEX(AZ1:AZ51,AC235+1)-INDEX(AZ1:AZ51,AC235))+INDEX(BA1:BA51,AC235)))</f>
        <v>24.999999999999858</v>
      </c>
      <c r="AB235" s="176" t="e">
        <f>IF(TRIM(AG235)="","",IF(INDEX(BD1:BD51,AD235)=AG235,INDEX(BE1:BE51,AD235),((AG235-INDEX(BD1:BD51,AD235))*(INDEX(BE1:BE51,AD235+1)-INDEX(BE1:BE51,AD235)))/(INDEX(BD1:BD51,AD235+1)-INDEX(BD1:BD51,AD235))+INDEX(BE1:BE51,AD235)))</f>
        <v>#N/A</v>
      </c>
      <c r="AC235" s="164">
        <f>MATCH(AG235,AZ1:AZ51,1)</f>
        <v>7</v>
      </c>
      <c r="AD235" s="164" t="e">
        <f>MATCH(AG235,BD1:BD51,1)</f>
        <v>#N/A</v>
      </c>
      <c r="AE235" s="164">
        <v>8</v>
      </c>
      <c r="AF235" s="164">
        <v>20</v>
      </c>
      <c r="AG235" s="179">
        <f>FIXED('HourGH-NOV'!AB31)*1</f>
        <v>338.46</v>
      </c>
      <c r="AH235" s="164" t="str">
        <f>IF(AND(AE235=AP5,AE235=AR5,AF235&gt;=AQ5,AF235&lt;=AS5),"r1",IF(AND(AE235&gt;AP5,AE235&lt;AR5),"r1",IF(AND(AE235&gt;AP5,AE235=AR5,AF235&lt;=AS5),"r1",IF(AND(AE235=AP5,AE235&lt;AR5,AF235&gt;=AQ5),"r1","n"))))</f>
        <v>r1</v>
      </c>
      <c r="AI235" s="164" t="str">
        <f>IF(AH235&lt;&gt;"n",AH235,IF(AND(AE235=AT5,AE235=AV5,AF235&gt;=AU5,AF235&lt;=AW5),"r2",IF(AND(AE235&gt;AT5,AE235&lt;AV5),"r2",IF(AND(AE235&gt;AT5,AE235=AV5,AF235&lt;=AW5),"r2",IF(AND(AE235=AT5,AE235&lt;AV5,AF235&gt;=AU5),"r2","n")))))</f>
        <v>r1</v>
      </c>
      <c r="AJ235" s="164" t="str">
        <f>IF(AI235&lt;&gt;"n",AI235,IF(AND(AE235=AP6,AE235=AR6,AF235&gt;=AQ6,AF235&lt;=AS6),"r1",IF(AND(AE235&gt;AP6,AE235&lt;AR6),"r1",IF(AND(AE235&gt;AP6,AE235=AR6,AF235&lt;=AS6),"r1",IF(AND(AE235=AP6,AE235&lt;AR6,AF235&gt;=AQ6),"r1","n")))))</f>
        <v>r1</v>
      </c>
      <c r="AK235" s="164" t="str">
        <f>IF(AJ235&lt;&gt;"n",AJ235,IF(AND(AE235=AT6,AE235=AV6,AF235&gt;=AU6,AF235&lt;=AW6),"r2",IF(AND(AE235&gt;AT6,AE235&lt;AV6),"r2",IF(AND(AE235&gt;AT6,AE235=AV6,AF235&lt;=AW6),"r2",IF(AND(AE235=AT6,AE235&lt;AV6,AF235&gt;=AU6),"r2","n")))))</f>
        <v>r1</v>
      </c>
      <c r="AL235" s="164" t="str">
        <f>IF(AK235&lt;&gt;"n",AK235,IF(AND(AE235=AP7,AE235=AR7,AF235&gt;=AQ7,AF235&lt;=AS7),"r1",IF(AND(AE235&gt;AP7,AE235&lt;AR7),"r1",IF(AND(AE235&gt;AP7,AE235=AR7,AF235&lt;=AS7),"r1",IF(AND(AE235=AP7,AE235&lt;AR7,AF235&gt;=AQ7),"r1","n")))))</f>
        <v>r1</v>
      </c>
    </row>
    <row r="236" spans="26:38" ht="17.100000000000001" hidden="1" customHeight="1">
      <c r="Z236" s="176">
        <f t="shared" si="13"/>
        <v>19.750000000001918</v>
      </c>
      <c r="AA236" s="176">
        <f>IF(TRIM(AG236)="","",IF(INDEX(AZ1:AZ51,AC236)=AG236,INDEX(BA1:BA51,AC236),((AG236-INDEX(AZ1:AZ51,AC236))*(INDEX(BA1:BA51,AC236+1)-INDEX(BA1:BA51,AC236)))/(INDEX(AZ1:AZ51,AC236+1)-INDEX(AZ1:AZ51,AC236))+INDEX(BA1:BA51,AC236)))</f>
        <v>19.750000000001918</v>
      </c>
      <c r="AB236" s="176" t="e">
        <f>IF(TRIM(AG236)="","",IF(INDEX(BD1:BD51,AD236)=AG236,INDEX(BE1:BE51,AD236),((AG236-INDEX(BD1:BD51,AD236))*(INDEX(BE1:BE51,AD236+1)-INDEX(BE1:BE51,AD236)))/(INDEX(BD1:BD51,AD236+1)-INDEX(BD1:BD51,AD236))+INDEX(BE1:BE51,AD236)))</f>
        <v>#N/A</v>
      </c>
      <c r="AC236" s="164">
        <f>MATCH(AG236,AZ1:AZ51,1)</f>
        <v>6</v>
      </c>
      <c r="AD236" s="164" t="e">
        <f>MATCH(AG236,BD1:BD51,1)</f>
        <v>#N/A</v>
      </c>
      <c r="AE236" s="164">
        <v>8</v>
      </c>
      <c r="AF236" s="164">
        <v>21</v>
      </c>
      <c r="AG236" s="179">
        <f>FIXED('HourGH-NOV'!AB33)*1</f>
        <v>338.35</v>
      </c>
      <c r="AH236" s="164" t="str">
        <f>IF(AND(AE236=AP5,AE236=AR5,AF236&gt;=AQ5,AF236&lt;=AS5),"r1",IF(AND(AE236&gt;AP5,AE236&lt;AR5),"r1",IF(AND(AE236&gt;AP5,AE236=AR5,AF236&lt;=AS5),"r1",IF(AND(AE236=AP5,AE236&lt;AR5,AF236&gt;=AQ5),"r1","n"))))</f>
        <v>r1</v>
      </c>
      <c r="AI236" s="164" t="str">
        <f>IF(AH236&lt;&gt;"n",AH236,IF(AND(AE236=AT5,AE236=AV5,AF236&gt;=AU5,AF236&lt;=AW5),"r2",IF(AND(AE236&gt;AT5,AE236&lt;AV5),"r2",IF(AND(AE236&gt;AT5,AE236=AV5,AF236&lt;=AW5),"r2",IF(AND(AE236=AT5,AE236&lt;AV5,AF236&gt;=AU5),"r2","n")))))</f>
        <v>r1</v>
      </c>
      <c r="AJ236" s="164" t="str">
        <f>IF(AI236&lt;&gt;"n",AI236,IF(AND(AE236=AP6,AE236=AR6,AF236&gt;=AQ6,AF236&lt;=AS6),"r1",IF(AND(AE236&gt;AP6,AE236&lt;AR6),"r1",IF(AND(AE236&gt;AP6,AE236=AR6,AF236&lt;=AS6),"r1",IF(AND(AE236=AP6,AE236&lt;AR6,AF236&gt;=AQ6),"r1","n")))))</f>
        <v>r1</v>
      </c>
      <c r="AK236" s="164" t="str">
        <f>IF(AJ236&lt;&gt;"n",AJ236,IF(AND(AE236=AT6,AE236=AV6,AF236&gt;=AU6,AF236&lt;=AW6),"r2",IF(AND(AE236&gt;AT6,AE236&lt;AV6),"r2",IF(AND(AE236&gt;AT6,AE236=AV6,AF236&lt;=AW6),"r2",IF(AND(AE236=AT6,AE236&lt;AV6,AF236&gt;=AU6),"r2","n")))))</f>
        <v>r1</v>
      </c>
      <c r="AL236" s="164" t="str">
        <f>IF(AK236&lt;&gt;"n",AK236,IF(AND(AE236=AP7,AE236=AR7,AF236&gt;=AQ7,AF236&lt;=AS7),"r1",IF(AND(AE236&gt;AP7,AE236&lt;AR7),"r1",IF(AND(AE236&gt;AP7,AE236=AR7,AF236&lt;=AS7),"r1",IF(AND(AE236=AP7,AE236&lt;AR7,AF236&gt;=AQ7),"r1","n")))))</f>
        <v>r1</v>
      </c>
    </row>
    <row r="237" spans="26:38" ht="17.100000000000001" hidden="1" customHeight="1">
      <c r="Z237" s="176">
        <f t="shared" si="13"/>
        <v>16.59999999999949</v>
      </c>
      <c r="AA237" s="176">
        <f>IF(TRIM(AG237)="","",IF(INDEX(AZ1:AZ51,AC237)=AG237,INDEX(BA1:BA51,AC237),((AG237-INDEX(AZ1:AZ51,AC237))*(INDEX(BA1:BA51,AC237+1)-INDEX(BA1:BA51,AC237)))/(INDEX(AZ1:AZ51,AC237+1)-INDEX(AZ1:AZ51,AC237))+INDEX(BA1:BA51,AC237)))</f>
        <v>16.59999999999949</v>
      </c>
      <c r="AB237" s="176" t="e">
        <f>IF(TRIM(AG237)="","",IF(INDEX(BD1:BD51,AD237)=AG237,INDEX(BE1:BE51,AD237),((AG237-INDEX(BD1:BD51,AD237))*(INDEX(BE1:BE51,AD237+1)-INDEX(BE1:BE51,AD237)))/(INDEX(BD1:BD51,AD237+1)-INDEX(BD1:BD51,AD237))+INDEX(BE1:BE51,AD237)))</f>
        <v>#N/A</v>
      </c>
      <c r="AC237" s="164">
        <f>MATCH(AG237,AZ1:AZ51,1)</f>
        <v>6</v>
      </c>
      <c r="AD237" s="164" t="e">
        <f>MATCH(AG237,BD1:BD51,1)</f>
        <v>#N/A</v>
      </c>
      <c r="AE237" s="164">
        <v>8</v>
      </c>
      <c r="AF237" s="164">
        <v>22</v>
      </c>
      <c r="AG237" s="179">
        <f>FIXED('HourGH-NOV'!AB34)*1</f>
        <v>338.28</v>
      </c>
      <c r="AH237" s="164" t="str">
        <f>IF(AND(AE237=AP5,AE237=AR5,AF237&gt;=AQ5,AF237&lt;=AS5),"r1",IF(AND(AE237&gt;AP5,AE237&lt;AR5),"r1",IF(AND(AE237&gt;AP5,AE237=AR5,AF237&lt;=AS5),"r1",IF(AND(AE237=AP5,AE237&lt;AR5,AF237&gt;=AQ5),"r1","n"))))</f>
        <v>r1</v>
      </c>
      <c r="AI237" s="164" t="str">
        <f>IF(AH237&lt;&gt;"n",AH237,IF(AND(AE237=AT5,AE237=AV5,AF237&gt;=AU5,AF237&lt;=AW5),"r2",IF(AND(AE237&gt;AT5,AE237&lt;AV5),"r2",IF(AND(AE237&gt;AT5,AE237=AV5,AF237&lt;=AW5),"r2",IF(AND(AE237=AT5,AE237&lt;AV5,AF237&gt;=AU5),"r2","n")))))</f>
        <v>r1</v>
      </c>
      <c r="AJ237" s="164" t="str">
        <f>IF(AI237&lt;&gt;"n",AI237,IF(AND(AE237=AP6,AE237=AR6,AF237&gt;=AQ6,AF237&lt;=AS6),"r1",IF(AND(AE237&gt;AP6,AE237&lt;AR6),"r1",IF(AND(AE237&gt;AP6,AE237=AR6,AF237&lt;=AS6),"r1",IF(AND(AE237=AP6,AE237&lt;AR6,AF237&gt;=AQ6),"r1","n")))))</f>
        <v>r1</v>
      </c>
      <c r="AK237" s="164" t="str">
        <f>IF(AJ237&lt;&gt;"n",AJ237,IF(AND(AE237=AT6,AE237=AV6,AF237&gt;=AU6,AF237&lt;=AW6),"r2",IF(AND(AE237&gt;AT6,AE237&lt;AV6),"r2",IF(AND(AE237&gt;AT6,AE237=AV6,AF237&lt;=AW6),"r2",IF(AND(AE237=AT6,AE237&lt;AV6,AF237&gt;=AU6),"r2","n")))))</f>
        <v>r1</v>
      </c>
      <c r="AL237" s="164" t="str">
        <f>IF(AK237&lt;&gt;"n",AK237,IF(AND(AE237=AP7,AE237=AR7,AF237&gt;=AQ7,AF237&lt;=AS7),"r1",IF(AND(AE237&gt;AP7,AE237&lt;AR7),"r1",IF(AND(AE237&gt;AP7,AE237=AR7,AF237&lt;=AS7),"r1",IF(AND(AE237=AP7,AE237&lt;AR7,AF237&gt;=AQ7),"r1","n")))))</f>
        <v>r1</v>
      </c>
    </row>
    <row r="238" spans="26:38" ht="17.100000000000001" hidden="1" customHeight="1">
      <c r="Z238" s="176">
        <f t="shared" si="13"/>
        <v>14.350000000001407</v>
      </c>
      <c r="AA238" s="176">
        <f>IF(TRIM(AG238)="","",IF(INDEX(AZ1:AZ51,AC238)=AG238,INDEX(BA1:BA51,AC238),((AG238-INDEX(AZ1:AZ51,AC238))*(INDEX(BA1:BA51,AC238+1)-INDEX(BA1:BA51,AC238)))/(INDEX(AZ1:AZ51,AC238+1)-INDEX(AZ1:AZ51,AC238))+INDEX(BA1:BA51,AC238)))</f>
        <v>14.350000000001407</v>
      </c>
      <c r="AB238" s="176" t="e">
        <f>IF(TRIM(AG238)="","",IF(INDEX(BD1:BD51,AD238)=AG238,INDEX(BE1:BE51,AD238),((AG238-INDEX(BD1:BD51,AD238))*(INDEX(BE1:BE51,AD238+1)-INDEX(BE1:BE51,AD238)))/(INDEX(BD1:BD51,AD238+1)-INDEX(BD1:BD51,AD238))+INDEX(BE1:BE51,AD238)))</f>
        <v>#N/A</v>
      </c>
      <c r="AC238" s="164">
        <f>MATCH(AG238,AZ1:AZ51,1)</f>
        <v>6</v>
      </c>
      <c r="AD238" s="164" t="e">
        <f>MATCH(AG238,BD1:BD51,1)</f>
        <v>#N/A</v>
      </c>
      <c r="AE238" s="164">
        <v>8</v>
      </c>
      <c r="AF238" s="164">
        <v>23</v>
      </c>
      <c r="AG238" s="179">
        <f>FIXED('HourGH-NOV'!AB35)*1</f>
        <v>338.23</v>
      </c>
      <c r="AH238" s="164" t="str">
        <f>IF(AND(AE238=AP5,AE238=AR5,AF238&gt;=AQ5,AF238&lt;=AS5),"r1",IF(AND(AE238&gt;AP5,AE238&lt;AR5),"r1",IF(AND(AE238&gt;AP5,AE238=AR5,AF238&lt;=AS5),"r1",IF(AND(AE238=AP5,AE238&lt;AR5,AF238&gt;=AQ5),"r1","n"))))</f>
        <v>r1</v>
      </c>
      <c r="AI238" s="164" t="str">
        <f>IF(AH238&lt;&gt;"n",AH238,IF(AND(AE238=AT5,AE238=AV5,AF238&gt;=AU5,AF238&lt;=AW5),"r2",IF(AND(AE238&gt;AT5,AE238&lt;AV5),"r2",IF(AND(AE238&gt;AT5,AE238=AV5,AF238&lt;=AW5),"r2",IF(AND(AE238=AT5,AE238&lt;AV5,AF238&gt;=AU5),"r2","n")))))</f>
        <v>r1</v>
      </c>
      <c r="AJ238" s="164" t="str">
        <f>IF(AI238&lt;&gt;"n",AI238,IF(AND(AE238=AP6,AE238=AR6,AF238&gt;=AQ6,AF238&lt;=AS6),"r1",IF(AND(AE238&gt;AP6,AE238&lt;AR6),"r1",IF(AND(AE238&gt;AP6,AE238=AR6,AF238&lt;=AS6),"r1",IF(AND(AE238=AP6,AE238&lt;AR6,AF238&gt;=AQ6),"r1","n")))))</f>
        <v>r1</v>
      </c>
      <c r="AK238" s="164" t="str">
        <f>IF(AJ238&lt;&gt;"n",AJ238,IF(AND(AE238=AT6,AE238=AV6,AF238&gt;=AU6,AF238&lt;=AW6),"r2",IF(AND(AE238&gt;AT6,AE238&lt;AV6),"r2",IF(AND(AE238&gt;AT6,AE238=AV6,AF238&lt;=AW6),"r2",IF(AND(AE238=AT6,AE238&lt;AV6,AF238&gt;=AU6),"r2","n")))))</f>
        <v>r1</v>
      </c>
      <c r="AL238" s="164" t="str">
        <f>IF(AK238&lt;&gt;"n",AK238,IF(AND(AE238=AP7,AE238=AR7,AF238&gt;=AQ7,AF238&lt;=AS7),"r1",IF(AND(AE238&gt;AP7,AE238&lt;AR7),"r1",IF(AND(AE238&gt;AP7,AE238=AR7,AF238&lt;=AS7),"r1",IF(AND(AE238=AP7,AE238&lt;AR7,AF238&gt;=AQ7),"r1","n")))))</f>
        <v>r1</v>
      </c>
    </row>
    <row r="239" spans="26:38" ht="17.100000000000001" hidden="1" customHeight="1">
      <c r="Z239" s="176">
        <f t="shared" si="13"/>
        <v>13.900000000001791</v>
      </c>
      <c r="AA239" s="176">
        <f>IF(TRIM(AG239)="","",IF(INDEX(AZ1:AZ51,AC239)=AG239,INDEX(BA1:BA51,AC239),((AG239-INDEX(AZ1:AZ51,AC239))*(INDEX(BA1:BA51,AC239+1)-INDEX(BA1:BA51,AC239)))/(INDEX(AZ1:AZ51,AC239+1)-INDEX(AZ1:AZ51,AC239))+INDEX(BA1:BA51,AC239)))</f>
        <v>13.900000000001791</v>
      </c>
      <c r="AB239" s="176" t="e">
        <f>IF(TRIM(AG239)="","",IF(INDEX(BD1:BD51,AD239)=AG239,INDEX(BE1:BE51,AD239),((AG239-INDEX(BD1:BD51,AD239))*(INDEX(BE1:BE51,AD239+1)-INDEX(BE1:BE51,AD239)))/(INDEX(BD1:BD51,AD239+1)-INDEX(BD1:BD51,AD239))+INDEX(BE1:BE51,AD239)))</f>
        <v>#N/A</v>
      </c>
      <c r="AC239" s="164">
        <f>MATCH(AG239,AZ1:AZ51,1)</f>
        <v>6</v>
      </c>
      <c r="AD239" s="164" t="e">
        <f>MATCH(AG239,BD1:BD51,1)</f>
        <v>#N/A</v>
      </c>
      <c r="AE239" s="164">
        <v>8</v>
      </c>
      <c r="AF239" s="164">
        <v>24</v>
      </c>
      <c r="AG239" s="179">
        <f>FIXED('HourGH-NOV'!AB36)*1</f>
        <v>338.22</v>
      </c>
      <c r="AH239" s="164" t="str">
        <f>IF(AND(AE239=AP5,AE239=AR5,AF239&gt;=AQ5,AF239&lt;=AS5),"r1",IF(AND(AE239&gt;AP5,AE239&lt;AR5),"r1",IF(AND(AE239&gt;AP5,AE239=AR5,AF239&lt;=AS5),"r1",IF(AND(AE239=AP5,AE239&lt;AR5,AF239&gt;=AQ5),"r1","n"))))</f>
        <v>r1</v>
      </c>
      <c r="AI239" s="164" t="str">
        <f>IF(AH239&lt;&gt;"n",AH239,IF(AND(AE239=AT5,AE239=AV5,AF239&gt;=AU5,AF239&lt;=AW5),"r2",IF(AND(AE239&gt;AT5,AE239&lt;AV5),"r2",IF(AND(AE239&gt;AT5,AE239=AV5,AF239&lt;=AW5),"r2",IF(AND(AE239=AT5,AE239&lt;AV5,AF239&gt;=AU5),"r2","n")))))</f>
        <v>r1</v>
      </c>
      <c r="AJ239" s="164" t="str">
        <f>IF(AI239&lt;&gt;"n",AI239,IF(AND(AE239=AP6,AE239=AR6,AF239&gt;=AQ6,AF239&lt;=AS6),"r1",IF(AND(AE239&gt;AP6,AE239&lt;AR6),"r1",IF(AND(AE239&gt;AP6,AE239=AR6,AF239&lt;=AS6),"r1",IF(AND(AE239=AP6,AE239&lt;AR6,AF239&gt;=AQ6),"r1","n")))))</f>
        <v>r1</v>
      </c>
      <c r="AK239" s="164" t="str">
        <f>IF(AJ239&lt;&gt;"n",AJ239,IF(AND(AE239=AT6,AE239=AV6,AF239&gt;=AU6,AF239&lt;=AW6),"r2",IF(AND(AE239&gt;AT6,AE239&lt;AV6),"r2",IF(AND(AE239&gt;AT6,AE239=AV6,AF239&lt;=AW6),"r2",IF(AND(AE239=AT6,AE239&lt;AV6,AF239&gt;=AU6),"r2","n")))))</f>
        <v>r1</v>
      </c>
      <c r="AL239" s="164" t="str">
        <f>IF(AK239&lt;&gt;"n",AK239,IF(AND(AE239=AP7,AE239=AR7,AF239&gt;=AQ7,AF239&lt;=AS7),"r1",IF(AND(AE239&gt;AP7,AE239&lt;AR7),"r1",IF(AND(AE239&gt;AP7,AE239=AR7,AF239&lt;=AS7),"r1",IF(AND(AE239=AP7,AE239&lt;AR7,AF239&gt;=AQ7),"r1","n")))))</f>
        <v>r1</v>
      </c>
    </row>
    <row r="240" spans="26:38" ht="17.100000000000001" hidden="1" customHeight="1">
      <c r="Z240" s="176">
        <f t="shared" si="13"/>
        <v>13</v>
      </c>
      <c r="AA240" s="176">
        <f>IF(TRIM(AG240)="","",IF(INDEX(AZ1:AZ51,AC240)=AG240,INDEX(BA1:BA51,AC240),((AG240-INDEX(AZ1:AZ51,AC240))*(INDEX(BA1:BA51,AC240+1)-INDEX(BA1:BA51,AC240)))/(INDEX(AZ1:AZ51,AC240+1)-INDEX(AZ1:AZ51,AC240))+INDEX(BA1:BA51,AC240)))</f>
        <v>13</v>
      </c>
      <c r="AB240" s="176" t="e">
        <f>IF(TRIM(AG240)="","",IF(INDEX(BD1:BD51,AD240)=AG240,INDEX(BE1:BE51,AD240),((AG240-INDEX(BD1:BD51,AD240))*(INDEX(BE1:BE51,AD240+1)-INDEX(BE1:BE51,AD240)))/(INDEX(BD1:BD51,AD240+1)-INDEX(BD1:BD51,AD240))+INDEX(BE1:BE51,AD240)))</f>
        <v>#N/A</v>
      </c>
      <c r="AC240" s="164">
        <f>MATCH(AG240,AZ1:AZ51,1)</f>
        <v>6</v>
      </c>
      <c r="AD240" s="164" t="e">
        <f>MATCH(AG240,BD1:BD51,1)</f>
        <v>#N/A</v>
      </c>
      <c r="AE240" s="164">
        <v>8</v>
      </c>
      <c r="AF240" s="164">
        <v>25</v>
      </c>
      <c r="AG240" s="179">
        <f>FIXED('HourGH-NOV'!AB37)*1</f>
        <v>338.2</v>
      </c>
      <c r="AH240" s="164" t="str">
        <f>IF(AND(AE240=AP5,AE240=AR5,AF240&gt;=AQ5,AF240&lt;=AS5),"r1",IF(AND(AE240&gt;AP5,AE240&lt;AR5),"r1",IF(AND(AE240&gt;AP5,AE240=AR5,AF240&lt;=AS5),"r1",IF(AND(AE240=AP5,AE240&lt;AR5,AF240&gt;=AQ5),"r1","n"))))</f>
        <v>r1</v>
      </c>
      <c r="AI240" s="164" t="str">
        <f>IF(AH240&lt;&gt;"n",AH240,IF(AND(AE240=AT5,AE240=AV5,AF240&gt;=AU5,AF240&lt;=AW5),"r2",IF(AND(AE240&gt;AT5,AE240&lt;AV5),"r2",IF(AND(AE240&gt;AT5,AE240=AV5,AF240&lt;=AW5),"r2",IF(AND(AE240=AT5,AE240&lt;AV5,AF240&gt;=AU5),"r2","n")))))</f>
        <v>r1</v>
      </c>
      <c r="AJ240" s="164" t="str">
        <f>IF(AI240&lt;&gt;"n",AI240,IF(AND(AE240=AP6,AE240=AR6,AF240&gt;=AQ6,AF240&lt;=AS6),"r1",IF(AND(AE240&gt;AP6,AE240&lt;AR6),"r1",IF(AND(AE240&gt;AP6,AE240=AR6,AF240&lt;=AS6),"r1",IF(AND(AE240=AP6,AE240&lt;AR6,AF240&gt;=AQ6),"r1","n")))))</f>
        <v>r1</v>
      </c>
      <c r="AK240" s="164" t="str">
        <f>IF(AJ240&lt;&gt;"n",AJ240,IF(AND(AE240=AT6,AE240=AV6,AF240&gt;=AU6,AF240&lt;=AW6),"r2",IF(AND(AE240&gt;AT6,AE240&lt;AV6),"r2",IF(AND(AE240&gt;AT6,AE240=AV6,AF240&lt;=AW6),"r2",IF(AND(AE240=AT6,AE240&lt;AV6,AF240&gt;=AU6),"r2","n")))))</f>
        <v>r1</v>
      </c>
      <c r="AL240" s="164" t="str">
        <f>IF(AK240&lt;&gt;"n",AK240,IF(AND(AE240=AP7,AE240=AR7,AF240&gt;=AQ7,AF240&lt;=AS7),"r1",IF(AND(AE240&gt;AP7,AE240&lt;AR7),"r1",IF(AND(AE240&gt;AP7,AE240=AR7,AF240&lt;=AS7),"r1",IF(AND(AE240=AP7,AE240&lt;AR7,AF240&gt;=AQ7),"r1","n")))))</f>
        <v>r1</v>
      </c>
    </row>
    <row r="241" spans="26:38" ht="17.100000000000001" hidden="1" customHeight="1">
      <c r="Z241" s="176">
        <f t="shared" si="13"/>
        <v>12.350000000000554</v>
      </c>
      <c r="AA241" s="176">
        <f>IF(TRIM(AG241)="","",IF(INDEX(AZ1:AZ51,AC241)=AG241,INDEX(BA1:BA51,AC241),((AG241-INDEX(AZ1:AZ51,AC241))*(INDEX(BA1:BA51,AC241+1)-INDEX(BA1:BA51,AC241)))/(INDEX(AZ1:AZ51,AC241+1)-INDEX(AZ1:AZ51,AC241))+INDEX(BA1:BA51,AC241)))</f>
        <v>12.350000000000554</v>
      </c>
      <c r="AB241" s="176" t="e">
        <f>IF(TRIM(AG241)="","",IF(INDEX(BD1:BD51,AD241)=AG241,INDEX(BE1:BE51,AD241),((AG241-INDEX(BD1:BD51,AD241))*(INDEX(BE1:BE51,AD241+1)-INDEX(BE1:BE51,AD241)))/(INDEX(BD1:BD51,AD241+1)-INDEX(BD1:BD51,AD241))+INDEX(BE1:BE51,AD241)))</f>
        <v>#N/A</v>
      </c>
      <c r="AC241" s="164">
        <f>MATCH(AG241,AZ1:AZ51,1)</f>
        <v>5</v>
      </c>
      <c r="AD241" s="164" t="e">
        <f>MATCH(AG241,BD1:BD51,1)</f>
        <v>#N/A</v>
      </c>
      <c r="AE241" s="164">
        <v>8</v>
      </c>
      <c r="AF241" s="164">
        <v>26</v>
      </c>
      <c r="AG241" s="179">
        <f>FIXED('HourGH-NOV'!AB38)*1</f>
        <v>338.18</v>
      </c>
      <c r="AH241" s="164" t="str">
        <f>IF(AND(AE241=AP5,AE241=AR5,AF241&gt;=AQ5,AF241&lt;=AS5),"r1",IF(AND(AE241&gt;AP5,AE241&lt;AR5),"r1",IF(AND(AE241&gt;AP5,AE241=AR5,AF241&lt;=AS5),"r1",IF(AND(AE241=AP5,AE241&lt;AR5,AF241&gt;=AQ5),"r1","n"))))</f>
        <v>r1</v>
      </c>
      <c r="AI241" s="164" t="str">
        <f>IF(AH241&lt;&gt;"n",AH241,IF(AND(AE241=AT5,AE241=AV5,AF241&gt;=AU5,AF241&lt;=AW5),"r2",IF(AND(AE241&gt;AT5,AE241&lt;AV5),"r2",IF(AND(AE241&gt;AT5,AE241=AV5,AF241&lt;=AW5),"r2",IF(AND(AE241=AT5,AE241&lt;AV5,AF241&gt;=AU5),"r2","n")))))</f>
        <v>r1</v>
      </c>
      <c r="AJ241" s="164" t="str">
        <f>IF(AI241&lt;&gt;"n",AI241,IF(AND(AE241=AP6,AE241=AR6,AF241&gt;=AQ6,AF241&lt;=AS6),"r1",IF(AND(AE241&gt;AP6,AE241&lt;AR6),"r1",IF(AND(AE241&gt;AP6,AE241=AR6,AF241&lt;=AS6),"r1",IF(AND(AE241=AP6,AE241&lt;AR6,AF241&gt;=AQ6),"r1","n")))))</f>
        <v>r1</v>
      </c>
      <c r="AK241" s="164" t="str">
        <f>IF(AJ241&lt;&gt;"n",AJ241,IF(AND(AE241=AT6,AE241=AV6,AF241&gt;=AU6,AF241&lt;=AW6),"r2",IF(AND(AE241&gt;AT6,AE241&lt;AV6),"r2",IF(AND(AE241&gt;AT6,AE241=AV6,AF241&lt;=AW6),"r2",IF(AND(AE241=AT6,AE241&lt;AV6,AF241&gt;=AU6),"r2","n")))))</f>
        <v>r1</v>
      </c>
      <c r="AL241" s="164" t="str">
        <f>IF(AK241&lt;&gt;"n",AK241,IF(AND(AE241=AP7,AE241=AR7,AF241&gt;=AQ7,AF241&lt;=AS7),"r1",IF(AND(AE241&gt;AP7,AE241&lt;AR7),"r1",IF(AND(AE241&gt;AP7,AE241=AR7,AF241&lt;=AS7),"r1",IF(AND(AE241=AP7,AE241&lt;AR7,AF241&gt;=AQ7),"r1","n")))))</f>
        <v>r1</v>
      </c>
    </row>
    <row r="242" spans="26:38" ht="17.100000000000001" hidden="1" customHeight="1">
      <c r="Z242" s="176">
        <f t="shared" si="13"/>
        <v>12.350000000000554</v>
      </c>
      <c r="AA242" s="176">
        <f>IF(TRIM(AG242)="","",IF(INDEX(AZ1:AZ51,AC242)=AG242,INDEX(BA1:BA51,AC242),((AG242-INDEX(AZ1:AZ51,AC242))*(INDEX(BA1:BA51,AC242+1)-INDEX(BA1:BA51,AC242)))/(INDEX(AZ1:AZ51,AC242+1)-INDEX(AZ1:AZ51,AC242))+INDEX(BA1:BA51,AC242)))</f>
        <v>12.350000000000554</v>
      </c>
      <c r="AB242" s="176" t="e">
        <f>IF(TRIM(AG242)="","",IF(INDEX(BD1:BD51,AD242)=AG242,INDEX(BE1:BE51,AD242),((AG242-INDEX(BD1:BD51,AD242))*(INDEX(BE1:BE51,AD242+1)-INDEX(BE1:BE51,AD242)))/(INDEX(BD1:BD51,AD242+1)-INDEX(BD1:BD51,AD242))+INDEX(BE1:BE51,AD242)))</f>
        <v>#N/A</v>
      </c>
      <c r="AC242" s="164">
        <f>MATCH(AG242,AZ1:AZ51,1)</f>
        <v>5</v>
      </c>
      <c r="AD242" s="164" t="e">
        <f>MATCH(AG242,BD1:BD51,1)</f>
        <v>#N/A</v>
      </c>
      <c r="AE242" s="164">
        <v>8</v>
      </c>
      <c r="AF242" s="164">
        <v>27</v>
      </c>
      <c r="AG242" s="179">
        <f>FIXED('HourGH-NOV'!AB39)*1</f>
        <v>338.18</v>
      </c>
      <c r="AH242" s="164" t="str">
        <f>IF(AND(AE242=AP5,AE242=AR5,AF242&gt;=AQ5,AF242&lt;=AS5),"r1",IF(AND(AE242&gt;AP5,AE242&lt;AR5),"r1",IF(AND(AE242&gt;AP5,AE242=AR5,AF242&lt;=AS5),"r1",IF(AND(AE242=AP5,AE242&lt;AR5,AF242&gt;=AQ5),"r1","n"))))</f>
        <v>r1</v>
      </c>
      <c r="AI242" s="164" t="str">
        <f>IF(AH242&lt;&gt;"n",AH242,IF(AND(AE242=AT5,AE242=AV5,AF242&gt;=AU5,AF242&lt;=AW5),"r2",IF(AND(AE242&gt;AT5,AE242&lt;AV5),"r2",IF(AND(AE242&gt;AT5,AE242=AV5,AF242&lt;=AW5),"r2",IF(AND(AE242=AT5,AE242&lt;AV5,AF242&gt;=AU5),"r2","n")))))</f>
        <v>r1</v>
      </c>
      <c r="AJ242" s="164" t="str">
        <f>IF(AI242&lt;&gt;"n",AI242,IF(AND(AE242=AP6,AE242=AR6,AF242&gt;=AQ6,AF242&lt;=AS6),"r1",IF(AND(AE242&gt;AP6,AE242&lt;AR6),"r1",IF(AND(AE242&gt;AP6,AE242=AR6,AF242&lt;=AS6),"r1",IF(AND(AE242=AP6,AE242&lt;AR6,AF242&gt;=AQ6),"r1","n")))))</f>
        <v>r1</v>
      </c>
      <c r="AK242" s="164" t="str">
        <f>IF(AJ242&lt;&gt;"n",AJ242,IF(AND(AE242=AT6,AE242=AV6,AF242&gt;=AU6,AF242&lt;=AW6),"r2",IF(AND(AE242&gt;AT6,AE242&lt;AV6),"r2",IF(AND(AE242&gt;AT6,AE242=AV6,AF242&lt;=AW6),"r2",IF(AND(AE242=AT6,AE242&lt;AV6,AF242&gt;=AU6),"r2","n")))))</f>
        <v>r1</v>
      </c>
      <c r="AL242" s="164" t="str">
        <f>IF(AK242&lt;&gt;"n",AK242,IF(AND(AE242=AP7,AE242=AR7,AF242&gt;=AQ7,AF242&lt;=AS7),"r1",IF(AND(AE242&gt;AP7,AE242&lt;AR7),"r1",IF(AND(AE242&gt;AP7,AE242=AR7,AF242&lt;=AS7),"r1",IF(AND(AE242=AP7,AE242&lt;AR7,AF242&gt;=AQ7),"r1","n")))))</f>
        <v>r1</v>
      </c>
    </row>
    <row r="243" spans="26:38" ht="17.100000000000001" hidden="1" customHeight="1">
      <c r="Z243" s="176">
        <f t="shared" si="13"/>
        <v>12.350000000000554</v>
      </c>
      <c r="AA243" s="176">
        <f>IF(TRIM(AG243)="","",IF(INDEX(AZ1:AZ51,AC243)=AG243,INDEX(BA1:BA51,AC243),((AG243-INDEX(AZ1:AZ51,AC243))*(INDEX(BA1:BA51,AC243+1)-INDEX(BA1:BA51,AC243)))/(INDEX(AZ1:AZ51,AC243+1)-INDEX(AZ1:AZ51,AC243))+INDEX(BA1:BA51,AC243)))</f>
        <v>12.350000000000554</v>
      </c>
      <c r="AB243" s="176" t="e">
        <f>IF(TRIM(AG243)="","",IF(INDEX(BD1:BD51,AD243)=AG243,INDEX(BE1:BE51,AD243),((AG243-INDEX(BD1:BD51,AD243))*(INDEX(BE1:BE51,AD243+1)-INDEX(BE1:BE51,AD243)))/(INDEX(BD1:BD51,AD243+1)-INDEX(BD1:BD51,AD243))+INDEX(BE1:BE51,AD243)))</f>
        <v>#N/A</v>
      </c>
      <c r="AC243" s="164">
        <f>MATCH(AG243,AZ1:AZ51,1)</f>
        <v>5</v>
      </c>
      <c r="AD243" s="164" t="e">
        <f>MATCH(AG243,BD1:BD51,1)</f>
        <v>#N/A</v>
      </c>
      <c r="AE243" s="164">
        <v>8</v>
      </c>
      <c r="AF243" s="164">
        <v>28</v>
      </c>
      <c r="AG243" s="179">
        <f>FIXED('HourGH-NOV'!AB40)*1</f>
        <v>338.18</v>
      </c>
      <c r="AH243" s="164" t="str">
        <f>IF(AND(AE243=AP5,AE243=AR5,AF243&gt;=AQ5,AF243&lt;=AS5),"r1",IF(AND(AE243&gt;AP5,AE243&lt;AR5),"r1",IF(AND(AE243&gt;AP5,AE243=AR5,AF243&lt;=AS5),"r1",IF(AND(AE243=AP5,AE243&lt;AR5,AF243&gt;=AQ5),"r1","n"))))</f>
        <v>r1</v>
      </c>
      <c r="AI243" s="164" t="str">
        <f>IF(AH243&lt;&gt;"n",AH243,IF(AND(AE243=AT5,AE243=AV5,AF243&gt;=AU5,AF243&lt;=AW5),"r2",IF(AND(AE243&gt;AT5,AE243&lt;AV5),"r2",IF(AND(AE243&gt;AT5,AE243=AV5,AF243&lt;=AW5),"r2",IF(AND(AE243=AT5,AE243&lt;AV5,AF243&gt;=AU5),"r2","n")))))</f>
        <v>r1</v>
      </c>
      <c r="AJ243" s="164" t="str">
        <f>IF(AI243&lt;&gt;"n",AI243,IF(AND(AE243=AP6,AE243=AR6,AF243&gt;=AQ6,AF243&lt;=AS6),"r1",IF(AND(AE243&gt;AP6,AE243&lt;AR6),"r1",IF(AND(AE243&gt;AP6,AE243=AR6,AF243&lt;=AS6),"r1",IF(AND(AE243=AP6,AE243&lt;AR6,AF243&gt;=AQ6),"r1","n")))))</f>
        <v>r1</v>
      </c>
      <c r="AK243" s="164" t="str">
        <f>IF(AJ243&lt;&gt;"n",AJ243,IF(AND(AE243=AT6,AE243=AV6,AF243&gt;=AU6,AF243&lt;=AW6),"r2",IF(AND(AE243&gt;AT6,AE243&lt;AV6),"r2",IF(AND(AE243&gt;AT6,AE243=AV6,AF243&lt;=AW6),"r2",IF(AND(AE243=AT6,AE243&lt;AV6,AF243&gt;=AU6),"r2","n")))))</f>
        <v>r1</v>
      </c>
      <c r="AL243" s="164" t="str">
        <f>IF(AK243&lt;&gt;"n",AK243,IF(AND(AE243=AP7,AE243=AR7,AF243&gt;=AQ7,AF243&lt;=AS7),"r1",IF(AND(AE243&gt;AP7,AE243&lt;AR7),"r1",IF(AND(AE243&gt;AP7,AE243=AR7,AF243&lt;=AS7),"r1",IF(AND(AE243=AP7,AE243&lt;AR7,AF243&gt;=AQ7),"r1","n")))))</f>
        <v>r1</v>
      </c>
    </row>
    <row r="244" spans="26:38" ht="17.100000000000001" hidden="1" customHeight="1">
      <c r="Z244" s="176">
        <f t="shared" si="13"/>
        <v>12.025000000000832</v>
      </c>
      <c r="AA244" s="176">
        <f>IF(TRIM(AG244)="","",IF(INDEX(AZ1:AZ51,AC244)=AG244,INDEX(BA1:BA51,AC244),((AG244-INDEX(AZ1:AZ51,AC244))*(INDEX(BA1:BA51,AC244+1)-INDEX(BA1:BA51,AC244)))/(INDEX(AZ1:AZ51,AC244+1)-INDEX(AZ1:AZ51,AC244))+INDEX(BA1:BA51,AC244)))</f>
        <v>12.025000000000832</v>
      </c>
      <c r="AB244" s="176" t="e">
        <f>IF(TRIM(AG244)="","",IF(INDEX(BD1:BD51,AD244)=AG244,INDEX(BE1:BE51,AD244),((AG244-INDEX(BD1:BD51,AD244))*(INDEX(BE1:BE51,AD244+1)-INDEX(BE1:BE51,AD244)))/(INDEX(BD1:BD51,AD244+1)-INDEX(BD1:BD51,AD244))+INDEX(BE1:BE51,AD244)))</f>
        <v>#N/A</v>
      </c>
      <c r="AC244" s="164">
        <f>MATCH(AG244,AZ1:AZ51,1)</f>
        <v>5</v>
      </c>
      <c r="AD244" s="164" t="e">
        <f>MATCH(AG244,BD1:BD51,1)</f>
        <v>#N/A</v>
      </c>
      <c r="AE244" s="164">
        <v>8</v>
      </c>
      <c r="AF244" s="164">
        <v>29</v>
      </c>
      <c r="AG244" s="179">
        <f>FIXED('HourGH-NOV'!AB41)*1</f>
        <v>338.17</v>
      </c>
      <c r="AH244" s="164" t="str">
        <f>IF(AND(AE244=AP5,AE244=AR5,AF244&gt;=AQ5,AF244&lt;=AS5),"r1",IF(AND(AE244&gt;AP5,AE244&lt;AR5),"r1",IF(AND(AE244&gt;AP5,AE244=AR5,AF244&lt;=AS5),"r1",IF(AND(AE244=AP5,AE244&lt;AR5,AF244&gt;=AQ5),"r1","n"))))</f>
        <v>r1</v>
      </c>
      <c r="AI244" s="164" t="str">
        <f>IF(AH244&lt;&gt;"n",AH244,IF(AND(AE244=AT5,AE244=AV5,AF244&gt;=AU5,AF244&lt;=AW5),"r2",IF(AND(AE244&gt;AT5,AE244&lt;AV5),"r2",IF(AND(AE244&gt;AT5,AE244=AV5,AF244&lt;=AW5),"r2",IF(AND(AE244=AT5,AE244&lt;AV5,AF244&gt;=AU5),"r2","n")))))</f>
        <v>r1</v>
      </c>
      <c r="AJ244" s="164" t="str">
        <f>IF(AI244&lt;&gt;"n",AI244,IF(AND(AE244=AP6,AE244=AR6,AF244&gt;=AQ6,AF244&lt;=AS6),"r1",IF(AND(AE244&gt;AP6,AE244&lt;AR6),"r1",IF(AND(AE244&gt;AP6,AE244=AR6,AF244&lt;=AS6),"r1",IF(AND(AE244=AP6,AE244&lt;AR6,AF244&gt;=AQ6),"r1","n")))))</f>
        <v>r1</v>
      </c>
      <c r="AK244" s="164" t="str">
        <f>IF(AJ244&lt;&gt;"n",AJ244,IF(AND(AE244=AT6,AE244=AV6,AF244&gt;=AU6,AF244&lt;=AW6),"r2",IF(AND(AE244&gt;AT6,AE244&lt;AV6),"r2",IF(AND(AE244&gt;AT6,AE244=AV6,AF244&lt;=AW6),"r2",IF(AND(AE244=AT6,AE244&lt;AV6,AF244&gt;=AU6),"r2","n")))))</f>
        <v>r1</v>
      </c>
      <c r="AL244" s="164" t="str">
        <f>IF(AK244&lt;&gt;"n",AK244,IF(AND(AE244=AP7,AE244=AR7,AF244&gt;=AQ7,AF244&lt;=AS7),"r1",IF(AND(AE244&gt;AP7,AE244&lt;AR7),"r1",IF(AND(AE244&gt;AP7,AE244=AR7,AF244&lt;=AS7),"r1",IF(AND(AE244=AP7,AE244&lt;AR7,AF244&gt;=AQ7),"r1","n")))))</f>
        <v>r1</v>
      </c>
    </row>
    <row r="245" spans="26:38" ht="17.100000000000001" hidden="1" customHeight="1">
      <c r="Z245" s="176">
        <f t="shared" si="13"/>
        <v>12.350000000000554</v>
      </c>
      <c r="AA245" s="176">
        <f>IF(TRIM(AG245)="","",IF(INDEX(AZ1:AZ51,AC245)=AG245,INDEX(BA1:BA51,AC245),((AG245-INDEX(AZ1:AZ51,AC245))*(INDEX(BA1:BA51,AC245+1)-INDEX(BA1:BA51,AC245)))/(INDEX(AZ1:AZ51,AC245+1)-INDEX(AZ1:AZ51,AC245))+INDEX(BA1:BA51,AC245)))</f>
        <v>12.350000000000554</v>
      </c>
      <c r="AB245" s="176" t="e">
        <f>IF(TRIM(AG245)="","",IF(INDEX(BD1:BD51,AD245)=AG245,INDEX(BE1:BE51,AD245),((AG245-INDEX(BD1:BD51,AD245))*(INDEX(BE1:BE51,AD245+1)-INDEX(BE1:BE51,AD245)))/(INDEX(BD1:BD51,AD245+1)-INDEX(BD1:BD51,AD245))+INDEX(BE1:BE51,AD245)))</f>
        <v>#N/A</v>
      </c>
      <c r="AC245" s="164">
        <f>MATCH(AG245,AZ1:AZ51,1)</f>
        <v>5</v>
      </c>
      <c r="AD245" s="164" t="e">
        <f>MATCH(AG245,BD1:BD51,1)</f>
        <v>#N/A</v>
      </c>
      <c r="AE245" s="164">
        <v>8</v>
      </c>
      <c r="AF245" s="164">
        <v>30</v>
      </c>
      <c r="AG245" s="179">
        <f>FIXED('HourGH-NOV'!AB42)*1</f>
        <v>338.18</v>
      </c>
      <c r="AH245" s="164" t="str">
        <f>IF(AND(AE245=AP5,AE245=AR5,AF245&gt;=AQ5,AF245&lt;=AS5),"r1",IF(AND(AE245&gt;AP5,AE245&lt;AR5),"r1",IF(AND(AE245&gt;AP5,AE245=AR5,AF245&lt;=AS5),"r1",IF(AND(AE245=AP5,AE245&lt;AR5,AF245&gt;=AQ5),"r1","n"))))</f>
        <v>r1</v>
      </c>
      <c r="AI245" s="164" t="str">
        <f>IF(AH245&lt;&gt;"n",AH245,IF(AND(AE245=AT5,AE245=AV5,AF245&gt;=AU5,AF245&lt;=AW5),"r2",IF(AND(AE245&gt;AT5,AE245&lt;AV5),"r2",IF(AND(AE245&gt;AT5,AE245=AV5,AF245&lt;=AW5),"r2",IF(AND(AE245=AT5,AE245&lt;AV5,AF245&gt;=AU5),"r2","n")))))</f>
        <v>r1</v>
      </c>
      <c r="AJ245" s="164" t="str">
        <f>IF(AI245&lt;&gt;"n",AI245,IF(AND(AE245=AP6,AE245=AR6,AF245&gt;=AQ6,AF245&lt;=AS6),"r1",IF(AND(AE245&gt;AP6,AE245&lt;AR6),"r1",IF(AND(AE245&gt;AP6,AE245=AR6,AF245&lt;=AS6),"r1",IF(AND(AE245=AP6,AE245&lt;AR6,AF245&gt;=AQ6),"r1","n")))))</f>
        <v>r1</v>
      </c>
      <c r="AK245" s="164" t="str">
        <f>IF(AJ245&lt;&gt;"n",AJ245,IF(AND(AE245=AT6,AE245=AV6,AF245&gt;=AU6,AF245&lt;=AW6),"r2",IF(AND(AE245&gt;AT6,AE245&lt;AV6),"r2",IF(AND(AE245&gt;AT6,AE245=AV6,AF245&lt;=AW6),"r2",IF(AND(AE245=AT6,AE245&lt;AV6,AF245&gt;=AU6),"r2","n")))))</f>
        <v>r1</v>
      </c>
      <c r="AL245" s="164" t="str">
        <f>IF(AK245&lt;&gt;"n",AK245,IF(AND(AE245=AP7,AE245=AR7,AF245&gt;=AQ7,AF245&lt;=AS7),"r1",IF(AND(AE245&gt;AP7,AE245&lt;AR7),"r1",IF(AND(AE245&gt;AP7,AE245=AR7,AF245&lt;=AS7),"r1",IF(AND(AE245=AP7,AE245&lt;AR7,AF245&gt;=AQ7),"r1","n")))))</f>
        <v>r1</v>
      </c>
    </row>
    <row r="246" spans="26:38" ht="17.100000000000001" hidden="1" customHeight="1">
      <c r="Z246" s="176">
        <f t="shared" si="13"/>
        <v>11.700000000001108</v>
      </c>
      <c r="AA246" s="176">
        <f>IF(TRIM(AG246)="","",IF(INDEX(AZ1:AZ51,AC246)=AG246,INDEX(BA1:BA51,AC246),((AG246-INDEX(AZ1:AZ51,AC246))*(INDEX(BA1:BA51,AC246+1)-INDEX(BA1:BA51,AC246)))/(INDEX(AZ1:AZ51,AC246+1)-INDEX(AZ1:AZ51,AC246))+INDEX(BA1:BA51,AC246)))</f>
        <v>11.700000000001108</v>
      </c>
      <c r="AB246" s="176" t="e">
        <f>IF(TRIM(AG246)="","",IF(INDEX(BD1:BD51,AD246)=AG246,INDEX(BE1:BE51,AD246),((AG246-INDEX(BD1:BD51,AD246))*(INDEX(BE1:BE51,AD246+1)-INDEX(BE1:BE51,AD246)))/(INDEX(BD1:BD51,AD246+1)-INDEX(BD1:BD51,AD246))+INDEX(BE1:BE51,AD246)))</f>
        <v>#N/A</v>
      </c>
      <c r="AC246" s="164">
        <f>MATCH(AG246,AZ1:AZ51,1)</f>
        <v>5</v>
      </c>
      <c r="AD246" s="164" t="e">
        <f>MATCH(AG246,BD1:BD51,1)</f>
        <v>#N/A</v>
      </c>
      <c r="AE246" s="164">
        <v>9</v>
      </c>
      <c r="AF246" s="164">
        <v>1</v>
      </c>
      <c r="AG246" s="179">
        <f>FIXED('HourGH-DEC'!AB11)*1</f>
        <v>338.16</v>
      </c>
      <c r="AH246" s="164" t="str">
        <f>IF(AND(AE246=AP5,AE246=AR5,AF246&gt;=AQ5,AF246&lt;=AS5),"r1",IF(AND(AE246&gt;AP5,AE246&lt;AR5),"r1",IF(AND(AE246&gt;AP5,AE246=AR5,AF246&lt;=AS5),"r1",IF(AND(AE246=AP5,AE246&lt;AR5,AF246&gt;=AQ5),"r1","n"))))</f>
        <v>r1</v>
      </c>
      <c r="AI246" s="164" t="str">
        <f>IF(AH246&lt;&gt;"n",AH246,IF(AND(AE246=AT5,AE246=AV5,AF246&gt;=AU5,AF246&lt;=AW5),"r2",IF(AND(AE246&gt;AT5,AE246&lt;AV5),"r2",IF(AND(AE246&gt;AT5,AE246=AV5,AF246&lt;=AW5),"r2",IF(AND(AE246=AT5,AE246&lt;AV5,AF246&gt;=AU5),"r2","n")))))</f>
        <v>r1</v>
      </c>
      <c r="AJ246" s="164" t="str">
        <f>IF(AI246&lt;&gt;"n",AI246,IF(AND(AE246=AP6,AE246=AR6,AF246&gt;=AQ6,AF246&lt;=AS6),"r1",IF(AND(AE246&gt;AP6,AE246&lt;AR6),"r1",IF(AND(AE246&gt;AP6,AE246=AR6,AF246&lt;=AS6),"r1",IF(AND(AE246=AP6,AE246&lt;AR6,AF246&gt;=AQ6),"r1","n")))))</f>
        <v>r1</v>
      </c>
      <c r="AK246" s="164" t="str">
        <f>IF(AJ246&lt;&gt;"n",AJ246,IF(AND(AE246=AT6,AE246=AV6,AF246&gt;=AU6,AF246&lt;=AW6),"r2",IF(AND(AE246&gt;AT6,AE246&lt;AV6),"r2",IF(AND(AE246&gt;AT6,AE246=AV6,AF246&lt;=AW6),"r2",IF(AND(AE246=AT6,AE246&lt;AV6,AF246&gt;=AU6),"r2","n")))))</f>
        <v>r1</v>
      </c>
      <c r="AL246" s="164" t="str">
        <f>IF(AK246&lt;&gt;"n",AK246,IF(AND(AE246=AP7,AE246=AR7,AF246&gt;=AQ7,AF246&lt;=AS7),"r1",IF(AND(AE246&gt;AP7,AE246&lt;AR7),"r1",IF(AND(AE246&gt;AP7,AE246=AR7,AF246&lt;=AS7),"r1",IF(AND(AE246=AP7,AE246&lt;AR7,AF246&gt;=AQ7),"r1","n")))))</f>
        <v>r1</v>
      </c>
    </row>
    <row r="247" spans="26:38" ht="17.100000000000001" hidden="1" customHeight="1">
      <c r="Z247" s="176">
        <f t="shared" si="13"/>
        <v>11.049999999999816</v>
      </c>
      <c r="AA247" s="176">
        <f>IF(TRIM(AG247)="","",IF(INDEX(AZ1:AZ51,AC247)=AG247,INDEX(BA1:BA51,AC247),((AG247-INDEX(AZ1:AZ51,AC247))*(INDEX(BA1:BA51,AC247+1)-INDEX(BA1:BA51,AC247)))/(INDEX(AZ1:AZ51,AC247+1)-INDEX(AZ1:AZ51,AC247))+INDEX(BA1:BA51,AC247)))</f>
        <v>11.049999999999816</v>
      </c>
      <c r="AB247" s="176" t="e">
        <f>IF(TRIM(AG247)="","",IF(INDEX(BD1:BD51,AD247)=AG247,INDEX(BE1:BE51,AD247),((AG247-INDEX(BD1:BD51,AD247))*(INDEX(BE1:BE51,AD247+1)-INDEX(BE1:BE51,AD247)))/(INDEX(BD1:BD51,AD247+1)-INDEX(BD1:BD51,AD247))+INDEX(BE1:BE51,AD247)))</f>
        <v>#N/A</v>
      </c>
      <c r="AC247" s="164">
        <f>MATCH(AG247,AZ1:AZ51,1)</f>
        <v>5</v>
      </c>
      <c r="AD247" s="164" t="e">
        <f>MATCH(AG247,BD1:BD51,1)</f>
        <v>#N/A</v>
      </c>
      <c r="AE247" s="164">
        <v>9</v>
      </c>
      <c r="AF247" s="164">
        <v>2</v>
      </c>
      <c r="AG247" s="179">
        <f>FIXED('HourGH-DEC'!AB12)*1</f>
        <v>338.14</v>
      </c>
      <c r="AH247" s="164" t="str">
        <f>IF(AND(AE247=AP5,AE247=AR5,AF247&gt;=AQ5,AF247&lt;=AS5),"r1",IF(AND(AE247&gt;AP5,AE247&lt;AR5),"r1",IF(AND(AE247&gt;AP5,AE247=AR5,AF247&lt;=AS5),"r1",IF(AND(AE247=AP5,AE247&lt;AR5,AF247&gt;=AQ5),"r1","n"))))</f>
        <v>r1</v>
      </c>
      <c r="AI247" s="164" t="str">
        <f>IF(AH247&lt;&gt;"n",AH247,IF(AND(AE247=AT5,AE247=AV5,AF247&gt;=AU5,AF247&lt;=AW5),"r2",IF(AND(AE247&gt;AT5,AE247&lt;AV5),"r2",IF(AND(AE247&gt;AT5,AE247=AV5,AF247&lt;=AW5),"r2",IF(AND(AE247=AT5,AE247&lt;AV5,AF247&gt;=AU5),"r2","n")))))</f>
        <v>r1</v>
      </c>
      <c r="AJ247" s="164" t="str">
        <f>IF(AI247&lt;&gt;"n",AI247,IF(AND(AE247=AP6,AE247=AR6,AF247&gt;=AQ6,AF247&lt;=AS6),"r1",IF(AND(AE247&gt;AP6,AE247&lt;AR6),"r1",IF(AND(AE247&gt;AP6,AE247=AR6,AF247&lt;=AS6),"r1",IF(AND(AE247=AP6,AE247&lt;AR6,AF247&gt;=AQ6),"r1","n")))))</f>
        <v>r1</v>
      </c>
      <c r="AK247" s="164" t="str">
        <f>IF(AJ247&lt;&gt;"n",AJ247,IF(AND(AE247=AT6,AE247=AV6,AF247&gt;=AU6,AF247&lt;=AW6),"r2",IF(AND(AE247&gt;AT6,AE247&lt;AV6),"r2",IF(AND(AE247&gt;AT6,AE247=AV6,AF247&lt;=AW6),"r2",IF(AND(AE247=AT6,AE247&lt;AV6,AF247&gt;=AU6),"r2","n")))))</f>
        <v>r1</v>
      </c>
      <c r="AL247" s="164" t="str">
        <f>IF(AK247&lt;&gt;"n",AK247,IF(AND(AE247=AP7,AE247=AR7,AF247&gt;=AQ7,AF247&lt;=AS7),"r1",IF(AND(AE247&gt;AP7,AE247&lt;AR7),"r1",IF(AND(AE247&gt;AP7,AE247=AR7,AF247&lt;=AS7),"r1",IF(AND(AE247=AP7,AE247&lt;AR7,AF247&gt;=AQ7),"r1","n")))))</f>
        <v>r1</v>
      </c>
    </row>
    <row r="248" spans="26:38" ht="17.100000000000001" hidden="1" customHeight="1">
      <c r="Z248" s="176">
        <f t="shared" si="13"/>
        <v>11.049999999999816</v>
      </c>
      <c r="AA248" s="176">
        <f>IF(TRIM(AG248)="","",IF(INDEX(AZ1:AZ51,AC248)=AG248,INDEX(BA1:BA51,AC248),((AG248-INDEX(AZ1:AZ51,AC248))*(INDEX(BA1:BA51,AC248+1)-INDEX(BA1:BA51,AC248)))/(INDEX(AZ1:AZ51,AC248+1)-INDEX(AZ1:AZ51,AC248))+INDEX(BA1:BA51,AC248)))</f>
        <v>11.049999999999816</v>
      </c>
      <c r="AB248" s="176" t="e">
        <f>IF(TRIM(AG248)="","",IF(INDEX(BD1:BD51,AD248)=AG248,INDEX(BE1:BE51,AD248),((AG248-INDEX(BD1:BD51,AD248))*(INDEX(BE1:BE51,AD248+1)-INDEX(BE1:BE51,AD248)))/(INDEX(BD1:BD51,AD248+1)-INDEX(BD1:BD51,AD248))+INDEX(BE1:BE51,AD248)))</f>
        <v>#N/A</v>
      </c>
      <c r="AC248" s="164">
        <f>MATCH(AG248,AZ1:AZ51,1)</f>
        <v>5</v>
      </c>
      <c r="AD248" s="164" t="e">
        <f>MATCH(AG248,BD1:BD51,1)</f>
        <v>#N/A</v>
      </c>
      <c r="AE248" s="164">
        <v>9</v>
      </c>
      <c r="AF248" s="164">
        <v>3</v>
      </c>
      <c r="AG248" s="179">
        <f>FIXED('HourGH-DEC'!AB13)*1</f>
        <v>338.14</v>
      </c>
      <c r="AH248" s="164" t="str">
        <f>IF(AND(AE248=AP5,AE248=AR5,AF248&gt;=AQ5,AF248&lt;=AS5),"r1",IF(AND(AE248&gt;AP5,AE248&lt;AR5),"r1",IF(AND(AE248&gt;AP5,AE248=AR5,AF248&lt;=AS5),"r1",IF(AND(AE248=AP5,AE248&lt;AR5,AF248&gt;=AQ5),"r1","n"))))</f>
        <v>r1</v>
      </c>
      <c r="AI248" s="164" t="str">
        <f>IF(AH248&lt;&gt;"n",AH248,IF(AND(AE248=AT5,AE248=AV5,AF248&gt;=AU5,AF248&lt;=AW5),"r2",IF(AND(AE248&gt;AT5,AE248&lt;AV5),"r2",IF(AND(AE248&gt;AT5,AE248=AV5,AF248&lt;=AW5),"r2",IF(AND(AE248=AT5,AE248&lt;AV5,AF248&gt;=AU5),"r2","n")))))</f>
        <v>r1</v>
      </c>
      <c r="AJ248" s="164" t="str">
        <f>IF(AI248&lt;&gt;"n",AI248,IF(AND(AE248=AP6,AE248=AR6,AF248&gt;=AQ6,AF248&lt;=AS6),"r1",IF(AND(AE248&gt;AP6,AE248&lt;AR6),"r1",IF(AND(AE248&gt;AP6,AE248=AR6,AF248&lt;=AS6),"r1",IF(AND(AE248=AP6,AE248&lt;AR6,AF248&gt;=AQ6),"r1","n")))))</f>
        <v>r1</v>
      </c>
      <c r="AK248" s="164" t="str">
        <f>IF(AJ248&lt;&gt;"n",AJ248,IF(AND(AE248=AT6,AE248=AV6,AF248&gt;=AU6,AF248&lt;=AW6),"r2",IF(AND(AE248&gt;AT6,AE248&lt;AV6),"r2",IF(AND(AE248&gt;AT6,AE248=AV6,AF248&lt;=AW6),"r2",IF(AND(AE248=AT6,AE248&lt;AV6,AF248&gt;=AU6),"r2","n")))))</f>
        <v>r1</v>
      </c>
      <c r="AL248" s="164" t="str">
        <f>IF(AK248&lt;&gt;"n",AK248,IF(AND(AE248=AP7,AE248=AR7,AF248&gt;=AQ7,AF248&lt;=AS7),"r1",IF(AND(AE248&gt;AP7,AE248&lt;AR7),"r1",IF(AND(AE248&gt;AP7,AE248=AR7,AF248&lt;=AS7),"r1",IF(AND(AE248=AP7,AE248&lt;AR7,AF248&gt;=AQ7),"r1","n")))))</f>
        <v>r1</v>
      </c>
    </row>
    <row r="249" spans="26:38" ht="17.100000000000001" hidden="1" customHeight="1">
      <c r="Z249" s="176">
        <f t="shared" si="13"/>
        <v>10.725000000000092</v>
      </c>
      <c r="AA249" s="176">
        <f>IF(TRIM(AG249)="","",IF(INDEX(AZ1:AZ51,AC249)=AG249,INDEX(BA1:BA51,AC249),((AG249-INDEX(AZ1:AZ51,AC249))*(INDEX(BA1:BA51,AC249+1)-INDEX(BA1:BA51,AC249)))/(INDEX(AZ1:AZ51,AC249+1)-INDEX(AZ1:AZ51,AC249))+INDEX(BA1:BA51,AC249)))</f>
        <v>10.725000000000092</v>
      </c>
      <c r="AB249" s="176" t="e">
        <f>IF(TRIM(AG249)="","",IF(INDEX(BD1:BD51,AD249)=AG249,INDEX(BE1:BE51,AD249),((AG249-INDEX(BD1:BD51,AD249))*(INDEX(BE1:BE51,AD249+1)-INDEX(BE1:BE51,AD249)))/(INDEX(BD1:BD51,AD249+1)-INDEX(BD1:BD51,AD249))+INDEX(BE1:BE51,AD249)))</f>
        <v>#N/A</v>
      </c>
      <c r="AC249" s="164">
        <f>MATCH(AG249,AZ1:AZ51,1)</f>
        <v>5</v>
      </c>
      <c r="AD249" s="164" t="e">
        <f>MATCH(AG249,BD1:BD51,1)</f>
        <v>#N/A</v>
      </c>
      <c r="AE249" s="164">
        <v>9</v>
      </c>
      <c r="AF249" s="164">
        <v>4</v>
      </c>
      <c r="AG249" s="179">
        <f>FIXED('HourGH-DEC'!AB14)*1</f>
        <v>338.13</v>
      </c>
      <c r="AH249" s="164" t="str">
        <f>IF(AND(AE249=AP5,AE249=AR5,AF249&gt;=AQ5,AF249&lt;=AS5),"r1",IF(AND(AE249&gt;AP5,AE249&lt;AR5),"r1",IF(AND(AE249&gt;AP5,AE249=AR5,AF249&lt;=AS5),"r1",IF(AND(AE249=AP5,AE249&lt;AR5,AF249&gt;=AQ5),"r1","n"))))</f>
        <v>r1</v>
      </c>
      <c r="AI249" s="164" t="str">
        <f>IF(AH249&lt;&gt;"n",AH249,IF(AND(AE249=AT5,AE249=AV5,AF249&gt;=AU5,AF249&lt;=AW5),"r2",IF(AND(AE249&gt;AT5,AE249&lt;AV5),"r2",IF(AND(AE249&gt;AT5,AE249=AV5,AF249&lt;=AW5),"r2",IF(AND(AE249=AT5,AE249&lt;AV5,AF249&gt;=AU5),"r2","n")))))</f>
        <v>r1</v>
      </c>
      <c r="AJ249" s="164" t="str">
        <f>IF(AI249&lt;&gt;"n",AI249,IF(AND(AE249=AP6,AE249=AR6,AF249&gt;=AQ6,AF249&lt;=AS6),"r1",IF(AND(AE249&gt;AP6,AE249&lt;AR6),"r1",IF(AND(AE249&gt;AP6,AE249=AR6,AF249&lt;=AS6),"r1",IF(AND(AE249=AP6,AE249&lt;AR6,AF249&gt;=AQ6),"r1","n")))))</f>
        <v>r1</v>
      </c>
      <c r="AK249" s="164" t="str">
        <f>IF(AJ249&lt;&gt;"n",AJ249,IF(AND(AE249=AT6,AE249=AV6,AF249&gt;=AU6,AF249&lt;=AW6),"r2",IF(AND(AE249&gt;AT6,AE249&lt;AV6),"r2",IF(AND(AE249&gt;AT6,AE249=AV6,AF249&lt;=AW6),"r2",IF(AND(AE249=AT6,AE249&lt;AV6,AF249&gt;=AU6),"r2","n")))))</f>
        <v>r1</v>
      </c>
      <c r="AL249" s="164" t="str">
        <f>IF(AK249&lt;&gt;"n",AK249,IF(AND(AE249=AP7,AE249=AR7,AF249&gt;=AQ7,AF249&lt;=AS7),"r1",IF(AND(AE249&gt;AP7,AE249&lt;AR7),"r1",IF(AND(AE249&gt;AP7,AE249=AR7,AF249&lt;=AS7),"r1",IF(AND(AE249=AP7,AE249&lt;AR7,AF249&gt;=AQ7),"r1","n")))))</f>
        <v>r1</v>
      </c>
    </row>
    <row r="250" spans="26:38" ht="17.100000000000001" hidden="1" customHeight="1">
      <c r="Z250" s="176">
        <f t="shared" si="13"/>
        <v>10.40000000000037</v>
      </c>
      <c r="AA250" s="176">
        <f>IF(TRIM(AG250)="","",IF(INDEX(AZ1:AZ51,AC250)=AG250,INDEX(BA1:BA51,AC250),((AG250-INDEX(AZ1:AZ51,AC250))*(INDEX(BA1:BA51,AC250+1)-INDEX(BA1:BA51,AC250)))/(INDEX(AZ1:AZ51,AC250+1)-INDEX(AZ1:AZ51,AC250))+INDEX(BA1:BA51,AC250)))</f>
        <v>10.40000000000037</v>
      </c>
      <c r="AB250" s="176" t="e">
        <f>IF(TRIM(AG250)="","",IF(INDEX(BD1:BD51,AD250)=AG250,INDEX(BE1:BE51,AD250),((AG250-INDEX(BD1:BD51,AD250))*(INDEX(BE1:BE51,AD250+1)-INDEX(BE1:BE51,AD250)))/(INDEX(BD1:BD51,AD250+1)-INDEX(BD1:BD51,AD250))+INDEX(BE1:BE51,AD250)))</f>
        <v>#N/A</v>
      </c>
      <c r="AC250" s="164">
        <f>MATCH(AG250,AZ1:AZ51,1)</f>
        <v>5</v>
      </c>
      <c r="AD250" s="164" t="e">
        <f>MATCH(AG250,BD1:BD51,1)</f>
        <v>#N/A</v>
      </c>
      <c r="AE250" s="164">
        <v>9</v>
      </c>
      <c r="AF250" s="164">
        <v>5</v>
      </c>
      <c r="AG250" s="179">
        <f>FIXED('HourGH-DEC'!AB15)*1</f>
        <v>338.12</v>
      </c>
      <c r="AH250" s="164" t="str">
        <f>IF(AND(AE250=AP5,AE250=AR5,AF250&gt;=AQ5,AF250&lt;=AS5),"r1",IF(AND(AE250&gt;AP5,AE250&lt;AR5),"r1",IF(AND(AE250&gt;AP5,AE250=AR5,AF250&lt;=AS5),"r1",IF(AND(AE250=AP5,AE250&lt;AR5,AF250&gt;=AQ5),"r1","n"))))</f>
        <v>r1</v>
      </c>
      <c r="AI250" s="164" t="str">
        <f>IF(AH250&lt;&gt;"n",AH250,IF(AND(AE250=AT5,AE250=AV5,AF250&gt;=AU5,AF250&lt;=AW5),"r2",IF(AND(AE250&gt;AT5,AE250&lt;AV5),"r2",IF(AND(AE250&gt;AT5,AE250=AV5,AF250&lt;=AW5),"r2",IF(AND(AE250=AT5,AE250&lt;AV5,AF250&gt;=AU5),"r2","n")))))</f>
        <v>r1</v>
      </c>
      <c r="AJ250" s="164" t="str">
        <f>IF(AI250&lt;&gt;"n",AI250,IF(AND(AE250=AP6,AE250=AR6,AF250&gt;=AQ6,AF250&lt;=AS6),"r1",IF(AND(AE250&gt;AP6,AE250&lt;AR6),"r1",IF(AND(AE250&gt;AP6,AE250=AR6,AF250&lt;=AS6),"r1",IF(AND(AE250=AP6,AE250&lt;AR6,AF250&gt;=AQ6),"r1","n")))))</f>
        <v>r1</v>
      </c>
      <c r="AK250" s="164" t="str">
        <f>IF(AJ250&lt;&gt;"n",AJ250,IF(AND(AE250=AT6,AE250=AV6,AF250&gt;=AU6,AF250&lt;=AW6),"r2",IF(AND(AE250&gt;AT6,AE250&lt;AV6),"r2",IF(AND(AE250&gt;AT6,AE250=AV6,AF250&lt;=AW6),"r2",IF(AND(AE250=AT6,AE250&lt;AV6,AF250&gt;=AU6),"r2","n")))))</f>
        <v>r1</v>
      </c>
      <c r="AL250" s="164" t="str">
        <f>IF(AK250&lt;&gt;"n",AK250,IF(AND(AE250=AP7,AE250=AR7,AF250&gt;=AQ7,AF250&lt;=AS7),"r1",IF(AND(AE250&gt;AP7,AE250&lt;AR7),"r1",IF(AND(AE250&gt;AP7,AE250=AR7,AF250&lt;=AS7),"r1",IF(AND(AE250=AP7,AE250&lt;AR7,AF250&gt;=AQ7),"r1","n")))))</f>
        <v>r1</v>
      </c>
    </row>
    <row r="251" spans="26:38" ht="17.100000000000001" hidden="1" customHeight="1">
      <c r="Z251" s="176">
        <f t="shared" si="13"/>
        <v>10.075000000000646</v>
      </c>
      <c r="AA251" s="176">
        <f>IF(TRIM(AG251)="","",IF(INDEX(AZ1:AZ51,AC251)=AG251,INDEX(BA1:BA51,AC251),((AG251-INDEX(AZ1:AZ51,AC251))*(INDEX(BA1:BA51,AC251+1)-INDEX(BA1:BA51,AC251)))/(INDEX(AZ1:AZ51,AC251+1)-INDEX(AZ1:AZ51,AC251))+INDEX(BA1:BA51,AC251)))</f>
        <v>10.075000000000646</v>
      </c>
      <c r="AB251" s="176" t="e">
        <f>IF(TRIM(AG251)="","",IF(INDEX(BD1:BD51,AD251)=AG251,INDEX(BE1:BE51,AD251),((AG251-INDEX(BD1:BD51,AD251))*(INDEX(BE1:BE51,AD251+1)-INDEX(BE1:BE51,AD251)))/(INDEX(BD1:BD51,AD251+1)-INDEX(BD1:BD51,AD251))+INDEX(BE1:BE51,AD251)))</f>
        <v>#N/A</v>
      </c>
      <c r="AC251" s="164">
        <f>MATCH(AG251,AZ1:AZ51,1)</f>
        <v>5</v>
      </c>
      <c r="AD251" s="164" t="e">
        <f>MATCH(AG251,BD1:BD51,1)</f>
        <v>#N/A</v>
      </c>
      <c r="AE251" s="164">
        <v>9</v>
      </c>
      <c r="AF251" s="164">
        <v>6</v>
      </c>
      <c r="AG251" s="179">
        <f>FIXED('HourGH-DEC'!AB16)*1</f>
        <v>338.11</v>
      </c>
      <c r="AH251" s="164" t="str">
        <f>IF(AND(AE251=AP5,AE251=AR5,AF251&gt;=AQ5,AF251&lt;=AS5),"r1",IF(AND(AE251&gt;AP5,AE251&lt;AR5),"r1",IF(AND(AE251&gt;AP5,AE251=AR5,AF251&lt;=AS5),"r1",IF(AND(AE251=AP5,AE251&lt;AR5,AF251&gt;=AQ5),"r1","n"))))</f>
        <v>r1</v>
      </c>
      <c r="AI251" s="164" t="str">
        <f>IF(AH251&lt;&gt;"n",AH251,IF(AND(AE251=AT5,AE251=AV5,AF251&gt;=AU5,AF251&lt;=AW5),"r2",IF(AND(AE251&gt;AT5,AE251&lt;AV5),"r2",IF(AND(AE251&gt;AT5,AE251=AV5,AF251&lt;=AW5),"r2",IF(AND(AE251=AT5,AE251&lt;AV5,AF251&gt;=AU5),"r2","n")))))</f>
        <v>r1</v>
      </c>
      <c r="AJ251" s="164" t="str">
        <f>IF(AI251&lt;&gt;"n",AI251,IF(AND(AE251=AP6,AE251=AR6,AF251&gt;=AQ6,AF251&lt;=AS6),"r1",IF(AND(AE251&gt;AP6,AE251&lt;AR6),"r1",IF(AND(AE251&gt;AP6,AE251=AR6,AF251&lt;=AS6),"r1",IF(AND(AE251=AP6,AE251&lt;AR6,AF251&gt;=AQ6),"r1","n")))))</f>
        <v>r1</v>
      </c>
      <c r="AK251" s="164" t="str">
        <f>IF(AJ251&lt;&gt;"n",AJ251,IF(AND(AE251=AT6,AE251=AV6,AF251&gt;=AU6,AF251&lt;=AW6),"r2",IF(AND(AE251&gt;AT6,AE251&lt;AV6),"r2",IF(AND(AE251&gt;AT6,AE251=AV6,AF251&lt;=AW6),"r2",IF(AND(AE251=AT6,AE251&lt;AV6,AF251&gt;=AU6),"r2","n")))))</f>
        <v>r1</v>
      </c>
      <c r="AL251" s="164" t="str">
        <f>IF(AK251&lt;&gt;"n",AK251,IF(AND(AE251=AP7,AE251=AR7,AF251&gt;=AQ7,AF251&lt;=AS7),"r1",IF(AND(AE251&gt;AP7,AE251&lt;AR7),"r1",IF(AND(AE251&gt;AP7,AE251=AR7,AF251&lt;=AS7),"r1",IF(AND(AE251=AP7,AE251&lt;AR7,AF251&gt;=AQ7),"r1","n")))))</f>
        <v>r1</v>
      </c>
    </row>
    <row r="252" spans="26:38" ht="17.100000000000001" hidden="1" customHeight="1">
      <c r="Z252" s="176">
        <f t="shared" si="13"/>
        <v>9.7500000000009237</v>
      </c>
      <c r="AA252" s="176">
        <f>IF(TRIM(AG252)="","",IF(INDEX(AZ1:AZ51,AC252)=AG252,INDEX(BA1:BA51,AC252),((AG252-INDEX(AZ1:AZ51,AC252))*(INDEX(BA1:BA51,AC252+1)-INDEX(BA1:BA51,AC252)))/(INDEX(AZ1:AZ51,AC252+1)-INDEX(AZ1:AZ51,AC252))+INDEX(BA1:BA51,AC252)))</f>
        <v>9.7500000000009237</v>
      </c>
      <c r="AB252" s="176" t="e">
        <f>IF(TRIM(AG252)="","",IF(INDEX(BD1:BD51,AD252)=AG252,INDEX(BE1:BE51,AD252),((AG252-INDEX(BD1:BD51,AD252))*(INDEX(BE1:BE51,AD252+1)-INDEX(BE1:BE51,AD252)))/(INDEX(BD1:BD51,AD252+1)-INDEX(BD1:BD51,AD252))+INDEX(BE1:BE51,AD252)))</f>
        <v>#N/A</v>
      </c>
      <c r="AC252" s="164">
        <f>MATCH(AG252,AZ1:AZ51,1)</f>
        <v>5</v>
      </c>
      <c r="AD252" s="164" t="e">
        <f>MATCH(AG252,BD1:BD51,1)</f>
        <v>#N/A</v>
      </c>
      <c r="AE252" s="164">
        <v>9</v>
      </c>
      <c r="AF252" s="164">
        <v>7</v>
      </c>
      <c r="AG252" s="179">
        <f>FIXED('HourGH-DEC'!AB17)*1</f>
        <v>338.1</v>
      </c>
      <c r="AH252" s="164" t="str">
        <f>IF(AND(AE252=AP5,AE252=AR5,AF252&gt;=AQ5,AF252&lt;=AS5),"r1",IF(AND(AE252&gt;AP5,AE252&lt;AR5),"r1",IF(AND(AE252&gt;AP5,AE252=AR5,AF252&lt;=AS5),"r1",IF(AND(AE252=AP5,AE252&lt;AR5,AF252&gt;=AQ5),"r1","n"))))</f>
        <v>r1</v>
      </c>
      <c r="AI252" s="164" t="str">
        <f>IF(AH252&lt;&gt;"n",AH252,IF(AND(AE252=AT5,AE252=AV5,AF252&gt;=AU5,AF252&lt;=AW5),"r2",IF(AND(AE252&gt;AT5,AE252&lt;AV5),"r2",IF(AND(AE252&gt;AT5,AE252=AV5,AF252&lt;=AW5),"r2",IF(AND(AE252=AT5,AE252&lt;AV5,AF252&gt;=AU5),"r2","n")))))</f>
        <v>r1</v>
      </c>
      <c r="AJ252" s="164" t="str">
        <f>IF(AI252&lt;&gt;"n",AI252,IF(AND(AE252=AP6,AE252=AR6,AF252&gt;=AQ6,AF252&lt;=AS6),"r1",IF(AND(AE252&gt;AP6,AE252&lt;AR6),"r1",IF(AND(AE252&gt;AP6,AE252=AR6,AF252&lt;=AS6),"r1",IF(AND(AE252=AP6,AE252&lt;AR6,AF252&gt;=AQ6),"r1","n")))))</f>
        <v>r1</v>
      </c>
      <c r="AK252" s="164" t="str">
        <f>IF(AJ252&lt;&gt;"n",AJ252,IF(AND(AE252=AT6,AE252=AV6,AF252&gt;=AU6,AF252&lt;=AW6),"r2",IF(AND(AE252&gt;AT6,AE252&lt;AV6),"r2",IF(AND(AE252&gt;AT6,AE252=AV6,AF252&lt;=AW6),"r2",IF(AND(AE252=AT6,AE252&lt;AV6,AF252&gt;=AU6),"r2","n")))))</f>
        <v>r1</v>
      </c>
      <c r="AL252" s="164" t="str">
        <f>IF(AK252&lt;&gt;"n",AK252,IF(AND(AE252=AP7,AE252=AR7,AF252&gt;=AQ7,AF252&lt;=AS7),"r1",IF(AND(AE252&gt;AP7,AE252&lt;AR7),"r1",IF(AND(AE252&gt;AP7,AE252=AR7,AF252&lt;=AS7),"r1",IF(AND(AE252=AP7,AE252&lt;AR7,AF252&gt;=AQ7),"r1","n")))))</f>
        <v>r1</v>
      </c>
    </row>
    <row r="253" spans="26:38" ht="17.100000000000001" hidden="1" customHeight="1">
      <c r="Z253" s="176">
        <f t="shared" si="13"/>
        <v>9.7500000000009237</v>
      </c>
      <c r="AA253" s="176">
        <f>IF(TRIM(AG253)="","",IF(INDEX(AZ1:AZ51,AC253)=AG253,INDEX(BA1:BA51,AC253),((AG253-INDEX(AZ1:AZ51,AC253))*(INDEX(BA1:BA51,AC253+1)-INDEX(BA1:BA51,AC253)))/(INDEX(AZ1:AZ51,AC253+1)-INDEX(AZ1:AZ51,AC253))+INDEX(BA1:BA51,AC253)))</f>
        <v>9.7500000000009237</v>
      </c>
      <c r="AB253" s="176" t="e">
        <f>IF(TRIM(AG253)="","",IF(INDEX(BD1:BD51,AD253)=AG253,INDEX(BE1:BE51,AD253),((AG253-INDEX(BD1:BD51,AD253))*(INDEX(BE1:BE51,AD253+1)-INDEX(BE1:BE51,AD253)))/(INDEX(BD1:BD51,AD253+1)-INDEX(BD1:BD51,AD253))+INDEX(BE1:BE51,AD253)))</f>
        <v>#N/A</v>
      </c>
      <c r="AC253" s="164">
        <f>MATCH(AG253,AZ1:AZ51,1)</f>
        <v>5</v>
      </c>
      <c r="AD253" s="164" t="e">
        <f>MATCH(AG253,BD1:BD51,1)</f>
        <v>#N/A</v>
      </c>
      <c r="AE253" s="164">
        <v>9</v>
      </c>
      <c r="AF253" s="164">
        <v>8</v>
      </c>
      <c r="AG253" s="179">
        <f>FIXED('HourGH-DEC'!AB18)*1</f>
        <v>338.1</v>
      </c>
      <c r="AH253" s="164" t="str">
        <f>IF(AND(AE253=AP5,AE253=AR5,AF253&gt;=AQ5,AF253&lt;=AS5),"r1",IF(AND(AE253&gt;AP5,AE253&lt;AR5),"r1",IF(AND(AE253&gt;AP5,AE253=AR5,AF253&lt;=AS5),"r1",IF(AND(AE253=AP5,AE253&lt;AR5,AF253&gt;=AQ5),"r1","n"))))</f>
        <v>r1</v>
      </c>
      <c r="AI253" s="164" t="str">
        <f>IF(AH253&lt;&gt;"n",AH253,IF(AND(AE253=AT5,AE253=AV5,AF253&gt;=AU5,AF253&lt;=AW5),"r2",IF(AND(AE253&gt;AT5,AE253&lt;AV5),"r2",IF(AND(AE253&gt;AT5,AE253=AV5,AF253&lt;=AW5),"r2",IF(AND(AE253=AT5,AE253&lt;AV5,AF253&gt;=AU5),"r2","n")))))</f>
        <v>r1</v>
      </c>
      <c r="AJ253" s="164" t="str">
        <f>IF(AI253&lt;&gt;"n",AI253,IF(AND(AE253=AP6,AE253=AR6,AF253&gt;=AQ6,AF253&lt;=AS6),"r1",IF(AND(AE253&gt;AP6,AE253&lt;AR6),"r1",IF(AND(AE253&gt;AP6,AE253=AR6,AF253&lt;=AS6),"r1",IF(AND(AE253=AP6,AE253&lt;AR6,AF253&gt;=AQ6),"r1","n")))))</f>
        <v>r1</v>
      </c>
      <c r="AK253" s="164" t="str">
        <f>IF(AJ253&lt;&gt;"n",AJ253,IF(AND(AE253=AT6,AE253=AV6,AF253&gt;=AU6,AF253&lt;=AW6),"r2",IF(AND(AE253&gt;AT6,AE253&lt;AV6),"r2",IF(AND(AE253&gt;AT6,AE253=AV6,AF253&lt;=AW6),"r2",IF(AND(AE253=AT6,AE253&lt;AV6,AF253&gt;=AU6),"r2","n")))))</f>
        <v>r1</v>
      </c>
      <c r="AL253" s="164" t="str">
        <f>IF(AK253&lt;&gt;"n",AK253,IF(AND(AE253=AP7,AE253=AR7,AF253&gt;=AQ7,AF253&lt;=AS7),"r1",IF(AND(AE253&gt;AP7,AE253&lt;AR7),"r1",IF(AND(AE253&gt;AP7,AE253=AR7,AF253&lt;=AS7),"r1",IF(AND(AE253=AP7,AE253&lt;AR7,AF253&gt;=AQ7),"r1","n")))))</f>
        <v>r1</v>
      </c>
    </row>
    <row r="254" spans="26:38" ht="17.100000000000001" hidden="1" customHeight="1">
      <c r="Z254" s="176">
        <f t="shared" si="13"/>
        <v>9.4249999999993541</v>
      </c>
      <c r="AA254" s="176">
        <f>IF(TRIM(AG254)="","",IF(INDEX(AZ1:AZ51,AC254)=AG254,INDEX(BA1:BA51,AC254),((AG254-INDEX(AZ1:AZ51,AC254))*(INDEX(BA1:BA51,AC254+1)-INDEX(BA1:BA51,AC254)))/(INDEX(AZ1:AZ51,AC254+1)-INDEX(AZ1:AZ51,AC254))+INDEX(BA1:BA51,AC254)))</f>
        <v>9.4249999999993541</v>
      </c>
      <c r="AB254" s="176" t="e">
        <f>IF(TRIM(AG254)="","",IF(INDEX(BD1:BD51,AD254)=AG254,INDEX(BE1:BE51,AD254),((AG254-INDEX(BD1:BD51,AD254))*(INDEX(BE1:BE51,AD254+1)-INDEX(BE1:BE51,AD254)))/(INDEX(BD1:BD51,AD254+1)-INDEX(BD1:BD51,AD254))+INDEX(BE1:BE51,AD254)))</f>
        <v>#N/A</v>
      </c>
      <c r="AC254" s="164">
        <f>MATCH(AG254,AZ1:AZ51,1)</f>
        <v>5</v>
      </c>
      <c r="AD254" s="164" t="e">
        <f>MATCH(AG254,BD1:BD51,1)</f>
        <v>#N/A</v>
      </c>
      <c r="AE254" s="164">
        <v>9</v>
      </c>
      <c r="AF254" s="164">
        <v>9</v>
      </c>
      <c r="AG254" s="179">
        <f>FIXED('HourGH-DEC'!AB19)*1</f>
        <v>338.09</v>
      </c>
      <c r="AH254" s="164" t="str">
        <f>IF(AND(AE254=AP5,AE254=AR5,AF254&gt;=AQ5,AF254&lt;=AS5),"r1",IF(AND(AE254&gt;AP5,AE254&lt;AR5),"r1",IF(AND(AE254&gt;AP5,AE254=AR5,AF254&lt;=AS5),"r1",IF(AND(AE254=AP5,AE254&lt;AR5,AF254&gt;=AQ5),"r1","n"))))</f>
        <v>r1</v>
      </c>
      <c r="AI254" s="164" t="str">
        <f>IF(AH254&lt;&gt;"n",AH254,IF(AND(AE254=AT5,AE254=AV5,AF254&gt;=AU5,AF254&lt;=AW5),"r2",IF(AND(AE254&gt;AT5,AE254&lt;AV5),"r2",IF(AND(AE254&gt;AT5,AE254=AV5,AF254&lt;=AW5),"r2",IF(AND(AE254=AT5,AE254&lt;AV5,AF254&gt;=AU5),"r2","n")))))</f>
        <v>r1</v>
      </c>
      <c r="AJ254" s="164" t="str">
        <f>IF(AI254&lt;&gt;"n",AI254,IF(AND(AE254=AP6,AE254=AR6,AF254&gt;=AQ6,AF254&lt;=AS6),"r1",IF(AND(AE254&gt;AP6,AE254&lt;AR6),"r1",IF(AND(AE254&gt;AP6,AE254=AR6,AF254&lt;=AS6),"r1",IF(AND(AE254=AP6,AE254&lt;AR6,AF254&gt;=AQ6),"r1","n")))))</f>
        <v>r1</v>
      </c>
      <c r="AK254" s="164" t="str">
        <f>IF(AJ254&lt;&gt;"n",AJ254,IF(AND(AE254=AT6,AE254=AV6,AF254&gt;=AU6,AF254&lt;=AW6),"r2",IF(AND(AE254&gt;AT6,AE254&lt;AV6),"r2",IF(AND(AE254&gt;AT6,AE254=AV6,AF254&lt;=AW6),"r2",IF(AND(AE254=AT6,AE254&lt;AV6,AF254&gt;=AU6),"r2","n")))))</f>
        <v>r1</v>
      </c>
      <c r="AL254" s="164" t="str">
        <f>IF(AK254&lt;&gt;"n",AK254,IF(AND(AE254=AP7,AE254=AR7,AF254&gt;=AQ7,AF254&lt;=AS7),"r1",IF(AND(AE254&gt;AP7,AE254&lt;AR7),"r1",IF(AND(AE254&gt;AP7,AE254=AR7,AF254&lt;=AS7),"r1",IF(AND(AE254=AP7,AE254&lt;AR7,AF254&gt;=AQ7),"r1","n")))))</f>
        <v>r1</v>
      </c>
    </row>
    <row r="255" spans="26:38" ht="17.100000000000001" hidden="1" customHeight="1">
      <c r="Z255" s="176">
        <f t="shared" si="13"/>
        <v>9.0999999999996302</v>
      </c>
      <c r="AA255" s="176">
        <f>IF(TRIM(AG255)="","",IF(INDEX(AZ1:AZ51,AC255)=AG255,INDEX(BA1:BA51,AC255),((AG255-INDEX(AZ1:AZ51,AC255))*(INDEX(BA1:BA51,AC255+1)-INDEX(BA1:BA51,AC255)))/(INDEX(AZ1:AZ51,AC255+1)-INDEX(AZ1:AZ51,AC255))+INDEX(BA1:BA51,AC255)))</f>
        <v>9.0999999999996302</v>
      </c>
      <c r="AB255" s="176" t="e">
        <f>IF(TRIM(AG255)="","",IF(INDEX(BD1:BD51,AD255)=AG255,INDEX(BE1:BE51,AD255),((AG255-INDEX(BD1:BD51,AD255))*(INDEX(BE1:BE51,AD255+1)-INDEX(BE1:BE51,AD255)))/(INDEX(BD1:BD51,AD255+1)-INDEX(BD1:BD51,AD255))+INDEX(BE1:BE51,AD255)))</f>
        <v>#N/A</v>
      </c>
      <c r="AC255" s="164">
        <f>MATCH(AG255,AZ1:AZ51,1)</f>
        <v>5</v>
      </c>
      <c r="AD255" s="164" t="e">
        <f>MATCH(AG255,BD1:BD51,1)</f>
        <v>#N/A</v>
      </c>
      <c r="AE255" s="164">
        <v>9</v>
      </c>
      <c r="AF255" s="164">
        <v>10</v>
      </c>
      <c r="AG255" s="179">
        <f>FIXED('HourGH-DEC'!AB20)*1</f>
        <v>338.08</v>
      </c>
      <c r="AH255" s="164" t="str">
        <f>IF(AND(AE255=AP5,AE255=AR5,AF255&gt;=AQ5,AF255&lt;=AS5),"r1",IF(AND(AE255&gt;AP5,AE255&lt;AR5),"r1",IF(AND(AE255&gt;AP5,AE255=AR5,AF255&lt;=AS5),"r1",IF(AND(AE255=AP5,AE255&lt;AR5,AF255&gt;=AQ5),"r1","n"))))</f>
        <v>r1</v>
      </c>
      <c r="AI255" s="164" t="str">
        <f>IF(AH255&lt;&gt;"n",AH255,IF(AND(AE255=AT5,AE255=AV5,AF255&gt;=AU5,AF255&lt;=AW5),"r2",IF(AND(AE255&gt;AT5,AE255&lt;AV5),"r2",IF(AND(AE255&gt;AT5,AE255=AV5,AF255&lt;=AW5),"r2",IF(AND(AE255=AT5,AE255&lt;AV5,AF255&gt;=AU5),"r2","n")))))</f>
        <v>r1</v>
      </c>
      <c r="AJ255" s="164" t="str">
        <f>IF(AI255&lt;&gt;"n",AI255,IF(AND(AE255=AP6,AE255=AR6,AF255&gt;=AQ6,AF255&lt;=AS6),"r1",IF(AND(AE255&gt;AP6,AE255&lt;AR6),"r1",IF(AND(AE255&gt;AP6,AE255=AR6,AF255&lt;=AS6),"r1",IF(AND(AE255=AP6,AE255&lt;AR6,AF255&gt;=AQ6),"r1","n")))))</f>
        <v>r1</v>
      </c>
      <c r="AK255" s="164" t="str">
        <f>IF(AJ255&lt;&gt;"n",AJ255,IF(AND(AE255=AT6,AE255=AV6,AF255&gt;=AU6,AF255&lt;=AW6),"r2",IF(AND(AE255&gt;AT6,AE255&lt;AV6),"r2",IF(AND(AE255&gt;AT6,AE255=AV6,AF255&lt;=AW6),"r2",IF(AND(AE255=AT6,AE255&lt;AV6,AF255&gt;=AU6),"r2","n")))))</f>
        <v>r1</v>
      </c>
      <c r="AL255" s="164" t="str">
        <f>IF(AK255&lt;&gt;"n",AK255,IF(AND(AE255=AP7,AE255=AR7,AF255&gt;=AQ7,AF255&lt;=AS7),"r1",IF(AND(AE255&gt;AP7,AE255&lt;AR7),"r1",IF(AND(AE255&gt;AP7,AE255=AR7,AF255&lt;=AS7),"r1",IF(AND(AE255=AP7,AE255&lt;AR7,AF255&gt;=AQ7),"r1","n")))))</f>
        <v>r1</v>
      </c>
    </row>
    <row r="256" spans="26:38" ht="17.100000000000001" hidden="1" customHeight="1">
      <c r="Z256" s="176">
        <f t="shared" si="13"/>
        <v>9.0999999999996302</v>
      </c>
      <c r="AA256" s="176">
        <f>IF(TRIM(AG256)="","",IF(INDEX(AZ1:AZ51,AC256)=AG256,INDEX(BA1:BA51,AC256),((AG256-INDEX(AZ1:AZ51,AC256))*(INDEX(BA1:BA51,AC256+1)-INDEX(BA1:BA51,AC256)))/(INDEX(AZ1:AZ51,AC256+1)-INDEX(AZ1:AZ51,AC256))+INDEX(BA1:BA51,AC256)))</f>
        <v>9.0999999999996302</v>
      </c>
      <c r="AB256" s="176" t="e">
        <f>IF(TRIM(AG256)="","",IF(INDEX(BD1:BD51,AD256)=AG256,INDEX(BE1:BE51,AD256),((AG256-INDEX(BD1:BD51,AD256))*(INDEX(BE1:BE51,AD256+1)-INDEX(BE1:BE51,AD256)))/(INDEX(BD1:BD51,AD256+1)-INDEX(BD1:BD51,AD256))+INDEX(BE1:BE51,AD256)))</f>
        <v>#N/A</v>
      </c>
      <c r="AC256" s="164">
        <f>MATCH(AG256,AZ1:AZ51,1)</f>
        <v>5</v>
      </c>
      <c r="AD256" s="164" t="e">
        <f>MATCH(AG256,BD1:BD51,1)</f>
        <v>#N/A</v>
      </c>
      <c r="AE256" s="164">
        <v>9</v>
      </c>
      <c r="AF256" s="164">
        <v>11</v>
      </c>
      <c r="AG256" s="179">
        <f>FIXED('HourGH-DEC'!AB22)*1</f>
        <v>338.08</v>
      </c>
      <c r="AH256" s="164" t="str">
        <f>IF(AND(AE256=AP5,AE256=AR5,AF256&gt;=AQ5,AF256&lt;=AS5),"r1",IF(AND(AE256&gt;AP5,AE256&lt;AR5),"r1",IF(AND(AE256&gt;AP5,AE256=AR5,AF256&lt;=AS5),"r1",IF(AND(AE256=AP5,AE256&lt;AR5,AF256&gt;=AQ5),"r1","n"))))</f>
        <v>r1</v>
      </c>
      <c r="AI256" s="164" t="str">
        <f>IF(AH256&lt;&gt;"n",AH256,IF(AND(AE256=AT5,AE256=AV5,AF256&gt;=AU5,AF256&lt;=AW5),"r2",IF(AND(AE256&gt;AT5,AE256&lt;AV5),"r2",IF(AND(AE256&gt;AT5,AE256=AV5,AF256&lt;=AW5),"r2",IF(AND(AE256=AT5,AE256&lt;AV5,AF256&gt;=AU5),"r2","n")))))</f>
        <v>r1</v>
      </c>
      <c r="AJ256" s="164" t="str">
        <f>IF(AI256&lt;&gt;"n",AI256,IF(AND(AE256=AP6,AE256=AR6,AF256&gt;=AQ6,AF256&lt;=AS6),"r1",IF(AND(AE256&gt;AP6,AE256&lt;AR6),"r1",IF(AND(AE256&gt;AP6,AE256=AR6,AF256&lt;=AS6),"r1",IF(AND(AE256=AP6,AE256&lt;AR6,AF256&gt;=AQ6),"r1","n")))))</f>
        <v>r1</v>
      </c>
      <c r="AK256" s="164" t="str">
        <f>IF(AJ256&lt;&gt;"n",AJ256,IF(AND(AE256=AT6,AE256=AV6,AF256&gt;=AU6,AF256&lt;=AW6),"r2",IF(AND(AE256&gt;AT6,AE256&lt;AV6),"r2",IF(AND(AE256&gt;AT6,AE256=AV6,AF256&lt;=AW6),"r2",IF(AND(AE256=AT6,AE256&lt;AV6,AF256&gt;=AU6),"r2","n")))))</f>
        <v>r1</v>
      </c>
      <c r="AL256" s="164" t="str">
        <f>IF(AK256&lt;&gt;"n",AK256,IF(AND(AE256=AP7,AE256=AR7,AF256&gt;=AQ7,AF256&lt;=AS7),"r1",IF(AND(AE256&gt;AP7,AE256&lt;AR7),"r1",IF(AND(AE256&gt;AP7,AE256=AR7,AF256&lt;=AS7),"r1",IF(AND(AE256=AP7,AE256&lt;AR7,AF256&gt;=AQ7),"r1","n")))))</f>
        <v>r1</v>
      </c>
    </row>
    <row r="257" spans="26:38" ht="17.100000000000001" hidden="1" customHeight="1">
      <c r="Z257" s="176">
        <f t="shared" ref="Z257:Z320" si="14">IF(TRIM(AG257)="","",IF(AL257="r1",IF(COUNT(AA257)=0,0,AA257),IF(AL257="n",0,IF(COUNT(AB257)=0,0,AB257))))</f>
        <v>9.4249999999993541</v>
      </c>
      <c r="AA257" s="176">
        <f>IF(TRIM(AG257)="","",IF(INDEX(AZ1:AZ51,AC257)=AG257,INDEX(BA1:BA51,AC257),((AG257-INDEX(AZ1:AZ51,AC257))*(INDEX(BA1:BA51,AC257+1)-INDEX(BA1:BA51,AC257)))/(INDEX(AZ1:AZ51,AC257+1)-INDEX(AZ1:AZ51,AC257))+INDEX(BA1:BA51,AC257)))</f>
        <v>9.4249999999993541</v>
      </c>
      <c r="AB257" s="176" t="e">
        <f>IF(TRIM(AG257)="","",IF(INDEX(BD1:BD51,AD257)=AG257,INDEX(BE1:BE51,AD257),((AG257-INDEX(BD1:BD51,AD257))*(INDEX(BE1:BE51,AD257+1)-INDEX(BE1:BE51,AD257)))/(INDEX(BD1:BD51,AD257+1)-INDEX(BD1:BD51,AD257))+INDEX(BE1:BE51,AD257)))</f>
        <v>#N/A</v>
      </c>
      <c r="AC257" s="164">
        <f>MATCH(AG257,AZ1:AZ51,1)</f>
        <v>5</v>
      </c>
      <c r="AD257" s="164" t="e">
        <f>MATCH(AG257,BD1:BD51,1)</f>
        <v>#N/A</v>
      </c>
      <c r="AE257" s="164">
        <v>9</v>
      </c>
      <c r="AF257" s="164">
        <v>12</v>
      </c>
      <c r="AG257" s="179">
        <f>FIXED('HourGH-DEC'!AB23)*1</f>
        <v>338.09</v>
      </c>
      <c r="AH257" s="164" t="str">
        <f>IF(AND(AE257=AP5,AE257=AR5,AF257&gt;=AQ5,AF257&lt;=AS5),"r1",IF(AND(AE257&gt;AP5,AE257&lt;AR5),"r1",IF(AND(AE257&gt;AP5,AE257=AR5,AF257&lt;=AS5),"r1",IF(AND(AE257=AP5,AE257&lt;AR5,AF257&gt;=AQ5),"r1","n"))))</f>
        <v>r1</v>
      </c>
      <c r="AI257" s="164" t="str">
        <f>IF(AH257&lt;&gt;"n",AH257,IF(AND(AE257=AT5,AE257=AV5,AF257&gt;=AU5,AF257&lt;=AW5),"r2",IF(AND(AE257&gt;AT5,AE257&lt;AV5),"r2",IF(AND(AE257&gt;AT5,AE257=AV5,AF257&lt;=AW5),"r2",IF(AND(AE257=AT5,AE257&lt;AV5,AF257&gt;=AU5),"r2","n")))))</f>
        <v>r1</v>
      </c>
      <c r="AJ257" s="164" t="str">
        <f>IF(AI257&lt;&gt;"n",AI257,IF(AND(AE257=AP6,AE257=AR6,AF257&gt;=AQ6,AF257&lt;=AS6),"r1",IF(AND(AE257&gt;AP6,AE257&lt;AR6),"r1",IF(AND(AE257&gt;AP6,AE257=AR6,AF257&lt;=AS6),"r1",IF(AND(AE257=AP6,AE257&lt;AR6,AF257&gt;=AQ6),"r1","n")))))</f>
        <v>r1</v>
      </c>
      <c r="AK257" s="164" t="str">
        <f>IF(AJ257&lt;&gt;"n",AJ257,IF(AND(AE257=AT6,AE257=AV6,AF257&gt;=AU6,AF257&lt;=AW6),"r2",IF(AND(AE257&gt;AT6,AE257&lt;AV6),"r2",IF(AND(AE257&gt;AT6,AE257=AV6,AF257&lt;=AW6),"r2",IF(AND(AE257=AT6,AE257&lt;AV6,AF257&gt;=AU6),"r2","n")))))</f>
        <v>r1</v>
      </c>
      <c r="AL257" s="164" t="str">
        <f>IF(AK257&lt;&gt;"n",AK257,IF(AND(AE257=AP7,AE257=AR7,AF257&gt;=AQ7,AF257&lt;=AS7),"r1",IF(AND(AE257&gt;AP7,AE257&lt;AR7),"r1",IF(AND(AE257&gt;AP7,AE257=AR7,AF257&lt;=AS7),"r1",IF(AND(AE257=AP7,AE257&lt;AR7,AF257&gt;=AQ7),"r1","n")))))</f>
        <v>r1</v>
      </c>
    </row>
    <row r="258" spans="26:38" ht="17.100000000000001" hidden="1" customHeight="1">
      <c r="Z258" s="176">
        <f t="shared" si="14"/>
        <v>10.40000000000037</v>
      </c>
      <c r="AA258" s="176">
        <f>IF(TRIM(AG258)="","",IF(INDEX(AZ1:AZ51,AC258)=AG258,INDEX(BA1:BA51,AC258),((AG258-INDEX(AZ1:AZ51,AC258))*(INDEX(BA1:BA51,AC258+1)-INDEX(BA1:BA51,AC258)))/(INDEX(AZ1:AZ51,AC258+1)-INDEX(AZ1:AZ51,AC258))+INDEX(BA1:BA51,AC258)))</f>
        <v>10.40000000000037</v>
      </c>
      <c r="AB258" s="176" t="e">
        <f>IF(TRIM(AG258)="","",IF(INDEX(BD1:BD51,AD258)=AG258,INDEX(BE1:BE51,AD258),((AG258-INDEX(BD1:BD51,AD258))*(INDEX(BE1:BE51,AD258+1)-INDEX(BE1:BE51,AD258)))/(INDEX(BD1:BD51,AD258+1)-INDEX(BD1:BD51,AD258))+INDEX(BE1:BE51,AD258)))</f>
        <v>#N/A</v>
      </c>
      <c r="AC258" s="164">
        <f>MATCH(AG258,AZ1:AZ51,1)</f>
        <v>5</v>
      </c>
      <c r="AD258" s="164" t="e">
        <f>MATCH(AG258,BD1:BD51,1)</f>
        <v>#N/A</v>
      </c>
      <c r="AE258" s="164">
        <v>9</v>
      </c>
      <c r="AF258" s="164">
        <v>13</v>
      </c>
      <c r="AG258" s="179">
        <f>FIXED('HourGH-DEC'!AB24)*1</f>
        <v>338.12</v>
      </c>
      <c r="AH258" s="164" t="str">
        <f>IF(AND(AE258=AP5,AE258=AR5,AF258&gt;=AQ5,AF258&lt;=AS5),"r1",IF(AND(AE258&gt;AP5,AE258&lt;AR5),"r1",IF(AND(AE258&gt;AP5,AE258=AR5,AF258&lt;=AS5),"r1",IF(AND(AE258=AP5,AE258&lt;AR5,AF258&gt;=AQ5),"r1","n"))))</f>
        <v>r1</v>
      </c>
      <c r="AI258" s="164" t="str">
        <f>IF(AH258&lt;&gt;"n",AH258,IF(AND(AE258=AT5,AE258=AV5,AF258&gt;=AU5,AF258&lt;=AW5),"r2",IF(AND(AE258&gt;AT5,AE258&lt;AV5),"r2",IF(AND(AE258&gt;AT5,AE258=AV5,AF258&lt;=AW5),"r2",IF(AND(AE258=AT5,AE258&lt;AV5,AF258&gt;=AU5),"r2","n")))))</f>
        <v>r1</v>
      </c>
      <c r="AJ258" s="164" t="str">
        <f>IF(AI258&lt;&gt;"n",AI258,IF(AND(AE258=AP6,AE258=AR6,AF258&gt;=AQ6,AF258&lt;=AS6),"r1",IF(AND(AE258&gt;AP6,AE258&lt;AR6),"r1",IF(AND(AE258&gt;AP6,AE258=AR6,AF258&lt;=AS6),"r1",IF(AND(AE258=AP6,AE258&lt;AR6,AF258&gt;=AQ6),"r1","n")))))</f>
        <v>r1</v>
      </c>
      <c r="AK258" s="164" t="str">
        <f>IF(AJ258&lt;&gt;"n",AJ258,IF(AND(AE258=AT6,AE258=AV6,AF258&gt;=AU6,AF258&lt;=AW6),"r2",IF(AND(AE258&gt;AT6,AE258&lt;AV6),"r2",IF(AND(AE258&gt;AT6,AE258=AV6,AF258&lt;=AW6),"r2",IF(AND(AE258=AT6,AE258&lt;AV6,AF258&gt;=AU6),"r2","n")))))</f>
        <v>r1</v>
      </c>
      <c r="AL258" s="164" t="str">
        <f>IF(AK258&lt;&gt;"n",AK258,IF(AND(AE258=AP7,AE258=AR7,AF258&gt;=AQ7,AF258&lt;=AS7),"r1",IF(AND(AE258&gt;AP7,AE258&lt;AR7),"r1",IF(AND(AE258&gt;AP7,AE258=AR7,AF258&lt;=AS7),"r1",IF(AND(AE258=AP7,AE258&lt;AR7,AF258&gt;=AQ7),"r1","n")))))</f>
        <v>r1</v>
      </c>
    </row>
    <row r="259" spans="26:38" ht="17.100000000000001" hidden="1" customHeight="1">
      <c r="Z259" s="176">
        <f t="shared" si="14"/>
        <v>19.299999999999745</v>
      </c>
      <c r="AA259" s="176">
        <f>IF(TRIM(AG259)="","",IF(INDEX(AZ1:AZ51,AC259)=AG259,INDEX(BA1:BA51,AC259),((AG259-INDEX(AZ1:AZ51,AC259))*(INDEX(BA1:BA51,AC259+1)-INDEX(BA1:BA51,AC259)))/(INDEX(AZ1:AZ51,AC259+1)-INDEX(AZ1:AZ51,AC259))+INDEX(BA1:BA51,AC259)))</f>
        <v>19.299999999999745</v>
      </c>
      <c r="AB259" s="176" t="e">
        <f>IF(TRIM(AG259)="","",IF(INDEX(BD1:BD51,AD259)=AG259,INDEX(BE1:BE51,AD259),((AG259-INDEX(BD1:BD51,AD259))*(INDEX(BE1:BE51,AD259+1)-INDEX(BE1:BE51,AD259)))/(INDEX(BD1:BD51,AD259+1)-INDEX(BD1:BD51,AD259))+INDEX(BE1:BE51,AD259)))</f>
        <v>#N/A</v>
      </c>
      <c r="AC259" s="164">
        <f>MATCH(AG259,AZ1:AZ51,1)</f>
        <v>6</v>
      </c>
      <c r="AD259" s="164" t="e">
        <f>MATCH(AG259,BD1:BD51,1)</f>
        <v>#N/A</v>
      </c>
      <c r="AE259" s="164">
        <v>9</v>
      </c>
      <c r="AF259" s="164">
        <v>14</v>
      </c>
      <c r="AG259" s="179">
        <f>FIXED('HourGH-DEC'!AB25)*1</f>
        <v>338.34</v>
      </c>
      <c r="AH259" s="164" t="str">
        <f>IF(AND(AE259=AP5,AE259=AR5,AF259&gt;=AQ5,AF259&lt;=AS5),"r1",IF(AND(AE259&gt;AP5,AE259&lt;AR5),"r1",IF(AND(AE259&gt;AP5,AE259=AR5,AF259&lt;=AS5),"r1",IF(AND(AE259=AP5,AE259&lt;AR5,AF259&gt;=AQ5),"r1","n"))))</f>
        <v>r1</v>
      </c>
      <c r="AI259" s="164" t="str">
        <f>IF(AH259&lt;&gt;"n",AH259,IF(AND(AE259=AT5,AE259=AV5,AF259&gt;=AU5,AF259&lt;=AW5),"r2",IF(AND(AE259&gt;AT5,AE259&lt;AV5),"r2",IF(AND(AE259&gt;AT5,AE259=AV5,AF259&lt;=AW5),"r2",IF(AND(AE259=AT5,AE259&lt;AV5,AF259&gt;=AU5),"r2","n")))))</f>
        <v>r1</v>
      </c>
      <c r="AJ259" s="164" t="str">
        <f>IF(AI259&lt;&gt;"n",AI259,IF(AND(AE259=AP6,AE259=AR6,AF259&gt;=AQ6,AF259&lt;=AS6),"r1",IF(AND(AE259&gt;AP6,AE259&lt;AR6),"r1",IF(AND(AE259&gt;AP6,AE259=AR6,AF259&lt;=AS6),"r1",IF(AND(AE259=AP6,AE259&lt;AR6,AF259&gt;=AQ6),"r1","n")))))</f>
        <v>r1</v>
      </c>
      <c r="AK259" s="164" t="str">
        <f>IF(AJ259&lt;&gt;"n",AJ259,IF(AND(AE259=AT6,AE259=AV6,AF259&gt;=AU6,AF259&lt;=AW6),"r2",IF(AND(AE259&gt;AT6,AE259&lt;AV6),"r2",IF(AND(AE259&gt;AT6,AE259=AV6,AF259&lt;=AW6),"r2",IF(AND(AE259=AT6,AE259&lt;AV6,AF259&gt;=AU6),"r2","n")))))</f>
        <v>r1</v>
      </c>
      <c r="AL259" s="164" t="str">
        <f>IF(AK259&lt;&gt;"n",AK259,IF(AND(AE259=AP7,AE259=AR7,AF259&gt;=AQ7,AF259&lt;=AS7),"r1",IF(AND(AE259&gt;AP7,AE259&lt;AR7),"r1",IF(AND(AE259&gt;AP7,AE259=AR7,AF259&lt;=AS7),"r1",IF(AND(AE259=AP7,AE259&lt;AR7,AF259&gt;=AQ7),"r1","n")))))</f>
        <v>r1</v>
      </c>
    </row>
    <row r="260" spans="26:38" ht="17.100000000000001" hidden="1" customHeight="1">
      <c r="Z260" s="176">
        <f t="shared" si="14"/>
        <v>29.000000000001563</v>
      </c>
      <c r="AA260" s="176">
        <f>IF(TRIM(AG260)="","",IF(INDEX(AZ1:AZ51,AC260)=AG260,INDEX(BA1:BA51,AC260),((AG260-INDEX(AZ1:AZ51,AC260))*(INDEX(BA1:BA51,AC260+1)-INDEX(BA1:BA51,AC260)))/(INDEX(AZ1:AZ51,AC260+1)-INDEX(AZ1:AZ51,AC260))+INDEX(BA1:BA51,AC260)))</f>
        <v>29.000000000001563</v>
      </c>
      <c r="AB260" s="176" t="e">
        <f>IF(TRIM(AG260)="","",IF(INDEX(BD1:BD51,AD260)=AG260,INDEX(BE1:BE51,AD260),((AG260-INDEX(BD1:BD51,AD260))*(INDEX(BE1:BE51,AD260+1)-INDEX(BE1:BE51,AD260)))/(INDEX(BD1:BD51,AD260+1)-INDEX(BD1:BD51,AD260))+INDEX(BE1:BE51,AD260)))</f>
        <v>#N/A</v>
      </c>
      <c r="AC260" s="164">
        <f>MATCH(AG260,AZ1:AZ51,1)</f>
        <v>7</v>
      </c>
      <c r="AD260" s="164" t="e">
        <f>MATCH(AG260,BD1:BD51,1)</f>
        <v>#N/A</v>
      </c>
      <c r="AE260" s="164">
        <v>9</v>
      </c>
      <c r="AF260" s="164">
        <v>15</v>
      </c>
      <c r="AG260" s="179">
        <f>FIXED('HourGH-DEC'!AB26)*1</f>
        <v>338.54</v>
      </c>
      <c r="AH260" s="164" t="str">
        <f>IF(AND(AE260=AP5,AE260=AR5,AF260&gt;=AQ5,AF260&lt;=AS5),"r1",IF(AND(AE260&gt;AP5,AE260&lt;AR5),"r1",IF(AND(AE260&gt;AP5,AE260=AR5,AF260&lt;=AS5),"r1",IF(AND(AE260=AP5,AE260&lt;AR5,AF260&gt;=AQ5),"r1","n"))))</f>
        <v>r1</v>
      </c>
      <c r="AI260" s="164" t="str">
        <f>IF(AH260&lt;&gt;"n",AH260,IF(AND(AE260=AT5,AE260=AV5,AF260&gt;=AU5,AF260&lt;=AW5),"r2",IF(AND(AE260&gt;AT5,AE260&lt;AV5),"r2",IF(AND(AE260&gt;AT5,AE260=AV5,AF260&lt;=AW5),"r2",IF(AND(AE260=AT5,AE260&lt;AV5,AF260&gt;=AU5),"r2","n")))))</f>
        <v>r1</v>
      </c>
      <c r="AJ260" s="164" t="str">
        <f>IF(AI260&lt;&gt;"n",AI260,IF(AND(AE260=AP6,AE260=AR6,AF260&gt;=AQ6,AF260&lt;=AS6),"r1",IF(AND(AE260&gt;AP6,AE260&lt;AR6),"r1",IF(AND(AE260&gt;AP6,AE260=AR6,AF260&lt;=AS6),"r1",IF(AND(AE260=AP6,AE260&lt;AR6,AF260&gt;=AQ6),"r1","n")))))</f>
        <v>r1</v>
      </c>
      <c r="AK260" s="164" t="str">
        <f>IF(AJ260&lt;&gt;"n",AJ260,IF(AND(AE260=AT6,AE260=AV6,AF260&gt;=AU6,AF260&lt;=AW6),"r2",IF(AND(AE260&gt;AT6,AE260&lt;AV6),"r2",IF(AND(AE260&gt;AT6,AE260=AV6,AF260&lt;=AW6),"r2",IF(AND(AE260=AT6,AE260&lt;AV6,AF260&gt;=AU6),"r2","n")))))</f>
        <v>r1</v>
      </c>
      <c r="AL260" s="164" t="str">
        <f>IF(AK260&lt;&gt;"n",AK260,IF(AND(AE260=AP7,AE260=AR7,AF260&gt;=AQ7,AF260&lt;=AS7),"r1",IF(AND(AE260&gt;AP7,AE260&lt;AR7),"r1",IF(AND(AE260&gt;AP7,AE260=AR7,AF260&lt;=AS7),"r1",IF(AND(AE260=AP7,AE260&lt;AR7,AF260&gt;=AQ7),"r1","n")))))</f>
        <v>r1</v>
      </c>
    </row>
    <row r="261" spans="26:38" ht="17.100000000000001" hidden="1" customHeight="1">
      <c r="Z261" s="176">
        <f t="shared" si="14"/>
        <v>27.500000000000213</v>
      </c>
      <c r="AA261" s="176">
        <f>IF(TRIM(AG261)="","",IF(INDEX(AZ1:AZ51,AC261)=AG261,INDEX(BA1:BA51,AC261),((AG261-INDEX(AZ1:AZ51,AC261))*(INDEX(BA1:BA51,AC261+1)-INDEX(BA1:BA51,AC261)))/(INDEX(AZ1:AZ51,AC261+1)-INDEX(AZ1:AZ51,AC261))+INDEX(BA1:BA51,AC261)))</f>
        <v>27.500000000000213</v>
      </c>
      <c r="AB261" s="176" t="e">
        <f>IF(TRIM(AG261)="","",IF(INDEX(BD1:BD51,AD261)=AG261,INDEX(BE1:BE51,AD261),((AG261-INDEX(BD1:BD51,AD261))*(INDEX(BE1:BE51,AD261+1)-INDEX(BE1:BE51,AD261)))/(INDEX(BD1:BD51,AD261+1)-INDEX(BD1:BD51,AD261))+INDEX(BE1:BE51,AD261)))</f>
        <v>#N/A</v>
      </c>
      <c r="AC261" s="164">
        <f>MATCH(AG261,AZ1:AZ51,1)</f>
        <v>7</v>
      </c>
      <c r="AD261" s="164" t="e">
        <f>MATCH(AG261,BD1:BD51,1)</f>
        <v>#N/A</v>
      </c>
      <c r="AE261" s="164">
        <v>9</v>
      </c>
      <c r="AF261" s="164">
        <v>16</v>
      </c>
      <c r="AG261" s="179">
        <f>FIXED('HourGH-DEC'!AB27)*1</f>
        <v>338.51</v>
      </c>
      <c r="AH261" s="164" t="str">
        <f>IF(AND(AE261=AP5,AE261=AR5,AF261&gt;=AQ5,AF261&lt;=AS5),"r1",IF(AND(AE261&gt;AP5,AE261&lt;AR5),"r1",IF(AND(AE261&gt;AP5,AE261=AR5,AF261&lt;=AS5),"r1",IF(AND(AE261=AP5,AE261&lt;AR5,AF261&gt;=AQ5),"r1","n"))))</f>
        <v>r1</v>
      </c>
      <c r="AI261" s="164" t="str">
        <f>IF(AH261&lt;&gt;"n",AH261,IF(AND(AE261=AT5,AE261=AV5,AF261&gt;=AU5,AF261&lt;=AW5),"r2",IF(AND(AE261&gt;AT5,AE261&lt;AV5),"r2",IF(AND(AE261&gt;AT5,AE261=AV5,AF261&lt;=AW5),"r2",IF(AND(AE261=AT5,AE261&lt;AV5,AF261&gt;=AU5),"r2","n")))))</f>
        <v>r1</v>
      </c>
      <c r="AJ261" s="164" t="str">
        <f>IF(AI261&lt;&gt;"n",AI261,IF(AND(AE261=AP6,AE261=AR6,AF261&gt;=AQ6,AF261&lt;=AS6),"r1",IF(AND(AE261&gt;AP6,AE261&lt;AR6),"r1",IF(AND(AE261&gt;AP6,AE261=AR6,AF261&lt;=AS6),"r1",IF(AND(AE261=AP6,AE261&lt;AR6,AF261&gt;=AQ6),"r1","n")))))</f>
        <v>r1</v>
      </c>
      <c r="AK261" s="164" t="str">
        <f>IF(AJ261&lt;&gt;"n",AJ261,IF(AND(AE261=AT6,AE261=AV6,AF261&gt;=AU6,AF261&lt;=AW6),"r2",IF(AND(AE261&gt;AT6,AE261&lt;AV6),"r2",IF(AND(AE261&gt;AT6,AE261=AV6,AF261&lt;=AW6),"r2",IF(AND(AE261=AT6,AE261&lt;AV6,AF261&gt;=AU6),"r2","n")))))</f>
        <v>r1</v>
      </c>
      <c r="AL261" s="164" t="str">
        <f>IF(AK261&lt;&gt;"n",AK261,IF(AND(AE261=AP7,AE261=AR7,AF261&gt;=AQ7,AF261&lt;=AS7),"r1",IF(AND(AE261&gt;AP7,AE261&lt;AR7),"r1",IF(AND(AE261&gt;AP7,AE261=AR7,AF261&lt;=AS7),"r1",IF(AND(AE261=AP7,AE261&lt;AR7,AF261&gt;=AQ7),"r1","n")))))</f>
        <v>r1</v>
      </c>
    </row>
    <row r="262" spans="26:38" ht="17.100000000000001" hidden="1" customHeight="1">
      <c r="Z262" s="176">
        <f t="shared" si="14"/>
        <v>16.149999999999871</v>
      </c>
      <c r="AA262" s="176">
        <f>IF(TRIM(AG262)="","",IF(INDEX(AZ1:AZ51,AC262)=AG262,INDEX(BA1:BA51,AC262),((AG262-INDEX(AZ1:AZ51,AC262))*(INDEX(BA1:BA51,AC262+1)-INDEX(BA1:BA51,AC262)))/(INDEX(AZ1:AZ51,AC262+1)-INDEX(AZ1:AZ51,AC262))+INDEX(BA1:BA51,AC262)))</f>
        <v>16.149999999999871</v>
      </c>
      <c r="AB262" s="176" t="e">
        <f>IF(TRIM(AG262)="","",IF(INDEX(BD1:BD51,AD262)=AG262,INDEX(BE1:BE51,AD262),((AG262-INDEX(BD1:BD51,AD262))*(INDEX(BE1:BE51,AD262+1)-INDEX(BE1:BE51,AD262)))/(INDEX(BD1:BD51,AD262+1)-INDEX(BD1:BD51,AD262))+INDEX(BE1:BE51,AD262)))</f>
        <v>#N/A</v>
      </c>
      <c r="AC262" s="164">
        <f>MATCH(AG262,AZ1:AZ51,1)</f>
        <v>6</v>
      </c>
      <c r="AD262" s="164" t="e">
        <f>MATCH(AG262,BD1:BD51,1)</f>
        <v>#N/A</v>
      </c>
      <c r="AE262" s="164">
        <v>9</v>
      </c>
      <c r="AF262" s="164">
        <v>17</v>
      </c>
      <c r="AG262" s="179">
        <f>FIXED('HourGH-DEC'!AB28)*1</f>
        <v>338.27</v>
      </c>
      <c r="AH262" s="164" t="str">
        <f>IF(AND(AE262=AP5,AE262=AR5,AF262&gt;=AQ5,AF262&lt;=AS5),"r1",IF(AND(AE262&gt;AP5,AE262&lt;AR5),"r1",IF(AND(AE262&gt;AP5,AE262=AR5,AF262&lt;=AS5),"r1",IF(AND(AE262=AP5,AE262&lt;AR5,AF262&gt;=AQ5),"r1","n"))))</f>
        <v>r1</v>
      </c>
      <c r="AI262" s="164" t="str">
        <f>IF(AH262&lt;&gt;"n",AH262,IF(AND(AE262=AT5,AE262=AV5,AF262&gt;=AU5,AF262&lt;=AW5),"r2",IF(AND(AE262&gt;AT5,AE262&lt;AV5),"r2",IF(AND(AE262&gt;AT5,AE262=AV5,AF262&lt;=AW5),"r2",IF(AND(AE262=AT5,AE262&lt;AV5,AF262&gt;=AU5),"r2","n")))))</f>
        <v>r1</v>
      </c>
      <c r="AJ262" s="164" t="str">
        <f>IF(AI262&lt;&gt;"n",AI262,IF(AND(AE262=AP6,AE262=AR6,AF262&gt;=AQ6,AF262&lt;=AS6),"r1",IF(AND(AE262&gt;AP6,AE262&lt;AR6),"r1",IF(AND(AE262&gt;AP6,AE262=AR6,AF262&lt;=AS6),"r1",IF(AND(AE262=AP6,AE262&lt;AR6,AF262&gt;=AQ6),"r1","n")))))</f>
        <v>r1</v>
      </c>
      <c r="AK262" s="164" t="str">
        <f>IF(AJ262&lt;&gt;"n",AJ262,IF(AND(AE262=AT6,AE262=AV6,AF262&gt;=AU6,AF262&lt;=AW6),"r2",IF(AND(AE262&gt;AT6,AE262&lt;AV6),"r2",IF(AND(AE262&gt;AT6,AE262=AV6,AF262&lt;=AW6),"r2",IF(AND(AE262=AT6,AE262&lt;AV6,AF262&gt;=AU6),"r2","n")))))</f>
        <v>r1</v>
      </c>
      <c r="AL262" s="164" t="str">
        <f>IF(AK262&lt;&gt;"n",AK262,IF(AND(AE262=AP7,AE262=AR7,AF262&gt;=AQ7,AF262&lt;=AS7),"r1",IF(AND(AE262&gt;AP7,AE262&lt;AR7),"r1",IF(AND(AE262&gt;AP7,AE262=AR7,AF262&lt;=AS7),"r1",IF(AND(AE262=AP7,AE262&lt;AR7,AF262&gt;=AQ7),"r1","n")))))</f>
        <v>r1</v>
      </c>
    </row>
    <row r="263" spans="26:38" ht="17.100000000000001" hidden="1" customHeight="1">
      <c r="Z263" s="176">
        <f t="shared" si="14"/>
        <v>13</v>
      </c>
      <c r="AA263" s="176">
        <f>IF(TRIM(AG263)="","",IF(INDEX(AZ1:AZ51,AC263)=AG263,INDEX(BA1:BA51,AC263),((AG263-INDEX(AZ1:AZ51,AC263))*(INDEX(BA1:BA51,AC263+1)-INDEX(BA1:BA51,AC263)))/(INDEX(AZ1:AZ51,AC263+1)-INDEX(AZ1:AZ51,AC263))+INDEX(BA1:BA51,AC263)))</f>
        <v>13</v>
      </c>
      <c r="AB263" s="176" t="e">
        <f>IF(TRIM(AG263)="","",IF(INDEX(BD1:BD51,AD263)=AG263,INDEX(BE1:BE51,AD263),((AG263-INDEX(BD1:BD51,AD263))*(INDEX(BE1:BE51,AD263+1)-INDEX(BE1:BE51,AD263)))/(INDEX(BD1:BD51,AD263+1)-INDEX(BD1:BD51,AD263))+INDEX(BE1:BE51,AD263)))</f>
        <v>#N/A</v>
      </c>
      <c r="AC263" s="164">
        <f>MATCH(AG263,AZ1:AZ51,1)</f>
        <v>6</v>
      </c>
      <c r="AD263" s="164" t="e">
        <f>MATCH(AG263,BD1:BD51,1)</f>
        <v>#N/A</v>
      </c>
      <c r="AE263" s="164">
        <v>9</v>
      </c>
      <c r="AF263" s="164">
        <v>18</v>
      </c>
      <c r="AG263" s="179">
        <f>FIXED('HourGH-DEC'!AB29)*1</f>
        <v>338.2</v>
      </c>
      <c r="AH263" s="164" t="str">
        <f>IF(AND(AE263=AP5,AE263=AR5,AF263&gt;=AQ5,AF263&lt;=AS5),"r1",IF(AND(AE263&gt;AP5,AE263&lt;AR5),"r1",IF(AND(AE263&gt;AP5,AE263=AR5,AF263&lt;=AS5),"r1",IF(AND(AE263=AP5,AE263&lt;AR5,AF263&gt;=AQ5),"r1","n"))))</f>
        <v>r1</v>
      </c>
      <c r="AI263" s="164" t="str">
        <f>IF(AH263&lt;&gt;"n",AH263,IF(AND(AE263=AT5,AE263=AV5,AF263&gt;=AU5,AF263&lt;=AW5),"r2",IF(AND(AE263&gt;AT5,AE263&lt;AV5),"r2",IF(AND(AE263&gt;AT5,AE263=AV5,AF263&lt;=AW5),"r2",IF(AND(AE263=AT5,AE263&lt;AV5,AF263&gt;=AU5),"r2","n")))))</f>
        <v>r1</v>
      </c>
      <c r="AJ263" s="164" t="str">
        <f>IF(AI263&lt;&gt;"n",AI263,IF(AND(AE263=AP6,AE263=AR6,AF263&gt;=AQ6,AF263&lt;=AS6),"r1",IF(AND(AE263&gt;AP6,AE263&lt;AR6),"r1",IF(AND(AE263&gt;AP6,AE263=AR6,AF263&lt;=AS6),"r1",IF(AND(AE263=AP6,AE263&lt;AR6,AF263&gt;=AQ6),"r1","n")))))</f>
        <v>r1</v>
      </c>
      <c r="AK263" s="164" t="str">
        <f>IF(AJ263&lt;&gt;"n",AJ263,IF(AND(AE263=AT6,AE263=AV6,AF263&gt;=AU6,AF263&lt;=AW6),"r2",IF(AND(AE263&gt;AT6,AE263&lt;AV6),"r2",IF(AND(AE263&gt;AT6,AE263=AV6,AF263&lt;=AW6),"r2",IF(AND(AE263=AT6,AE263&lt;AV6,AF263&gt;=AU6),"r2","n")))))</f>
        <v>r1</v>
      </c>
      <c r="AL263" s="164" t="str">
        <f>IF(AK263&lt;&gt;"n",AK263,IF(AND(AE263=AP7,AE263=AR7,AF263&gt;=AQ7,AF263&lt;=AS7),"r1",IF(AND(AE263&gt;AP7,AE263&lt;AR7),"r1",IF(AND(AE263&gt;AP7,AE263=AR7,AF263&lt;=AS7),"r1",IF(AND(AE263=AP7,AE263&lt;AR7,AF263&gt;=AQ7),"r1","n")))))</f>
        <v>r1</v>
      </c>
    </row>
    <row r="264" spans="26:38" ht="17.100000000000001" hidden="1" customHeight="1">
      <c r="Z264" s="176">
        <f t="shared" si="14"/>
        <v>12.025000000000832</v>
      </c>
      <c r="AA264" s="176">
        <f>IF(TRIM(AG264)="","",IF(INDEX(AZ1:AZ51,AC264)=AG264,INDEX(BA1:BA51,AC264),((AG264-INDEX(AZ1:AZ51,AC264))*(INDEX(BA1:BA51,AC264+1)-INDEX(BA1:BA51,AC264)))/(INDEX(AZ1:AZ51,AC264+1)-INDEX(AZ1:AZ51,AC264))+INDEX(BA1:BA51,AC264)))</f>
        <v>12.025000000000832</v>
      </c>
      <c r="AB264" s="176" t="e">
        <f>IF(TRIM(AG264)="","",IF(INDEX(BD1:BD51,AD264)=AG264,INDEX(BE1:BE51,AD264),((AG264-INDEX(BD1:BD51,AD264))*(INDEX(BE1:BE51,AD264+1)-INDEX(BE1:BE51,AD264)))/(INDEX(BD1:BD51,AD264+1)-INDEX(BD1:BD51,AD264))+INDEX(BE1:BE51,AD264)))</f>
        <v>#N/A</v>
      </c>
      <c r="AC264" s="164">
        <f>MATCH(AG264,AZ1:AZ51,1)</f>
        <v>5</v>
      </c>
      <c r="AD264" s="164" t="e">
        <f>MATCH(AG264,BD1:BD51,1)</f>
        <v>#N/A</v>
      </c>
      <c r="AE264" s="164">
        <v>9</v>
      </c>
      <c r="AF264" s="164">
        <v>19</v>
      </c>
      <c r="AG264" s="179">
        <f>FIXED('HourGH-DEC'!AB30)*1</f>
        <v>338.17</v>
      </c>
      <c r="AH264" s="164" t="str">
        <f>IF(AND(AE264=AP5,AE264=AR5,AF264&gt;=AQ5,AF264&lt;=AS5),"r1",IF(AND(AE264&gt;AP5,AE264&lt;AR5),"r1",IF(AND(AE264&gt;AP5,AE264=AR5,AF264&lt;=AS5),"r1",IF(AND(AE264=AP5,AE264&lt;AR5,AF264&gt;=AQ5),"r1","n"))))</f>
        <v>r1</v>
      </c>
      <c r="AI264" s="164" t="str">
        <f>IF(AH264&lt;&gt;"n",AH264,IF(AND(AE264=AT5,AE264=AV5,AF264&gt;=AU5,AF264&lt;=AW5),"r2",IF(AND(AE264&gt;AT5,AE264&lt;AV5),"r2",IF(AND(AE264&gt;AT5,AE264=AV5,AF264&lt;=AW5),"r2",IF(AND(AE264=AT5,AE264&lt;AV5,AF264&gt;=AU5),"r2","n")))))</f>
        <v>r1</v>
      </c>
      <c r="AJ264" s="164" t="str">
        <f>IF(AI264&lt;&gt;"n",AI264,IF(AND(AE264=AP6,AE264=AR6,AF264&gt;=AQ6,AF264&lt;=AS6),"r1",IF(AND(AE264&gt;AP6,AE264&lt;AR6),"r1",IF(AND(AE264&gt;AP6,AE264=AR6,AF264&lt;=AS6),"r1",IF(AND(AE264=AP6,AE264&lt;AR6,AF264&gt;=AQ6),"r1","n")))))</f>
        <v>r1</v>
      </c>
      <c r="AK264" s="164" t="str">
        <f>IF(AJ264&lt;&gt;"n",AJ264,IF(AND(AE264=AT6,AE264=AV6,AF264&gt;=AU6,AF264&lt;=AW6),"r2",IF(AND(AE264&gt;AT6,AE264&lt;AV6),"r2",IF(AND(AE264&gt;AT6,AE264=AV6,AF264&lt;=AW6),"r2",IF(AND(AE264=AT6,AE264&lt;AV6,AF264&gt;=AU6),"r2","n")))))</f>
        <v>r1</v>
      </c>
      <c r="AL264" s="164" t="str">
        <f>IF(AK264&lt;&gt;"n",AK264,IF(AND(AE264=AP7,AE264=AR7,AF264&gt;=AQ7,AF264&lt;=AS7),"r1",IF(AND(AE264&gt;AP7,AE264&lt;AR7),"r1",IF(AND(AE264&gt;AP7,AE264=AR7,AF264&lt;=AS7),"r1",IF(AND(AE264=AP7,AE264&lt;AR7,AF264&gt;=AQ7),"r1","n")))))</f>
        <v>r1</v>
      </c>
    </row>
    <row r="265" spans="26:38" ht="17.100000000000001" hidden="1" customHeight="1">
      <c r="Z265" s="176">
        <f t="shared" si="14"/>
        <v>10.725000000000092</v>
      </c>
      <c r="AA265" s="176">
        <f>IF(TRIM(AG265)="","",IF(INDEX(AZ1:AZ51,AC265)=AG265,INDEX(BA1:BA51,AC265),((AG265-INDEX(AZ1:AZ51,AC265))*(INDEX(BA1:BA51,AC265+1)-INDEX(BA1:BA51,AC265)))/(INDEX(AZ1:AZ51,AC265+1)-INDEX(AZ1:AZ51,AC265))+INDEX(BA1:BA51,AC265)))</f>
        <v>10.725000000000092</v>
      </c>
      <c r="AB265" s="176" t="e">
        <f>IF(TRIM(AG265)="","",IF(INDEX(BD1:BD51,AD265)=AG265,INDEX(BE1:BE51,AD265),((AG265-INDEX(BD1:BD51,AD265))*(INDEX(BE1:BE51,AD265+1)-INDEX(BE1:BE51,AD265)))/(INDEX(BD1:BD51,AD265+1)-INDEX(BD1:BD51,AD265))+INDEX(BE1:BE51,AD265)))</f>
        <v>#N/A</v>
      </c>
      <c r="AC265" s="164">
        <f>MATCH(AG265,AZ1:AZ51,1)</f>
        <v>5</v>
      </c>
      <c r="AD265" s="164" t="e">
        <f>MATCH(AG265,BD1:BD51,1)</f>
        <v>#N/A</v>
      </c>
      <c r="AE265" s="164">
        <v>9</v>
      </c>
      <c r="AF265" s="164">
        <v>20</v>
      </c>
      <c r="AG265" s="179">
        <f>FIXED('HourGH-DEC'!AB31)*1</f>
        <v>338.13</v>
      </c>
      <c r="AH265" s="164" t="str">
        <f>IF(AND(AE265=AP5,AE265=AR5,AF265&gt;=AQ5,AF265&lt;=AS5),"r1",IF(AND(AE265&gt;AP5,AE265&lt;AR5),"r1",IF(AND(AE265&gt;AP5,AE265=AR5,AF265&lt;=AS5),"r1",IF(AND(AE265=AP5,AE265&lt;AR5,AF265&gt;=AQ5),"r1","n"))))</f>
        <v>r1</v>
      </c>
      <c r="AI265" s="164" t="str">
        <f>IF(AH265&lt;&gt;"n",AH265,IF(AND(AE265=AT5,AE265=AV5,AF265&gt;=AU5,AF265&lt;=AW5),"r2",IF(AND(AE265&gt;AT5,AE265&lt;AV5),"r2",IF(AND(AE265&gt;AT5,AE265=AV5,AF265&lt;=AW5),"r2",IF(AND(AE265=AT5,AE265&lt;AV5,AF265&gt;=AU5),"r2","n")))))</f>
        <v>r1</v>
      </c>
      <c r="AJ265" s="164" t="str">
        <f>IF(AI265&lt;&gt;"n",AI265,IF(AND(AE265=AP6,AE265=AR6,AF265&gt;=AQ6,AF265&lt;=AS6),"r1",IF(AND(AE265&gt;AP6,AE265&lt;AR6),"r1",IF(AND(AE265&gt;AP6,AE265=AR6,AF265&lt;=AS6),"r1",IF(AND(AE265=AP6,AE265&lt;AR6,AF265&gt;=AQ6),"r1","n")))))</f>
        <v>r1</v>
      </c>
      <c r="AK265" s="164" t="str">
        <f>IF(AJ265&lt;&gt;"n",AJ265,IF(AND(AE265=AT6,AE265=AV6,AF265&gt;=AU6,AF265&lt;=AW6),"r2",IF(AND(AE265&gt;AT6,AE265&lt;AV6),"r2",IF(AND(AE265&gt;AT6,AE265=AV6,AF265&lt;=AW6),"r2",IF(AND(AE265=AT6,AE265&lt;AV6,AF265&gt;=AU6),"r2","n")))))</f>
        <v>r1</v>
      </c>
      <c r="AL265" s="164" t="str">
        <f>IF(AK265&lt;&gt;"n",AK265,IF(AND(AE265=AP7,AE265=AR7,AF265&gt;=AQ7,AF265&lt;=AS7),"r1",IF(AND(AE265&gt;AP7,AE265&lt;AR7),"r1",IF(AND(AE265&gt;AP7,AE265=AR7,AF265&lt;=AS7),"r1",IF(AND(AE265=AP7,AE265&lt;AR7,AF265&gt;=AQ7),"r1","n")))))</f>
        <v>r1</v>
      </c>
    </row>
    <row r="266" spans="26:38" ht="17.100000000000001" hidden="1" customHeight="1">
      <c r="Z266" s="176">
        <f t="shared" si="14"/>
        <v>9.7500000000009237</v>
      </c>
      <c r="AA266" s="176">
        <f>IF(TRIM(AG266)="","",IF(INDEX(AZ1:AZ51,AC266)=AG266,INDEX(BA1:BA51,AC266),((AG266-INDEX(AZ1:AZ51,AC266))*(INDEX(BA1:BA51,AC266+1)-INDEX(BA1:BA51,AC266)))/(INDEX(AZ1:AZ51,AC266+1)-INDEX(AZ1:AZ51,AC266))+INDEX(BA1:BA51,AC266)))</f>
        <v>9.7500000000009237</v>
      </c>
      <c r="AB266" s="176" t="e">
        <f>IF(TRIM(AG266)="","",IF(INDEX(BD1:BD51,AD266)=AG266,INDEX(BE1:BE51,AD266),((AG266-INDEX(BD1:BD51,AD266))*(INDEX(BE1:BE51,AD266+1)-INDEX(BE1:BE51,AD266)))/(INDEX(BD1:BD51,AD266+1)-INDEX(BD1:BD51,AD266))+INDEX(BE1:BE51,AD266)))</f>
        <v>#N/A</v>
      </c>
      <c r="AC266" s="164">
        <f>MATCH(AG266,AZ1:AZ51,1)</f>
        <v>5</v>
      </c>
      <c r="AD266" s="164" t="e">
        <f>MATCH(AG266,BD1:BD51,1)</f>
        <v>#N/A</v>
      </c>
      <c r="AE266" s="164">
        <v>9</v>
      </c>
      <c r="AF266" s="164">
        <v>21</v>
      </c>
      <c r="AG266" s="179">
        <f>FIXED('HourGH-DEC'!AB33)*1</f>
        <v>338.1</v>
      </c>
      <c r="AH266" s="164" t="str">
        <f>IF(AND(AE266=AP5,AE266=AR5,AF266&gt;=AQ5,AF266&lt;=AS5),"r1",IF(AND(AE266&gt;AP5,AE266&lt;AR5),"r1",IF(AND(AE266&gt;AP5,AE266=AR5,AF266&lt;=AS5),"r1",IF(AND(AE266=AP5,AE266&lt;AR5,AF266&gt;=AQ5),"r1","n"))))</f>
        <v>r1</v>
      </c>
      <c r="AI266" s="164" t="str">
        <f>IF(AH266&lt;&gt;"n",AH266,IF(AND(AE266=AT5,AE266=AV5,AF266&gt;=AU5,AF266&lt;=AW5),"r2",IF(AND(AE266&gt;AT5,AE266&lt;AV5),"r2",IF(AND(AE266&gt;AT5,AE266=AV5,AF266&lt;=AW5),"r2",IF(AND(AE266=AT5,AE266&lt;AV5,AF266&gt;=AU5),"r2","n")))))</f>
        <v>r1</v>
      </c>
      <c r="AJ266" s="164" t="str">
        <f>IF(AI266&lt;&gt;"n",AI266,IF(AND(AE266=AP6,AE266=AR6,AF266&gt;=AQ6,AF266&lt;=AS6),"r1",IF(AND(AE266&gt;AP6,AE266&lt;AR6),"r1",IF(AND(AE266&gt;AP6,AE266=AR6,AF266&lt;=AS6),"r1",IF(AND(AE266=AP6,AE266&lt;AR6,AF266&gt;=AQ6),"r1","n")))))</f>
        <v>r1</v>
      </c>
      <c r="AK266" s="164" t="str">
        <f>IF(AJ266&lt;&gt;"n",AJ266,IF(AND(AE266=AT6,AE266=AV6,AF266&gt;=AU6,AF266&lt;=AW6),"r2",IF(AND(AE266&gt;AT6,AE266&lt;AV6),"r2",IF(AND(AE266&gt;AT6,AE266=AV6,AF266&lt;=AW6),"r2",IF(AND(AE266=AT6,AE266&lt;AV6,AF266&gt;=AU6),"r2","n")))))</f>
        <v>r1</v>
      </c>
      <c r="AL266" s="164" t="str">
        <f>IF(AK266&lt;&gt;"n",AK266,IF(AND(AE266=AP7,AE266=AR7,AF266&gt;=AQ7,AF266&lt;=AS7),"r1",IF(AND(AE266&gt;AP7,AE266&lt;AR7),"r1",IF(AND(AE266&gt;AP7,AE266=AR7,AF266&lt;=AS7),"r1",IF(AND(AE266=AP7,AE266&lt;AR7,AF266&gt;=AQ7),"r1","n")))))</f>
        <v>r1</v>
      </c>
    </row>
    <row r="267" spans="26:38" ht="17.100000000000001" hidden="1" customHeight="1">
      <c r="Z267" s="176">
        <f t="shared" si="14"/>
        <v>9.0999999999996302</v>
      </c>
      <c r="AA267" s="176">
        <f>IF(TRIM(AG267)="","",IF(INDEX(AZ1:AZ51,AC267)=AG267,INDEX(BA1:BA51,AC267),((AG267-INDEX(AZ1:AZ51,AC267))*(INDEX(BA1:BA51,AC267+1)-INDEX(BA1:BA51,AC267)))/(INDEX(AZ1:AZ51,AC267+1)-INDEX(AZ1:AZ51,AC267))+INDEX(BA1:BA51,AC267)))</f>
        <v>9.0999999999996302</v>
      </c>
      <c r="AB267" s="176" t="e">
        <f>IF(TRIM(AG267)="","",IF(INDEX(BD1:BD51,AD267)=AG267,INDEX(BE1:BE51,AD267),((AG267-INDEX(BD1:BD51,AD267))*(INDEX(BE1:BE51,AD267+1)-INDEX(BE1:BE51,AD267)))/(INDEX(BD1:BD51,AD267+1)-INDEX(BD1:BD51,AD267))+INDEX(BE1:BE51,AD267)))</f>
        <v>#N/A</v>
      </c>
      <c r="AC267" s="164">
        <f>MATCH(AG267,AZ1:AZ51,1)</f>
        <v>5</v>
      </c>
      <c r="AD267" s="164" t="e">
        <f>MATCH(AG267,BD1:BD51,1)</f>
        <v>#N/A</v>
      </c>
      <c r="AE267" s="164">
        <v>9</v>
      </c>
      <c r="AF267" s="164">
        <v>22</v>
      </c>
      <c r="AG267" s="179">
        <f>FIXED('HourGH-DEC'!AB34)*1</f>
        <v>338.08</v>
      </c>
      <c r="AH267" s="164" t="str">
        <f>IF(AND(AE267=AP5,AE267=AR5,AF267&gt;=AQ5,AF267&lt;=AS5),"r1",IF(AND(AE267&gt;AP5,AE267&lt;AR5),"r1",IF(AND(AE267&gt;AP5,AE267=AR5,AF267&lt;=AS5),"r1",IF(AND(AE267=AP5,AE267&lt;AR5,AF267&gt;=AQ5),"r1","n"))))</f>
        <v>r1</v>
      </c>
      <c r="AI267" s="164" t="str">
        <f>IF(AH267&lt;&gt;"n",AH267,IF(AND(AE267=AT5,AE267=AV5,AF267&gt;=AU5,AF267&lt;=AW5),"r2",IF(AND(AE267&gt;AT5,AE267&lt;AV5),"r2",IF(AND(AE267&gt;AT5,AE267=AV5,AF267&lt;=AW5),"r2",IF(AND(AE267=AT5,AE267&lt;AV5,AF267&gt;=AU5),"r2","n")))))</f>
        <v>r1</v>
      </c>
      <c r="AJ267" s="164" t="str">
        <f>IF(AI267&lt;&gt;"n",AI267,IF(AND(AE267=AP6,AE267=AR6,AF267&gt;=AQ6,AF267&lt;=AS6),"r1",IF(AND(AE267&gt;AP6,AE267&lt;AR6),"r1",IF(AND(AE267&gt;AP6,AE267=AR6,AF267&lt;=AS6),"r1",IF(AND(AE267=AP6,AE267&lt;AR6,AF267&gt;=AQ6),"r1","n")))))</f>
        <v>r1</v>
      </c>
      <c r="AK267" s="164" t="str">
        <f>IF(AJ267&lt;&gt;"n",AJ267,IF(AND(AE267=AT6,AE267=AV6,AF267&gt;=AU6,AF267&lt;=AW6),"r2",IF(AND(AE267&gt;AT6,AE267&lt;AV6),"r2",IF(AND(AE267&gt;AT6,AE267=AV6,AF267&lt;=AW6),"r2",IF(AND(AE267=AT6,AE267&lt;AV6,AF267&gt;=AU6),"r2","n")))))</f>
        <v>r1</v>
      </c>
      <c r="AL267" s="164" t="str">
        <f>IF(AK267&lt;&gt;"n",AK267,IF(AND(AE267=AP7,AE267=AR7,AF267&gt;=AQ7,AF267&lt;=AS7),"r1",IF(AND(AE267&gt;AP7,AE267&lt;AR7),"r1",IF(AND(AE267&gt;AP7,AE267=AR7,AF267&lt;=AS7),"r1",IF(AND(AE267=AP7,AE267&lt;AR7,AF267&gt;=AQ7),"r1","n")))))</f>
        <v>r1</v>
      </c>
    </row>
    <row r="268" spans="26:38" ht="17.100000000000001" hidden="1" customHeight="1">
      <c r="Z268" s="176">
        <f t="shared" si="14"/>
        <v>8.774999999999908</v>
      </c>
      <c r="AA268" s="176">
        <f>IF(TRIM(AG268)="","",IF(INDEX(AZ1:AZ51,AC268)=AG268,INDEX(BA1:BA51,AC268),((AG268-INDEX(AZ1:AZ51,AC268))*(INDEX(BA1:BA51,AC268+1)-INDEX(BA1:BA51,AC268)))/(INDEX(AZ1:AZ51,AC268+1)-INDEX(AZ1:AZ51,AC268))+INDEX(BA1:BA51,AC268)))</f>
        <v>8.774999999999908</v>
      </c>
      <c r="AB268" s="176" t="e">
        <f>IF(TRIM(AG268)="","",IF(INDEX(BD1:BD51,AD268)=AG268,INDEX(BE1:BE51,AD268),((AG268-INDEX(BD1:BD51,AD268))*(INDEX(BE1:BE51,AD268+1)-INDEX(BE1:BE51,AD268)))/(INDEX(BD1:BD51,AD268+1)-INDEX(BD1:BD51,AD268))+INDEX(BE1:BE51,AD268)))</f>
        <v>#N/A</v>
      </c>
      <c r="AC268" s="164">
        <f>MATCH(AG268,AZ1:AZ51,1)</f>
        <v>5</v>
      </c>
      <c r="AD268" s="164" t="e">
        <f>MATCH(AG268,BD1:BD51,1)</f>
        <v>#N/A</v>
      </c>
      <c r="AE268" s="164">
        <v>9</v>
      </c>
      <c r="AF268" s="164">
        <v>23</v>
      </c>
      <c r="AG268" s="179">
        <f>FIXED('HourGH-DEC'!AB35)*1</f>
        <v>338.07</v>
      </c>
      <c r="AH268" s="164" t="str">
        <f>IF(AND(AE268=AP5,AE268=AR5,AF268&gt;=AQ5,AF268&lt;=AS5),"r1",IF(AND(AE268&gt;AP5,AE268&lt;AR5),"r1",IF(AND(AE268&gt;AP5,AE268=AR5,AF268&lt;=AS5),"r1",IF(AND(AE268=AP5,AE268&lt;AR5,AF268&gt;=AQ5),"r1","n"))))</f>
        <v>r1</v>
      </c>
      <c r="AI268" s="164" t="str">
        <f>IF(AH268&lt;&gt;"n",AH268,IF(AND(AE268=AT5,AE268=AV5,AF268&gt;=AU5,AF268&lt;=AW5),"r2",IF(AND(AE268&gt;AT5,AE268&lt;AV5),"r2",IF(AND(AE268&gt;AT5,AE268=AV5,AF268&lt;=AW5),"r2",IF(AND(AE268=AT5,AE268&lt;AV5,AF268&gt;=AU5),"r2","n")))))</f>
        <v>r1</v>
      </c>
      <c r="AJ268" s="164" t="str">
        <f>IF(AI268&lt;&gt;"n",AI268,IF(AND(AE268=AP6,AE268=AR6,AF268&gt;=AQ6,AF268&lt;=AS6),"r1",IF(AND(AE268&gt;AP6,AE268&lt;AR6),"r1",IF(AND(AE268&gt;AP6,AE268=AR6,AF268&lt;=AS6),"r1",IF(AND(AE268=AP6,AE268&lt;AR6,AF268&gt;=AQ6),"r1","n")))))</f>
        <v>r1</v>
      </c>
      <c r="AK268" s="164" t="str">
        <f>IF(AJ268&lt;&gt;"n",AJ268,IF(AND(AE268=AT6,AE268=AV6,AF268&gt;=AU6,AF268&lt;=AW6),"r2",IF(AND(AE268&gt;AT6,AE268&lt;AV6),"r2",IF(AND(AE268&gt;AT6,AE268=AV6,AF268&lt;=AW6),"r2",IF(AND(AE268=AT6,AE268&lt;AV6,AF268&gt;=AU6),"r2","n")))))</f>
        <v>r1</v>
      </c>
      <c r="AL268" s="164" t="str">
        <f>IF(AK268&lt;&gt;"n",AK268,IF(AND(AE268=AP7,AE268=AR7,AF268&gt;=AQ7,AF268&lt;=AS7),"r1",IF(AND(AE268&gt;AP7,AE268&lt;AR7),"r1",IF(AND(AE268&gt;AP7,AE268=AR7,AF268&lt;=AS7),"r1",IF(AND(AE268=AP7,AE268&lt;AR7,AF268&gt;=AQ7),"r1","n")))))</f>
        <v>r1</v>
      </c>
    </row>
    <row r="269" spans="26:38" ht="17.100000000000001" hidden="1" customHeight="1">
      <c r="Z269" s="176">
        <f t="shared" si="14"/>
        <v>8.1250000000004619</v>
      </c>
      <c r="AA269" s="176">
        <f>IF(TRIM(AG269)="","",IF(INDEX(AZ1:AZ51,AC269)=AG269,INDEX(BA1:BA51,AC269),((AG269-INDEX(AZ1:AZ51,AC269))*(INDEX(BA1:BA51,AC269+1)-INDEX(BA1:BA51,AC269)))/(INDEX(AZ1:AZ51,AC269+1)-INDEX(AZ1:AZ51,AC269))+INDEX(BA1:BA51,AC269)))</f>
        <v>8.1250000000004619</v>
      </c>
      <c r="AB269" s="176" t="e">
        <f>IF(TRIM(AG269)="","",IF(INDEX(BD1:BD51,AD269)=AG269,INDEX(BE1:BE51,AD269),((AG269-INDEX(BD1:BD51,AD269))*(INDEX(BE1:BE51,AD269+1)-INDEX(BE1:BE51,AD269)))/(INDEX(BD1:BD51,AD269+1)-INDEX(BD1:BD51,AD269))+INDEX(BE1:BE51,AD269)))</f>
        <v>#N/A</v>
      </c>
      <c r="AC269" s="164">
        <f>MATCH(AG269,AZ1:AZ51,1)</f>
        <v>5</v>
      </c>
      <c r="AD269" s="164" t="e">
        <f>MATCH(AG269,BD1:BD51,1)</f>
        <v>#N/A</v>
      </c>
      <c r="AE269" s="164">
        <v>9</v>
      </c>
      <c r="AF269" s="164">
        <v>24</v>
      </c>
      <c r="AG269" s="179">
        <f>FIXED('HourGH-DEC'!AB36)*1</f>
        <v>338.05</v>
      </c>
      <c r="AH269" s="164" t="str">
        <f>IF(AND(AE269=AP5,AE269=AR5,AF269&gt;=AQ5,AF269&lt;=AS5),"r1",IF(AND(AE269&gt;AP5,AE269&lt;AR5),"r1",IF(AND(AE269&gt;AP5,AE269=AR5,AF269&lt;=AS5),"r1",IF(AND(AE269=AP5,AE269&lt;AR5,AF269&gt;=AQ5),"r1","n"))))</f>
        <v>r1</v>
      </c>
      <c r="AI269" s="164" t="str">
        <f>IF(AH269&lt;&gt;"n",AH269,IF(AND(AE269=AT5,AE269=AV5,AF269&gt;=AU5,AF269&lt;=AW5),"r2",IF(AND(AE269&gt;AT5,AE269&lt;AV5),"r2",IF(AND(AE269&gt;AT5,AE269=AV5,AF269&lt;=AW5),"r2",IF(AND(AE269=AT5,AE269&lt;AV5,AF269&gt;=AU5),"r2","n")))))</f>
        <v>r1</v>
      </c>
      <c r="AJ269" s="164" t="str">
        <f>IF(AI269&lt;&gt;"n",AI269,IF(AND(AE269=AP6,AE269=AR6,AF269&gt;=AQ6,AF269&lt;=AS6),"r1",IF(AND(AE269&gt;AP6,AE269&lt;AR6),"r1",IF(AND(AE269&gt;AP6,AE269=AR6,AF269&lt;=AS6),"r1",IF(AND(AE269=AP6,AE269&lt;AR6,AF269&gt;=AQ6),"r1","n")))))</f>
        <v>r1</v>
      </c>
      <c r="AK269" s="164" t="str">
        <f>IF(AJ269&lt;&gt;"n",AJ269,IF(AND(AE269=AT6,AE269=AV6,AF269&gt;=AU6,AF269&lt;=AW6),"r2",IF(AND(AE269&gt;AT6,AE269&lt;AV6),"r2",IF(AND(AE269&gt;AT6,AE269=AV6,AF269&lt;=AW6),"r2",IF(AND(AE269=AT6,AE269&lt;AV6,AF269&gt;=AU6),"r2","n")))))</f>
        <v>r1</v>
      </c>
      <c r="AL269" s="164" t="str">
        <f>IF(AK269&lt;&gt;"n",AK269,IF(AND(AE269=AP7,AE269=AR7,AF269&gt;=AQ7,AF269&lt;=AS7),"r1",IF(AND(AE269&gt;AP7,AE269&lt;AR7),"r1",IF(AND(AE269&gt;AP7,AE269=AR7,AF269&lt;=AS7),"r1",IF(AND(AE269=AP7,AE269&lt;AR7,AF269&gt;=AQ7),"r1","n")))))</f>
        <v>r1</v>
      </c>
    </row>
    <row r="270" spans="26:38" ht="17.100000000000001" hidden="1" customHeight="1">
      <c r="Z270" s="176">
        <f t="shared" si="14"/>
        <v>11.049999999999816</v>
      </c>
      <c r="AA270" s="176">
        <f>IF(TRIM(AG270)="","",IF(INDEX(AZ1:AZ51,AC270)=AG270,INDEX(BA1:BA51,AC270),((AG270-INDEX(AZ1:AZ51,AC270))*(INDEX(BA1:BA51,AC270+1)-INDEX(BA1:BA51,AC270)))/(INDEX(AZ1:AZ51,AC270+1)-INDEX(AZ1:AZ51,AC270))+INDEX(BA1:BA51,AC270)))</f>
        <v>11.049999999999816</v>
      </c>
      <c r="AB270" s="176" t="e">
        <f>IF(TRIM(AG270)="","",IF(INDEX(BD1:BD51,AD270)=AG270,INDEX(BE1:BE51,AD270),((AG270-INDEX(BD1:BD51,AD270))*(INDEX(BE1:BE51,AD270+1)-INDEX(BE1:BE51,AD270)))/(INDEX(BD1:BD51,AD270+1)-INDEX(BD1:BD51,AD270))+INDEX(BE1:BE51,AD270)))</f>
        <v>#N/A</v>
      </c>
      <c r="AC270" s="164">
        <f>MATCH(AG270,AZ1:AZ51,1)</f>
        <v>5</v>
      </c>
      <c r="AD270" s="164" t="e">
        <f>MATCH(AG270,BD1:BD51,1)</f>
        <v>#N/A</v>
      </c>
      <c r="AE270" s="164">
        <v>9</v>
      </c>
      <c r="AF270" s="164">
        <v>25</v>
      </c>
      <c r="AG270" s="179">
        <f>FIXED('HourGH-DEC'!AB37)*1</f>
        <v>338.14</v>
      </c>
      <c r="AH270" s="164" t="str">
        <f>IF(AND(AE270=AP5,AE270=AR5,AF270&gt;=AQ5,AF270&lt;=AS5),"r1",IF(AND(AE270&gt;AP5,AE270&lt;AR5),"r1",IF(AND(AE270&gt;AP5,AE270=AR5,AF270&lt;=AS5),"r1",IF(AND(AE270=AP5,AE270&lt;AR5,AF270&gt;=AQ5),"r1","n"))))</f>
        <v>r1</v>
      </c>
      <c r="AI270" s="164" t="str">
        <f>IF(AH270&lt;&gt;"n",AH270,IF(AND(AE270=AT5,AE270=AV5,AF270&gt;=AU5,AF270&lt;=AW5),"r2",IF(AND(AE270&gt;AT5,AE270&lt;AV5),"r2",IF(AND(AE270&gt;AT5,AE270=AV5,AF270&lt;=AW5),"r2",IF(AND(AE270=AT5,AE270&lt;AV5,AF270&gt;=AU5),"r2","n")))))</f>
        <v>r1</v>
      </c>
      <c r="AJ270" s="164" t="str">
        <f>IF(AI270&lt;&gt;"n",AI270,IF(AND(AE270=AP6,AE270=AR6,AF270&gt;=AQ6,AF270&lt;=AS6),"r1",IF(AND(AE270&gt;AP6,AE270&lt;AR6),"r1",IF(AND(AE270&gt;AP6,AE270=AR6,AF270&lt;=AS6),"r1",IF(AND(AE270=AP6,AE270&lt;AR6,AF270&gt;=AQ6),"r1","n")))))</f>
        <v>r1</v>
      </c>
      <c r="AK270" s="164" t="str">
        <f>IF(AJ270&lt;&gt;"n",AJ270,IF(AND(AE270=AT6,AE270=AV6,AF270&gt;=AU6,AF270&lt;=AW6),"r2",IF(AND(AE270&gt;AT6,AE270&lt;AV6),"r2",IF(AND(AE270&gt;AT6,AE270=AV6,AF270&lt;=AW6),"r2",IF(AND(AE270=AT6,AE270&lt;AV6,AF270&gt;=AU6),"r2","n")))))</f>
        <v>r1</v>
      </c>
      <c r="AL270" s="164" t="str">
        <f>IF(AK270&lt;&gt;"n",AK270,IF(AND(AE270=AP7,AE270=AR7,AF270&gt;=AQ7,AF270&lt;=AS7),"r1",IF(AND(AE270&gt;AP7,AE270&lt;AR7),"r1",IF(AND(AE270&gt;AP7,AE270=AR7,AF270&lt;=AS7),"r1",IF(AND(AE270=AP7,AE270&lt;AR7,AF270&gt;=AQ7),"r1","n")))))</f>
        <v>r1</v>
      </c>
    </row>
    <row r="271" spans="26:38" ht="17.100000000000001" hidden="1" customHeight="1">
      <c r="Z271" s="176">
        <f t="shared" si="14"/>
        <v>8.1250000000004619</v>
      </c>
      <c r="AA271" s="176">
        <f>IF(TRIM(AG271)="","",IF(INDEX(AZ1:AZ51,AC271)=AG271,INDEX(BA1:BA51,AC271),((AG271-INDEX(AZ1:AZ51,AC271))*(INDEX(BA1:BA51,AC271+1)-INDEX(BA1:BA51,AC271)))/(INDEX(AZ1:AZ51,AC271+1)-INDEX(AZ1:AZ51,AC271))+INDEX(BA1:BA51,AC271)))</f>
        <v>8.1250000000004619</v>
      </c>
      <c r="AB271" s="176" t="e">
        <f>IF(TRIM(AG271)="","",IF(INDEX(BD1:BD51,AD271)=AG271,INDEX(BE1:BE51,AD271),((AG271-INDEX(BD1:BD51,AD271))*(INDEX(BE1:BE51,AD271+1)-INDEX(BE1:BE51,AD271)))/(INDEX(BD1:BD51,AD271+1)-INDEX(BD1:BD51,AD271))+INDEX(BE1:BE51,AD271)))</f>
        <v>#N/A</v>
      </c>
      <c r="AC271" s="164">
        <f>MATCH(AG271,AZ1:AZ51,1)</f>
        <v>5</v>
      </c>
      <c r="AD271" s="164" t="e">
        <f>MATCH(AG271,BD1:BD51,1)</f>
        <v>#N/A</v>
      </c>
      <c r="AE271" s="164">
        <v>9</v>
      </c>
      <c r="AF271" s="164">
        <v>26</v>
      </c>
      <c r="AG271" s="179">
        <f>FIXED('HourGH-DEC'!AB38)*1</f>
        <v>338.05</v>
      </c>
      <c r="AH271" s="164" t="str">
        <f>IF(AND(AE271=AP5,AE271=AR5,AF271&gt;=AQ5,AF271&lt;=AS5),"r1",IF(AND(AE271&gt;AP5,AE271&lt;AR5),"r1",IF(AND(AE271&gt;AP5,AE271=AR5,AF271&lt;=AS5),"r1",IF(AND(AE271=AP5,AE271&lt;AR5,AF271&gt;=AQ5),"r1","n"))))</f>
        <v>r1</v>
      </c>
      <c r="AI271" s="164" t="str">
        <f>IF(AH271&lt;&gt;"n",AH271,IF(AND(AE271=AT5,AE271=AV5,AF271&gt;=AU5,AF271&lt;=AW5),"r2",IF(AND(AE271&gt;AT5,AE271&lt;AV5),"r2",IF(AND(AE271&gt;AT5,AE271=AV5,AF271&lt;=AW5),"r2",IF(AND(AE271=AT5,AE271&lt;AV5,AF271&gt;=AU5),"r2","n")))))</f>
        <v>r1</v>
      </c>
      <c r="AJ271" s="164" t="str">
        <f>IF(AI271&lt;&gt;"n",AI271,IF(AND(AE271=AP6,AE271=AR6,AF271&gt;=AQ6,AF271&lt;=AS6),"r1",IF(AND(AE271&gt;AP6,AE271&lt;AR6),"r1",IF(AND(AE271&gt;AP6,AE271=AR6,AF271&lt;=AS6),"r1",IF(AND(AE271=AP6,AE271&lt;AR6,AF271&gt;=AQ6),"r1","n")))))</f>
        <v>r1</v>
      </c>
      <c r="AK271" s="164" t="str">
        <f>IF(AJ271&lt;&gt;"n",AJ271,IF(AND(AE271=AT6,AE271=AV6,AF271&gt;=AU6,AF271&lt;=AW6),"r2",IF(AND(AE271&gt;AT6,AE271&lt;AV6),"r2",IF(AND(AE271&gt;AT6,AE271=AV6,AF271&lt;=AW6),"r2",IF(AND(AE271=AT6,AE271&lt;AV6,AF271&gt;=AU6),"r2","n")))))</f>
        <v>r1</v>
      </c>
      <c r="AL271" s="164" t="str">
        <f>IF(AK271&lt;&gt;"n",AK271,IF(AND(AE271=AP7,AE271=AR7,AF271&gt;=AQ7,AF271&lt;=AS7),"r1",IF(AND(AE271&gt;AP7,AE271&lt;AR7),"r1",IF(AND(AE271&gt;AP7,AE271=AR7,AF271&lt;=AS7),"r1",IF(AND(AE271=AP7,AE271&lt;AR7,AF271&gt;=AQ7),"r1","n")))))</f>
        <v>r1</v>
      </c>
    </row>
    <row r="272" spans="26:38" ht="17.100000000000001" hidden="1" customHeight="1">
      <c r="Z272" s="176">
        <f t="shared" si="14"/>
        <v>7.4749999999991683</v>
      </c>
      <c r="AA272" s="176">
        <f>IF(TRIM(AG272)="","",IF(INDEX(AZ1:AZ51,AC272)=AG272,INDEX(BA1:BA51,AC272),((AG272-INDEX(AZ1:AZ51,AC272))*(INDEX(BA1:BA51,AC272+1)-INDEX(BA1:BA51,AC272)))/(INDEX(AZ1:AZ51,AC272+1)-INDEX(AZ1:AZ51,AC272))+INDEX(BA1:BA51,AC272)))</f>
        <v>7.4749999999991683</v>
      </c>
      <c r="AB272" s="176" t="e">
        <f>IF(TRIM(AG272)="","",IF(INDEX(BD1:BD51,AD272)=AG272,INDEX(BE1:BE51,AD272),((AG272-INDEX(BD1:BD51,AD272))*(INDEX(BE1:BE51,AD272+1)-INDEX(BE1:BE51,AD272)))/(INDEX(BD1:BD51,AD272+1)-INDEX(BD1:BD51,AD272))+INDEX(BE1:BE51,AD272)))</f>
        <v>#N/A</v>
      </c>
      <c r="AC272" s="164">
        <f>MATCH(AG272,AZ1:AZ51,1)</f>
        <v>5</v>
      </c>
      <c r="AD272" s="164" t="e">
        <f>MATCH(AG272,BD1:BD51,1)</f>
        <v>#N/A</v>
      </c>
      <c r="AE272" s="164">
        <v>9</v>
      </c>
      <c r="AF272" s="164">
        <v>27</v>
      </c>
      <c r="AG272" s="179">
        <f>FIXED('HourGH-DEC'!AB39)*1</f>
        <v>338.03</v>
      </c>
      <c r="AH272" s="164" t="str">
        <f>IF(AND(AE272=AP5,AE272=AR5,AF272&gt;=AQ5,AF272&lt;=AS5),"r1",IF(AND(AE272&gt;AP5,AE272&lt;AR5),"r1",IF(AND(AE272&gt;AP5,AE272=AR5,AF272&lt;=AS5),"r1",IF(AND(AE272=AP5,AE272&lt;AR5,AF272&gt;=AQ5),"r1","n"))))</f>
        <v>r1</v>
      </c>
      <c r="AI272" s="164" t="str">
        <f>IF(AH272&lt;&gt;"n",AH272,IF(AND(AE272=AT5,AE272=AV5,AF272&gt;=AU5,AF272&lt;=AW5),"r2",IF(AND(AE272&gt;AT5,AE272&lt;AV5),"r2",IF(AND(AE272&gt;AT5,AE272=AV5,AF272&lt;=AW5),"r2",IF(AND(AE272=AT5,AE272&lt;AV5,AF272&gt;=AU5),"r2","n")))))</f>
        <v>r1</v>
      </c>
      <c r="AJ272" s="164" t="str">
        <f>IF(AI272&lt;&gt;"n",AI272,IF(AND(AE272=AP6,AE272=AR6,AF272&gt;=AQ6,AF272&lt;=AS6),"r1",IF(AND(AE272&gt;AP6,AE272&lt;AR6),"r1",IF(AND(AE272&gt;AP6,AE272=AR6,AF272&lt;=AS6),"r1",IF(AND(AE272=AP6,AE272&lt;AR6,AF272&gt;=AQ6),"r1","n")))))</f>
        <v>r1</v>
      </c>
      <c r="AK272" s="164" t="str">
        <f>IF(AJ272&lt;&gt;"n",AJ272,IF(AND(AE272=AT6,AE272=AV6,AF272&gt;=AU6,AF272&lt;=AW6),"r2",IF(AND(AE272&gt;AT6,AE272&lt;AV6),"r2",IF(AND(AE272&gt;AT6,AE272=AV6,AF272&lt;=AW6),"r2",IF(AND(AE272=AT6,AE272&lt;AV6,AF272&gt;=AU6),"r2","n")))))</f>
        <v>r1</v>
      </c>
      <c r="AL272" s="164" t="str">
        <f>IF(AK272&lt;&gt;"n",AK272,IF(AND(AE272=AP7,AE272=AR7,AF272&gt;=AQ7,AF272&lt;=AS7),"r1",IF(AND(AE272&gt;AP7,AE272&lt;AR7),"r1",IF(AND(AE272&gt;AP7,AE272=AR7,AF272&lt;=AS7),"r1",IF(AND(AE272=AP7,AE272&lt;AR7,AF272&gt;=AQ7),"r1","n")))))</f>
        <v>r1</v>
      </c>
    </row>
    <row r="273" spans="26:38" ht="17.100000000000001" hidden="1" customHeight="1">
      <c r="Z273" s="176">
        <f t="shared" si="14"/>
        <v>7.4749999999991683</v>
      </c>
      <c r="AA273" s="176">
        <f>IF(TRIM(AG273)="","",IF(INDEX(AZ1:AZ51,AC273)=AG273,INDEX(BA1:BA51,AC273),((AG273-INDEX(AZ1:AZ51,AC273))*(INDEX(BA1:BA51,AC273+1)-INDEX(BA1:BA51,AC273)))/(INDEX(AZ1:AZ51,AC273+1)-INDEX(AZ1:AZ51,AC273))+INDEX(BA1:BA51,AC273)))</f>
        <v>7.4749999999991683</v>
      </c>
      <c r="AB273" s="176" t="e">
        <f>IF(TRIM(AG273)="","",IF(INDEX(BD1:BD51,AD273)=AG273,INDEX(BE1:BE51,AD273),((AG273-INDEX(BD1:BD51,AD273))*(INDEX(BE1:BE51,AD273+1)-INDEX(BE1:BE51,AD273)))/(INDEX(BD1:BD51,AD273+1)-INDEX(BD1:BD51,AD273))+INDEX(BE1:BE51,AD273)))</f>
        <v>#N/A</v>
      </c>
      <c r="AC273" s="164">
        <f>MATCH(AG273,AZ1:AZ51,1)</f>
        <v>5</v>
      </c>
      <c r="AD273" s="164" t="e">
        <f>MATCH(AG273,BD1:BD51,1)</f>
        <v>#N/A</v>
      </c>
      <c r="AE273" s="164">
        <v>9</v>
      </c>
      <c r="AF273" s="164">
        <v>28</v>
      </c>
      <c r="AG273" s="179">
        <f>FIXED('HourGH-DEC'!AB40)*1</f>
        <v>338.03</v>
      </c>
      <c r="AH273" s="164" t="str">
        <f>IF(AND(AE273=AP5,AE273=AR5,AF273&gt;=AQ5,AF273&lt;=AS5),"r1",IF(AND(AE273&gt;AP5,AE273&lt;AR5),"r1",IF(AND(AE273&gt;AP5,AE273=AR5,AF273&lt;=AS5),"r1",IF(AND(AE273=AP5,AE273&lt;AR5,AF273&gt;=AQ5),"r1","n"))))</f>
        <v>r1</v>
      </c>
      <c r="AI273" s="164" t="str">
        <f>IF(AH273&lt;&gt;"n",AH273,IF(AND(AE273=AT5,AE273=AV5,AF273&gt;=AU5,AF273&lt;=AW5),"r2",IF(AND(AE273&gt;AT5,AE273&lt;AV5),"r2",IF(AND(AE273&gt;AT5,AE273=AV5,AF273&lt;=AW5),"r2",IF(AND(AE273=AT5,AE273&lt;AV5,AF273&gt;=AU5),"r2","n")))))</f>
        <v>r1</v>
      </c>
      <c r="AJ273" s="164" t="str">
        <f>IF(AI273&lt;&gt;"n",AI273,IF(AND(AE273=AP6,AE273=AR6,AF273&gt;=AQ6,AF273&lt;=AS6),"r1",IF(AND(AE273&gt;AP6,AE273&lt;AR6),"r1",IF(AND(AE273&gt;AP6,AE273=AR6,AF273&lt;=AS6),"r1",IF(AND(AE273=AP6,AE273&lt;AR6,AF273&gt;=AQ6),"r1","n")))))</f>
        <v>r1</v>
      </c>
      <c r="AK273" s="164" t="str">
        <f>IF(AJ273&lt;&gt;"n",AJ273,IF(AND(AE273=AT6,AE273=AV6,AF273&gt;=AU6,AF273&lt;=AW6),"r2",IF(AND(AE273&gt;AT6,AE273&lt;AV6),"r2",IF(AND(AE273&gt;AT6,AE273=AV6,AF273&lt;=AW6),"r2",IF(AND(AE273=AT6,AE273&lt;AV6,AF273&gt;=AU6),"r2","n")))))</f>
        <v>r1</v>
      </c>
      <c r="AL273" s="164" t="str">
        <f>IF(AK273&lt;&gt;"n",AK273,IF(AND(AE273=AP7,AE273=AR7,AF273&gt;=AQ7,AF273&lt;=AS7),"r1",IF(AND(AE273&gt;AP7,AE273&lt;AR7),"r1",IF(AND(AE273&gt;AP7,AE273=AR7,AF273&lt;=AS7),"r1",IF(AND(AE273=AP7,AE273&lt;AR7,AF273&gt;=AQ7),"r1","n")))))</f>
        <v>r1</v>
      </c>
    </row>
    <row r="274" spans="26:38" ht="17.100000000000001" hidden="1" customHeight="1">
      <c r="Z274" s="176">
        <f t="shared" si="14"/>
        <v>7.8000000000007388</v>
      </c>
      <c r="AA274" s="176">
        <f>IF(TRIM(AG274)="","",IF(INDEX(AZ1:AZ51,AC274)=AG274,INDEX(BA1:BA51,AC274),((AG274-INDEX(AZ1:AZ51,AC274))*(INDEX(BA1:BA51,AC274+1)-INDEX(BA1:BA51,AC274)))/(INDEX(AZ1:AZ51,AC274+1)-INDEX(AZ1:AZ51,AC274))+INDEX(BA1:BA51,AC274)))</f>
        <v>7.8000000000007388</v>
      </c>
      <c r="AB274" s="176" t="e">
        <f>IF(TRIM(AG274)="","",IF(INDEX(BD1:BD51,AD274)=AG274,INDEX(BE1:BE51,AD274),((AG274-INDEX(BD1:BD51,AD274))*(INDEX(BE1:BE51,AD274+1)-INDEX(BE1:BE51,AD274)))/(INDEX(BD1:BD51,AD274+1)-INDEX(BD1:BD51,AD274))+INDEX(BE1:BE51,AD274)))</f>
        <v>#N/A</v>
      </c>
      <c r="AC274" s="164">
        <f>MATCH(AG274,AZ1:AZ51,1)</f>
        <v>5</v>
      </c>
      <c r="AD274" s="164" t="e">
        <f>MATCH(AG274,BD1:BD51,1)</f>
        <v>#N/A</v>
      </c>
      <c r="AE274" s="164">
        <v>9</v>
      </c>
      <c r="AF274" s="164">
        <v>29</v>
      </c>
      <c r="AG274" s="179">
        <f>FIXED('HourGH-DEC'!AB41)*1</f>
        <v>338.04</v>
      </c>
      <c r="AH274" s="164" t="str">
        <f>IF(AND(AE274=AP5,AE274=AR5,AF274&gt;=AQ5,AF274&lt;=AS5),"r1",IF(AND(AE274&gt;AP5,AE274&lt;AR5),"r1",IF(AND(AE274&gt;AP5,AE274=AR5,AF274&lt;=AS5),"r1",IF(AND(AE274=AP5,AE274&lt;AR5,AF274&gt;=AQ5),"r1","n"))))</f>
        <v>r1</v>
      </c>
      <c r="AI274" s="164" t="str">
        <f>IF(AH274&lt;&gt;"n",AH274,IF(AND(AE274=AT5,AE274=AV5,AF274&gt;=AU5,AF274&lt;=AW5),"r2",IF(AND(AE274&gt;AT5,AE274&lt;AV5),"r2",IF(AND(AE274&gt;AT5,AE274=AV5,AF274&lt;=AW5),"r2",IF(AND(AE274=AT5,AE274&lt;AV5,AF274&gt;=AU5),"r2","n")))))</f>
        <v>r1</v>
      </c>
      <c r="AJ274" s="164" t="str">
        <f>IF(AI274&lt;&gt;"n",AI274,IF(AND(AE274=AP6,AE274=AR6,AF274&gt;=AQ6,AF274&lt;=AS6),"r1",IF(AND(AE274&gt;AP6,AE274&lt;AR6),"r1",IF(AND(AE274&gt;AP6,AE274=AR6,AF274&lt;=AS6),"r1",IF(AND(AE274=AP6,AE274&lt;AR6,AF274&gt;=AQ6),"r1","n")))))</f>
        <v>r1</v>
      </c>
      <c r="AK274" s="164" t="str">
        <f>IF(AJ274&lt;&gt;"n",AJ274,IF(AND(AE274=AT6,AE274=AV6,AF274&gt;=AU6,AF274&lt;=AW6),"r2",IF(AND(AE274&gt;AT6,AE274&lt;AV6),"r2",IF(AND(AE274&gt;AT6,AE274=AV6,AF274&lt;=AW6),"r2",IF(AND(AE274=AT6,AE274&lt;AV6,AF274&gt;=AU6),"r2","n")))))</f>
        <v>r1</v>
      </c>
      <c r="AL274" s="164" t="str">
        <f>IF(AK274&lt;&gt;"n",AK274,IF(AND(AE274=AP7,AE274=AR7,AF274&gt;=AQ7,AF274&lt;=AS7),"r1",IF(AND(AE274&gt;AP7,AE274&lt;AR7),"r1",IF(AND(AE274&gt;AP7,AE274=AR7,AF274&lt;=AS7),"r1",IF(AND(AE274=AP7,AE274&lt;AR7,AF274&gt;=AQ7),"r1","n")))))</f>
        <v>r1</v>
      </c>
    </row>
    <row r="275" spans="26:38" ht="17.100000000000001" hidden="1" customHeight="1">
      <c r="Z275" s="176">
        <f t="shared" si="14"/>
        <v>7.8000000000007388</v>
      </c>
      <c r="AA275" s="176">
        <f>IF(TRIM(AG275)="","",IF(INDEX(AZ1:AZ51,AC275)=AG275,INDEX(BA1:BA51,AC275),((AG275-INDEX(AZ1:AZ51,AC275))*(INDEX(BA1:BA51,AC275+1)-INDEX(BA1:BA51,AC275)))/(INDEX(AZ1:AZ51,AC275+1)-INDEX(AZ1:AZ51,AC275))+INDEX(BA1:BA51,AC275)))</f>
        <v>7.8000000000007388</v>
      </c>
      <c r="AB275" s="176" t="e">
        <f>IF(TRIM(AG275)="","",IF(INDEX(BD1:BD51,AD275)=AG275,INDEX(BE1:BE51,AD275),((AG275-INDEX(BD1:BD51,AD275))*(INDEX(BE1:BE51,AD275+1)-INDEX(BE1:BE51,AD275)))/(INDEX(BD1:BD51,AD275+1)-INDEX(BD1:BD51,AD275))+INDEX(BE1:BE51,AD275)))</f>
        <v>#N/A</v>
      </c>
      <c r="AC275" s="164">
        <f>MATCH(AG275,AZ1:AZ51,1)</f>
        <v>5</v>
      </c>
      <c r="AD275" s="164" t="e">
        <f>MATCH(AG275,BD1:BD51,1)</f>
        <v>#N/A</v>
      </c>
      <c r="AE275" s="164">
        <v>9</v>
      </c>
      <c r="AF275" s="164">
        <v>30</v>
      </c>
      <c r="AG275" s="179">
        <f>FIXED('HourGH-DEC'!AB42)*1</f>
        <v>338.04</v>
      </c>
      <c r="AH275" s="164" t="str">
        <f>IF(AND(AE275=AP5,AE275=AR5,AF275&gt;=AQ5,AF275&lt;=AS5),"r1",IF(AND(AE275&gt;AP5,AE275&lt;AR5),"r1",IF(AND(AE275&gt;AP5,AE275=AR5,AF275&lt;=AS5),"r1",IF(AND(AE275=AP5,AE275&lt;AR5,AF275&gt;=AQ5),"r1","n"))))</f>
        <v>r1</v>
      </c>
      <c r="AI275" s="164" t="str">
        <f>IF(AH275&lt;&gt;"n",AH275,IF(AND(AE275=AT5,AE275=AV5,AF275&gt;=AU5,AF275&lt;=AW5),"r2",IF(AND(AE275&gt;AT5,AE275&lt;AV5),"r2",IF(AND(AE275&gt;AT5,AE275=AV5,AF275&lt;=AW5),"r2",IF(AND(AE275=AT5,AE275&lt;AV5,AF275&gt;=AU5),"r2","n")))))</f>
        <v>r1</v>
      </c>
      <c r="AJ275" s="164" t="str">
        <f>IF(AI275&lt;&gt;"n",AI275,IF(AND(AE275=AP6,AE275=AR6,AF275&gt;=AQ6,AF275&lt;=AS6),"r1",IF(AND(AE275&gt;AP6,AE275&lt;AR6),"r1",IF(AND(AE275&gt;AP6,AE275=AR6,AF275&lt;=AS6),"r1",IF(AND(AE275=AP6,AE275&lt;AR6,AF275&gt;=AQ6),"r1","n")))))</f>
        <v>r1</v>
      </c>
      <c r="AK275" s="164" t="str">
        <f>IF(AJ275&lt;&gt;"n",AJ275,IF(AND(AE275=AT6,AE275=AV6,AF275&gt;=AU6,AF275&lt;=AW6),"r2",IF(AND(AE275&gt;AT6,AE275&lt;AV6),"r2",IF(AND(AE275&gt;AT6,AE275=AV6,AF275&lt;=AW6),"r2",IF(AND(AE275=AT6,AE275&lt;AV6,AF275&gt;=AU6),"r2","n")))))</f>
        <v>r1</v>
      </c>
      <c r="AL275" s="164" t="str">
        <f>IF(AK275&lt;&gt;"n",AK275,IF(AND(AE275=AP7,AE275=AR7,AF275&gt;=AQ7,AF275&lt;=AS7),"r1",IF(AND(AE275&gt;AP7,AE275&lt;AR7),"r1",IF(AND(AE275&gt;AP7,AE275=AR7,AF275&lt;=AS7),"r1",IF(AND(AE275=AP7,AE275&lt;AR7,AF275&gt;=AQ7),"r1","n")))))</f>
        <v>r1</v>
      </c>
    </row>
    <row r="276" spans="26:38" ht="17.100000000000001" hidden="1" customHeight="1">
      <c r="Z276" s="176">
        <f t="shared" si="14"/>
        <v>7.8000000000007388</v>
      </c>
      <c r="AA276" s="176">
        <f>IF(TRIM(AG276)="","",IF(INDEX(AZ1:AZ51,AC276)=AG276,INDEX(BA1:BA51,AC276),((AG276-INDEX(AZ1:AZ51,AC276))*(INDEX(BA1:BA51,AC276+1)-INDEX(BA1:BA51,AC276)))/(INDEX(AZ1:AZ51,AC276+1)-INDEX(AZ1:AZ51,AC276))+INDEX(BA1:BA51,AC276)))</f>
        <v>7.8000000000007388</v>
      </c>
      <c r="AB276" s="176" t="e">
        <f>IF(TRIM(AG276)="","",IF(INDEX(BD1:BD51,AD276)=AG276,INDEX(BE1:BE51,AD276),((AG276-INDEX(BD1:BD51,AD276))*(INDEX(BE1:BE51,AD276+1)-INDEX(BE1:BE51,AD276)))/(INDEX(BD1:BD51,AD276+1)-INDEX(BD1:BD51,AD276))+INDEX(BE1:BE51,AD276)))</f>
        <v>#N/A</v>
      </c>
      <c r="AC276" s="164">
        <f>MATCH(AG276,AZ1:AZ51,1)</f>
        <v>5</v>
      </c>
      <c r="AD276" s="164" t="e">
        <f>MATCH(AG276,BD1:BD51,1)</f>
        <v>#N/A</v>
      </c>
      <c r="AE276" s="164">
        <v>9</v>
      </c>
      <c r="AF276" s="164">
        <v>31</v>
      </c>
      <c r="AG276" s="179">
        <f>FIXED('HourGH-DEC'!AB43)*1</f>
        <v>338.04</v>
      </c>
      <c r="AH276" s="164" t="str">
        <f>IF(AND(AE276=AP5,AE276=AR5,AF276&gt;=AQ5,AF276&lt;=AS5),"r1",IF(AND(AE276&gt;AP5,AE276&lt;AR5),"r1",IF(AND(AE276&gt;AP5,AE276=AR5,AF276&lt;=AS5),"r1",IF(AND(AE276=AP5,AE276&lt;AR5,AF276&gt;=AQ5),"r1","n"))))</f>
        <v>r1</v>
      </c>
      <c r="AI276" s="164" t="str">
        <f>IF(AH276&lt;&gt;"n",AH276,IF(AND(AE276=AT5,AE276=AV5,AF276&gt;=AU5,AF276&lt;=AW5),"r2",IF(AND(AE276&gt;AT5,AE276&lt;AV5),"r2",IF(AND(AE276&gt;AT5,AE276=AV5,AF276&lt;=AW5),"r2",IF(AND(AE276=AT5,AE276&lt;AV5,AF276&gt;=AU5),"r2","n")))))</f>
        <v>r1</v>
      </c>
      <c r="AJ276" s="164" t="str">
        <f>IF(AI276&lt;&gt;"n",AI276,IF(AND(AE276=AP6,AE276=AR6,AF276&gt;=AQ6,AF276&lt;=AS6),"r1",IF(AND(AE276&gt;AP6,AE276&lt;AR6),"r1",IF(AND(AE276&gt;AP6,AE276=AR6,AF276&lt;=AS6),"r1",IF(AND(AE276=AP6,AE276&lt;AR6,AF276&gt;=AQ6),"r1","n")))))</f>
        <v>r1</v>
      </c>
      <c r="AK276" s="164" t="str">
        <f>IF(AJ276&lt;&gt;"n",AJ276,IF(AND(AE276=AT6,AE276=AV6,AF276&gt;=AU6,AF276&lt;=AW6),"r2",IF(AND(AE276&gt;AT6,AE276&lt;AV6),"r2",IF(AND(AE276&gt;AT6,AE276=AV6,AF276&lt;=AW6),"r2",IF(AND(AE276=AT6,AE276&lt;AV6,AF276&gt;=AU6),"r2","n")))))</f>
        <v>r1</v>
      </c>
      <c r="AL276" s="164" t="str">
        <f>IF(AK276&lt;&gt;"n",AK276,IF(AND(AE276=AP7,AE276=AR7,AF276&gt;=AQ7,AF276&lt;=AS7),"r1",IF(AND(AE276&gt;AP7,AE276&lt;AR7),"r1",IF(AND(AE276&gt;AP7,AE276=AR7,AF276&lt;=AS7),"r1",IF(AND(AE276=AP7,AE276&lt;AR7,AF276&gt;=AQ7),"r1","n")))))</f>
        <v>r1</v>
      </c>
    </row>
    <row r="277" spans="26:38" ht="17.100000000000001" hidden="1" customHeight="1">
      <c r="Z277" s="176">
        <f t="shared" si="14"/>
        <v>7.8000000000007388</v>
      </c>
      <c r="AA277" s="176">
        <f>IF(TRIM(AG277)="","",IF(INDEX(AZ1:AZ51,AC277)=AG277,INDEX(BA1:BA51,AC277),((AG277-INDEX(AZ1:AZ51,AC277))*(INDEX(BA1:BA51,AC277+1)-INDEX(BA1:BA51,AC277)))/(INDEX(AZ1:AZ51,AC277+1)-INDEX(AZ1:AZ51,AC277))+INDEX(BA1:BA51,AC277)))</f>
        <v>7.8000000000007388</v>
      </c>
      <c r="AB277" s="176" t="e">
        <f>IF(TRIM(AG277)="","",IF(INDEX(BD1:BD51,AD277)=AG277,INDEX(BE1:BE51,AD277),((AG277-INDEX(BD1:BD51,AD277))*(INDEX(BE1:BE51,AD277+1)-INDEX(BE1:BE51,AD277)))/(INDEX(BD1:BD51,AD277+1)-INDEX(BD1:BD51,AD277))+INDEX(BE1:BE51,AD277)))</f>
        <v>#N/A</v>
      </c>
      <c r="AC277" s="164">
        <f>MATCH(AG277,AZ1:AZ51,1)</f>
        <v>5</v>
      </c>
      <c r="AD277" s="164" t="e">
        <f>MATCH(AG277,BD1:BD51,1)</f>
        <v>#N/A</v>
      </c>
      <c r="AE277" s="164">
        <v>10</v>
      </c>
      <c r="AF277" s="164">
        <v>1</v>
      </c>
      <c r="AG277" s="179">
        <f>FIXED('HourGH-JAN'!AB11)*1</f>
        <v>338.04</v>
      </c>
      <c r="AH277" s="164" t="str">
        <f>IF(AND(AE277=AP5,AE277=AR5,AF277&gt;=AQ5,AF277&lt;=AS5),"r1",IF(AND(AE277&gt;AP5,AE277&lt;AR5),"r1",IF(AND(AE277&gt;AP5,AE277=AR5,AF277&lt;=AS5),"r1",IF(AND(AE277=AP5,AE277&lt;AR5,AF277&gt;=AQ5),"r1","n"))))</f>
        <v>r1</v>
      </c>
      <c r="AI277" s="164" t="str">
        <f>IF(AH277&lt;&gt;"n",AH277,IF(AND(AE277=AT5,AE277=AV5,AF277&gt;=AU5,AF277&lt;=AW5),"r2",IF(AND(AE277&gt;AT5,AE277&lt;AV5),"r2",IF(AND(AE277&gt;AT5,AE277=AV5,AF277&lt;=AW5),"r2",IF(AND(AE277=AT5,AE277&lt;AV5,AF277&gt;=AU5),"r2","n")))))</f>
        <v>r1</v>
      </c>
      <c r="AJ277" s="164" t="str">
        <f>IF(AI277&lt;&gt;"n",AI277,IF(AND(AE277=AP6,AE277=AR6,AF277&gt;=AQ6,AF277&lt;=AS6),"r1",IF(AND(AE277&gt;AP6,AE277&lt;AR6),"r1",IF(AND(AE277&gt;AP6,AE277=AR6,AF277&lt;=AS6),"r1",IF(AND(AE277=AP6,AE277&lt;AR6,AF277&gt;=AQ6),"r1","n")))))</f>
        <v>r1</v>
      </c>
      <c r="AK277" s="164" t="str">
        <f>IF(AJ277&lt;&gt;"n",AJ277,IF(AND(AE277=AT6,AE277=AV6,AF277&gt;=AU6,AF277&lt;=AW6),"r2",IF(AND(AE277&gt;AT6,AE277&lt;AV6),"r2",IF(AND(AE277&gt;AT6,AE277=AV6,AF277&lt;=AW6),"r2",IF(AND(AE277=AT6,AE277&lt;AV6,AF277&gt;=AU6),"r2","n")))))</f>
        <v>r1</v>
      </c>
      <c r="AL277" s="164" t="str">
        <f>IF(AK277&lt;&gt;"n",AK277,IF(AND(AE277=AP7,AE277=AR7,AF277&gt;=AQ7,AF277&lt;=AS7),"r1",IF(AND(AE277&gt;AP7,AE277&lt;AR7),"r1",IF(AND(AE277&gt;AP7,AE277=AR7,AF277&lt;=AS7),"r1",IF(AND(AE277=AP7,AE277&lt;AR7,AF277&gt;=AQ7),"r1","n")))))</f>
        <v>r1</v>
      </c>
    </row>
    <row r="278" spans="26:38" ht="17.100000000000001" hidden="1" customHeight="1">
      <c r="Z278" s="176">
        <f t="shared" si="14"/>
        <v>7.4749999999991683</v>
      </c>
      <c r="AA278" s="176">
        <f>IF(TRIM(AG278)="","",IF(INDEX(AZ1:AZ51,AC278)=AG278,INDEX(BA1:BA51,AC278),((AG278-INDEX(AZ1:AZ51,AC278))*(INDEX(BA1:BA51,AC278+1)-INDEX(BA1:BA51,AC278)))/(INDEX(AZ1:AZ51,AC278+1)-INDEX(AZ1:AZ51,AC278))+INDEX(BA1:BA51,AC278)))</f>
        <v>7.4749999999991683</v>
      </c>
      <c r="AB278" s="176" t="e">
        <f>IF(TRIM(AG278)="","",IF(INDEX(BD1:BD51,AD278)=AG278,INDEX(BE1:BE51,AD278),((AG278-INDEX(BD1:BD51,AD278))*(INDEX(BE1:BE51,AD278+1)-INDEX(BE1:BE51,AD278)))/(INDEX(BD1:BD51,AD278+1)-INDEX(BD1:BD51,AD278))+INDEX(BE1:BE51,AD278)))</f>
        <v>#N/A</v>
      </c>
      <c r="AC278" s="164">
        <f>MATCH(AG278,AZ1:AZ51,1)</f>
        <v>5</v>
      </c>
      <c r="AD278" s="164" t="e">
        <f>MATCH(AG278,BD1:BD51,1)</f>
        <v>#N/A</v>
      </c>
      <c r="AE278" s="164">
        <v>10</v>
      </c>
      <c r="AF278" s="164">
        <v>2</v>
      </c>
      <c r="AG278" s="179">
        <f>FIXED('HourGH-JAN'!AB12)*1</f>
        <v>338.03</v>
      </c>
      <c r="AH278" s="164" t="str">
        <f>IF(AND(AE278=AP5,AE278=AR5,AF278&gt;=AQ5,AF278&lt;=AS5),"r1",IF(AND(AE278&gt;AP5,AE278&lt;AR5),"r1",IF(AND(AE278&gt;AP5,AE278=AR5,AF278&lt;=AS5),"r1",IF(AND(AE278=AP5,AE278&lt;AR5,AF278&gt;=AQ5),"r1","n"))))</f>
        <v>r1</v>
      </c>
      <c r="AI278" s="164" t="str">
        <f>IF(AH278&lt;&gt;"n",AH278,IF(AND(AE278=AT5,AE278=AV5,AF278&gt;=AU5,AF278&lt;=AW5),"r2",IF(AND(AE278&gt;AT5,AE278&lt;AV5),"r2",IF(AND(AE278&gt;AT5,AE278=AV5,AF278&lt;=AW5),"r2",IF(AND(AE278=AT5,AE278&lt;AV5,AF278&gt;=AU5),"r2","n")))))</f>
        <v>r1</v>
      </c>
      <c r="AJ278" s="164" t="str">
        <f>IF(AI278&lt;&gt;"n",AI278,IF(AND(AE278=AP6,AE278=AR6,AF278&gt;=AQ6,AF278&lt;=AS6),"r1",IF(AND(AE278&gt;AP6,AE278&lt;AR6),"r1",IF(AND(AE278&gt;AP6,AE278=AR6,AF278&lt;=AS6),"r1",IF(AND(AE278=AP6,AE278&lt;AR6,AF278&gt;=AQ6),"r1","n")))))</f>
        <v>r1</v>
      </c>
      <c r="AK278" s="164" t="str">
        <f>IF(AJ278&lt;&gt;"n",AJ278,IF(AND(AE278=AT6,AE278=AV6,AF278&gt;=AU6,AF278&lt;=AW6),"r2",IF(AND(AE278&gt;AT6,AE278&lt;AV6),"r2",IF(AND(AE278&gt;AT6,AE278=AV6,AF278&lt;=AW6),"r2",IF(AND(AE278=AT6,AE278&lt;AV6,AF278&gt;=AU6),"r2","n")))))</f>
        <v>r1</v>
      </c>
      <c r="AL278" s="164" t="str">
        <f>IF(AK278&lt;&gt;"n",AK278,IF(AND(AE278=AP7,AE278=AR7,AF278&gt;=AQ7,AF278&lt;=AS7),"r1",IF(AND(AE278&gt;AP7,AE278&lt;AR7),"r1",IF(AND(AE278&gt;AP7,AE278=AR7,AF278&lt;=AS7),"r1",IF(AND(AE278=AP7,AE278&lt;AR7,AF278&gt;=AQ7),"r1","n")))))</f>
        <v>r1</v>
      </c>
    </row>
    <row r="279" spans="26:38" ht="17.100000000000001" hidden="1" customHeight="1">
      <c r="Z279" s="176">
        <f t="shared" si="14"/>
        <v>7.4749999999991683</v>
      </c>
      <c r="AA279" s="176">
        <f>IF(TRIM(AG279)="","",IF(INDEX(AZ1:AZ51,AC279)=AG279,INDEX(BA1:BA51,AC279),((AG279-INDEX(AZ1:AZ51,AC279))*(INDEX(BA1:BA51,AC279+1)-INDEX(BA1:BA51,AC279)))/(INDEX(AZ1:AZ51,AC279+1)-INDEX(AZ1:AZ51,AC279))+INDEX(BA1:BA51,AC279)))</f>
        <v>7.4749999999991683</v>
      </c>
      <c r="AB279" s="176" t="e">
        <f>IF(TRIM(AG279)="","",IF(INDEX(BD1:BD51,AD279)=AG279,INDEX(BE1:BE51,AD279),((AG279-INDEX(BD1:BD51,AD279))*(INDEX(BE1:BE51,AD279+1)-INDEX(BE1:BE51,AD279)))/(INDEX(BD1:BD51,AD279+1)-INDEX(BD1:BD51,AD279))+INDEX(BE1:BE51,AD279)))</f>
        <v>#N/A</v>
      </c>
      <c r="AC279" s="164">
        <f>MATCH(AG279,AZ1:AZ51,1)</f>
        <v>5</v>
      </c>
      <c r="AD279" s="164" t="e">
        <f>MATCH(AG279,BD1:BD51,1)</f>
        <v>#N/A</v>
      </c>
      <c r="AE279" s="164">
        <v>10</v>
      </c>
      <c r="AF279" s="164">
        <v>3</v>
      </c>
      <c r="AG279" s="179">
        <f>FIXED('HourGH-JAN'!AB13)*1</f>
        <v>338.03</v>
      </c>
      <c r="AH279" s="164" t="str">
        <f>IF(AND(AE279=AP5,AE279=AR5,AF279&gt;=AQ5,AF279&lt;=AS5),"r1",IF(AND(AE279&gt;AP5,AE279&lt;AR5),"r1",IF(AND(AE279&gt;AP5,AE279=AR5,AF279&lt;=AS5),"r1",IF(AND(AE279=AP5,AE279&lt;AR5,AF279&gt;=AQ5),"r1","n"))))</f>
        <v>r1</v>
      </c>
      <c r="AI279" s="164" t="str">
        <f>IF(AH279&lt;&gt;"n",AH279,IF(AND(AE279=AT5,AE279=AV5,AF279&gt;=AU5,AF279&lt;=AW5),"r2",IF(AND(AE279&gt;AT5,AE279&lt;AV5),"r2",IF(AND(AE279&gt;AT5,AE279=AV5,AF279&lt;=AW5),"r2",IF(AND(AE279=AT5,AE279&lt;AV5,AF279&gt;=AU5),"r2","n")))))</f>
        <v>r1</v>
      </c>
      <c r="AJ279" s="164" t="str">
        <f>IF(AI279&lt;&gt;"n",AI279,IF(AND(AE279=AP6,AE279=AR6,AF279&gt;=AQ6,AF279&lt;=AS6),"r1",IF(AND(AE279&gt;AP6,AE279&lt;AR6),"r1",IF(AND(AE279&gt;AP6,AE279=AR6,AF279&lt;=AS6),"r1",IF(AND(AE279=AP6,AE279&lt;AR6,AF279&gt;=AQ6),"r1","n")))))</f>
        <v>r1</v>
      </c>
      <c r="AK279" s="164" t="str">
        <f>IF(AJ279&lt;&gt;"n",AJ279,IF(AND(AE279=AT6,AE279=AV6,AF279&gt;=AU6,AF279&lt;=AW6),"r2",IF(AND(AE279&gt;AT6,AE279&lt;AV6),"r2",IF(AND(AE279&gt;AT6,AE279=AV6,AF279&lt;=AW6),"r2",IF(AND(AE279=AT6,AE279&lt;AV6,AF279&gt;=AU6),"r2","n")))))</f>
        <v>r1</v>
      </c>
      <c r="AL279" s="164" t="str">
        <f>IF(AK279&lt;&gt;"n",AK279,IF(AND(AE279=AP7,AE279=AR7,AF279&gt;=AQ7,AF279&lt;=AS7),"r1",IF(AND(AE279&gt;AP7,AE279&lt;AR7),"r1",IF(AND(AE279&gt;AP7,AE279=AR7,AF279&lt;=AS7),"r1",IF(AND(AE279=AP7,AE279&lt;AR7,AF279&gt;=AQ7),"r1","n")))))</f>
        <v>r1</v>
      </c>
    </row>
    <row r="280" spans="26:38" ht="17.100000000000001" hidden="1" customHeight="1">
      <c r="Z280" s="176">
        <f t="shared" si="14"/>
        <v>7.4749999999991683</v>
      </c>
      <c r="AA280" s="176">
        <f>IF(TRIM(AG280)="","",IF(INDEX(AZ1:AZ51,AC280)=AG280,INDEX(BA1:BA51,AC280),((AG280-INDEX(AZ1:AZ51,AC280))*(INDEX(BA1:BA51,AC280+1)-INDEX(BA1:BA51,AC280)))/(INDEX(AZ1:AZ51,AC280+1)-INDEX(AZ1:AZ51,AC280))+INDEX(BA1:BA51,AC280)))</f>
        <v>7.4749999999991683</v>
      </c>
      <c r="AB280" s="176" t="e">
        <f>IF(TRIM(AG280)="","",IF(INDEX(BD1:BD51,AD280)=AG280,INDEX(BE1:BE51,AD280),((AG280-INDEX(BD1:BD51,AD280))*(INDEX(BE1:BE51,AD280+1)-INDEX(BE1:BE51,AD280)))/(INDEX(BD1:BD51,AD280+1)-INDEX(BD1:BD51,AD280))+INDEX(BE1:BE51,AD280)))</f>
        <v>#N/A</v>
      </c>
      <c r="AC280" s="164">
        <f>MATCH(AG280,AZ1:AZ51,1)</f>
        <v>5</v>
      </c>
      <c r="AD280" s="164" t="e">
        <f>MATCH(AG280,BD1:BD51,1)</f>
        <v>#N/A</v>
      </c>
      <c r="AE280" s="164">
        <v>10</v>
      </c>
      <c r="AF280" s="164">
        <v>4</v>
      </c>
      <c r="AG280" s="179">
        <f>FIXED('HourGH-JAN'!AB14)*1</f>
        <v>338.03</v>
      </c>
      <c r="AH280" s="164" t="str">
        <f>IF(AND(AE280=AP5,AE280=AR5,AF280&gt;=AQ5,AF280&lt;=AS5),"r1",IF(AND(AE280&gt;AP5,AE280&lt;AR5),"r1",IF(AND(AE280&gt;AP5,AE280=AR5,AF280&lt;=AS5),"r1",IF(AND(AE280=AP5,AE280&lt;AR5,AF280&gt;=AQ5),"r1","n"))))</f>
        <v>r1</v>
      </c>
      <c r="AI280" s="164" t="str">
        <f>IF(AH280&lt;&gt;"n",AH280,IF(AND(AE280=AT5,AE280=AV5,AF280&gt;=AU5,AF280&lt;=AW5),"r2",IF(AND(AE280&gt;AT5,AE280&lt;AV5),"r2",IF(AND(AE280&gt;AT5,AE280=AV5,AF280&lt;=AW5),"r2",IF(AND(AE280=AT5,AE280&lt;AV5,AF280&gt;=AU5),"r2","n")))))</f>
        <v>r1</v>
      </c>
      <c r="AJ280" s="164" t="str">
        <f>IF(AI280&lt;&gt;"n",AI280,IF(AND(AE280=AP6,AE280=AR6,AF280&gt;=AQ6,AF280&lt;=AS6),"r1",IF(AND(AE280&gt;AP6,AE280&lt;AR6),"r1",IF(AND(AE280&gt;AP6,AE280=AR6,AF280&lt;=AS6),"r1",IF(AND(AE280=AP6,AE280&lt;AR6,AF280&gt;=AQ6),"r1","n")))))</f>
        <v>r1</v>
      </c>
      <c r="AK280" s="164" t="str">
        <f>IF(AJ280&lt;&gt;"n",AJ280,IF(AND(AE280=AT6,AE280=AV6,AF280&gt;=AU6,AF280&lt;=AW6),"r2",IF(AND(AE280&gt;AT6,AE280&lt;AV6),"r2",IF(AND(AE280&gt;AT6,AE280=AV6,AF280&lt;=AW6),"r2",IF(AND(AE280=AT6,AE280&lt;AV6,AF280&gt;=AU6),"r2","n")))))</f>
        <v>r1</v>
      </c>
      <c r="AL280" s="164" t="str">
        <f>IF(AK280&lt;&gt;"n",AK280,IF(AND(AE280=AP7,AE280=AR7,AF280&gt;=AQ7,AF280&lt;=AS7),"r1",IF(AND(AE280&gt;AP7,AE280&lt;AR7),"r1",IF(AND(AE280&gt;AP7,AE280=AR7,AF280&lt;=AS7),"r1",IF(AND(AE280=AP7,AE280&lt;AR7,AF280&gt;=AQ7),"r1","n")))))</f>
        <v>r1</v>
      </c>
    </row>
    <row r="281" spans="26:38" ht="17.100000000000001" hidden="1" customHeight="1">
      <c r="Z281" s="176">
        <f t="shared" si="14"/>
        <v>7.4749999999991683</v>
      </c>
      <c r="AA281" s="176">
        <f>IF(TRIM(AG281)="","",IF(INDEX(AZ1:AZ51,AC281)=AG281,INDEX(BA1:BA51,AC281),((AG281-INDEX(AZ1:AZ51,AC281))*(INDEX(BA1:BA51,AC281+1)-INDEX(BA1:BA51,AC281)))/(INDEX(AZ1:AZ51,AC281+1)-INDEX(AZ1:AZ51,AC281))+INDEX(BA1:BA51,AC281)))</f>
        <v>7.4749999999991683</v>
      </c>
      <c r="AB281" s="176" t="e">
        <f>IF(TRIM(AG281)="","",IF(INDEX(BD1:BD51,AD281)=AG281,INDEX(BE1:BE51,AD281),((AG281-INDEX(BD1:BD51,AD281))*(INDEX(BE1:BE51,AD281+1)-INDEX(BE1:BE51,AD281)))/(INDEX(BD1:BD51,AD281+1)-INDEX(BD1:BD51,AD281))+INDEX(BE1:BE51,AD281)))</f>
        <v>#N/A</v>
      </c>
      <c r="AC281" s="164">
        <f>MATCH(AG281,AZ1:AZ51,1)</f>
        <v>5</v>
      </c>
      <c r="AD281" s="164" t="e">
        <f>MATCH(AG281,BD1:BD51,1)</f>
        <v>#N/A</v>
      </c>
      <c r="AE281" s="164">
        <v>10</v>
      </c>
      <c r="AF281" s="164">
        <v>5</v>
      </c>
      <c r="AG281" s="179">
        <f>FIXED('HourGH-JAN'!AB15)*1</f>
        <v>338.03</v>
      </c>
      <c r="AH281" s="164" t="str">
        <f>IF(AND(AE281=AP5,AE281=AR5,AF281&gt;=AQ5,AF281&lt;=AS5),"r1",IF(AND(AE281&gt;AP5,AE281&lt;AR5),"r1",IF(AND(AE281&gt;AP5,AE281=AR5,AF281&lt;=AS5),"r1",IF(AND(AE281=AP5,AE281&lt;AR5,AF281&gt;=AQ5),"r1","n"))))</f>
        <v>r1</v>
      </c>
      <c r="AI281" s="164" t="str">
        <f>IF(AH281&lt;&gt;"n",AH281,IF(AND(AE281=AT5,AE281=AV5,AF281&gt;=AU5,AF281&lt;=AW5),"r2",IF(AND(AE281&gt;AT5,AE281&lt;AV5),"r2",IF(AND(AE281&gt;AT5,AE281=AV5,AF281&lt;=AW5),"r2",IF(AND(AE281=AT5,AE281&lt;AV5,AF281&gt;=AU5),"r2","n")))))</f>
        <v>r1</v>
      </c>
      <c r="AJ281" s="164" t="str">
        <f>IF(AI281&lt;&gt;"n",AI281,IF(AND(AE281=AP6,AE281=AR6,AF281&gt;=AQ6,AF281&lt;=AS6),"r1",IF(AND(AE281&gt;AP6,AE281&lt;AR6),"r1",IF(AND(AE281&gt;AP6,AE281=AR6,AF281&lt;=AS6),"r1",IF(AND(AE281=AP6,AE281&lt;AR6,AF281&gt;=AQ6),"r1","n")))))</f>
        <v>r1</v>
      </c>
      <c r="AK281" s="164" t="str">
        <f>IF(AJ281&lt;&gt;"n",AJ281,IF(AND(AE281=AT6,AE281=AV6,AF281&gt;=AU6,AF281&lt;=AW6),"r2",IF(AND(AE281&gt;AT6,AE281&lt;AV6),"r2",IF(AND(AE281&gt;AT6,AE281=AV6,AF281&lt;=AW6),"r2",IF(AND(AE281=AT6,AE281&lt;AV6,AF281&gt;=AU6),"r2","n")))))</f>
        <v>r1</v>
      </c>
      <c r="AL281" s="164" t="str">
        <f>IF(AK281&lt;&gt;"n",AK281,IF(AND(AE281=AP7,AE281=AR7,AF281&gt;=AQ7,AF281&lt;=AS7),"r1",IF(AND(AE281&gt;AP7,AE281&lt;AR7),"r1",IF(AND(AE281&gt;AP7,AE281=AR7,AF281&lt;=AS7),"r1",IF(AND(AE281=AP7,AE281&lt;AR7,AF281&gt;=AQ7),"r1","n")))))</f>
        <v>r1</v>
      </c>
    </row>
    <row r="282" spans="26:38" ht="17.100000000000001" hidden="1" customHeight="1">
      <c r="Z282" s="176">
        <f t="shared" si="14"/>
        <v>6.8249999999997231</v>
      </c>
      <c r="AA282" s="176">
        <f>IF(TRIM(AG282)="","",IF(INDEX(AZ1:AZ51,AC282)=AG282,INDEX(BA1:BA51,AC282),((AG282-INDEX(AZ1:AZ51,AC282))*(INDEX(BA1:BA51,AC282+1)-INDEX(BA1:BA51,AC282)))/(INDEX(AZ1:AZ51,AC282+1)-INDEX(AZ1:AZ51,AC282))+INDEX(BA1:BA51,AC282)))</f>
        <v>6.8249999999997231</v>
      </c>
      <c r="AB282" s="176" t="e">
        <f>IF(TRIM(AG282)="","",IF(INDEX(BD1:BD51,AD282)=AG282,INDEX(BE1:BE51,AD282),((AG282-INDEX(BD1:BD51,AD282))*(INDEX(BE1:BE51,AD282+1)-INDEX(BE1:BE51,AD282)))/(INDEX(BD1:BD51,AD282+1)-INDEX(BD1:BD51,AD282))+INDEX(BE1:BE51,AD282)))</f>
        <v>#N/A</v>
      </c>
      <c r="AC282" s="164">
        <f>MATCH(AG282,AZ1:AZ51,1)</f>
        <v>5</v>
      </c>
      <c r="AD282" s="164" t="e">
        <f>MATCH(AG282,BD1:BD51,1)</f>
        <v>#N/A</v>
      </c>
      <c r="AE282" s="164">
        <v>10</v>
      </c>
      <c r="AF282" s="164">
        <v>6</v>
      </c>
      <c r="AG282" s="179">
        <f>FIXED('HourGH-JAN'!AB16)*1</f>
        <v>338.01</v>
      </c>
      <c r="AH282" s="164" t="str">
        <f>IF(AND(AE282=AP5,AE282=AR5,AF282&gt;=AQ5,AF282&lt;=AS5),"r1",IF(AND(AE282&gt;AP5,AE282&lt;AR5),"r1",IF(AND(AE282&gt;AP5,AE282=AR5,AF282&lt;=AS5),"r1",IF(AND(AE282=AP5,AE282&lt;AR5,AF282&gt;=AQ5),"r1","n"))))</f>
        <v>r1</v>
      </c>
      <c r="AI282" s="164" t="str">
        <f>IF(AH282&lt;&gt;"n",AH282,IF(AND(AE282=AT5,AE282=AV5,AF282&gt;=AU5,AF282&lt;=AW5),"r2",IF(AND(AE282&gt;AT5,AE282&lt;AV5),"r2",IF(AND(AE282&gt;AT5,AE282=AV5,AF282&lt;=AW5),"r2",IF(AND(AE282=AT5,AE282&lt;AV5,AF282&gt;=AU5),"r2","n")))))</f>
        <v>r1</v>
      </c>
      <c r="AJ282" s="164" t="str">
        <f>IF(AI282&lt;&gt;"n",AI282,IF(AND(AE282=AP6,AE282=AR6,AF282&gt;=AQ6,AF282&lt;=AS6),"r1",IF(AND(AE282&gt;AP6,AE282&lt;AR6),"r1",IF(AND(AE282&gt;AP6,AE282=AR6,AF282&lt;=AS6),"r1",IF(AND(AE282=AP6,AE282&lt;AR6,AF282&gt;=AQ6),"r1","n")))))</f>
        <v>r1</v>
      </c>
      <c r="AK282" s="164" t="str">
        <f>IF(AJ282&lt;&gt;"n",AJ282,IF(AND(AE282=AT6,AE282=AV6,AF282&gt;=AU6,AF282&lt;=AW6),"r2",IF(AND(AE282&gt;AT6,AE282&lt;AV6),"r2",IF(AND(AE282&gt;AT6,AE282=AV6,AF282&lt;=AW6),"r2",IF(AND(AE282=AT6,AE282&lt;AV6,AF282&gt;=AU6),"r2","n")))))</f>
        <v>r1</v>
      </c>
      <c r="AL282" s="164" t="str">
        <f>IF(AK282&lt;&gt;"n",AK282,IF(AND(AE282=AP7,AE282=AR7,AF282&gt;=AQ7,AF282&lt;=AS7),"r1",IF(AND(AE282&gt;AP7,AE282&lt;AR7),"r1",IF(AND(AE282&gt;AP7,AE282=AR7,AF282&lt;=AS7),"r1",IF(AND(AE282=AP7,AE282&lt;AR7,AF282&gt;=AQ7),"r1","n")))))</f>
        <v>r1</v>
      </c>
    </row>
    <row r="283" spans="26:38" ht="17.100000000000001" hidden="1" customHeight="1">
      <c r="Z283" s="176">
        <f t="shared" si="14"/>
        <v>7.1499999999994461</v>
      </c>
      <c r="AA283" s="176">
        <f>IF(TRIM(AG283)="","",IF(INDEX(AZ1:AZ51,AC283)=AG283,INDEX(BA1:BA51,AC283),((AG283-INDEX(AZ1:AZ51,AC283))*(INDEX(BA1:BA51,AC283+1)-INDEX(BA1:BA51,AC283)))/(INDEX(AZ1:AZ51,AC283+1)-INDEX(AZ1:AZ51,AC283))+INDEX(BA1:BA51,AC283)))</f>
        <v>7.1499999999994461</v>
      </c>
      <c r="AB283" s="176" t="e">
        <f>IF(TRIM(AG283)="","",IF(INDEX(BD1:BD51,AD283)=AG283,INDEX(BE1:BE51,AD283),((AG283-INDEX(BD1:BD51,AD283))*(INDEX(BE1:BE51,AD283+1)-INDEX(BE1:BE51,AD283)))/(INDEX(BD1:BD51,AD283+1)-INDEX(BD1:BD51,AD283))+INDEX(BE1:BE51,AD283)))</f>
        <v>#N/A</v>
      </c>
      <c r="AC283" s="164">
        <f>MATCH(AG283,AZ1:AZ51,1)</f>
        <v>5</v>
      </c>
      <c r="AD283" s="164" t="e">
        <f>MATCH(AG283,BD1:BD51,1)</f>
        <v>#N/A</v>
      </c>
      <c r="AE283" s="164">
        <v>10</v>
      </c>
      <c r="AF283" s="164">
        <v>7</v>
      </c>
      <c r="AG283" s="179">
        <f>FIXED('HourGH-JAN'!AB17)*1</f>
        <v>338.02</v>
      </c>
      <c r="AH283" s="164" t="str">
        <f>IF(AND(AE283=AP5,AE283=AR5,AF283&gt;=AQ5,AF283&lt;=AS5),"r1",IF(AND(AE283&gt;AP5,AE283&lt;AR5),"r1",IF(AND(AE283&gt;AP5,AE283=AR5,AF283&lt;=AS5),"r1",IF(AND(AE283=AP5,AE283&lt;AR5,AF283&gt;=AQ5),"r1","n"))))</f>
        <v>r1</v>
      </c>
      <c r="AI283" s="164" t="str">
        <f>IF(AH283&lt;&gt;"n",AH283,IF(AND(AE283=AT5,AE283=AV5,AF283&gt;=AU5,AF283&lt;=AW5),"r2",IF(AND(AE283&gt;AT5,AE283&lt;AV5),"r2",IF(AND(AE283&gt;AT5,AE283=AV5,AF283&lt;=AW5),"r2",IF(AND(AE283=AT5,AE283&lt;AV5,AF283&gt;=AU5),"r2","n")))))</f>
        <v>r1</v>
      </c>
      <c r="AJ283" s="164" t="str">
        <f>IF(AI283&lt;&gt;"n",AI283,IF(AND(AE283=AP6,AE283=AR6,AF283&gt;=AQ6,AF283&lt;=AS6),"r1",IF(AND(AE283&gt;AP6,AE283&lt;AR6),"r1",IF(AND(AE283&gt;AP6,AE283=AR6,AF283&lt;=AS6),"r1",IF(AND(AE283=AP6,AE283&lt;AR6,AF283&gt;=AQ6),"r1","n")))))</f>
        <v>r1</v>
      </c>
      <c r="AK283" s="164" t="str">
        <f>IF(AJ283&lt;&gt;"n",AJ283,IF(AND(AE283=AT6,AE283=AV6,AF283&gt;=AU6,AF283&lt;=AW6),"r2",IF(AND(AE283&gt;AT6,AE283&lt;AV6),"r2",IF(AND(AE283&gt;AT6,AE283=AV6,AF283&lt;=AW6),"r2",IF(AND(AE283=AT6,AE283&lt;AV6,AF283&gt;=AU6),"r2","n")))))</f>
        <v>r1</v>
      </c>
      <c r="AL283" s="164" t="str">
        <f>IF(AK283&lt;&gt;"n",AK283,IF(AND(AE283=AP7,AE283=AR7,AF283&gt;=AQ7,AF283&lt;=AS7),"r1",IF(AND(AE283&gt;AP7,AE283&lt;AR7),"r1",IF(AND(AE283&gt;AP7,AE283=AR7,AF283&lt;=AS7),"r1",IF(AND(AE283=AP7,AE283&lt;AR7,AF283&gt;=AQ7),"r1","n")))))</f>
        <v>r1</v>
      </c>
    </row>
    <row r="284" spans="26:38" ht="17.100000000000001" hidden="1" customHeight="1">
      <c r="Z284" s="176">
        <f t="shared" si="14"/>
        <v>7.1499999999994461</v>
      </c>
      <c r="AA284" s="176">
        <f>IF(TRIM(AG284)="","",IF(INDEX(AZ1:AZ51,AC284)=AG284,INDEX(BA1:BA51,AC284),((AG284-INDEX(AZ1:AZ51,AC284))*(INDEX(BA1:BA51,AC284+1)-INDEX(BA1:BA51,AC284)))/(INDEX(AZ1:AZ51,AC284+1)-INDEX(AZ1:AZ51,AC284))+INDEX(BA1:BA51,AC284)))</f>
        <v>7.1499999999994461</v>
      </c>
      <c r="AB284" s="176" t="e">
        <f>IF(TRIM(AG284)="","",IF(INDEX(BD1:BD51,AD284)=AG284,INDEX(BE1:BE51,AD284),((AG284-INDEX(BD1:BD51,AD284))*(INDEX(BE1:BE51,AD284+1)-INDEX(BE1:BE51,AD284)))/(INDEX(BD1:BD51,AD284+1)-INDEX(BD1:BD51,AD284))+INDEX(BE1:BE51,AD284)))</f>
        <v>#N/A</v>
      </c>
      <c r="AC284" s="164">
        <f>MATCH(AG284,AZ1:AZ51,1)</f>
        <v>5</v>
      </c>
      <c r="AD284" s="164" t="e">
        <f>MATCH(AG284,BD1:BD51,1)</f>
        <v>#N/A</v>
      </c>
      <c r="AE284" s="164">
        <v>10</v>
      </c>
      <c r="AF284" s="164">
        <v>8</v>
      </c>
      <c r="AG284" s="179">
        <f>FIXED('HourGH-JAN'!AB18)*1</f>
        <v>338.02</v>
      </c>
      <c r="AH284" s="164" t="str">
        <f>IF(AND(AE284=AP5,AE284=AR5,AF284&gt;=AQ5,AF284&lt;=AS5),"r1",IF(AND(AE284&gt;AP5,AE284&lt;AR5),"r1",IF(AND(AE284&gt;AP5,AE284=AR5,AF284&lt;=AS5),"r1",IF(AND(AE284=AP5,AE284&lt;AR5,AF284&gt;=AQ5),"r1","n"))))</f>
        <v>r1</v>
      </c>
      <c r="AI284" s="164" t="str">
        <f>IF(AH284&lt;&gt;"n",AH284,IF(AND(AE284=AT5,AE284=AV5,AF284&gt;=AU5,AF284&lt;=AW5),"r2",IF(AND(AE284&gt;AT5,AE284&lt;AV5),"r2",IF(AND(AE284&gt;AT5,AE284=AV5,AF284&lt;=AW5),"r2",IF(AND(AE284=AT5,AE284&lt;AV5,AF284&gt;=AU5),"r2","n")))))</f>
        <v>r1</v>
      </c>
      <c r="AJ284" s="164" t="str">
        <f>IF(AI284&lt;&gt;"n",AI284,IF(AND(AE284=AP6,AE284=AR6,AF284&gt;=AQ6,AF284&lt;=AS6),"r1",IF(AND(AE284&gt;AP6,AE284&lt;AR6),"r1",IF(AND(AE284&gt;AP6,AE284=AR6,AF284&lt;=AS6),"r1",IF(AND(AE284=AP6,AE284&lt;AR6,AF284&gt;=AQ6),"r1","n")))))</f>
        <v>r1</v>
      </c>
      <c r="AK284" s="164" t="str">
        <f>IF(AJ284&lt;&gt;"n",AJ284,IF(AND(AE284=AT6,AE284=AV6,AF284&gt;=AU6,AF284&lt;=AW6),"r2",IF(AND(AE284&gt;AT6,AE284&lt;AV6),"r2",IF(AND(AE284&gt;AT6,AE284=AV6,AF284&lt;=AW6),"r2",IF(AND(AE284=AT6,AE284&lt;AV6,AF284&gt;=AU6),"r2","n")))))</f>
        <v>r1</v>
      </c>
      <c r="AL284" s="164" t="str">
        <f>IF(AK284&lt;&gt;"n",AK284,IF(AND(AE284=AP7,AE284=AR7,AF284&gt;=AQ7,AF284&lt;=AS7),"r1",IF(AND(AE284&gt;AP7,AE284&lt;AR7),"r1",IF(AND(AE284&gt;AP7,AE284=AR7,AF284&lt;=AS7),"r1",IF(AND(AE284=AP7,AE284&lt;AR7,AF284&gt;=AQ7),"r1","n")))))</f>
        <v>r1</v>
      </c>
    </row>
    <row r="285" spans="26:38" ht="17.100000000000001" hidden="1" customHeight="1">
      <c r="Z285" s="176">
        <f t="shared" si="14"/>
        <v>6.8249999999997231</v>
      </c>
      <c r="AA285" s="176">
        <f>IF(TRIM(AG285)="","",IF(INDEX(AZ1:AZ51,AC285)=AG285,INDEX(BA1:BA51,AC285),((AG285-INDEX(AZ1:AZ51,AC285))*(INDEX(BA1:BA51,AC285+1)-INDEX(BA1:BA51,AC285)))/(INDEX(AZ1:AZ51,AC285+1)-INDEX(AZ1:AZ51,AC285))+INDEX(BA1:BA51,AC285)))</f>
        <v>6.8249999999997231</v>
      </c>
      <c r="AB285" s="176" t="e">
        <f>IF(TRIM(AG285)="","",IF(INDEX(BD1:BD51,AD285)=AG285,INDEX(BE1:BE51,AD285),((AG285-INDEX(BD1:BD51,AD285))*(INDEX(BE1:BE51,AD285+1)-INDEX(BE1:BE51,AD285)))/(INDEX(BD1:BD51,AD285+1)-INDEX(BD1:BD51,AD285))+INDEX(BE1:BE51,AD285)))</f>
        <v>#N/A</v>
      </c>
      <c r="AC285" s="164">
        <f>MATCH(AG285,AZ1:AZ51,1)</f>
        <v>5</v>
      </c>
      <c r="AD285" s="164" t="e">
        <f>MATCH(AG285,BD1:BD51,1)</f>
        <v>#N/A</v>
      </c>
      <c r="AE285" s="164">
        <v>10</v>
      </c>
      <c r="AF285" s="164">
        <v>9</v>
      </c>
      <c r="AG285" s="179">
        <f>FIXED('HourGH-JAN'!AB19)*1</f>
        <v>338.01</v>
      </c>
      <c r="AH285" s="164" t="str">
        <f>IF(AND(AE285=AP5,AE285=AR5,AF285&gt;=AQ5,AF285&lt;=AS5),"r1",IF(AND(AE285&gt;AP5,AE285&lt;AR5),"r1",IF(AND(AE285&gt;AP5,AE285=AR5,AF285&lt;=AS5),"r1",IF(AND(AE285=AP5,AE285&lt;AR5,AF285&gt;=AQ5),"r1","n"))))</f>
        <v>r1</v>
      </c>
      <c r="AI285" s="164" t="str">
        <f>IF(AH285&lt;&gt;"n",AH285,IF(AND(AE285=AT5,AE285=AV5,AF285&gt;=AU5,AF285&lt;=AW5),"r2",IF(AND(AE285&gt;AT5,AE285&lt;AV5),"r2",IF(AND(AE285&gt;AT5,AE285=AV5,AF285&lt;=AW5),"r2",IF(AND(AE285=AT5,AE285&lt;AV5,AF285&gt;=AU5),"r2","n")))))</f>
        <v>r1</v>
      </c>
      <c r="AJ285" s="164" t="str">
        <f>IF(AI285&lt;&gt;"n",AI285,IF(AND(AE285=AP6,AE285=AR6,AF285&gt;=AQ6,AF285&lt;=AS6),"r1",IF(AND(AE285&gt;AP6,AE285&lt;AR6),"r1",IF(AND(AE285&gt;AP6,AE285=AR6,AF285&lt;=AS6),"r1",IF(AND(AE285=AP6,AE285&lt;AR6,AF285&gt;=AQ6),"r1","n")))))</f>
        <v>r1</v>
      </c>
      <c r="AK285" s="164" t="str">
        <f>IF(AJ285&lt;&gt;"n",AJ285,IF(AND(AE285=AT6,AE285=AV6,AF285&gt;=AU6,AF285&lt;=AW6),"r2",IF(AND(AE285&gt;AT6,AE285&lt;AV6),"r2",IF(AND(AE285&gt;AT6,AE285=AV6,AF285&lt;=AW6),"r2",IF(AND(AE285=AT6,AE285&lt;AV6,AF285&gt;=AU6),"r2","n")))))</f>
        <v>r1</v>
      </c>
      <c r="AL285" s="164" t="str">
        <f>IF(AK285&lt;&gt;"n",AK285,IF(AND(AE285=AP7,AE285=AR7,AF285&gt;=AQ7,AF285&lt;=AS7),"r1",IF(AND(AE285&gt;AP7,AE285&lt;AR7),"r1",IF(AND(AE285&gt;AP7,AE285=AR7,AF285&lt;=AS7),"r1",IF(AND(AE285=AP7,AE285&lt;AR7,AF285&gt;=AQ7),"r1","n")))))</f>
        <v>r1</v>
      </c>
    </row>
    <row r="286" spans="26:38" ht="17.100000000000001" hidden="1" customHeight="1">
      <c r="Z286" s="176">
        <f t="shared" si="14"/>
        <v>6.8249999999997231</v>
      </c>
      <c r="AA286" s="176">
        <f>IF(TRIM(AG286)="","",IF(INDEX(AZ1:AZ51,AC286)=AG286,INDEX(BA1:BA51,AC286),((AG286-INDEX(AZ1:AZ51,AC286))*(INDEX(BA1:BA51,AC286+1)-INDEX(BA1:BA51,AC286)))/(INDEX(AZ1:AZ51,AC286+1)-INDEX(AZ1:AZ51,AC286))+INDEX(BA1:BA51,AC286)))</f>
        <v>6.8249999999997231</v>
      </c>
      <c r="AB286" s="176" t="e">
        <f>IF(TRIM(AG286)="","",IF(INDEX(BD1:BD51,AD286)=AG286,INDEX(BE1:BE51,AD286),((AG286-INDEX(BD1:BD51,AD286))*(INDEX(BE1:BE51,AD286+1)-INDEX(BE1:BE51,AD286)))/(INDEX(BD1:BD51,AD286+1)-INDEX(BD1:BD51,AD286))+INDEX(BE1:BE51,AD286)))</f>
        <v>#N/A</v>
      </c>
      <c r="AC286" s="164">
        <f>MATCH(AG286,AZ1:AZ51,1)</f>
        <v>5</v>
      </c>
      <c r="AD286" s="164" t="e">
        <f>MATCH(AG286,BD1:BD51,1)</f>
        <v>#N/A</v>
      </c>
      <c r="AE286" s="164">
        <v>10</v>
      </c>
      <c r="AF286" s="164">
        <v>10</v>
      </c>
      <c r="AG286" s="179">
        <f>FIXED('HourGH-JAN'!AB20)*1</f>
        <v>338.01</v>
      </c>
      <c r="AH286" s="164" t="str">
        <f>IF(AND(AE286=AP5,AE286=AR5,AF286&gt;=AQ5,AF286&lt;=AS5),"r1",IF(AND(AE286&gt;AP5,AE286&lt;AR5),"r1",IF(AND(AE286&gt;AP5,AE286=AR5,AF286&lt;=AS5),"r1",IF(AND(AE286=AP5,AE286&lt;AR5,AF286&gt;=AQ5),"r1","n"))))</f>
        <v>r1</v>
      </c>
      <c r="AI286" s="164" t="str">
        <f>IF(AH286&lt;&gt;"n",AH286,IF(AND(AE286=AT5,AE286=AV5,AF286&gt;=AU5,AF286&lt;=AW5),"r2",IF(AND(AE286&gt;AT5,AE286&lt;AV5),"r2",IF(AND(AE286&gt;AT5,AE286=AV5,AF286&lt;=AW5),"r2",IF(AND(AE286=AT5,AE286&lt;AV5,AF286&gt;=AU5),"r2","n")))))</f>
        <v>r1</v>
      </c>
      <c r="AJ286" s="164" t="str">
        <f>IF(AI286&lt;&gt;"n",AI286,IF(AND(AE286=AP6,AE286=AR6,AF286&gt;=AQ6,AF286&lt;=AS6),"r1",IF(AND(AE286&gt;AP6,AE286&lt;AR6),"r1",IF(AND(AE286&gt;AP6,AE286=AR6,AF286&lt;=AS6),"r1",IF(AND(AE286=AP6,AE286&lt;AR6,AF286&gt;=AQ6),"r1","n")))))</f>
        <v>r1</v>
      </c>
      <c r="AK286" s="164" t="str">
        <f>IF(AJ286&lt;&gt;"n",AJ286,IF(AND(AE286=AT6,AE286=AV6,AF286&gt;=AU6,AF286&lt;=AW6),"r2",IF(AND(AE286&gt;AT6,AE286&lt;AV6),"r2",IF(AND(AE286&gt;AT6,AE286=AV6,AF286&lt;=AW6),"r2",IF(AND(AE286=AT6,AE286&lt;AV6,AF286&gt;=AU6),"r2","n")))))</f>
        <v>r1</v>
      </c>
      <c r="AL286" s="164" t="str">
        <f>IF(AK286&lt;&gt;"n",AK286,IF(AND(AE286=AP7,AE286=AR7,AF286&gt;=AQ7,AF286&lt;=AS7),"r1",IF(AND(AE286&gt;AP7,AE286&lt;AR7),"r1",IF(AND(AE286&gt;AP7,AE286=AR7,AF286&lt;=AS7),"r1",IF(AND(AE286=AP7,AE286&lt;AR7,AF286&gt;=AQ7),"r1","n")))))</f>
        <v>r1</v>
      </c>
    </row>
    <row r="287" spans="26:38" ht="17.100000000000001" hidden="1" customHeight="1">
      <c r="Z287" s="176">
        <f t="shared" si="14"/>
        <v>6.5</v>
      </c>
      <c r="AA287" s="176">
        <f>IF(TRIM(AG287)="","",IF(INDEX(AZ1:AZ51,AC287)=AG287,INDEX(BA1:BA51,AC287),((AG287-INDEX(AZ1:AZ51,AC287))*(INDEX(BA1:BA51,AC287+1)-INDEX(BA1:BA51,AC287)))/(INDEX(AZ1:AZ51,AC287+1)-INDEX(AZ1:AZ51,AC287))+INDEX(BA1:BA51,AC287)))</f>
        <v>6.5</v>
      </c>
      <c r="AB287" s="176" t="e">
        <f>IF(TRIM(AG287)="","",IF(INDEX(BD1:BD51,AD287)=AG287,INDEX(BE1:BE51,AD287),((AG287-INDEX(BD1:BD51,AD287))*(INDEX(BE1:BE51,AD287+1)-INDEX(BE1:BE51,AD287)))/(INDEX(BD1:BD51,AD287+1)-INDEX(BD1:BD51,AD287))+INDEX(BE1:BE51,AD287)))</f>
        <v>#N/A</v>
      </c>
      <c r="AC287" s="164">
        <f>MATCH(AG287,AZ1:AZ51,1)</f>
        <v>5</v>
      </c>
      <c r="AD287" s="164" t="e">
        <f>MATCH(AG287,BD1:BD51,1)</f>
        <v>#N/A</v>
      </c>
      <c r="AE287" s="164">
        <v>10</v>
      </c>
      <c r="AF287" s="164">
        <v>11</v>
      </c>
      <c r="AG287" s="179">
        <f>FIXED('HourGH-JAN'!AB22)*1</f>
        <v>338</v>
      </c>
      <c r="AH287" s="164" t="str">
        <f>IF(AND(AE287=AP5,AE287=AR5,AF287&gt;=AQ5,AF287&lt;=AS5),"r1",IF(AND(AE287&gt;AP5,AE287&lt;AR5),"r1",IF(AND(AE287&gt;AP5,AE287=AR5,AF287&lt;=AS5),"r1",IF(AND(AE287=AP5,AE287&lt;AR5,AF287&gt;=AQ5),"r1","n"))))</f>
        <v>r1</v>
      </c>
      <c r="AI287" s="164" t="str">
        <f>IF(AH287&lt;&gt;"n",AH287,IF(AND(AE287=AT5,AE287=AV5,AF287&gt;=AU5,AF287&lt;=AW5),"r2",IF(AND(AE287&gt;AT5,AE287&lt;AV5),"r2",IF(AND(AE287&gt;AT5,AE287=AV5,AF287&lt;=AW5),"r2",IF(AND(AE287=AT5,AE287&lt;AV5,AF287&gt;=AU5),"r2","n")))))</f>
        <v>r1</v>
      </c>
      <c r="AJ287" s="164" t="str">
        <f>IF(AI287&lt;&gt;"n",AI287,IF(AND(AE287=AP6,AE287=AR6,AF287&gt;=AQ6,AF287&lt;=AS6),"r1",IF(AND(AE287&gt;AP6,AE287&lt;AR6),"r1",IF(AND(AE287&gt;AP6,AE287=AR6,AF287&lt;=AS6),"r1",IF(AND(AE287=AP6,AE287&lt;AR6,AF287&gt;=AQ6),"r1","n")))))</f>
        <v>r1</v>
      </c>
      <c r="AK287" s="164" t="str">
        <f>IF(AJ287&lt;&gt;"n",AJ287,IF(AND(AE287=AT6,AE287=AV6,AF287&gt;=AU6,AF287&lt;=AW6),"r2",IF(AND(AE287&gt;AT6,AE287&lt;AV6),"r2",IF(AND(AE287&gt;AT6,AE287=AV6,AF287&lt;=AW6),"r2",IF(AND(AE287=AT6,AE287&lt;AV6,AF287&gt;=AU6),"r2","n")))))</f>
        <v>r1</v>
      </c>
      <c r="AL287" s="164" t="str">
        <f>IF(AK287&lt;&gt;"n",AK287,IF(AND(AE287=AP7,AE287=AR7,AF287&gt;=AQ7,AF287&lt;=AS7),"r1",IF(AND(AE287&gt;AP7,AE287&lt;AR7),"r1",IF(AND(AE287&gt;AP7,AE287=AR7,AF287&lt;=AS7),"r1",IF(AND(AE287=AP7,AE287&lt;AR7,AF287&gt;=AQ7),"r1","n")))))</f>
        <v>r1</v>
      </c>
    </row>
    <row r="288" spans="26:38" ht="17.100000000000001" hidden="1" customHeight="1">
      <c r="Z288" s="176">
        <f t="shared" si="14"/>
        <v>6.5</v>
      </c>
      <c r="AA288" s="176">
        <f>IF(TRIM(AG288)="","",IF(INDEX(AZ1:AZ51,AC288)=AG288,INDEX(BA1:BA51,AC288),((AG288-INDEX(AZ1:AZ51,AC288))*(INDEX(BA1:BA51,AC288+1)-INDEX(BA1:BA51,AC288)))/(INDEX(AZ1:AZ51,AC288+1)-INDEX(AZ1:AZ51,AC288))+INDEX(BA1:BA51,AC288)))</f>
        <v>6.5</v>
      </c>
      <c r="AB288" s="176" t="e">
        <f>IF(TRIM(AG288)="","",IF(INDEX(BD1:BD51,AD288)=AG288,INDEX(BE1:BE51,AD288),((AG288-INDEX(BD1:BD51,AD288))*(INDEX(BE1:BE51,AD288+1)-INDEX(BE1:BE51,AD288)))/(INDEX(BD1:BD51,AD288+1)-INDEX(BD1:BD51,AD288))+INDEX(BE1:BE51,AD288)))</f>
        <v>#N/A</v>
      </c>
      <c r="AC288" s="164">
        <f>MATCH(AG288,AZ1:AZ51,1)</f>
        <v>5</v>
      </c>
      <c r="AD288" s="164" t="e">
        <f>MATCH(AG288,BD1:BD51,1)</f>
        <v>#N/A</v>
      </c>
      <c r="AE288" s="164">
        <v>10</v>
      </c>
      <c r="AF288" s="164">
        <v>12</v>
      </c>
      <c r="AG288" s="179">
        <f>FIXED('HourGH-JAN'!AB23)*1</f>
        <v>338</v>
      </c>
      <c r="AH288" s="164" t="str">
        <f>IF(AND(AE288=AP5,AE288=AR5,AF288&gt;=AQ5,AF288&lt;=AS5),"r1",IF(AND(AE288&gt;AP5,AE288&lt;AR5),"r1",IF(AND(AE288&gt;AP5,AE288=AR5,AF288&lt;=AS5),"r1",IF(AND(AE288=AP5,AE288&lt;AR5,AF288&gt;=AQ5),"r1","n"))))</f>
        <v>r1</v>
      </c>
      <c r="AI288" s="164" t="str">
        <f>IF(AH288&lt;&gt;"n",AH288,IF(AND(AE288=AT5,AE288=AV5,AF288&gt;=AU5,AF288&lt;=AW5),"r2",IF(AND(AE288&gt;AT5,AE288&lt;AV5),"r2",IF(AND(AE288&gt;AT5,AE288=AV5,AF288&lt;=AW5),"r2",IF(AND(AE288=AT5,AE288&lt;AV5,AF288&gt;=AU5),"r2","n")))))</f>
        <v>r1</v>
      </c>
      <c r="AJ288" s="164" t="str">
        <f>IF(AI288&lt;&gt;"n",AI288,IF(AND(AE288=AP6,AE288=AR6,AF288&gt;=AQ6,AF288&lt;=AS6),"r1",IF(AND(AE288&gt;AP6,AE288&lt;AR6),"r1",IF(AND(AE288&gt;AP6,AE288=AR6,AF288&lt;=AS6),"r1",IF(AND(AE288=AP6,AE288&lt;AR6,AF288&gt;=AQ6),"r1","n")))))</f>
        <v>r1</v>
      </c>
      <c r="AK288" s="164" t="str">
        <f>IF(AJ288&lt;&gt;"n",AJ288,IF(AND(AE288=AT6,AE288=AV6,AF288&gt;=AU6,AF288&lt;=AW6),"r2",IF(AND(AE288&gt;AT6,AE288&lt;AV6),"r2",IF(AND(AE288&gt;AT6,AE288=AV6,AF288&lt;=AW6),"r2",IF(AND(AE288=AT6,AE288&lt;AV6,AF288&gt;=AU6),"r2","n")))))</f>
        <v>r1</v>
      </c>
      <c r="AL288" s="164" t="str">
        <f>IF(AK288&lt;&gt;"n",AK288,IF(AND(AE288=AP7,AE288=AR7,AF288&gt;=AQ7,AF288&lt;=AS7),"r1",IF(AND(AE288&gt;AP7,AE288&lt;AR7),"r1",IF(AND(AE288&gt;AP7,AE288=AR7,AF288&lt;=AS7),"r1",IF(AND(AE288=AP7,AE288&lt;AR7,AF288&gt;=AQ7),"r1","n")))))</f>
        <v>r1</v>
      </c>
    </row>
    <row r="289" spans="26:38" ht="17.100000000000001" hidden="1" customHeight="1">
      <c r="Z289" s="176">
        <f t="shared" si="14"/>
        <v>6.2500000000002842</v>
      </c>
      <c r="AA289" s="176">
        <f>IF(TRIM(AG289)="","",IF(INDEX(AZ1:AZ51,AC289)=AG289,INDEX(BA1:BA51,AC289),((AG289-INDEX(AZ1:AZ51,AC289))*(INDEX(BA1:BA51,AC289+1)-INDEX(BA1:BA51,AC289)))/(INDEX(AZ1:AZ51,AC289+1)-INDEX(AZ1:AZ51,AC289))+INDEX(BA1:BA51,AC289)))</f>
        <v>6.2500000000002842</v>
      </c>
      <c r="AB289" s="176" t="e">
        <f>IF(TRIM(AG289)="","",IF(INDEX(BD1:BD51,AD289)=AG289,INDEX(BE1:BE51,AD289),((AG289-INDEX(BD1:BD51,AD289))*(INDEX(BE1:BE51,AD289+1)-INDEX(BE1:BE51,AD289)))/(INDEX(BD1:BD51,AD289+1)-INDEX(BD1:BD51,AD289))+INDEX(BE1:BE51,AD289)))</f>
        <v>#N/A</v>
      </c>
      <c r="AC289" s="164">
        <f>MATCH(AG289,AZ1:AZ51,1)</f>
        <v>4</v>
      </c>
      <c r="AD289" s="164" t="e">
        <f>MATCH(AG289,BD1:BD51,1)</f>
        <v>#N/A</v>
      </c>
      <c r="AE289" s="164">
        <v>10</v>
      </c>
      <c r="AF289" s="164">
        <v>13</v>
      </c>
      <c r="AG289" s="179">
        <f>FIXED('HourGH-JAN'!AB24)*1</f>
        <v>337.99</v>
      </c>
      <c r="AH289" s="164" t="str">
        <f>IF(AND(AE289=AP5,AE289=AR5,AF289&gt;=AQ5,AF289&lt;=AS5),"r1",IF(AND(AE289&gt;AP5,AE289&lt;AR5),"r1",IF(AND(AE289&gt;AP5,AE289=AR5,AF289&lt;=AS5),"r1",IF(AND(AE289=AP5,AE289&lt;AR5,AF289&gt;=AQ5),"r1","n"))))</f>
        <v>r1</v>
      </c>
      <c r="AI289" s="164" t="str">
        <f>IF(AH289&lt;&gt;"n",AH289,IF(AND(AE289=AT5,AE289=AV5,AF289&gt;=AU5,AF289&lt;=AW5),"r2",IF(AND(AE289&gt;AT5,AE289&lt;AV5),"r2",IF(AND(AE289&gt;AT5,AE289=AV5,AF289&lt;=AW5),"r2",IF(AND(AE289=AT5,AE289&lt;AV5,AF289&gt;=AU5),"r2","n")))))</f>
        <v>r1</v>
      </c>
      <c r="AJ289" s="164" t="str">
        <f>IF(AI289&lt;&gt;"n",AI289,IF(AND(AE289=AP6,AE289=AR6,AF289&gt;=AQ6,AF289&lt;=AS6),"r1",IF(AND(AE289&gt;AP6,AE289&lt;AR6),"r1",IF(AND(AE289&gt;AP6,AE289=AR6,AF289&lt;=AS6),"r1",IF(AND(AE289=AP6,AE289&lt;AR6,AF289&gt;=AQ6),"r1","n")))))</f>
        <v>r1</v>
      </c>
      <c r="AK289" s="164" t="str">
        <f>IF(AJ289&lt;&gt;"n",AJ289,IF(AND(AE289=AT6,AE289=AV6,AF289&gt;=AU6,AF289&lt;=AW6),"r2",IF(AND(AE289&gt;AT6,AE289&lt;AV6),"r2",IF(AND(AE289&gt;AT6,AE289=AV6,AF289&lt;=AW6),"r2",IF(AND(AE289=AT6,AE289&lt;AV6,AF289&gt;=AU6),"r2","n")))))</f>
        <v>r1</v>
      </c>
      <c r="AL289" s="164" t="str">
        <f>IF(AK289&lt;&gt;"n",AK289,IF(AND(AE289=AP7,AE289=AR7,AF289&gt;=AQ7,AF289&lt;=AS7),"r1",IF(AND(AE289&gt;AP7,AE289&lt;AR7),"r1",IF(AND(AE289&gt;AP7,AE289=AR7,AF289&lt;=AS7),"r1",IF(AND(AE289=AP7,AE289&lt;AR7,AF289&gt;=AQ7),"r1","n")))))</f>
        <v>r1</v>
      </c>
    </row>
    <row r="290" spans="26:38" ht="17.100000000000001" hidden="1" customHeight="1">
      <c r="Z290" s="176">
        <f t="shared" si="14"/>
        <v>6.5</v>
      </c>
      <c r="AA290" s="176">
        <f>IF(TRIM(AG290)="","",IF(INDEX(AZ1:AZ51,AC290)=AG290,INDEX(BA1:BA51,AC290),((AG290-INDEX(AZ1:AZ51,AC290))*(INDEX(BA1:BA51,AC290+1)-INDEX(BA1:BA51,AC290)))/(INDEX(AZ1:AZ51,AC290+1)-INDEX(AZ1:AZ51,AC290))+INDEX(BA1:BA51,AC290)))</f>
        <v>6.5</v>
      </c>
      <c r="AB290" s="176" t="e">
        <f>IF(TRIM(AG290)="","",IF(INDEX(BD1:BD51,AD290)=AG290,INDEX(BE1:BE51,AD290),((AG290-INDEX(BD1:BD51,AD290))*(INDEX(BE1:BE51,AD290+1)-INDEX(BE1:BE51,AD290)))/(INDEX(BD1:BD51,AD290+1)-INDEX(BD1:BD51,AD290))+INDEX(BE1:BE51,AD290)))</f>
        <v>#N/A</v>
      </c>
      <c r="AC290" s="164">
        <f>MATCH(AG290,AZ1:AZ51,1)</f>
        <v>5</v>
      </c>
      <c r="AD290" s="164" t="e">
        <f>MATCH(AG290,BD1:BD51,1)</f>
        <v>#N/A</v>
      </c>
      <c r="AE290" s="164">
        <v>10</v>
      </c>
      <c r="AF290" s="164">
        <v>14</v>
      </c>
      <c r="AG290" s="179">
        <f>FIXED('HourGH-JAN'!AB25)*1</f>
        <v>338</v>
      </c>
      <c r="AH290" s="164" t="str">
        <f>IF(AND(AE290=AP5,AE290=AR5,AF290&gt;=AQ5,AF290&lt;=AS5),"r1",IF(AND(AE290&gt;AP5,AE290&lt;AR5),"r1",IF(AND(AE290&gt;AP5,AE290=AR5,AF290&lt;=AS5),"r1",IF(AND(AE290=AP5,AE290&lt;AR5,AF290&gt;=AQ5),"r1","n"))))</f>
        <v>r1</v>
      </c>
      <c r="AI290" s="164" t="str">
        <f>IF(AH290&lt;&gt;"n",AH290,IF(AND(AE290=AT5,AE290=AV5,AF290&gt;=AU5,AF290&lt;=AW5),"r2",IF(AND(AE290&gt;AT5,AE290&lt;AV5),"r2",IF(AND(AE290&gt;AT5,AE290=AV5,AF290&lt;=AW5),"r2",IF(AND(AE290=AT5,AE290&lt;AV5,AF290&gt;=AU5),"r2","n")))))</f>
        <v>r1</v>
      </c>
      <c r="AJ290" s="164" t="str">
        <f>IF(AI290&lt;&gt;"n",AI290,IF(AND(AE290=AP6,AE290=AR6,AF290&gt;=AQ6,AF290&lt;=AS6),"r1",IF(AND(AE290&gt;AP6,AE290&lt;AR6),"r1",IF(AND(AE290&gt;AP6,AE290=AR6,AF290&lt;=AS6),"r1",IF(AND(AE290=AP6,AE290&lt;AR6,AF290&gt;=AQ6),"r1","n")))))</f>
        <v>r1</v>
      </c>
      <c r="AK290" s="164" t="str">
        <f>IF(AJ290&lt;&gt;"n",AJ290,IF(AND(AE290=AT6,AE290=AV6,AF290&gt;=AU6,AF290&lt;=AW6),"r2",IF(AND(AE290&gt;AT6,AE290&lt;AV6),"r2",IF(AND(AE290&gt;AT6,AE290=AV6,AF290&lt;=AW6),"r2",IF(AND(AE290=AT6,AE290&lt;AV6,AF290&gt;=AU6),"r2","n")))))</f>
        <v>r1</v>
      </c>
      <c r="AL290" s="164" t="str">
        <f>IF(AK290&lt;&gt;"n",AK290,IF(AND(AE290=AP7,AE290=AR7,AF290&gt;=AQ7,AF290&lt;=AS7),"r1",IF(AND(AE290&gt;AP7,AE290&lt;AR7),"r1",IF(AND(AE290&gt;AP7,AE290=AR7,AF290&lt;=AS7),"r1",IF(AND(AE290=AP7,AE290&lt;AR7,AF290&gt;=AQ7),"r1","n")))))</f>
        <v>r1</v>
      </c>
    </row>
    <row r="291" spans="26:38" ht="17.100000000000001" hidden="1" customHeight="1">
      <c r="Z291" s="176">
        <f t="shared" si="14"/>
        <v>6.5</v>
      </c>
      <c r="AA291" s="176">
        <f>IF(TRIM(AG291)="","",IF(INDEX(AZ1:AZ51,AC291)=AG291,INDEX(BA1:BA51,AC291),((AG291-INDEX(AZ1:AZ51,AC291))*(INDEX(BA1:BA51,AC291+1)-INDEX(BA1:BA51,AC291)))/(INDEX(AZ1:AZ51,AC291+1)-INDEX(AZ1:AZ51,AC291))+INDEX(BA1:BA51,AC291)))</f>
        <v>6.5</v>
      </c>
      <c r="AB291" s="176" t="e">
        <f>IF(TRIM(AG291)="","",IF(INDEX(BD1:BD51,AD291)=AG291,INDEX(BE1:BE51,AD291),((AG291-INDEX(BD1:BD51,AD291))*(INDEX(BE1:BE51,AD291+1)-INDEX(BE1:BE51,AD291)))/(INDEX(BD1:BD51,AD291+1)-INDEX(BD1:BD51,AD291))+INDEX(BE1:BE51,AD291)))</f>
        <v>#N/A</v>
      </c>
      <c r="AC291" s="164">
        <f>MATCH(AG291,AZ1:AZ51,1)</f>
        <v>5</v>
      </c>
      <c r="AD291" s="164" t="e">
        <f>MATCH(AG291,BD1:BD51,1)</f>
        <v>#N/A</v>
      </c>
      <c r="AE291" s="164">
        <v>10</v>
      </c>
      <c r="AF291" s="164">
        <v>15</v>
      </c>
      <c r="AG291" s="179">
        <f>FIXED('HourGH-JAN'!AB26)*1</f>
        <v>338</v>
      </c>
      <c r="AH291" s="164" t="str">
        <f>IF(AND(AE291=AP5,AE291=AR5,AF291&gt;=AQ5,AF291&lt;=AS5),"r1",IF(AND(AE291&gt;AP5,AE291&lt;AR5),"r1",IF(AND(AE291&gt;AP5,AE291=AR5,AF291&lt;=AS5),"r1",IF(AND(AE291=AP5,AE291&lt;AR5,AF291&gt;=AQ5),"r1","n"))))</f>
        <v>r1</v>
      </c>
      <c r="AI291" s="164" t="str">
        <f>IF(AH291&lt;&gt;"n",AH291,IF(AND(AE291=AT5,AE291=AV5,AF291&gt;=AU5,AF291&lt;=AW5),"r2",IF(AND(AE291&gt;AT5,AE291&lt;AV5),"r2",IF(AND(AE291&gt;AT5,AE291=AV5,AF291&lt;=AW5),"r2",IF(AND(AE291=AT5,AE291&lt;AV5,AF291&gt;=AU5),"r2","n")))))</f>
        <v>r1</v>
      </c>
      <c r="AJ291" s="164" t="str">
        <f>IF(AI291&lt;&gt;"n",AI291,IF(AND(AE291=AP6,AE291=AR6,AF291&gt;=AQ6,AF291&lt;=AS6),"r1",IF(AND(AE291&gt;AP6,AE291&lt;AR6),"r1",IF(AND(AE291&gt;AP6,AE291=AR6,AF291&lt;=AS6),"r1",IF(AND(AE291=AP6,AE291&lt;AR6,AF291&gt;=AQ6),"r1","n")))))</f>
        <v>r1</v>
      </c>
      <c r="AK291" s="164" t="str">
        <f>IF(AJ291&lt;&gt;"n",AJ291,IF(AND(AE291=AT6,AE291=AV6,AF291&gt;=AU6,AF291&lt;=AW6),"r2",IF(AND(AE291&gt;AT6,AE291&lt;AV6),"r2",IF(AND(AE291&gt;AT6,AE291=AV6,AF291&lt;=AW6),"r2",IF(AND(AE291=AT6,AE291&lt;AV6,AF291&gt;=AU6),"r2","n")))))</f>
        <v>r1</v>
      </c>
      <c r="AL291" s="164" t="str">
        <f>IF(AK291&lt;&gt;"n",AK291,IF(AND(AE291=AP7,AE291=AR7,AF291&gt;=AQ7,AF291&lt;=AS7),"r1",IF(AND(AE291&gt;AP7,AE291&lt;AR7),"r1",IF(AND(AE291&gt;AP7,AE291=AR7,AF291&lt;=AS7),"r1",IF(AND(AE291=AP7,AE291&lt;AR7,AF291&gt;=AQ7),"r1","n")))))</f>
        <v>r1</v>
      </c>
    </row>
    <row r="292" spans="26:38" ht="17.100000000000001" hidden="1" customHeight="1">
      <c r="Z292" s="176">
        <f t="shared" si="14"/>
        <v>6.5</v>
      </c>
      <c r="AA292" s="176">
        <f>IF(TRIM(AG292)="","",IF(INDEX(AZ1:AZ51,AC292)=AG292,INDEX(BA1:BA51,AC292),((AG292-INDEX(AZ1:AZ51,AC292))*(INDEX(BA1:BA51,AC292+1)-INDEX(BA1:BA51,AC292)))/(INDEX(AZ1:AZ51,AC292+1)-INDEX(AZ1:AZ51,AC292))+INDEX(BA1:BA51,AC292)))</f>
        <v>6.5</v>
      </c>
      <c r="AB292" s="176" t="e">
        <f>IF(TRIM(AG292)="","",IF(INDEX(BD1:BD51,AD292)=AG292,INDEX(BE1:BE51,AD292),((AG292-INDEX(BD1:BD51,AD292))*(INDEX(BE1:BE51,AD292+1)-INDEX(BE1:BE51,AD292)))/(INDEX(BD1:BD51,AD292+1)-INDEX(BD1:BD51,AD292))+INDEX(BE1:BE51,AD292)))</f>
        <v>#N/A</v>
      </c>
      <c r="AC292" s="164">
        <f>MATCH(AG292,AZ1:AZ51,1)</f>
        <v>5</v>
      </c>
      <c r="AD292" s="164" t="e">
        <f>MATCH(AG292,BD1:BD51,1)</f>
        <v>#N/A</v>
      </c>
      <c r="AE292" s="164">
        <v>10</v>
      </c>
      <c r="AF292" s="164">
        <v>16</v>
      </c>
      <c r="AG292" s="179">
        <f>FIXED('HourGH-JAN'!AB27)*1</f>
        <v>338</v>
      </c>
      <c r="AH292" s="164" t="str">
        <f>IF(AND(AE292=AP5,AE292=AR5,AF292&gt;=AQ5,AF292&lt;=AS5),"r1",IF(AND(AE292&gt;AP5,AE292&lt;AR5),"r1",IF(AND(AE292&gt;AP5,AE292=AR5,AF292&lt;=AS5),"r1",IF(AND(AE292=AP5,AE292&lt;AR5,AF292&gt;=AQ5),"r1","n"))))</f>
        <v>r1</v>
      </c>
      <c r="AI292" s="164" t="str">
        <f>IF(AH292&lt;&gt;"n",AH292,IF(AND(AE292=AT5,AE292=AV5,AF292&gt;=AU5,AF292&lt;=AW5),"r2",IF(AND(AE292&gt;AT5,AE292&lt;AV5),"r2",IF(AND(AE292&gt;AT5,AE292=AV5,AF292&lt;=AW5),"r2",IF(AND(AE292=AT5,AE292&lt;AV5,AF292&gt;=AU5),"r2","n")))))</f>
        <v>r1</v>
      </c>
      <c r="AJ292" s="164" t="str">
        <f>IF(AI292&lt;&gt;"n",AI292,IF(AND(AE292=AP6,AE292=AR6,AF292&gt;=AQ6,AF292&lt;=AS6),"r1",IF(AND(AE292&gt;AP6,AE292&lt;AR6),"r1",IF(AND(AE292&gt;AP6,AE292=AR6,AF292&lt;=AS6),"r1",IF(AND(AE292=AP6,AE292&lt;AR6,AF292&gt;=AQ6),"r1","n")))))</f>
        <v>r1</v>
      </c>
      <c r="AK292" s="164" t="str">
        <f>IF(AJ292&lt;&gt;"n",AJ292,IF(AND(AE292=AT6,AE292=AV6,AF292&gt;=AU6,AF292&lt;=AW6),"r2",IF(AND(AE292&gt;AT6,AE292&lt;AV6),"r2",IF(AND(AE292&gt;AT6,AE292=AV6,AF292&lt;=AW6),"r2",IF(AND(AE292=AT6,AE292&lt;AV6,AF292&gt;=AU6),"r2","n")))))</f>
        <v>r1</v>
      </c>
      <c r="AL292" s="164" t="str">
        <f>IF(AK292&lt;&gt;"n",AK292,IF(AND(AE292=AP7,AE292=AR7,AF292&gt;=AQ7,AF292&lt;=AS7),"r1",IF(AND(AE292&gt;AP7,AE292&lt;AR7),"r1",IF(AND(AE292&gt;AP7,AE292=AR7,AF292&lt;=AS7),"r1",IF(AND(AE292=AP7,AE292&lt;AR7,AF292&gt;=AQ7),"r1","n")))))</f>
        <v>r1</v>
      </c>
    </row>
    <row r="293" spans="26:38" ht="17.100000000000001" hidden="1" customHeight="1">
      <c r="Z293" s="176">
        <f t="shared" si="14"/>
        <v>8.774999999999908</v>
      </c>
      <c r="AA293" s="176">
        <f>IF(TRIM(AG293)="","",IF(INDEX(AZ1:AZ51,AC293)=AG293,INDEX(BA1:BA51,AC293),((AG293-INDEX(AZ1:AZ51,AC293))*(INDEX(BA1:BA51,AC293+1)-INDEX(BA1:BA51,AC293)))/(INDEX(AZ1:AZ51,AC293+1)-INDEX(AZ1:AZ51,AC293))+INDEX(BA1:BA51,AC293)))</f>
        <v>8.774999999999908</v>
      </c>
      <c r="AB293" s="176" t="e">
        <f>IF(TRIM(AG293)="","",IF(INDEX(BD1:BD51,AD293)=AG293,INDEX(BE1:BE51,AD293),((AG293-INDEX(BD1:BD51,AD293))*(INDEX(BE1:BE51,AD293+1)-INDEX(BE1:BE51,AD293)))/(INDEX(BD1:BD51,AD293+1)-INDEX(BD1:BD51,AD293))+INDEX(BE1:BE51,AD293)))</f>
        <v>#N/A</v>
      </c>
      <c r="AC293" s="164">
        <f>MATCH(AG293,AZ1:AZ51,1)</f>
        <v>5</v>
      </c>
      <c r="AD293" s="164" t="e">
        <f>MATCH(AG293,BD1:BD51,1)</f>
        <v>#N/A</v>
      </c>
      <c r="AE293" s="164">
        <v>10</v>
      </c>
      <c r="AF293" s="164">
        <v>17</v>
      </c>
      <c r="AG293" s="179">
        <f>FIXED('HourGH-JAN'!AB28)*1</f>
        <v>338.07</v>
      </c>
      <c r="AH293" s="164" t="str">
        <f>IF(AND(AE293=AP5,AE293=AR5,AF293&gt;=AQ5,AF293&lt;=AS5),"r1",IF(AND(AE293&gt;AP5,AE293&lt;AR5),"r1",IF(AND(AE293&gt;AP5,AE293=AR5,AF293&lt;=AS5),"r1",IF(AND(AE293=AP5,AE293&lt;AR5,AF293&gt;=AQ5),"r1","n"))))</f>
        <v>r1</v>
      </c>
      <c r="AI293" s="164" t="str">
        <f>IF(AH293&lt;&gt;"n",AH293,IF(AND(AE293=AT5,AE293=AV5,AF293&gt;=AU5,AF293&lt;=AW5),"r2",IF(AND(AE293&gt;AT5,AE293&lt;AV5),"r2",IF(AND(AE293&gt;AT5,AE293=AV5,AF293&lt;=AW5),"r2",IF(AND(AE293=AT5,AE293&lt;AV5,AF293&gt;=AU5),"r2","n")))))</f>
        <v>r1</v>
      </c>
      <c r="AJ293" s="164" t="str">
        <f>IF(AI293&lt;&gt;"n",AI293,IF(AND(AE293=AP6,AE293=AR6,AF293&gt;=AQ6,AF293&lt;=AS6),"r1",IF(AND(AE293&gt;AP6,AE293&lt;AR6),"r1",IF(AND(AE293&gt;AP6,AE293=AR6,AF293&lt;=AS6),"r1",IF(AND(AE293=AP6,AE293&lt;AR6,AF293&gt;=AQ6),"r1","n")))))</f>
        <v>r1</v>
      </c>
      <c r="AK293" s="164" t="str">
        <f>IF(AJ293&lt;&gt;"n",AJ293,IF(AND(AE293=AT6,AE293=AV6,AF293&gt;=AU6,AF293&lt;=AW6),"r2",IF(AND(AE293&gt;AT6,AE293&lt;AV6),"r2",IF(AND(AE293&gt;AT6,AE293=AV6,AF293&lt;=AW6),"r2",IF(AND(AE293=AT6,AE293&lt;AV6,AF293&gt;=AU6),"r2","n")))))</f>
        <v>r1</v>
      </c>
      <c r="AL293" s="164" t="str">
        <f>IF(AK293&lt;&gt;"n",AK293,IF(AND(AE293=AP7,AE293=AR7,AF293&gt;=AQ7,AF293&lt;=AS7),"r1",IF(AND(AE293&gt;AP7,AE293&lt;AR7),"r1",IF(AND(AE293&gt;AP7,AE293=AR7,AF293&lt;=AS7),"r1",IF(AND(AE293=AP7,AE293&lt;AR7,AF293&gt;=AQ7),"r1","n")))))</f>
        <v>r1</v>
      </c>
    </row>
    <row r="294" spans="26:38" ht="17.100000000000001" hidden="1" customHeight="1">
      <c r="Z294" s="176">
        <f t="shared" si="14"/>
        <v>17.950000000000895</v>
      </c>
      <c r="AA294" s="176">
        <f>IF(TRIM(AG294)="","",IF(INDEX(AZ1:AZ51,AC294)=AG294,INDEX(BA1:BA51,AC294),((AG294-INDEX(AZ1:AZ51,AC294))*(INDEX(BA1:BA51,AC294+1)-INDEX(BA1:BA51,AC294)))/(INDEX(AZ1:AZ51,AC294+1)-INDEX(AZ1:AZ51,AC294))+INDEX(BA1:BA51,AC294)))</f>
        <v>17.950000000000895</v>
      </c>
      <c r="AB294" s="176" t="e">
        <f>IF(TRIM(AG294)="","",IF(INDEX(BD1:BD51,AD294)=AG294,INDEX(BE1:BE51,AD294),((AG294-INDEX(BD1:BD51,AD294))*(INDEX(BE1:BE51,AD294+1)-INDEX(BE1:BE51,AD294)))/(INDEX(BD1:BD51,AD294+1)-INDEX(BD1:BD51,AD294))+INDEX(BE1:BE51,AD294)))</f>
        <v>#N/A</v>
      </c>
      <c r="AC294" s="164">
        <f>MATCH(AG294,AZ1:AZ51,1)</f>
        <v>6</v>
      </c>
      <c r="AD294" s="164" t="e">
        <f>MATCH(AG294,BD1:BD51,1)</f>
        <v>#N/A</v>
      </c>
      <c r="AE294" s="164">
        <v>10</v>
      </c>
      <c r="AF294" s="164">
        <v>18</v>
      </c>
      <c r="AG294" s="179">
        <f>FIXED('HourGH-JAN'!AB29)*1</f>
        <v>338.31</v>
      </c>
      <c r="AH294" s="164" t="str">
        <f>IF(AND(AE294=AP5,AE294=AR5,AF294&gt;=AQ5,AF294&lt;=AS5),"r1",IF(AND(AE294&gt;AP5,AE294&lt;AR5),"r1",IF(AND(AE294&gt;AP5,AE294=AR5,AF294&lt;=AS5),"r1",IF(AND(AE294=AP5,AE294&lt;AR5,AF294&gt;=AQ5),"r1","n"))))</f>
        <v>r1</v>
      </c>
      <c r="AI294" s="164" t="str">
        <f>IF(AH294&lt;&gt;"n",AH294,IF(AND(AE294=AT5,AE294=AV5,AF294&gt;=AU5,AF294&lt;=AW5),"r2",IF(AND(AE294&gt;AT5,AE294&lt;AV5),"r2",IF(AND(AE294&gt;AT5,AE294=AV5,AF294&lt;=AW5),"r2",IF(AND(AE294=AT5,AE294&lt;AV5,AF294&gt;=AU5),"r2","n")))))</f>
        <v>r1</v>
      </c>
      <c r="AJ294" s="164" t="str">
        <f>IF(AI294&lt;&gt;"n",AI294,IF(AND(AE294=AP6,AE294=AR6,AF294&gt;=AQ6,AF294&lt;=AS6),"r1",IF(AND(AE294&gt;AP6,AE294&lt;AR6),"r1",IF(AND(AE294&gt;AP6,AE294=AR6,AF294&lt;=AS6),"r1",IF(AND(AE294=AP6,AE294&lt;AR6,AF294&gt;=AQ6),"r1","n")))))</f>
        <v>r1</v>
      </c>
      <c r="AK294" s="164" t="str">
        <f>IF(AJ294&lt;&gt;"n",AJ294,IF(AND(AE294=AT6,AE294=AV6,AF294&gt;=AU6,AF294&lt;=AW6),"r2",IF(AND(AE294&gt;AT6,AE294&lt;AV6),"r2",IF(AND(AE294&gt;AT6,AE294=AV6,AF294&lt;=AW6),"r2",IF(AND(AE294=AT6,AE294&lt;AV6,AF294&gt;=AU6),"r2","n")))))</f>
        <v>r1</v>
      </c>
      <c r="AL294" s="164" t="str">
        <f>IF(AK294&lt;&gt;"n",AK294,IF(AND(AE294=AP7,AE294=AR7,AF294&gt;=AQ7,AF294&lt;=AS7),"r1",IF(AND(AE294&gt;AP7,AE294&lt;AR7),"r1",IF(AND(AE294&gt;AP7,AE294=AR7,AF294&lt;=AS7),"r1",IF(AND(AE294=AP7,AE294&lt;AR7,AF294&gt;=AQ7),"r1","n")))))</f>
        <v>r1</v>
      </c>
    </row>
    <row r="295" spans="26:38" ht="17.100000000000001" hidden="1" customHeight="1">
      <c r="Z295" s="176">
        <f t="shared" si="14"/>
        <v>18.850000000000129</v>
      </c>
      <c r="AA295" s="176">
        <f>IF(TRIM(AG295)="","",IF(INDEX(AZ1:AZ51,AC295)=AG295,INDEX(BA1:BA51,AC295),((AG295-INDEX(AZ1:AZ51,AC295))*(INDEX(BA1:BA51,AC295+1)-INDEX(BA1:BA51,AC295)))/(INDEX(AZ1:AZ51,AC295+1)-INDEX(AZ1:AZ51,AC295))+INDEX(BA1:BA51,AC295)))</f>
        <v>18.850000000000129</v>
      </c>
      <c r="AB295" s="176" t="e">
        <f>IF(TRIM(AG295)="","",IF(INDEX(BD1:BD51,AD295)=AG295,INDEX(BE1:BE51,AD295),((AG295-INDEX(BD1:BD51,AD295))*(INDEX(BE1:BE51,AD295+1)-INDEX(BE1:BE51,AD295)))/(INDEX(BD1:BD51,AD295+1)-INDEX(BD1:BD51,AD295))+INDEX(BE1:BE51,AD295)))</f>
        <v>#N/A</v>
      </c>
      <c r="AC295" s="164">
        <f>MATCH(AG295,AZ1:AZ51,1)</f>
        <v>6</v>
      </c>
      <c r="AD295" s="164" t="e">
        <f>MATCH(AG295,BD1:BD51,1)</f>
        <v>#N/A</v>
      </c>
      <c r="AE295" s="164">
        <v>10</v>
      </c>
      <c r="AF295" s="164">
        <v>19</v>
      </c>
      <c r="AG295" s="179">
        <f>FIXED('HourGH-JAN'!AB30)*1</f>
        <v>338.33</v>
      </c>
      <c r="AH295" s="164" t="str">
        <f>IF(AND(AE295=AP5,AE295=AR5,AF295&gt;=AQ5,AF295&lt;=AS5),"r1",IF(AND(AE295&gt;AP5,AE295&lt;AR5),"r1",IF(AND(AE295&gt;AP5,AE295=AR5,AF295&lt;=AS5),"r1",IF(AND(AE295=AP5,AE295&lt;AR5,AF295&gt;=AQ5),"r1","n"))))</f>
        <v>r1</v>
      </c>
      <c r="AI295" s="164" t="str">
        <f>IF(AH295&lt;&gt;"n",AH295,IF(AND(AE295=AT5,AE295=AV5,AF295&gt;=AU5,AF295&lt;=AW5),"r2",IF(AND(AE295&gt;AT5,AE295&lt;AV5),"r2",IF(AND(AE295&gt;AT5,AE295=AV5,AF295&lt;=AW5),"r2",IF(AND(AE295=AT5,AE295&lt;AV5,AF295&gt;=AU5),"r2","n")))))</f>
        <v>r1</v>
      </c>
      <c r="AJ295" s="164" t="str">
        <f>IF(AI295&lt;&gt;"n",AI295,IF(AND(AE295=AP6,AE295=AR6,AF295&gt;=AQ6,AF295&lt;=AS6),"r1",IF(AND(AE295&gt;AP6,AE295&lt;AR6),"r1",IF(AND(AE295&gt;AP6,AE295=AR6,AF295&lt;=AS6),"r1",IF(AND(AE295=AP6,AE295&lt;AR6,AF295&gt;=AQ6),"r1","n")))))</f>
        <v>r1</v>
      </c>
      <c r="AK295" s="164" t="str">
        <f>IF(AJ295&lt;&gt;"n",AJ295,IF(AND(AE295=AT6,AE295=AV6,AF295&gt;=AU6,AF295&lt;=AW6),"r2",IF(AND(AE295&gt;AT6,AE295&lt;AV6),"r2",IF(AND(AE295&gt;AT6,AE295=AV6,AF295&lt;=AW6),"r2",IF(AND(AE295=AT6,AE295&lt;AV6,AF295&gt;=AU6),"r2","n")))))</f>
        <v>r1</v>
      </c>
      <c r="AL295" s="164" t="str">
        <f>IF(AK295&lt;&gt;"n",AK295,IF(AND(AE295=AP7,AE295=AR7,AF295&gt;=AQ7,AF295&lt;=AS7),"r1",IF(AND(AE295&gt;AP7,AE295&lt;AR7),"r1",IF(AND(AE295&gt;AP7,AE295=AR7,AF295&lt;=AS7),"r1",IF(AND(AE295=AP7,AE295&lt;AR7,AF295&gt;=AQ7),"r1","n")))))</f>
        <v>r1</v>
      </c>
    </row>
    <row r="296" spans="26:38" ht="17.100000000000001" hidden="1" customHeight="1">
      <c r="Z296" s="176">
        <f t="shared" si="14"/>
        <v>14.800000000001024</v>
      </c>
      <c r="AA296" s="176">
        <f>IF(TRIM(AG296)="","",IF(INDEX(AZ1:AZ51,AC296)=AG296,INDEX(BA1:BA51,AC296),((AG296-INDEX(AZ1:AZ51,AC296))*(INDEX(BA1:BA51,AC296+1)-INDEX(BA1:BA51,AC296)))/(INDEX(AZ1:AZ51,AC296+1)-INDEX(AZ1:AZ51,AC296))+INDEX(BA1:BA51,AC296)))</f>
        <v>14.800000000001024</v>
      </c>
      <c r="AB296" s="176" t="e">
        <f>IF(TRIM(AG296)="","",IF(INDEX(BD1:BD51,AD296)=AG296,INDEX(BE1:BE51,AD296),((AG296-INDEX(BD1:BD51,AD296))*(INDEX(BE1:BE51,AD296+1)-INDEX(BE1:BE51,AD296)))/(INDEX(BD1:BD51,AD296+1)-INDEX(BD1:BD51,AD296))+INDEX(BE1:BE51,AD296)))</f>
        <v>#N/A</v>
      </c>
      <c r="AC296" s="164">
        <f>MATCH(AG296,AZ1:AZ51,1)</f>
        <v>6</v>
      </c>
      <c r="AD296" s="164" t="e">
        <f>MATCH(AG296,BD1:BD51,1)</f>
        <v>#N/A</v>
      </c>
      <c r="AE296" s="164">
        <v>10</v>
      </c>
      <c r="AF296" s="164">
        <v>20</v>
      </c>
      <c r="AG296" s="179">
        <f>FIXED('HourGH-JAN'!AB31)*1</f>
        <v>338.24</v>
      </c>
      <c r="AH296" s="164" t="str">
        <f>IF(AND(AE296=AP5,AE296=AR5,AF296&gt;=AQ5,AF296&lt;=AS5),"r1",IF(AND(AE296&gt;AP5,AE296&lt;AR5),"r1",IF(AND(AE296&gt;AP5,AE296=AR5,AF296&lt;=AS5),"r1",IF(AND(AE296=AP5,AE296&lt;AR5,AF296&gt;=AQ5),"r1","n"))))</f>
        <v>r1</v>
      </c>
      <c r="AI296" s="164" t="str">
        <f>IF(AH296&lt;&gt;"n",AH296,IF(AND(AE296=AT5,AE296=AV5,AF296&gt;=AU5,AF296&lt;=AW5),"r2",IF(AND(AE296&gt;AT5,AE296&lt;AV5),"r2",IF(AND(AE296&gt;AT5,AE296=AV5,AF296&lt;=AW5),"r2",IF(AND(AE296=AT5,AE296&lt;AV5,AF296&gt;=AU5),"r2","n")))))</f>
        <v>r1</v>
      </c>
      <c r="AJ296" s="164" t="str">
        <f>IF(AI296&lt;&gt;"n",AI296,IF(AND(AE296=AP6,AE296=AR6,AF296&gt;=AQ6,AF296&lt;=AS6),"r1",IF(AND(AE296&gt;AP6,AE296&lt;AR6),"r1",IF(AND(AE296&gt;AP6,AE296=AR6,AF296&lt;=AS6),"r1",IF(AND(AE296=AP6,AE296&lt;AR6,AF296&gt;=AQ6),"r1","n")))))</f>
        <v>r1</v>
      </c>
      <c r="AK296" s="164" t="str">
        <f>IF(AJ296&lt;&gt;"n",AJ296,IF(AND(AE296=AT6,AE296=AV6,AF296&gt;=AU6,AF296&lt;=AW6),"r2",IF(AND(AE296&gt;AT6,AE296&lt;AV6),"r2",IF(AND(AE296&gt;AT6,AE296=AV6,AF296&lt;=AW6),"r2",IF(AND(AE296=AT6,AE296&lt;AV6,AF296&gt;=AU6),"r2","n")))))</f>
        <v>r1</v>
      </c>
      <c r="AL296" s="164" t="str">
        <f>IF(AK296&lt;&gt;"n",AK296,IF(AND(AE296=AP7,AE296=AR7,AF296&gt;=AQ7,AF296&lt;=AS7),"r1",IF(AND(AE296&gt;AP7,AE296&lt;AR7),"r1",IF(AND(AE296&gt;AP7,AE296=AR7,AF296&lt;=AS7),"r1",IF(AND(AE296=AP7,AE296&lt;AR7,AF296&gt;=AQ7),"r1","n")))))</f>
        <v>r1</v>
      </c>
    </row>
    <row r="297" spans="26:38" ht="17.100000000000001" hidden="1" customHeight="1">
      <c r="Z297" s="176">
        <f t="shared" si="14"/>
        <v>5.7500000000008527</v>
      </c>
      <c r="AA297" s="176">
        <f>IF(TRIM(AG297)="","",IF(INDEX(AZ1:AZ51,AC297)=AG297,INDEX(BA1:BA51,AC297),((AG297-INDEX(AZ1:AZ51,AC297))*(INDEX(BA1:BA51,AC297+1)-INDEX(BA1:BA51,AC297)))/(INDEX(AZ1:AZ51,AC297+1)-INDEX(AZ1:AZ51,AC297))+INDEX(BA1:BA51,AC297)))</f>
        <v>5.7500000000008527</v>
      </c>
      <c r="AB297" s="176" t="e">
        <f>IF(TRIM(AG297)="","",IF(INDEX(BD1:BD51,AD297)=AG297,INDEX(BE1:BE51,AD297),((AG297-INDEX(BD1:BD51,AD297))*(INDEX(BE1:BE51,AD297+1)-INDEX(BE1:BE51,AD297)))/(INDEX(BD1:BD51,AD297+1)-INDEX(BD1:BD51,AD297))+INDEX(BE1:BE51,AD297)))</f>
        <v>#N/A</v>
      </c>
      <c r="AC297" s="164">
        <f>MATCH(AG297,AZ1:AZ51,1)</f>
        <v>4</v>
      </c>
      <c r="AD297" s="164" t="e">
        <f>MATCH(AG297,BD1:BD51,1)</f>
        <v>#N/A</v>
      </c>
      <c r="AE297" s="164">
        <v>10</v>
      </c>
      <c r="AF297" s="164">
        <v>21</v>
      </c>
      <c r="AG297" s="179">
        <f>FIXED('HourGH-JAN'!AB33)*1</f>
        <v>337.97</v>
      </c>
      <c r="AH297" s="164" t="str">
        <f>IF(AND(AE297=AP5,AE297=AR5,AF297&gt;=AQ5,AF297&lt;=AS5),"r1",IF(AND(AE297&gt;AP5,AE297&lt;AR5),"r1",IF(AND(AE297&gt;AP5,AE297=AR5,AF297&lt;=AS5),"r1",IF(AND(AE297=AP5,AE297&lt;AR5,AF297&gt;=AQ5),"r1","n"))))</f>
        <v>r1</v>
      </c>
      <c r="AI297" s="164" t="str">
        <f>IF(AH297&lt;&gt;"n",AH297,IF(AND(AE297=AT5,AE297=AV5,AF297&gt;=AU5,AF297&lt;=AW5),"r2",IF(AND(AE297&gt;AT5,AE297&lt;AV5),"r2",IF(AND(AE297&gt;AT5,AE297=AV5,AF297&lt;=AW5),"r2",IF(AND(AE297=AT5,AE297&lt;AV5,AF297&gt;=AU5),"r2","n")))))</f>
        <v>r1</v>
      </c>
      <c r="AJ297" s="164" t="str">
        <f>IF(AI297&lt;&gt;"n",AI297,IF(AND(AE297=AP6,AE297=AR6,AF297&gt;=AQ6,AF297&lt;=AS6),"r1",IF(AND(AE297&gt;AP6,AE297&lt;AR6),"r1",IF(AND(AE297&gt;AP6,AE297=AR6,AF297&lt;=AS6),"r1",IF(AND(AE297=AP6,AE297&lt;AR6,AF297&gt;=AQ6),"r1","n")))))</f>
        <v>r1</v>
      </c>
      <c r="AK297" s="164" t="str">
        <f>IF(AJ297&lt;&gt;"n",AJ297,IF(AND(AE297=AT6,AE297=AV6,AF297&gt;=AU6,AF297&lt;=AW6),"r2",IF(AND(AE297&gt;AT6,AE297&lt;AV6),"r2",IF(AND(AE297&gt;AT6,AE297=AV6,AF297&lt;=AW6),"r2",IF(AND(AE297=AT6,AE297&lt;AV6,AF297&gt;=AU6),"r2","n")))))</f>
        <v>r1</v>
      </c>
      <c r="AL297" s="164" t="str">
        <f>IF(AK297&lt;&gt;"n",AK297,IF(AND(AE297=AP7,AE297=AR7,AF297&gt;=AQ7,AF297&lt;=AS7),"r1",IF(AND(AE297&gt;AP7,AE297&lt;AR7),"r1",IF(AND(AE297&gt;AP7,AE297=AR7,AF297&lt;=AS7),"r1",IF(AND(AE297=AP7,AE297&lt;AR7,AF297&gt;=AQ7),"r1","n")))))</f>
        <v>r1</v>
      </c>
    </row>
    <row r="298" spans="26:38" ht="17.100000000000001" hidden="1" customHeight="1">
      <c r="Z298" s="176">
        <f t="shared" si="14"/>
        <v>5.4999999999997158</v>
      </c>
      <c r="AA298" s="176">
        <f>IF(TRIM(AG298)="","",IF(INDEX(AZ1:AZ51,AC298)=AG298,INDEX(BA1:BA51,AC298),((AG298-INDEX(AZ1:AZ51,AC298))*(INDEX(BA1:BA51,AC298+1)-INDEX(BA1:BA51,AC298)))/(INDEX(AZ1:AZ51,AC298+1)-INDEX(AZ1:AZ51,AC298))+INDEX(BA1:BA51,AC298)))</f>
        <v>5.4999999999997158</v>
      </c>
      <c r="AB298" s="176" t="e">
        <f>IF(TRIM(AG298)="","",IF(INDEX(BD1:BD51,AD298)=AG298,INDEX(BE1:BE51,AD298),((AG298-INDEX(BD1:BD51,AD298))*(INDEX(BE1:BE51,AD298+1)-INDEX(BE1:BE51,AD298)))/(INDEX(BD1:BD51,AD298+1)-INDEX(BD1:BD51,AD298))+INDEX(BE1:BE51,AD298)))</f>
        <v>#N/A</v>
      </c>
      <c r="AC298" s="164">
        <f>MATCH(AG298,AZ1:AZ51,1)</f>
        <v>4</v>
      </c>
      <c r="AD298" s="164" t="e">
        <f>MATCH(AG298,BD1:BD51,1)</f>
        <v>#N/A</v>
      </c>
      <c r="AE298" s="164">
        <v>10</v>
      </c>
      <c r="AF298" s="164">
        <v>22</v>
      </c>
      <c r="AG298" s="179">
        <f>FIXED('HourGH-JAN'!AB34)*1</f>
        <v>337.96</v>
      </c>
      <c r="AH298" s="164" t="str">
        <f>IF(AND(AE298=AP5,AE298=AR5,AF298&gt;=AQ5,AF298&lt;=AS5),"r1",IF(AND(AE298&gt;AP5,AE298&lt;AR5),"r1",IF(AND(AE298&gt;AP5,AE298=AR5,AF298&lt;=AS5),"r1",IF(AND(AE298=AP5,AE298&lt;AR5,AF298&gt;=AQ5),"r1","n"))))</f>
        <v>r1</v>
      </c>
      <c r="AI298" s="164" t="str">
        <f>IF(AH298&lt;&gt;"n",AH298,IF(AND(AE298=AT5,AE298=AV5,AF298&gt;=AU5,AF298&lt;=AW5),"r2",IF(AND(AE298&gt;AT5,AE298&lt;AV5),"r2",IF(AND(AE298&gt;AT5,AE298=AV5,AF298&lt;=AW5),"r2",IF(AND(AE298=AT5,AE298&lt;AV5,AF298&gt;=AU5),"r2","n")))))</f>
        <v>r1</v>
      </c>
      <c r="AJ298" s="164" t="str">
        <f>IF(AI298&lt;&gt;"n",AI298,IF(AND(AE298=AP6,AE298=AR6,AF298&gt;=AQ6,AF298&lt;=AS6),"r1",IF(AND(AE298&gt;AP6,AE298&lt;AR6),"r1",IF(AND(AE298&gt;AP6,AE298=AR6,AF298&lt;=AS6),"r1",IF(AND(AE298=AP6,AE298&lt;AR6,AF298&gt;=AQ6),"r1","n")))))</f>
        <v>r1</v>
      </c>
      <c r="AK298" s="164" t="str">
        <f>IF(AJ298&lt;&gt;"n",AJ298,IF(AND(AE298=AT6,AE298=AV6,AF298&gt;=AU6,AF298&lt;=AW6),"r2",IF(AND(AE298&gt;AT6,AE298&lt;AV6),"r2",IF(AND(AE298&gt;AT6,AE298=AV6,AF298&lt;=AW6),"r2",IF(AND(AE298=AT6,AE298&lt;AV6,AF298&gt;=AU6),"r2","n")))))</f>
        <v>r1</v>
      </c>
      <c r="AL298" s="164" t="str">
        <f>IF(AK298&lt;&gt;"n",AK298,IF(AND(AE298=AP7,AE298=AR7,AF298&gt;=AQ7,AF298&lt;=AS7),"r1",IF(AND(AE298&gt;AP7,AE298&lt;AR7),"r1",IF(AND(AE298&gt;AP7,AE298=AR7,AF298&lt;=AS7),"r1",IF(AND(AE298=AP7,AE298&lt;AR7,AF298&gt;=AQ7),"r1","n")))))</f>
        <v>r1</v>
      </c>
    </row>
    <row r="299" spans="26:38" ht="17.100000000000001" hidden="1" customHeight="1">
      <c r="Z299" s="176">
        <f t="shared" si="14"/>
        <v>5.4999999999997158</v>
      </c>
      <c r="AA299" s="176">
        <f>IF(TRIM(AG299)="","",IF(INDEX(AZ1:AZ51,AC299)=AG299,INDEX(BA1:BA51,AC299),((AG299-INDEX(AZ1:AZ51,AC299))*(INDEX(BA1:BA51,AC299+1)-INDEX(BA1:BA51,AC299)))/(INDEX(AZ1:AZ51,AC299+1)-INDEX(AZ1:AZ51,AC299))+INDEX(BA1:BA51,AC299)))</f>
        <v>5.4999999999997158</v>
      </c>
      <c r="AB299" s="176" t="e">
        <f>IF(TRIM(AG299)="","",IF(INDEX(BD1:BD51,AD299)=AG299,INDEX(BE1:BE51,AD299),((AG299-INDEX(BD1:BD51,AD299))*(INDEX(BE1:BE51,AD299+1)-INDEX(BE1:BE51,AD299)))/(INDEX(BD1:BD51,AD299+1)-INDEX(BD1:BD51,AD299))+INDEX(BE1:BE51,AD299)))</f>
        <v>#N/A</v>
      </c>
      <c r="AC299" s="164">
        <f>MATCH(AG299,AZ1:AZ51,1)</f>
        <v>4</v>
      </c>
      <c r="AD299" s="164" t="e">
        <f>MATCH(AG299,BD1:BD51,1)</f>
        <v>#N/A</v>
      </c>
      <c r="AE299" s="164">
        <v>10</v>
      </c>
      <c r="AF299" s="164">
        <v>23</v>
      </c>
      <c r="AG299" s="179">
        <f>FIXED('HourGH-JAN'!AB35)*1</f>
        <v>337.96</v>
      </c>
      <c r="AH299" s="164" t="str">
        <f>IF(AND(AE299=AP5,AE299=AR5,AF299&gt;=AQ5,AF299&lt;=AS5),"r1",IF(AND(AE299&gt;AP5,AE299&lt;AR5),"r1",IF(AND(AE299&gt;AP5,AE299=AR5,AF299&lt;=AS5),"r1",IF(AND(AE299=AP5,AE299&lt;AR5,AF299&gt;=AQ5),"r1","n"))))</f>
        <v>r1</v>
      </c>
      <c r="AI299" s="164" t="str">
        <f>IF(AH299&lt;&gt;"n",AH299,IF(AND(AE299=AT5,AE299=AV5,AF299&gt;=AU5,AF299&lt;=AW5),"r2",IF(AND(AE299&gt;AT5,AE299&lt;AV5),"r2",IF(AND(AE299&gt;AT5,AE299=AV5,AF299&lt;=AW5),"r2",IF(AND(AE299=AT5,AE299&lt;AV5,AF299&gt;=AU5),"r2","n")))))</f>
        <v>r1</v>
      </c>
      <c r="AJ299" s="164" t="str">
        <f>IF(AI299&lt;&gt;"n",AI299,IF(AND(AE299=AP6,AE299=AR6,AF299&gt;=AQ6,AF299&lt;=AS6),"r1",IF(AND(AE299&gt;AP6,AE299&lt;AR6),"r1",IF(AND(AE299&gt;AP6,AE299=AR6,AF299&lt;=AS6),"r1",IF(AND(AE299=AP6,AE299&lt;AR6,AF299&gt;=AQ6),"r1","n")))))</f>
        <v>r1</v>
      </c>
      <c r="AK299" s="164" t="str">
        <f>IF(AJ299&lt;&gt;"n",AJ299,IF(AND(AE299=AT6,AE299=AV6,AF299&gt;=AU6,AF299&lt;=AW6),"r2",IF(AND(AE299&gt;AT6,AE299&lt;AV6),"r2",IF(AND(AE299&gt;AT6,AE299=AV6,AF299&lt;=AW6),"r2",IF(AND(AE299=AT6,AE299&lt;AV6,AF299&gt;=AU6),"r2","n")))))</f>
        <v>r1</v>
      </c>
      <c r="AL299" s="164" t="str">
        <f>IF(AK299&lt;&gt;"n",AK299,IF(AND(AE299=AP7,AE299=AR7,AF299&gt;=AQ7,AF299&lt;=AS7),"r1",IF(AND(AE299&gt;AP7,AE299&lt;AR7),"r1",IF(AND(AE299&gt;AP7,AE299=AR7,AF299&lt;=AS7),"r1",IF(AND(AE299=AP7,AE299&lt;AR7,AF299&gt;=AQ7),"r1","n")))))</f>
        <v>r1</v>
      </c>
    </row>
    <row r="300" spans="26:38" ht="17.100000000000001" hidden="1" customHeight="1">
      <c r="Z300" s="176">
        <f t="shared" si="14"/>
        <v>6.5</v>
      </c>
      <c r="AA300" s="176">
        <f>IF(TRIM(AG300)="","",IF(INDEX(AZ1:AZ51,AC300)=AG300,INDEX(BA1:BA51,AC300),((AG300-INDEX(AZ1:AZ51,AC300))*(INDEX(BA1:BA51,AC300+1)-INDEX(BA1:BA51,AC300)))/(INDEX(AZ1:AZ51,AC300+1)-INDEX(AZ1:AZ51,AC300))+INDEX(BA1:BA51,AC300)))</f>
        <v>6.5</v>
      </c>
      <c r="AB300" s="176" t="e">
        <f>IF(TRIM(AG300)="","",IF(INDEX(BD1:BD51,AD300)=AG300,INDEX(BE1:BE51,AD300),((AG300-INDEX(BD1:BD51,AD300))*(INDEX(BE1:BE51,AD300+1)-INDEX(BE1:BE51,AD300)))/(INDEX(BD1:BD51,AD300+1)-INDEX(BD1:BD51,AD300))+INDEX(BE1:BE51,AD300)))</f>
        <v>#N/A</v>
      </c>
      <c r="AC300" s="164">
        <f>MATCH(AG300,AZ1:AZ51,1)</f>
        <v>5</v>
      </c>
      <c r="AD300" s="164" t="e">
        <f>MATCH(AG300,BD1:BD51,1)</f>
        <v>#N/A</v>
      </c>
      <c r="AE300" s="164">
        <v>10</v>
      </c>
      <c r="AF300" s="164">
        <v>24</v>
      </c>
      <c r="AG300" s="179">
        <f>FIXED('HourGH-JAN'!AB36)*1</f>
        <v>338</v>
      </c>
      <c r="AH300" s="164" t="str">
        <f>IF(AND(AE300=AP5,AE300=AR5,AF300&gt;=AQ5,AF300&lt;=AS5),"r1",IF(AND(AE300&gt;AP5,AE300&lt;AR5),"r1",IF(AND(AE300&gt;AP5,AE300=AR5,AF300&lt;=AS5),"r1",IF(AND(AE300=AP5,AE300&lt;AR5,AF300&gt;=AQ5),"r1","n"))))</f>
        <v>r1</v>
      </c>
      <c r="AI300" s="164" t="str">
        <f>IF(AH300&lt;&gt;"n",AH300,IF(AND(AE300=AT5,AE300=AV5,AF300&gt;=AU5,AF300&lt;=AW5),"r2",IF(AND(AE300&gt;AT5,AE300&lt;AV5),"r2",IF(AND(AE300&gt;AT5,AE300=AV5,AF300&lt;=AW5),"r2",IF(AND(AE300=AT5,AE300&lt;AV5,AF300&gt;=AU5),"r2","n")))))</f>
        <v>r1</v>
      </c>
      <c r="AJ300" s="164" t="str">
        <f>IF(AI300&lt;&gt;"n",AI300,IF(AND(AE300=AP6,AE300=AR6,AF300&gt;=AQ6,AF300&lt;=AS6),"r1",IF(AND(AE300&gt;AP6,AE300&lt;AR6),"r1",IF(AND(AE300&gt;AP6,AE300=AR6,AF300&lt;=AS6),"r1",IF(AND(AE300=AP6,AE300&lt;AR6,AF300&gt;=AQ6),"r1","n")))))</f>
        <v>r1</v>
      </c>
      <c r="AK300" s="164" t="str">
        <f>IF(AJ300&lt;&gt;"n",AJ300,IF(AND(AE300=AT6,AE300=AV6,AF300&gt;=AU6,AF300&lt;=AW6),"r2",IF(AND(AE300&gt;AT6,AE300&lt;AV6),"r2",IF(AND(AE300&gt;AT6,AE300=AV6,AF300&lt;=AW6),"r2",IF(AND(AE300=AT6,AE300&lt;AV6,AF300&gt;=AU6),"r2","n")))))</f>
        <v>r1</v>
      </c>
      <c r="AL300" s="164" t="str">
        <f>IF(AK300&lt;&gt;"n",AK300,IF(AND(AE300=AP7,AE300=AR7,AF300&gt;=AQ7,AF300&lt;=AS7),"r1",IF(AND(AE300&gt;AP7,AE300&lt;AR7),"r1",IF(AND(AE300&gt;AP7,AE300=AR7,AF300&lt;=AS7),"r1",IF(AND(AE300=AP7,AE300&lt;AR7,AF300&gt;=AQ7),"r1","n")))))</f>
        <v>r1</v>
      </c>
    </row>
    <row r="301" spans="26:38" ht="17.100000000000001" hidden="1" customHeight="1">
      <c r="Z301" s="176">
        <f t="shared" si="14"/>
        <v>17.950000000000895</v>
      </c>
      <c r="AA301" s="176">
        <f>IF(TRIM(AG301)="","",IF(INDEX(AZ51:AZ301,AC301)=AG301,INDEX(BA1:BA51,AC301),((AG301-INDEX(AZ1:AZ51,AC301))*(INDEX(BA1:BA51,AC301+1)-INDEX(BA1:BA51,AC301)))/(INDEX(AZ1:AZ51,AC301+1)-INDEX(AZ1:AZ51,AC301))+INDEX(BA1:BA51,AC301)))</f>
        <v>17.950000000000895</v>
      </c>
      <c r="AB301" s="176" t="e">
        <f>IF(TRIM(AG301)="","",IF(INDEX(BD1:BD51,AD301)=AG301,INDEX(BE1:BE51,AD301),((AG301-INDEX(BD1:BD51,AD301))*(INDEX(BE1:BE51,AD301+1)-INDEX(BE1:BE51,AD301)))/(INDEX(BD1:BD51,AD301+1)-INDEX(BD1:BD51,AD301))+INDEX(BE1:BE51,AD301)))</f>
        <v>#N/A</v>
      </c>
      <c r="AC301" s="164">
        <f>MATCH(AG301,AZ1:AZ51,1)</f>
        <v>6</v>
      </c>
      <c r="AD301" s="164" t="e">
        <f>MATCH(AG301,BD1:BD51,1)</f>
        <v>#N/A</v>
      </c>
      <c r="AE301" s="164">
        <v>10</v>
      </c>
      <c r="AF301" s="164">
        <v>25</v>
      </c>
      <c r="AG301" s="179">
        <f>FIXED('HourGH-JAN'!AB37)*1</f>
        <v>338.31</v>
      </c>
      <c r="AH301" s="164" t="str">
        <f>IF(AND(AE301=AP5,AE301=AR5,AF301&gt;=AQ5,AF301&lt;=AS5),"r1",IF(AND(AE301&gt;AP5,AE301&lt;AR5),"r1",IF(AND(AE301&gt;AP5,AE301=AR5,AF301&lt;=AS5),"r1",IF(AND(AE301=AP5,AE301&lt;AR5,AF301&gt;=AQ5),"r1","n"))))</f>
        <v>r1</v>
      </c>
      <c r="AI301" s="164" t="str">
        <f>IF(AH301&lt;&gt;"n",AH301,IF(AND(AE301=AT5,AE301=AV5,AF301&gt;=AU5,AF301&lt;=AW5),"r2",IF(AND(AE301&gt;AT5,AE301&lt;AV5),"r2",IF(AND(AE301&gt;AT5,AE301=AV5,AF301&lt;=AW5),"r2",IF(AND(AE301=AT5,AE301&lt;AV5,AF301&gt;=AU5),"r2","n")))))</f>
        <v>r1</v>
      </c>
      <c r="AJ301" s="164" t="str">
        <f>IF(AI301&lt;&gt;"n",AI301,IF(AND(AE301=AP6,AE301=AR6,AF301&gt;=AQ6,AF301&lt;=AS6),"r1",IF(AND(AE301&gt;AP6,AE301&lt;AR6),"r1",IF(AND(AE301&gt;AP6,AE301=AR6,AF301&lt;=AS6),"r1",IF(AND(AE301=AP6,AE301&lt;AR6,AF301&gt;=AQ6),"r1","n")))))</f>
        <v>r1</v>
      </c>
      <c r="AK301" s="164" t="str">
        <f>IF(AJ301&lt;&gt;"n",AJ301,IF(AND(AE301=AT6,AE301=AV6,AF301&gt;=AU6,AF301&lt;=AW6),"r2",IF(AND(AE301&gt;AT6,AE301&lt;AV6),"r2",IF(AND(AE301&gt;AT6,AE301=AV6,AF301&lt;=AW6),"r2",IF(AND(AE301=AT6,AE301&lt;AV6,AF301&gt;=AU6),"r2","n")))))</f>
        <v>r1</v>
      </c>
      <c r="AL301" s="164" t="str">
        <f>IF(AK301&lt;&gt;"n",AK301,IF(AND(AE301=AP7,AE301=AR7,AF301&gt;=AQ7,AF301&lt;=AS7),"r1",IF(AND(AE301&gt;AP7,AE301&lt;AR7),"r1",IF(AND(AE301&gt;AP7,AE301=AR7,AF301&lt;=AS7),"r1",IF(AND(AE301=AP7,AE301&lt;AR7,AF301&gt;=AQ7),"r1","n")))))</f>
        <v>r1</v>
      </c>
    </row>
    <row r="302" spans="26:38" ht="17.100000000000001" hidden="1" customHeight="1">
      <c r="Z302" s="176">
        <f t="shared" si="14"/>
        <v>18.40000000000051</v>
      </c>
      <c r="AA302" s="176">
        <f>IF(TRIM(AG302)="","",IF(INDEX(AZ1:AZ51,AC302)=AG302,INDEX(BA1:BA51,AC302),((AG302-INDEX(AZ1:AZ51,AC302))*(INDEX(BA1:BA51,AC302+1)-INDEX(BA1:BA51,AC302)))/(INDEX(AZ1:AZ51,AC302+1)-INDEX(AZ1:AZ51,AC302))+INDEX(BA1:BA51,AC302)))</f>
        <v>18.40000000000051</v>
      </c>
      <c r="AB302" s="176" t="e">
        <f>IF(TRIM(AG302)="","",IF(INDEX(BD1:BD51,AD302)=AG302,INDEX(BE1:BE51,AD302),((AG302-INDEX(BD1:BD51,AD302))*(INDEX(BE1:BE51,AD302+1)-INDEX(BE1:BE51,AD302)))/(INDEX(BD1:BD51,AD302+1)-INDEX(BD1:BD51,AD302))+INDEX(BE1:BE51,AD302)))</f>
        <v>#N/A</v>
      </c>
      <c r="AC302" s="164">
        <f>MATCH(AG302,AZ1:AZ51,1)</f>
        <v>6</v>
      </c>
      <c r="AD302" s="164" t="e">
        <f>MATCH(AG302,BD1:BD51,1)</f>
        <v>#N/A</v>
      </c>
      <c r="AE302" s="164">
        <v>10</v>
      </c>
      <c r="AF302" s="164">
        <v>26</v>
      </c>
      <c r="AG302" s="179">
        <f>FIXED('HourGH-JAN'!AB38)*1</f>
        <v>338.32</v>
      </c>
      <c r="AH302" s="164" t="str">
        <f>IF(AND(AE302=AP5,AE302=AR5,AF302&gt;=AQ5,AF302&lt;=AS5),"r1",IF(AND(AE302&gt;AP5,AE302&lt;AR5),"r1",IF(AND(AE302&gt;AP5,AE302=AR5,AF302&lt;=AS5),"r1",IF(AND(AE302=AP5,AE302&lt;AR5,AF302&gt;=AQ5),"r1","n"))))</f>
        <v>r1</v>
      </c>
      <c r="AI302" s="164" t="str">
        <f>IF(AH302&lt;&gt;"n",AH302,IF(AND(AE302=AT5,AE302=AV5,AF302&gt;=AU5,AF302&lt;=AW5),"r2",IF(AND(AE302&gt;AT5,AE302&lt;AV5),"r2",IF(AND(AE302&gt;AT5,AE302=AV5,AF302&lt;=AW5),"r2",IF(AND(AE302=AT5,AE302&lt;AV5,AF302&gt;=AU5),"r2","n")))))</f>
        <v>r1</v>
      </c>
      <c r="AJ302" s="164" t="str">
        <f>IF(AI302&lt;&gt;"n",AI302,IF(AND(AE302=AP6,AE302=AR6,AF302&gt;=AQ6,AF302&lt;=AS6),"r1",IF(AND(AE302&gt;AP6,AE302&lt;AR6),"r1",IF(AND(AE302&gt;AP6,AE302=AR6,AF302&lt;=AS6),"r1",IF(AND(AE302=AP6,AE302&lt;AR6,AF302&gt;=AQ6),"r1","n")))))</f>
        <v>r1</v>
      </c>
      <c r="AK302" s="164" t="str">
        <f>IF(AJ302&lt;&gt;"n",AJ302,IF(AND(AE302=AT6,AE302=AV6,AF302&gt;=AU6,AF302&lt;=AW6),"r2",IF(AND(AE302&gt;AT6,AE302&lt;AV6),"r2",IF(AND(AE302&gt;AT6,AE302=AV6,AF302&lt;=AW6),"r2",IF(AND(AE302=AT6,AE302&lt;AV6,AF302&gt;=AU6),"r2","n")))))</f>
        <v>r1</v>
      </c>
      <c r="AL302" s="164" t="str">
        <f>IF(AK302&lt;&gt;"n",AK302,IF(AND(AE302=AP7,AE302=AR7,AF302&gt;=AQ7,AF302&lt;=AS7),"r1",IF(AND(AE302&gt;AP7,AE302&lt;AR7),"r1",IF(AND(AE302&gt;AP7,AE302=AR7,AF302&lt;=AS7),"r1",IF(AND(AE302=AP7,AE302&lt;AR7,AF302&gt;=AQ7),"r1","n")))))</f>
        <v>r1</v>
      </c>
    </row>
    <row r="303" spans="26:38" ht="17.100000000000001" hidden="1" customHeight="1">
      <c r="Z303" s="176">
        <f t="shared" si="14"/>
        <v>13</v>
      </c>
      <c r="AA303" s="176">
        <f>IF(TRIM(AG303)="","",IF(INDEX(AZ1:AZ51,AC303)=AG303,INDEX(BA1:BA51,AC303),((AG303-INDEX(AZ1:AZ51,AC303))*(INDEX(BA1:BA51,AC303+1)-INDEX(BA1:BA51,AC303)))/(INDEX(AZ1:AZ51,AC303+1)-INDEX(AZ1:AZ51,AC303))+INDEX(BA1:BA51,AC303)))</f>
        <v>13</v>
      </c>
      <c r="AB303" s="176" t="e">
        <f>IF(TRIM(AG303)="","",IF(INDEX(BD1:BD51,AD303)=AG303,INDEX(BE1:BE51,AD303),((AG303-INDEX(BD1:BD51,AD303))*(INDEX(BE1:BE51,AD303+1)-INDEX(BE1:BE51,AD303)))/(INDEX(BD1:BD51,AD303+1)-INDEX(BD1:BD51,AD303))+INDEX(BE1:BE51,AD303)))</f>
        <v>#N/A</v>
      </c>
      <c r="AC303" s="164">
        <f>MATCH(AG303,AZ1:AZ51,1)</f>
        <v>6</v>
      </c>
      <c r="AD303" s="164" t="e">
        <f>MATCH(AG303,BD1:BD51,1)</f>
        <v>#N/A</v>
      </c>
      <c r="AE303" s="164">
        <v>10</v>
      </c>
      <c r="AF303" s="164">
        <v>27</v>
      </c>
      <c r="AG303" s="179">
        <f>FIXED('HourGH-JAN'!AB39)*1</f>
        <v>338.2</v>
      </c>
      <c r="AH303" s="164" t="str">
        <f>IF(AND(AE303=AP5,AE303=AR5,AF303&gt;=AQ5,AF303&lt;=AS5),"r1",IF(AND(AE303&gt;AP5,AE303&lt;AR5),"r1",IF(AND(AE303&gt;AP5,AE303=AR5,AF303&lt;=AS5),"r1",IF(AND(AE303=AP5,AE303&lt;AR5,AF303&gt;=AQ5),"r1","n"))))</f>
        <v>r1</v>
      </c>
      <c r="AI303" s="164" t="str">
        <f>IF(AH303&lt;&gt;"n",AH303,IF(AND(AE303=AT5,AE303=AV5,AF303&gt;=AU5,AF303&lt;=AW5),"r2",IF(AND(AE303&gt;AT5,AE303&lt;AV5),"r2",IF(AND(AE303&gt;AT5,AE303=AV5,AF303&lt;=AW5),"r2",IF(AND(AE303=AT5,AE303&lt;AV5,AF303&gt;=AU5),"r2","n")))))</f>
        <v>r1</v>
      </c>
      <c r="AJ303" s="164" t="str">
        <f>IF(AI303&lt;&gt;"n",AI303,IF(AND(AE303=AP6,AE303=AR6,AF303&gt;=AQ6,AF303&lt;=AS6),"r1",IF(AND(AE303&gt;AP6,AE303&lt;AR6),"r1",IF(AND(AE303&gt;AP6,AE303=AR6,AF303&lt;=AS6),"r1",IF(AND(AE303=AP6,AE303&lt;AR6,AF303&gt;=AQ6),"r1","n")))))</f>
        <v>r1</v>
      </c>
      <c r="AK303" s="164" t="str">
        <f>IF(AJ303&lt;&gt;"n",AJ303,IF(AND(AE303=AT6,AE303=AV6,AF303&gt;=AU6,AF303&lt;=AW6),"r2",IF(AND(AE303&gt;AT6,AE303&lt;AV6),"r2",IF(AND(AE303&gt;AT6,AE303=AV6,AF303&lt;=AW6),"r2",IF(AND(AE303=AT6,AE303&lt;AV6,AF303&gt;=AU6),"r2","n")))))</f>
        <v>r1</v>
      </c>
      <c r="AL303" s="164" t="str">
        <f>IF(AK303&lt;&gt;"n",AK303,IF(AND(AE303=AP7,AE303=AR7,AF303&gt;=AQ7,AF303&lt;=AS7),"r1",IF(AND(AE303&gt;AP7,AE303&lt;AR7),"r1",IF(AND(AE303&gt;AP7,AE303=AR7,AF303&lt;=AS7),"r1",IF(AND(AE303=AP7,AE303&lt;AR7,AF303&gt;=AQ7),"r1","n")))))</f>
        <v>r1</v>
      </c>
    </row>
    <row r="304" spans="26:38" ht="17.100000000000001" hidden="1" customHeight="1">
      <c r="Z304" s="176">
        <f t="shared" si="14"/>
        <v>5.0000000000002842</v>
      </c>
      <c r="AA304" s="176">
        <f>IF(TRIM(AG304)="","",IF(INDEX(AZ1:AZ51,AC304)=AG304,INDEX(BA1:BA51,AC304),((AG304-INDEX(AZ1:AZ51,AC304))*(INDEX(BA1:BA51,AC304+1)-INDEX(BA1:BA51,AC304)))/(INDEX(AZ1:AZ51,AC304+1)-INDEX(AZ1:AZ51,AC304))+INDEX(BA1:BA51,AC304)))</f>
        <v>5.0000000000002842</v>
      </c>
      <c r="AB304" s="176" t="e">
        <f>IF(TRIM(AG304)="","",IF(INDEX(BD1:BD51,AD304)=AG304,INDEX(BE1:BE51,AD304),((AG304-INDEX(BD1:BD51,AD304))*(INDEX(BE1:BE51,AD304+1)-INDEX(BE1:BE51,AD304)))/(INDEX(BD1:BD51,AD304+1)-INDEX(BD1:BD51,AD304))+INDEX(BE1:BE51,AD304)))</f>
        <v>#N/A</v>
      </c>
      <c r="AC304" s="164">
        <f>MATCH(AG304,AZ1:AZ51,1)</f>
        <v>4</v>
      </c>
      <c r="AD304" s="164" t="e">
        <f>MATCH(AG304,BD1:BD51,1)</f>
        <v>#N/A</v>
      </c>
      <c r="AE304" s="164">
        <v>10</v>
      </c>
      <c r="AF304" s="164">
        <v>28</v>
      </c>
      <c r="AG304" s="179">
        <f>FIXED('HourGH-JAN'!AB40)*1</f>
        <v>337.94</v>
      </c>
      <c r="AH304" s="164" t="str">
        <f>IF(AND(AE304=AP5,AE304=AR5,AF304&gt;=AQ5,AF304&lt;=AS5),"r1",IF(AND(AE304&gt;AP5,AE304&lt;AR5),"r1",IF(AND(AE304&gt;AP5,AE304=AR5,AF304&lt;=AS5),"r1",IF(AND(AE304=AP5,AE304&lt;AR5,AF304&gt;=AQ5),"r1","n"))))</f>
        <v>r1</v>
      </c>
      <c r="AI304" s="164" t="str">
        <f>IF(AH304&lt;&gt;"n",AH304,IF(AND(AE304=AT5,AE304=AV5,AF304&gt;=AU5,AF304&lt;=AW5),"r2",IF(AND(AE304&gt;AT5,AE304&lt;AV5),"r2",IF(AND(AE304&gt;AT5,AE304=AV5,AF304&lt;=AW5),"r2",IF(AND(AE304=AT5,AE304&lt;AV5,AF304&gt;=AU5),"r2","n")))))</f>
        <v>r1</v>
      </c>
      <c r="AJ304" s="164" t="str">
        <f>IF(AI304&lt;&gt;"n",AI304,IF(AND(AE304=AP6,AE304=AR6,AF304&gt;=AQ6,AF304&lt;=AS6),"r1",IF(AND(AE304&gt;AP6,AE304&lt;AR6),"r1",IF(AND(AE304&gt;AP6,AE304=AR6,AF304&lt;=AS6),"r1",IF(AND(AE304=AP6,AE304&lt;AR6,AF304&gt;=AQ6),"r1","n")))))</f>
        <v>r1</v>
      </c>
      <c r="AK304" s="164" t="str">
        <f>IF(AJ304&lt;&gt;"n",AJ304,IF(AND(AE304=AT6,AE304=AV6,AF304&gt;=AU6,AF304&lt;=AW6),"r2",IF(AND(AE304&gt;AT6,AE304&lt;AV6),"r2",IF(AND(AE304&gt;AT6,AE304=AV6,AF304&lt;=AW6),"r2",IF(AND(AE304=AT6,AE304&lt;AV6,AF304&gt;=AU6),"r2","n")))))</f>
        <v>r1</v>
      </c>
      <c r="AL304" s="164" t="str">
        <f>IF(AK304&lt;&gt;"n",AK304,IF(AND(AE304=AP7,AE304=AR7,AF304&gt;=AQ7,AF304&lt;=AS7),"r1",IF(AND(AE304&gt;AP7,AE304&lt;AR7),"r1",IF(AND(AE304&gt;AP7,AE304=AR7,AF304&lt;=AS7),"r1",IF(AND(AE304=AP7,AE304&lt;AR7,AF304&gt;=AQ7),"r1","n")))))</f>
        <v>r1</v>
      </c>
    </row>
    <row r="305" spans="26:38" ht="17.100000000000001" hidden="1" customHeight="1">
      <c r="Z305" s="176">
        <f t="shared" si="14"/>
        <v>4.5000000000008527</v>
      </c>
      <c r="AA305" s="176">
        <f>IF(TRIM(AG305)="","",IF(INDEX(AZ1:AZ51,AC305)=AG305,INDEX(BA1:BA51,AC305),((AG305-INDEX(AZ1:AZ51,AC305))*(INDEX(BA1:BA51,AC305+1)-INDEX(BA1:BA51,AC305)))/(INDEX(AZ1:AZ51,AC305+1)-INDEX(AZ1:AZ51,AC305))+INDEX(BA1:BA51,AC305)))</f>
        <v>4.5000000000008527</v>
      </c>
      <c r="AB305" s="176" t="e">
        <f>IF(TRIM(AG305)="","",IF(INDEX(BD1:BD51,AD305)=AG305,INDEX(BE1:BE51,AD305),((AG305-INDEX(BD1:BD51,AD305))*(INDEX(BE1:BE51,AD305+1)-INDEX(BE1:BE51,AD305)))/(INDEX(BD1:BD51,AD305+1)-INDEX(BD1:BD51,AD305))+INDEX(BE1:BE51,AD305)))</f>
        <v>#N/A</v>
      </c>
      <c r="AC305" s="164">
        <f>MATCH(AG305,AZ1:AZ51,1)</f>
        <v>4</v>
      </c>
      <c r="AD305" s="164" t="e">
        <f>MATCH(AG305,BD1:BD51,1)</f>
        <v>#N/A</v>
      </c>
      <c r="AE305" s="164">
        <v>10</v>
      </c>
      <c r="AF305" s="164">
        <v>29</v>
      </c>
      <c r="AG305" s="179">
        <f>FIXED('HourGH-JAN'!AB41)*1</f>
        <v>337.92</v>
      </c>
      <c r="AH305" s="164" t="str">
        <f>IF(AND(AE305=AP5,AE305=AR5,AF305&gt;=AQ5,AF305&lt;=AS5),"r1",IF(AND(AE305&gt;AP5,AE305&lt;AR5),"r1",IF(AND(AE305&gt;AP5,AE305=AR5,AF305&lt;=AS5),"r1",IF(AND(AE305=AP5,AE305&lt;AR5,AF305&gt;=AQ5),"r1","n"))))</f>
        <v>r1</v>
      </c>
      <c r="AI305" s="164" t="str">
        <f>IF(AH305&lt;&gt;"n",AH305,IF(AND(AE305=AT5,AE305=AV5,AF305&gt;=AU5,AF305&lt;=AW5),"r2",IF(AND(AE305&gt;AT5,AE305&lt;AV5),"r2",IF(AND(AE305&gt;AT5,AE305=AV5,AF305&lt;=AW5),"r2",IF(AND(AE305=AT5,AE305&lt;AV5,AF305&gt;=AU5),"r2","n")))))</f>
        <v>r1</v>
      </c>
      <c r="AJ305" s="164" t="str">
        <f>IF(AI305&lt;&gt;"n",AI305,IF(AND(AE305=AP6,AE305=AR6,AF305&gt;=AQ6,AF305&lt;=AS6),"r1",IF(AND(AE305&gt;AP6,AE305&lt;AR6),"r1",IF(AND(AE305&gt;AP6,AE305=AR6,AF305&lt;=AS6),"r1",IF(AND(AE305=AP6,AE305&lt;AR6,AF305&gt;=AQ6),"r1","n")))))</f>
        <v>r1</v>
      </c>
      <c r="AK305" s="164" t="str">
        <f>IF(AJ305&lt;&gt;"n",AJ305,IF(AND(AE305=AT6,AE305=AV6,AF305&gt;=AU6,AF305&lt;=AW6),"r2",IF(AND(AE305&gt;AT6,AE305&lt;AV6),"r2",IF(AND(AE305&gt;AT6,AE305=AV6,AF305&lt;=AW6),"r2",IF(AND(AE305=AT6,AE305&lt;AV6,AF305&gt;=AU6),"r2","n")))))</f>
        <v>r1</v>
      </c>
      <c r="AL305" s="164" t="str">
        <f>IF(AK305&lt;&gt;"n",AK305,IF(AND(AE305=AP7,AE305=AR7,AF305&gt;=AQ7,AF305&lt;=AS7),"r1",IF(AND(AE305&gt;AP7,AE305&lt;AR7),"r1",IF(AND(AE305&gt;AP7,AE305=AR7,AF305&lt;=AS7),"r1",IF(AND(AE305=AP7,AE305&lt;AR7,AF305&gt;=AQ7),"r1","n")))))</f>
        <v>r1</v>
      </c>
    </row>
    <row r="306" spans="26:38" ht="17.100000000000001" hidden="1" customHeight="1">
      <c r="Z306" s="176">
        <f t="shared" si="14"/>
        <v>4.7500000000005684</v>
      </c>
      <c r="AA306" s="176">
        <f>IF(TRIM(AG306)="","",IF(INDEX(AZ1:AZ51,AC306)=AG306,INDEX(BA1:BA51,AC306),((AG306-INDEX(AZ1:AZ51,AC306))*(INDEX(BA1:BA51,AC306+1)-INDEX(BA1:BA51,AC306)))/(INDEX(AZ1:AZ51,AC306+1)-INDEX(AZ1:AZ51,AC306))+INDEX(BA1:BA51,AC306)))</f>
        <v>4.7500000000005684</v>
      </c>
      <c r="AB306" s="176" t="e">
        <f>IF(TRIM(AG306)="","",IF(INDEX(BD1:BD51,AD306)=AG306,INDEX(BE1:BE51,AD306),((AG306-INDEX(BD1:BD51,AD306))*(INDEX(BE1:BE51,AD306+1)-INDEX(BE1:BE51,AD306)))/(INDEX(BD1:BD51,AD306+1)-INDEX(BD1:BD51,AD306))+INDEX(BE1:BE51,AD306)))</f>
        <v>#N/A</v>
      </c>
      <c r="AC306" s="164">
        <f>MATCH(AG306,AZ1:AZ51,1)</f>
        <v>4</v>
      </c>
      <c r="AD306" s="164" t="e">
        <f>MATCH(AG306,BD1:BD51,1)</f>
        <v>#N/A</v>
      </c>
      <c r="AE306" s="164">
        <v>10</v>
      </c>
      <c r="AF306" s="164">
        <v>30</v>
      </c>
      <c r="AG306" s="179">
        <f>FIXED('HourGH-JAN'!AB42)*1</f>
        <v>337.93</v>
      </c>
      <c r="AH306" s="164" t="str">
        <f>IF(AND(AE306=AP5,AE306=AR5,AF306&gt;=AQ5,AF306&lt;=AS5),"r1",IF(AND(AE306&gt;AP5,AE306&lt;AR5),"r1",IF(AND(AE306&gt;AP5,AE306=AR5,AF306&lt;=AS5),"r1",IF(AND(AE306=AP5,AE306&lt;AR5,AF306&gt;=AQ5),"r1","n"))))</f>
        <v>r1</v>
      </c>
      <c r="AI306" s="164" t="str">
        <f>IF(AH306&lt;&gt;"n",AH306,IF(AND(AE306=AT5,AE306=AV5,AF306&gt;=AU5,AF306&lt;=AW5),"r2",IF(AND(AE306&gt;AT5,AE306&lt;AV5),"r2",IF(AND(AE306&gt;AT5,AE306=AV5,AF306&lt;=AW5),"r2",IF(AND(AE306=AT5,AE306&lt;AV5,AF306&gt;=AU5),"r2","n")))))</f>
        <v>r1</v>
      </c>
      <c r="AJ306" s="164" t="str">
        <f>IF(AI306&lt;&gt;"n",AI306,IF(AND(AE306=AP6,AE306=AR6,AF306&gt;=AQ6,AF306&lt;=AS6),"r1",IF(AND(AE306&gt;AP6,AE306&lt;AR6),"r1",IF(AND(AE306&gt;AP6,AE306=AR6,AF306&lt;=AS6),"r1",IF(AND(AE306=AP6,AE306&lt;AR6,AF306&gt;=AQ6),"r1","n")))))</f>
        <v>r1</v>
      </c>
      <c r="AK306" s="164" t="str">
        <f>IF(AJ306&lt;&gt;"n",AJ306,IF(AND(AE306=AT6,AE306=AV6,AF306&gt;=AU6,AF306&lt;=AW6),"r2",IF(AND(AE306&gt;AT6,AE306&lt;AV6),"r2",IF(AND(AE306&gt;AT6,AE306=AV6,AF306&lt;=AW6),"r2",IF(AND(AE306=AT6,AE306&lt;AV6,AF306&gt;=AU6),"r2","n")))))</f>
        <v>r1</v>
      </c>
      <c r="AL306" s="164" t="str">
        <f>IF(AK306&lt;&gt;"n",AK306,IF(AND(AE306=AP7,AE306=AR7,AF306&gt;=AQ7,AF306&lt;=AS7),"r1",IF(AND(AE306&gt;AP7,AE306&lt;AR7),"r1",IF(AND(AE306&gt;AP7,AE306=AR7,AF306&lt;=AS7),"r1",IF(AND(AE306=AP7,AE306&lt;AR7,AF306&gt;=AQ7),"r1","n")))))</f>
        <v>r1</v>
      </c>
    </row>
    <row r="307" spans="26:38" ht="17.100000000000001" hidden="1" customHeight="1">
      <c r="Z307" s="176">
        <f t="shared" si="14"/>
        <v>6.8249999999997231</v>
      </c>
      <c r="AA307" s="176">
        <f>IF(TRIM(AG307)="","",IF(INDEX(AZ1:AZ51,AC307)=AG307,INDEX(BA1:BA51,AC307),((AG307-INDEX(AZ1:AZ51,AC307))*(INDEX(BA1:BA51,AC307+1)-INDEX(BA1:BA51,AC307)))/(INDEX(AZ1:AZ51,AC307+1)-INDEX(AZ1:AZ51,AC307))+INDEX(BA1:BA51,AC307)))</f>
        <v>6.8249999999997231</v>
      </c>
      <c r="AB307" s="176" t="e">
        <f>IF(TRIM(AG307)="","",IF(INDEX(BD1:BD51,AD307)=AG307,INDEX(BE1:BE51,AD307),((AG307-INDEX(BD1:BD51,AD307))*(INDEX(BE1:BE51,AD307+1)-INDEX(BE1:BE51,AD307)))/(INDEX(BD1:BD51,AD307+1)-INDEX(BD1:BD51,AD307))+INDEX(BE1:BE51,AD307)))</f>
        <v>#N/A</v>
      </c>
      <c r="AC307" s="164">
        <f>MATCH(AG307,AZ1:AZ51,1)</f>
        <v>5</v>
      </c>
      <c r="AD307" s="164" t="e">
        <f>MATCH(AG307,BD1:BD51,1)</f>
        <v>#N/A</v>
      </c>
      <c r="AE307" s="164">
        <v>10</v>
      </c>
      <c r="AF307" s="164">
        <v>31</v>
      </c>
      <c r="AG307" s="179">
        <f>FIXED('HourGH-JAN'!AB43)*1</f>
        <v>338.01</v>
      </c>
      <c r="AH307" s="164" t="str">
        <f>IF(AND(AE307=AP5,AE307=AR5,AF307&gt;=AQ5,AF307&lt;=AS5),"r1",IF(AND(AE307&gt;AP5,AE307&lt;AR5),"r1",IF(AND(AE307&gt;AP5,AE307=AR5,AF307&lt;=AS5),"r1",IF(AND(AE307=AP5,AE307&lt;AR5,AF307&gt;=AQ5),"r1","n"))))</f>
        <v>r1</v>
      </c>
      <c r="AI307" s="164" t="str">
        <f>IF(AH307&lt;&gt;"n",AH307,IF(AND(AE307=AT5,AE307=AV5,AF307&gt;=AU5,AF307&lt;=AW5),"r2",IF(AND(AE307&gt;AT5,AE307&lt;AV5),"r2",IF(AND(AE307&gt;AT5,AE307=AV5,AF307&lt;=AW5),"r2",IF(AND(AE307=AT5,AE307&lt;AV5,AF307&gt;=AU5),"r2","n")))))</f>
        <v>r1</v>
      </c>
      <c r="AJ307" s="164" t="str">
        <f>IF(AI307&lt;&gt;"n",AI307,IF(AND(AE307=AP6,AE307=AR6,AF307&gt;=AQ6,AF307&lt;=AS6),"r1",IF(AND(AE307&gt;AP6,AE307&lt;AR6),"r1",IF(AND(AE307&gt;AP6,AE307=AR6,AF307&lt;=AS6),"r1",IF(AND(AE307=AP6,AE307&lt;AR6,AF307&gt;=AQ6),"r1","n")))))</f>
        <v>r1</v>
      </c>
      <c r="AK307" s="164" t="str">
        <f>IF(AJ307&lt;&gt;"n",AJ307,IF(AND(AE307=AT6,AE307=AV6,AF307&gt;=AU6,AF307&lt;=AW6),"r2",IF(AND(AE307&gt;AT6,AE307&lt;AV6),"r2",IF(AND(AE307&gt;AT6,AE307=AV6,AF307&lt;=AW6),"r2",IF(AND(AE307=AT6,AE307&lt;AV6,AF307&gt;=AU6),"r2","n")))))</f>
        <v>r1</v>
      </c>
      <c r="AL307" s="164" t="str">
        <f>IF(AK307&lt;&gt;"n",AK307,IF(AND(AE307=AP7,AE307=AR7,AF307&gt;=AQ7,AF307&lt;=AS7),"r1",IF(AND(AE307&gt;AP7,AE307&lt;AR7),"r1",IF(AND(AE307&gt;AP7,AE307=AR7,AF307&lt;=AS7),"r1",IF(AND(AE307=AP7,AE307&lt;AR7,AF307&gt;=AQ7),"r1","n")))))</f>
        <v>r1</v>
      </c>
    </row>
    <row r="308" spans="26:38" ht="17.100000000000001" hidden="1" customHeight="1">
      <c r="Z308" s="176">
        <f t="shared" si="14"/>
        <v>17.950000000000895</v>
      </c>
      <c r="AA308" s="176">
        <f>IF(TRIM(AG308)="","",IF(INDEX(AZ1:AZ51,AC308)=AG308,INDEX(BA1:BA51,AC308),((AG308-INDEX(AZ1:AZ51,AC308))*(INDEX(BA1:BA51,AC308+1)-INDEX(BA1:BA51,AC308)))/(INDEX(AZ1:AZ51,AC308+1)-INDEX(AZ1:AZ51,AC308))+INDEX(BA1:BA51,AC308)))</f>
        <v>17.950000000000895</v>
      </c>
      <c r="AB308" s="176" t="e">
        <f>IF(TRIM(AG308)="","",IF(INDEX(BD1:BD51,AD308)=AG308,INDEX(BE1:BE51,AD308),((AG308-INDEX(BD1:BD51,AD308))*(INDEX(BE1:BE51,AD308+1)-INDEX(BE1:BE51,AD308)))/(INDEX(BD1:BD51,AD308+1)-INDEX(BD1:BD51,AD308))+INDEX(BE1:BE51,AD308)))</f>
        <v>#N/A</v>
      </c>
      <c r="AC308" s="164">
        <f>MATCH(AG308,AZ1:AZ51,1)</f>
        <v>6</v>
      </c>
      <c r="AD308" s="164" t="e">
        <f>MATCH(AG308,BD1:BD51,1)</f>
        <v>#N/A</v>
      </c>
      <c r="AE308" s="164">
        <v>11</v>
      </c>
      <c r="AF308" s="164">
        <v>1</v>
      </c>
      <c r="AG308" s="179">
        <f>FIXED('HourGH-FEB'!AB11)*1</f>
        <v>338.31</v>
      </c>
      <c r="AH308" s="164" t="str">
        <f>IF(AND(AE308=AP5,AE308=AR5,AF308&gt;=AQ5,AF308&lt;=AS5),"r1",IF(AND(AE308&gt;AP5,AE308&lt;AR5),"r1",IF(AND(AE308&gt;AP5,AE308=AR5,AF308&lt;=AS5),"r1",IF(AND(AE308=AP5,AE308&lt;AR5,AF308&gt;=AQ5),"r1","n"))))</f>
        <v>r1</v>
      </c>
      <c r="AI308" s="164" t="str">
        <f>IF(AH308&lt;&gt;"n",AH308,IF(AND(AE308=AT5,AE308=AV5,AF308&gt;=AU5,AF308&lt;=AW5),"r2",IF(AND(AE308&gt;AT5,AE308&lt;AV5),"r2",IF(AND(AE308&gt;AT5,AE308=AV5,AF308&lt;=AW5),"r2",IF(AND(AE308=AT5,AE308&lt;AV5,AF308&gt;=AU5),"r2","n")))))</f>
        <v>r1</v>
      </c>
      <c r="AJ308" s="164" t="str">
        <f>IF(AI308&lt;&gt;"n",AI308,IF(AND(AE308=AP6,AE308=AR6,AF308&gt;=AQ6,AF308&lt;=AS6),"r1",IF(AND(AE308&gt;AP6,AE308&lt;AR6),"r1",IF(AND(AE308&gt;AP6,AE308=AR6,AF308&lt;=AS6),"r1",IF(AND(AE308=AP6,AE308&lt;AR6,AF308&gt;=AQ6),"r1","n")))))</f>
        <v>r1</v>
      </c>
      <c r="AK308" s="164" t="str">
        <f>IF(AJ308&lt;&gt;"n",AJ308,IF(AND(AE308=AT6,AE308=AV6,AF308&gt;=AU6,AF308&lt;=AW6),"r2",IF(AND(AE308&gt;AT6,AE308&lt;AV6),"r2",IF(AND(AE308&gt;AT6,AE308=AV6,AF308&lt;=AW6),"r2",IF(AND(AE308=AT6,AE308&lt;AV6,AF308&gt;=AU6),"r2","n")))))</f>
        <v>r1</v>
      </c>
      <c r="AL308" s="164" t="str">
        <f>IF(AK308&lt;&gt;"n",AK308,IF(AND(AE308=AP7,AE308=AR7,AF308&gt;=AQ7,AF308&lt;=AS7),"r1",IF(AND(AE308&gt;AP7,AE308&lt;AR7),"r1",IF(AND(AE308&gt;AP7,AE308=AR7,AF308&lt;=AS7),"r1",IF(AND(AE308=AP7,AE308&lt;AR7,AF308&gt;=AQ7),"r1","n")))))</f>
        <v>r1</v>
      </c>
    </row>
    <row r="309" spans="26:38" ht="17.100000000000001" hidden="1" customHeight="1">
      <c r="Z309" s="176">
        <f t="shared" si="14"/>
        <v>14.800000000001024</v>
      </c>
      <c r="AA309" s="176">
        <f>IF(TRIM(AG309)="","",IF(INDEX(AZ1:AZ51,AC309)=AG309,INDEX(BA1:BA51,AC309),((AG309-INDEX(AZ1:AZ51,AC309))*(INDEX(BA1:BA51,AC309+1)-INDEX(BA1:BA51,AC309)))/(INDEX(AZ1:AZ51,AC309+1)-INDEX(AZ1:AZ51,AC309))+INDEX(BA1:BA51,AC309)))</f>
        <v>14.800000000001024</v>
      </c>
      <c r="AB309" s="176" t="e">
        <f>IF(TRIM(AG309)="","",IF(INDEX(BD1:BD51,AD309)=AG309,INDEX(BE1:BE51,AD309),((AG309-INDEX(BD1:BD51,AD309))*(INDEX(BE1:BE51,AD309+1)-INDEX(BE1:BE51,AD309)))/(INDEX(BD1:BD51,AD309+1)-INDEX(BD1:BD51,AD309))+INDEX(BE1:BE51,AD309)))</f>
        <v>#N/A</v>
      </c>
      <c r="AC309" s="164">
        <f>MATCH(AG309,AZ1:AZ51,1)</f>
        <v>6</v>
      </c>
      <c r="AD309" s="164" t="e">
        <f>MATCH(AG309,BD1:BD51,1)</f>
        <v>#N/A</v>
      </c>
      <c r="AE309" s="164">
        <v>11</v>
      </c>
      <c r="AF309" s="164">
        <v>2</v>
      </c>
      <c r="AG309" s="179">
        <f>FIXED('HourGH-FEB'!AB12)*1</f>
        <v>338.24</v>
      </c>
      <c r="AH309" s="164" t="str">
        <f>IF(AND(AE309=AP5,AE309=AR5,AF309&gt;=AQ5,AF309&lt;=AS5),"r1",IF(AND(AE309&gt;AP5,AE309&lt;AR5),"r1",IF(AND(AE309&gt;AP5,AE309=AR5,AF309&lt;=AS5),"r1",IF(AND(AE309=AP5,AE309&lt;AR5,AF309&gt;=AQ5),"r1","n"))))</f>
        <v>r1</v>
      </c>
      <c r="AI309" s="164" t="str">
        <f>IF(AH309&lt;&gt;"n",AH309,IF(AND(AE309=AT5,AE309=AV5,AF309&gt;=AU5,AF309&lt;=AW5),"r2",IF(AND(AE309&gt;AT5,AE309&lt;AV5),"r2",IF(AND(AE309&gt;AT5,AE309=AV5,AF309&lt;=AW5),"r2",IF(AND(AE309=AT5,AE309&lt;AV5,AF309&gt;=AU5),"r2","n")))))</f>
        <v>r1</v>
      </c>
      <c r="AJ309" s="164" t="str">
        <f>IF(AI309&lt;&gt;"n",AI309,IF(AND(AE309=AP6,AE309=AR6,AF309&gt;=AQ6,AF309&lt;=AS6),"r1",IF(AND(AE309&gt;AP6,AE309&lt;AR6),"r1",IF(AND(AE309&gt;AP6,AE309=AR6,AF309&lt;=AS6),"r1",IF(AND(AE309=AP6,AE309&lt;AR6,AF309&gt;=AQ6),"r1","n")))))</f>
        <v>r1</v>
      </c>
      <c r="AK309" s="164" t="str">
        <f>IF(AJ309&lt;&gt;"n",AJ309,IF(AND(AE309=AT6,AE309=AV6,AF309&gt;=AU6,AF309&lt;=AW6),"r2",IF(AND(AE309&gt;AT6,AE309&lt;AV6),"r2",IF(AND(AE309&gt;AT6,AE309=AV6,AF309&lt;=AW6),"r2",IF(AND(AE309=AT6,AE309&lt;AV6,AF309&gt;=AU6),"r2","n")))))</f>
        <v>r1</v>
      </c>
      <c r="AL309" s="164" t="str">
        <f>IF(AK309&lt;&gt;"n",AK309,IF(AND(AE309=AP7,AE309=AR7,AF309&gt;=AQ7,AF309&lt;=AS7),"r1",IF(AND(AE309&gt;AP7,AE309&lt;AR7),"r1",IF(AND(AE309&gt;AP7,AE309=AR7,AF309&lt;=AS7),"r1",IF(AND(AE309=AP7,AE309&lt;AR7,AF309&gt;=AQ7),"r1","n")))))</f>
        <v>r1</v>
      </c>
    </row>
    <row r="310" spans="26:38" ht="17.100000000000001" hidden="1" customHeight="1">
      <c r="Z310" s="176">
        <f t="shared" si="14"/>
        <v>6.0000000000005684</v>
      </c>
      <c r="AA310" s="176">
        <f>IF(TRIM(AG310)="","",IF(INDEX(AZ1:AZ51,AC310)=AG310,INDEX(BA1:BA51,AC310),((AG310-INDEX(AZ1:AZ51,AC310))*(INDEX(BA1:BA51,AC310+1)-INDEX(BA1:BA51,AC310)))/(INDEX(AZ1:AZ51,AC310+1)-INDEX(AZ1:AZ51,AC310))+INDEX(BA1:BA51,AC310)))</f>
        <v>6.0000000000005684</v>
      </c>
      <c r="AB310" s="176" t="e">
        <f>IF(TRIM(AG310)="","",IF(INDEX(BD1:BD51,AD310)=AG310,INDEX(BE1:BE51,AD310),((AG310-INDEX(BD1:BD51,AD310))*(INDEX(BE1:BE51,AD310+1)-INDEX(BE1:BE51,AD310)))/(INDEX(BD1:BD51,AD310+1)-INDEX(BD1:BD51,AD310))+INDEX(BE1:BE51,AD310)))</f>
        <v>#N/A</v>
      </c>
      <c r="AC310" s="164">
        <f>MATCH(AG310,AZ1:AZ51,1)</f>
        <v>4</v>
      </c>
      <c r="AD310" s="164" t="e">
        <f>MATCH(AG310,BD1:BD51,1)</f>
        <v>#N/A</v>
      </c>
      <c r="AE310" s="164">
        <v>11</v>
      </c>
      <c r="AF310" s="164">
        <v>3</v>
      </c>
      <c r="AG310" s="179">
        <f>FIXED('HourGH-FEB'!AB13)*1</f>
        <v>337.98</v>
      </c>
      <c r="AH310" s="164" t="str">
        <f>IF(AND(AE310=AP5,AE310=AR5,AF310&gt;=AQ5,AF310&lt;=AS5),"r1",IF(AND(AE310&gt;AP5,AE310&lt;AR5),"r1",IF(AND(AE310&gt;AP5,AE310=AR5,AF310&lt;=AS5),"r1",IF(AND(AE310=AP5,AE310&lt;AR5,AF310&gt;=AQ5),"r1","n"))))</f>
        <v>r1</v>
      </c>
      <c r="AI310" s="164" t="str">
        <f>IF(AH310&lt;&gt;"n",AH310,IF(AND(AE310=AT5,AE310=AV5,AF310&gt;=AU5,AF310&lt;=AW5),"r2",IF(AND(AE310&gt;AT5,AE310&lt;AV5),"r2",IF(AND(AE310&gt;AT5,AE310=AV5,AF310&lt;=AW5),"r2",IF(AND(AE310=AT5,AE310&lt;AV5,AF310&gt;=AU5),"r2","n")))))</f>
        <v>r1</v>
      </c>
      <c r="AJ310" s="164" t="str">
        <f>IF(AI310&lt;&gt;"n",AI310,IF(AND(AE310=AP6,AE310=AR6,AF310&gt;=AQ6,AF310&lt;=AS6),"r1",IF(AND(AE310&gt;AP6,AE310&lt;AR6),"r1",IF(AND(AE310&gt;AP6,AE310=AR6,AF310&lt;=AS6),"r1",IF(AND(AE310=AP6,AE310&lt;AR6,AF310&gt;=AQ6),"r1","n")))))</f>
        <v>r1</v>
      </c>
      <c r="AK310" s="164" t="str">
        <f>IF(AJ310&lt;&gt;"n",AJ310,IF(AND(AE310=AT6,AE310=AV6,AF310&gt;=AU6,AF310&lt;=AW6),"r2",IF(AND(AE310&gt;AT6,AE310&lt;AV6),"r2",IF(AND(AE310&gt;AT6,AE310=AV6,AF310&lt;=AW6),"r2",IF(AND(AE310=AT6,AE310&lt;AV6,AF310&gt;=AU6),"r2","n")))))</f>
        <v>r1</v>
      </c>
      <c r="AL310" s="164" t="str">
        <f>IF(AK310&lt;&gt;"n",AK310,IF(AND(AE310=AP7,AE310=AR7,AF310&gt;=AQ7,AF310&lt;=AS7),"r1",IF(AND(AE310&gt;AP7,AE310&lt;AR7),"r1",IF(AND(AE310&gt;AP7,AE310=AR7,AF310&lt;=AS7),"r1",IF(AND(AE310=AP7,AE310&lt;AR7,AF310&gt;=AQ7),"r1","n")))))</f>
        <v>r1</v>
      </c>
    </row>
    <row r="311" spans="26:38" ht="17.100000000000001" hidden="1" customHeight="1">
      <c r="Z311" s="176">
        <f t="shared" si="14"/>
        <v>8.1250000000004619</v>
      </c>
      <c r="AA311" s="176">
        <f>IF(TRIM(AG311)="","",IF(INDEX(AZ1:AZ51,AC311)=AG311,INDEX(BA1:BA51,AC311),((AG311-INDEX(AZ1:AZ51,AC311))*(INDEX(BA1:BA51,AC311+1)-INDEX(BA1:BA51,AC311)))/(INDEX(AZ1:AZ51,AC311+1)-INDEX(AZ1:AZ51,AC311))+INDEX(BA1:BA51,AC311)))</f>
        <v>8.1250000000004619</v>
      </c>
      <c r="AB311" s="176" t="e">
        <f>IF(TRIM(AG311)="","",IF(INDEX(BD1:BD51,AD311)=AG311,INDEX(BE1:BE51,AD311),((AG311-INDEX(BD1:BD51,AD311))*(INDEX(BE1:BE51,AD311+1)-INDEX(BE1:BE51,AD311)))/(INDEX(BD1:BD51,AD311+1)-INDEX(BD1:BD51,AD311))+INDEX(BE1:BE51,AD311)))</f>
        <v>#N/A</v>
      </c>
      <c r="AC311" s="164">
        <f>MATCH(AG311,AZ1:AZ51,1)</f>
        <v>5</v>
      </c>
      <c r="AD311" s="164" t="e">
        <f>MATCH(AG311,BD1:BD51,1)</f>
        <v>#N/A</v>
      </c>
      <c r="AE311" s="164">
        <v>11</v>
      </c>
      <c r="AF311" s="164">
        <v>4</v>
      </c>
      <c r="AG311" s="179">
        <f>FIXED('HourGH-FEB'!AB14)*1</f>
        <v>338.05</v>
      </c>
      <c r="AH311" s="164" t="str">
        <f>IF(AND(AE311=AP5,AE311=AR5,AF311&gt;=AQ5,AF311&lt;=AS5),"r1",IF(AND(AE311&gt;AP5,AE311&lt;AR5),"r1",IF(AND(AE311&gt;AP5,AE311=AR5,AF311&lt;=AS5),"r1",IF(AND(AE311=AP5,AE311&lt;AR5,AF311&gt;=AQ5),"r1","n"))))</f>
        <v>r1</v>
      </c>
      <c r="AI311" s="164" t="str">
        <f>IF(AH311&lt;&gt;"n",AH311,IF(AND(AE311=AT5,AE311=AV5,AF311&gt;=AU5,AF311&lt;=AW5),"r2",IF(AND(AE311&gt;AT5,AE311&lt;AV5),"r2",IF(AND(AE311&gt;AT5,AE311=AV5,AF311&lt;=AW5),"r2",IF(AND(AE311=AT5,AE311&lt;AV5,AF311&gt;=AU5),"r2","n")))))</f>
        <v>r1</v>
      </c>
      <c r="AJ311" s="164" t="str">
        <f>IF(AI311&lt;&gt;"n",AI311,IF(AND(AE311=AP6,AE311=AR6,AF311&gt;=AQ6,AF311&lt;=AS6),"r1",IF(AND(AE311&gt;AP6,AE311&lt;AR6),"r1",IF(AND(AE311&gt;AP6,AE311=AR6,AF311&lt;=AS6),"r1",IF(AND(AE311=AP6,AE311&lt;AR6,AF311&gt;=AQ6),"r1","n")))))</f>
        <v>r1</v>
      </c>
      <c r="AK311" s="164" t="str">
        <f>IF(AJ311&lt;&gt;"n",AJ311,IF(AND(AE311=AT6,AE311=AV6,AF311&gt;=AU6,AF311&lt;=AW6),"r2",IF(AND(AE311&gt;AT6,AE311&lt;AV6),"r2",IF(AND(AE311&gt;AT6,AE311=AV6,AF311&lt;=AW6),"r2",IF(AND(AE311=AT6,AE311&lt;AV6,AF311&gt;=AU6),"r2","n")))))</f>
        <v>r1</v>
      </c>
      <c r="AL311" s="164" t="str">
        <f>IF(AK311&lt;&gt;"n",AK311,IF(AND(AE311=AP7,AE311=AR7,AF311&gt;=AQ7,AF311&lt;=AS7),"r1",IF(AND(AE311&gt;AP7,AE311&lt;AR7),"r1",IF(AND(AE311&gt;AP7,AE311=AR7,AF311&lt;=AS7),"r1",IF(AND(AE311=AP7,AE311&lt;AR7,AF311&gt;=AQ7),"r1","n")))))</f>
        <v>r1</v>
      </c>
    </row>
    <row r="312" spans="26:38" ht="17.100000000000001" hidden="1" customHeight="1">
      <c r="Z312" s="176">
        <f t="shared" si="14"/>
        <v>4.7500000000005684</v>
      </c>
      <c r="AA312" s="176">
        <f>IF(TRIM(AG312)="","",IF(INDEX(AZ1:AZ51,AC312)=AG312,INDEX(BA1:BA51,AC312),((AG312-INDEX(AZ1:AZ51,AC312))*(INDEX(BA1:BA51,AC312+1)-INDEX(BA1:BA51,AC312)))/(INDEX(AZ1:AZ51,AC312+1)-INDEX(AZ1:AZ51,AC312))+INDEX(BA1:BA51,AC312)))</f>
        <v>4.7500000000005684</v>
      </c>
      <c r="AB312" s="176" t="e">
        <f>IF(TRIM(AG312)="","",IF(INDEX(BD1:BD51,AD312)=AG312,INDEX(BE1:BE51,AD312),((AG312-INDEX(BD1:BD51,AD312))*(INDEX(BE1:BE51,AD312+1)-INDEX(BE1:BE51,AD312)))/(INDEX(BD1:BD51,AD312+1)-INDEX(BD1:BD51,AD312))+INDEX(BE1:BE51,AD312)))</f>
        <v>#N/A</v>
      </c>
      <c r="AC312" s="164">
        <f>MATCH(AG312,AZ1:AZ51,1)</f>
        <v>4</v>
      </c>
      <c r="AD312" s="164" t="e">
        <f>MATCH(AG312,BD1:BD51,1)</f>
        <v>#N/A</v>
      </c>
      <c r="AE312" s="164">
        <v>11</v>
      </c>
      <c r="AF312" s="164">
        <v>5</v>
      </c>
      <c r="AG312" s="179">
        <f>FIXED('HourGH-FEB'!AB15)*1</f>
        <v>337.93</v>
      </c>
      <c r="AH312" s="164" t="str">
        <f>IF(AND(AE312=AP5,AE312=AR5,AF312&gt;=AQ5,AF312&lt;=AS5),"r1",IF(AND(AE312&gt;AP5,AE312&lt;AR5),"r1",IF(AND(AE312&gt;AP5,AE312=AR5,AF312&lt;=AS5),"r1",IF(AND(AE312=AP5,AE312&lt;AR5,AF312&gt;=AQ5),"r1","n"))))</f>
        <v>r1</v>
      </c>
      <c r="AI312" s="164" t="str">
        <f>IF(AH312&lt;&gt;"n",AH312,IF(AND(AE312=AT5,AE312=AV5,AF312&gt;=AU5,AF312&lt;=AW5),"r2",IF(AND(AE312&gt;AT5,AE312&lt;AV5),"r2",IF(AND(AE312&gt;AT5,AE312=AV5,AF312&lt;=AW5),"r2",IF(AND(AE312=AT5,AE312&lt;AV5,AF312&gt;=AU5),"r2","n")))))</f>
        <v>r1</v>
      </c>
      <c r="AJ312" s="164" t="str">
        <f>IF(AI312&lt;&gt;"n",AI312,IF(AND(AE312=AP6,AE312=AR6,AF312&gt;=AQ6,AF312&lt;=AS6),"r1",IF(AND(AE312&gt;AP6,AE312&lt;AR6),"r1",IF(AND(AE312&gt;AP6,AE312=AR6,AF312&lt;=AS6),"r1",IF(AND(AE312=AP6,AE312&lt;AR6,AF312&gt;=AQ6),"r1","n")))))</f>
        <v>r1</v>
      </c>
      <c r="AK312" s="164" t="str">
        <f>IF(AJ312&lt;&gt;"n",AJ312,IF(AND(AE312=AT6,AE312=AV6,AF312&gt;=AU6,AF312&lt;=AW6),"r2",IF(AND(AE312&gt;AT6,AE312&lt;AV6),"r2",IF(AND(AE312&gt;AT6,AE312=AV6,AF312&lt;=AW6),"r2",IF(AND(AE312=AT6,AE312&lt;AV6,AF312&gt;=AU6),"r2","n")))))</f>
        <v>r1</v>
      </c>
      <c r="AL312" s="164" t="str">
        <f>IF(AK312&lt;&gt;"n",AK312,IF(AND(AE312=AP7,AE312=AR7,AF312&gt;=AQ7,AF312&lt;=AS7),"r1",IF(AND(AE312&gt;AP7,AE312&lt;AR7),"r1",IF(AND(AE312&gt;AP7,AE312=AR7,AF312&lt;=AS7),"r1",IF(AND(AE312=AP7,AE312&lt;AR7,AF312&gt;=AQ7),"r1","n")))))</f>
        <v>r1</v>
      </c>
    </row>
    <row r="313" spans="26:38" ht="17.100000000000001" hidden="1" customHeight="1">
      <c r="Z313" s="176">
        <f t="shared" si="14"/>
        <v>4.5000000000008527</v>
      </c>
      <c r="AA313" s="176">
        <f>IF(TRIM(AG313)="","",IF(INDEX(AZ1:AZ51,AC313)=AG313,INDEX(BA1:BA51,AC313),((AG313-INDEX(AZ1:AZ51,AC313))*(INDEX(BA1:BA51,AC313+1)-INDEX(BA1:BA51,AC313)))/(INDEX(AZ1:AZ51,AC313+1)-INDEX(AZ1:AZ51,AC313))+INDEX(BA1:BA51,AC313)))</f>
        <v>4.5000000000008527</v>
      </c>
      <c r="AB313" s="176" t="e">
        <f>IF(TRIM(AG303)="","",IF(INDEX(BD1:BD51,AD313)=AG313,INDEX(BE1:BE51,AD313),((AG313-INDEX(BD1:BD51,AD313))*(INDEX(BE1:BE51,AD313+1)-INDEX(BE1:BE51,AD313)))/(INDEX(BD1:BD51,AD313+1)-INDEX(BD1:BD51,AD313))+INDEX(BE1:BE51,AD313)))</f>
        <v>#N/A</v>
      </c>
      <c r="AC313" s="164">
        <f>MATCH(AG313,AZ1:AZ51,1)</f>
        <v>4</v>
      </c>
      <c r="AD313" s="164" t="e">
        <f>MATCH(AG313,BD1:BD51,1)</f>
        <v>#N/A</v>
      </c>
      <c r="AE313" s="164">
        <v>11</v>
      </c>
      <c r="AF313" s="164">
        <v>6</v>
      </c>
      <c r="AG313" s="179">
        <f>FIXED('HourGH-FEB'!AB16)*1</f>
        <v>337.92</v>
      </c>
      <c r="AH313" s="164" t="str">
        <f>IF(AND(AE313=AP5,AE313=AR5,AF313&gt;=AQ5,AF313&lt;=AS5),"r1",IF(AND(AE313&gt;AP5,AE313&lt;AR5),"r1",IF(AND(AE313&gt;AP5,AE313=AR5,AF313&lt;=AS5),"r1",IF(AND(AE313=AP5,AE313&lt;AR5,AF313&gt;=AQ5),"r1","n"))))</f>
        <v>r1</v>
      </c>
      <c r="AI313" s="164" t="str">
        <f>IF(AH313&lt;&gt;"n",AH313,IF(AND(AE313=AT5,AE313=AV5,AF313&gt;=AU5,AF313&lt;=AW5),"r2",IF(AND(AE313&gt;AT5,AE313&lt;AV5),"r2",IF(AND(AE313&gt;AT5,AE313=AV5,AF313&lt;=AW5),"r2",IF(AND(AE313=AT5,AE313&lt;AV5,AF313&gt;=AU5),"r2","n")))))</f>
        <v>r1</v>
      </c>
      <c r="AJ313" s="164" t="str">
        <f>IF(AI313&lt;&gt;"n",AI313,IF(AND(AE313=AP6,AE313=AR6,AF313&gt;=AQ6,AF313&lt;=AS6),"r1",IF(AND(AE313&gt;AP6,AE313&lt;AR6),"r1",IF(AND(AE313&gt;AP6,AE313=AR6,AF313&lt;=AS6),"r1",IF(AND(AE313=AP6,AE313&lt;AR6,AF313&gt;=AQ6),"r1","n")))))</f>
        <v>r1</v>
      </c>
      <c r="AK313" s="164" t="str">
        <f>IF(AJ313&lt;&gt;"n",AJ313,IF(AND(AE313=AT6,AE313=AV6,AF313&gt;=AU6,AF313&lt;=AW6),"r2",IF(AND(AE313&gt;AT6,AE313&lt;AV6),"r2",IF(AND(AE313&gt;AT6,AE313=AV6,AF313&lt;=AW6),"r2",IF(AND(AE313=AT6,AE313&lt;AV6,AF313&gt;=AU6),"r2","n")))))</f>
        <v>r1</v>
      </c>
      <c r="AL313" s="164" t="str">
        <f>IF(AK313&lt;&gt;"n",AK313,IF(AND(AE313=AP7,AE313=AR7,AF313&gt;=AQ7,AF313&lt;=AS7),"r1",IF(AND(AE313&gt;AP7,AE313&lt;AR7),"r1",IF(AND(AE313&gt;AP7,AE313=AR7,AF313&lt;=AS7),"r1",IF(AND(AE313=AP7,AE313&lt;AR7,AF313&gt;=AQ7),"r1","n")))))</f>
        <v>r1</v>
      </c>
    </row>
    <row r="314" spans="26:38" ht="17.100000000000001" hidden="1" customHeight="1">
      <c r="Z314" s="176">
        <f t="shared" si="14"/>
        <v>6.8249999999997231</v>
      </c>
      <c r="AA314" s="176">
        <f>IF(TRIM(AG314)="","",IF(INDEX(AZ1:AZ51,AC314)=AG314,INDEX(BA1:BA51,AC314),((AG314-INDEX(AZ1:AZ51,AC314))*(INDEX(BA1:BA51,AC314+1)-INDEX(BA1:BA51,AC314)))/(INDEX(AZ1:AZ51,AC314+1)-INDEX(AZ1:AZ51,AC314))+INDEX(BA1:BA51,AC314)))</f>
        <v>6.8249999999997231</v>
      </c>
      <c r="AB314" s="176" t="e">
        <f>IF(TRIM(AG314)="","",IF(INDEX(BD1:BD51,AD314)=AG314,INDEX(BE1:BE51,AD314),((AG314-INDEX(BD1:BD51,AD314))*(INDEX(BE1:BE51,AD314+1)-INDEX(BE1:BE51,AD314)))/(INDEX(BD1:BD51,AD314+1)-INDEX(BD1:BD51,AD314))+INDEX(BE1:BE51,AD314)))</f>
        <v>#N/A</v>
      </c>
      <c r="AC314" s="164">
        <f>MATCH(AG314,AZ1:AZ51,1)</f>
        <v>5</v>
      </c>
      <c r="AD314" s="164" t="e">
        <f>MATCH(AG314,BD1:BD51,1)</f>
        <v>#N/A</v>
      </c>
      <c r="AE314" s="164">
        <v>11</v>
      </c>
      <c r="AF314" s="164">
        <v>7</v>
      </c>
      <c r="AG314" s="179">
        <f>FIXED('HourGH-FEB'!AB17)*1</f>
        <v>338.01</v>
      </c>
      <c r="AH314" s="164" t="str">
        <f>IF(AND(AE314=AP5,AE314=AR5,AF314&gt;=AQ5,AF314&lt;=AS5),"r1",IF(AND(AE314&gt;AP5,AE314&lt;AR5),"r1",IF(AND(AE314&gt;AP5,AE314=AR5,AF314&lt;=AS5),"r1",IF(AND(AE314=AP5,AE314&lt;AR5,AF314&gt;=AQ5),"r1","n"))))</f>
        <v>r1</v>
      </c>
      <c r="AI314" s="164" t="str">
        <f>IF(AH314&lt;&gt;"n",AH314,IF(AND(AE314=AT5,AE314=AV5,AF314&gt;=AU5,AF314&lt;=AW5),"r2",IF(AND(AE314&gt;AT5,AE314&lt;AV5),"r2",IF(AND(AE314&gt;AT5,AE314=AV5,AF314&lt;=AW5),"r2",IF(AND(AE314=AT5,AE314&lt;AV5,AF314&gt;=AU5),"r2","n")))))</f>
        <v>r1</v>
      </c>
      <c r="AJ314" s="164" t="str">
        <f>IF(AI314&lt;&gt;"n",AI314,IF(AND(AE314=AP6,AE314=AR6,AF314&gt;=AQ6,AF314&lt;=AS6),"r1",IF(AND(AE314&gt;AP6,AE314&lt;AR6),"r1",IF(AND(AE314&gt;AP6,AE314=AR6,AF314&lt;=AS6),"r1",IF(AND(AE314=AP6,AE314&lt;AR6,AF314&gt;=AQ6),"r1","n")))))</f>
        <v>r1</v>
      </c>
      <c r="AK314" s="164" t="str">
        <f>IF(AJ314&lt;&gt;"n",AJ314,IF(AND(AE314=AT6,AE314=AV6,AF314&gt;=AU6,AF314&lt;=AW6),"r2",IF(AND(AE314&gt;AT6,AE314&lt;AV6),"r2",IF(AND(AE314&gt;AT6,AE314=AV6,AF314&lt;=AW6),"r2",IF(AND(AE314=AT6,AE314&lt;AV6,AF314&gt;=AU6),"r2","n")))))</f>
        <v>r1</v>
      </c>
      <c r="AL314" s="164" t="str">
        <f>IF(AK314&lt;&gt;"n",AK314,IF(AND(AE314=AP7,AE314=AR7,AF314&gt;=AQ7,AF314&lt;=AS7),"r1",IF(AND(AE314&gt;AP7,AE314&lt;AR7),"r1",IF(AND(AE314&gt;AP7,AE314=AR7,AF314&lt;=AS7),"r1",IF(AND(AE314=AP7,AE314&lt;AR7,AF314&gt;=AQ7),"r1","n")))))</f>
        <v>r1</v>
      </c>
    </row>
    <row r="315" spans="26:38" ht="17.100000000000001" hidden="1" customHeight="1">
      <c r="Z315" s="176">
        <f t="shared" si="14"/>
        <v>15.700000000000255</v>
      </c>
      <c r="AA315" s="176">
        <f>IF(TRIM(AG315)="","",IF(INDEX(AZ1:AZ51,AC315)=AG315,INDEX(BA1:BA51,AC315),((AG315-INDEX(AZ1:AZ51,AC315))*(INDEX(BA1:BA51,AC315+1)-INDEX(BA1:BA51,AC315)))/(INDEX(AZ1:AZ51,AC315+1)-INDEX(AZ1:AZ51,AC315))+INDEX(BA1:BA51,AC315)))</f>
        <v>15.700000000000255</v>
      </c>
      <c r="AB315" s="176" t="e">
        <f>IF(TRIM(AG315)="","",IF(INDEX(BD1:BD51,AD315)=AG315,INDEX(BE1:BE51,AD315),((AG315-INDEX(BD1:BD51,AD315))*(INDEX(BE1:BE51,AD315+1)-INDEX(BE1:BE51,AD315)))/(INDEX(BD1:BD51,AD315+1)-INDEX(BD1:BD51,AD315))+INDEX(BE1:BE51,AD315)))</f>
        <v>#N/A</v>
      </c>
      <c r="AC315" s="164">
        <f>MATCH(AG315,AZ1:AZ51,1)</f>
        <v>6</v>
      </c>
      <c r="AD315" s="164" t="e">
        <f>MATCH(AG315,BD1:BD51,1)</f>
        <v>#N/A</v>
      </c>
      <c r="AE315" s="164">
        <v>11</v>
      </c>
      <c r="AF315" s="164">
        <v>8</v>
      </c>
      <c r="AG315" s="179">
        <f>FIXED('HourGH-FEB'!AB18)*1</f>
        <v>338.26</v>
      </c>
      <c r="AH315" s="164" t="str">
        <f>IF(AND(AE315=AP5,AE315=AR5,AF315&gt;=AQ5,AF315&lt;=AS5),"r1",IF(AND(AE315&gt;AP5,AE315&lt;AR5),"r1",IF(AND(AE315&gt;AP5,AE315=AR5,AF315&lt;=AS5),"r1",IF(AND(AE315=AP5,AE315&lt;AR5,AF315&gt;=AQ5),"r1","n"))))</f>
        <v>r1</v>
      </c>
      <c r="AI315" s="164" t="str">
        <f>IF(AH315&lt;&gt;"n",AH315,IF(AND(AE315=AT5,AE315=AV5,AF315&gt;=AU5,AF315&lt;=AW5),"r2",IF(AND(AE315&gt;AT5,AE315&lt;AV5),"r2",IF(AND(AE315&gt;AT5,AE315=AV5,AF315&lt;=AW5),"r2",IF(AND(AE315=AT5,AE315&lt;AV5,AF315&gt;=AU5),"r2","n")))))</f>
        <v>r1</v>
      </c>
      <c r="AJ315" s="164" t="str">
        <f>IF(AI315&lt;&gt;"n",AI315,IF(AND(AE315=AP6,AE315=AR6,AF315&gt;=AQ6,AF315&lt;=AS6),"r1",IF(AND(AE315&gt;AP6,AE315&lt;AR6),"r1",IF(AND(AE315&gt;AP6,AE315=AR6,AF315&lt;=AS6),"r1",IF(AND(AE315=AP6,AE315&lt;AR6,AF315&gt;=AQ6),"r1","n")))))</f>
        <v>r1</v>
      </c>
      <c r="AK315" s="164" t="str">
        <f>IF(AJ315&lt;&gt;"n",AJ315,IF(AND(AE315=AT6,AE315=AV6,AF315&gt;=AU6,AF315&lt;=AW6),"r2",IF(AND(AE315&gt;AT6,AE315&lt;AV6),"r2",IF(AND(AE315&gt;AT6,AE315=AV6,AF315&lt;=AW6),"r2",IF(AND(AE315=AT6,AE315&lt;AV6,AF315&gt;=AU6),"r2","n")))))</f>
        <v>r1</v>
      </c>
      <c r="AL315" s="164" t="str">
        <f>IF(AK315&lt;&gt;"n",AK315,IF(AND(AE315=AP7,AE315=AR7,AF315&gt;=AQ7,AF315&lt;=AS7),"r1",IF(AND(AE315&gt;AP7,AE315&lt;AR7),"r1",IF(AND(AE315&gt;AP7,AE315=AR7,AF315&lt;=AS7),"r1",IF(AND(AE315=AP7,AE315&lt;AR7,AF315&gt;=AQ7),"r1","n")))))</f>
        <v>r1</v>
      </c>
    </row>
    <row r="316" spans="26:38" ht="17.100000000000001" hidden="1" customHeight="1">
      <c r="Z316" s="176">
        <f t="shared" si="14"/>
        <v>16.149999999999871</v>
      </c>
      <c r="AA316" s="176">
        <f>IF(TRIM(AG316)="","",IF(INDEX(AZ1:AZ51,AC316)=AG316,INDEX(BA1:BA51,AC316),((AG316-INDEX(AZ1:AZ51,AC316))*(INDEX(BA1:BA51,AC316+1)-INDEX(BA1:BA51,AC316)))/(INDEX(AZ1:AZ51,AC316+1)-INDEX(AZ1:AZ51,AC316))+INDEX(BA1:BA51,AC316)))</f>
        <v>16.149999999999871</v>
      </c>
      <c r="AB316" s="176" t="e">
        <f>IF(TRIM(AG316)="","",IF(INDEX(BD1:BD51,AD316)=AG316,INDEX(BE1:BE51,AD316),((AG316-INDEX(BD1:BD51,AD316))*(INDEX(BE1:BE51,AD316+1)-INDEX(BE1:BE51,AD316)))/(INDEX(BD1:BD51,AD316+1)-INDEX(BD1:BD51,AD316))+INDEX(BE1:BE51,AD316)))</f>
        <v>#N/A</v>
      </c>
      <c r="AC316" s="164">
        <f>MATCH(AG316,AZ1:AZ51,1)</f>
        <v>6</v>
      </c>
      <c r="AD316" s="164" t="e">
        <f>MATCH(AG316,BD1:BD51,1)</f>
        <v>#N/A</v>
      </c>
      <c r="AE316" s="164">
        <v>11</v>
      </c>
      <c r="AF316" s="164">
        <v>9</v>
      </c>
      <c r="AG316" s="179">
        <f>FIXED('HourGH-FEB'!AB19)*1</f>
        <v>338.27</v>
      </c>
      <c r="AH316" s="164" t="str">
        <f>IF(AND(AE316=AP5,AE316=AR5,AF316&gt;=AQ5,AF316&lt;=AS5),"r1",IF(AND(AE316&gt;AP5,AE316&lt;AR5),"r1",IF(AND(AE316&gt;AP5,AE316=AR5,AF316&lt;=AS5),"r1",IF(AND(AE316=AP5,AE316&lt;AR5,AF316&gt;=AQ5),"r1","n"))))</f>
        <v>r1</v>
      </c>
      <c r="AI316" s="164" t="str">
        <f>IF(AH316&lt;&gt;"n",AH316,IF(AND(AE316=AT5,AE316=AV5,AF316&gt;=AU5,AF316&lt;=AW5),"r2",IF(AND(AE316&gt;AT5,AE316&lt;AV5),"r2",IF(AND(AE316&gt;AT5,AE316=AV5,AF316&lt;=AW5),"r2",IF(AND(AE316=AT5,AE316&lt;AV5,AF316&gt;=AU5),"r2","n")))))</f>
        <v>r1</v>
      </c>
      <c r="AJ316" s="164" t="str">
        <f>IF(AI316&lt;&gt;"n",AI316,IF(AND(AE316=AP6,AE316=AR6,AF316&gt;=AQ6,AF316&lt;=AS6),"r1",IF(AND(AE316&gt;AP6,AE316&lt;AR6),"r1",IF(AND(AE316&gt;AP6,AE316=AR6,AF316&lt;=AS6),"r1",IF(AND(AE316=AP6,AE316&lt;AR6,AF316&gt;=AQ6),"r1","n")))))</f>
        <v>r1</v>
      </c>
      <c r="AK316" s="164" t="str">
        <f>IF(AJ316&lt;&gt;"n",AJ316,IF(AND(AE316=AT6,AE316=AV6,AF316&gt;=AU6,AF316&lt;=AW6),"r2",IF(AND(AE316&gt;AT6,AE316&lt;AV6),"r2",IF(AND(AE316&gt;AT6,AE316=AV6,AF316&lt;=AW6),"r2",IF(AND(AE316=AT6,AE316&lt;AV6,AF316&gt;=AU6),"r2","n")))))</f>
        <v>r1</v>
      </c>
      <c r="AL316" s="164" t="str">
        <f>IF(AK316&lt;&gt;"n",AK316,IF(AND(AE316=AP7,AE316=AR7,AF316&gt;=AQ7,AF316&lt;=AS7),"r1",IF(AND(AE316&gt;AP7,AE316&lt;AR7),"r1",IF(AND(AE316&gt;AP7,AE316=AR7,AF316&lt;=AS7),"r1",IF(AND(AE316=AP7,AE316&lt;AR7,AF316&gt;=AQ7),"r1","n")))))</f>
        <v>r1</v>
      </c>
    </row>
    <row r="317" spans="26:38" ht="17.100000000000001" hidden="1" customHeight="1">
      <c r="Z317" s="176">
        <f t="shared" si="14"/>
        <v>12.025000000000832</v>
      </c>
      <c r="AA317" s="176">
        <f>IF(TRIM(AG317)="","",IF(INDEX(AZ1:AZ51,AC317)=AG317,INDEX(BA1:BA51,AC317),((AG317-INDEX(AZ1:AZ51,AC317))*(INDEX(BA1:BA51,AC317+1)-INDEX(BA1:BA51,AC317)))/(INDEX(AZ1:AZ51,AC317+1)-INDEX(AZ1:AZ51,AC317))+INDEX(BA1:BA51,AC317)))</f>
        <v>12.025000000000832</v>
      </c>
      <c r="AB317" s="176" t="e">
        <f>IF(TRIM(AG317)="","",IF(INDEX(BD1:BD51,AD317)=AG317,INDEX(BE1:BE51,AD317),((AG317-INDEX(BD1:BD51,AD317))*(INDEX(BE1:BE51,AD317+1)-INDEX(BE1:BE51,AD317)))/(INDEX(BD1:BD51,AD317+1)-INDEX(BD1:BD51,AD317))+INDEX(BE1:BE51,AD317)))</f>
        <v>#N/A</v>
      </c>
      <c r="AC317" s="164">
        <f>MATCH(AG317,AZ1:AZ51,1)</f>
        <v>5</v>
      </c>
      <c r="AD317" s="164" t="e">
        <f>MATCH(AG317,BD1:BD51,1)</f>
        <v>#N/A</v>
      </c>
      <c r="AE317" s="164">
        <v>11</v>
      </c>
      <c r="AF317" s="164">
        <v>10</v>
      </c>
      <c r="AG317" s="179">
        <f>FIXED('HourGH-FEB'!AB20)*1</f>
        <v>338.17</v>
      </c>
      <c r="AH317" s="164" t="str">
        <f>IF(AND(AE317=AP5,AE317=AR5,AF317&gt;=AQ5,AF317&lt;=AS5),"r1",IF(AND(AE317&gt;AP5,AE317&lt;AR5),"r1",IF(AND(AE317&gt;AP5,AE317=AR5,AF317&lt;=AS5),"r1",IF(AND(AE317=AP5,AE317&lt;AR5,AF317&gt;=AQ5),"r1","n"))))</f>
        <v>r1</v>
      </c>
      <c r="AI317" s="164" t="str">
        <f>IF(AH317&lt;&gt;"n",AH317,IF(AND(AE317=AT5,AE317=AV5,AF317&gt;=AU5,AF317&lt;=AW5),"r2",IF(AND(AE317&gt;AT5,AE317&lt;AV5),"r2",IF(AND(AE317&gt;AT5,AE317=AV5,AF317&lt;=AW5),"r2",IF(AND(AE317=AT5,AE317&lt;AV5,AF317&gt;=AU5),"r2","n")))))</f>
        <v>r1</v>
      </c>
      <c r="AJ317" s="164" t="str">
        <f>IF(AI317&lt;&gt;"n",AI317,IF(AND(AE317=AP6,AE317=AR6,AF317&gt;=AQ6,AF317&lt;=AS6),"r1",IF(AND(AE317&gt;AP6,AE317&lt;AR6),"r1",IF(AND(AE317&gt;AP6,AE317=AR6,AF317&lt;=AS6),"r1",IF(AND(AE317=AP6,AE317&lt;AR6,AF317&gt;=AQ6),"r1","n")))))</f>
        <v>r1</v>
      </c>
      <c r="AK317" s="164" t="str">
        <f>IF(AJ317&lt;&gt;"n",AJ317,IF(AND(AE317=AT6,AE317=AV6,AF317&gt;=AU6,AF317&lt;=AW6),"r2",IF(AND(AE317&gt;AT6,AE317&lt;AV6),"r2",IF(AND(AE317&gt;AT6,AE317=AV6,AF317&lt;=AW6),"r2",IF(AND(AE317=AT6,AE317&lt;AV6,AF317&gt;=AU6),"r2","n")))))</f>
        <v>r1</v>
      </c>
      <c r="AL317" s="164" t="str">
        <f>IF(AK317&lt;&gt;"n",AK317,IF(AND(AE317=AP7,AE317=AR7,AF317&gt;=AQ7,AF317&lt;=AS7),"r1",IF(AND(AE317&gt;AP7,AE317&lt;AR7),"r1",IF(AND(AE317&gt;AP7,AE317=AR7,AF317&lt;=AS7),"r1",IF(AND(AE317=AP7,AE317&lt;AR7,AF317&gt;=AQ7),"r1","n")))))</f>
        <v>r1</v>
      </c>
    </row>
    <row r="318" spans="26:38" ht="17.100000000000001" hidden="1" customHeight="1">
      <c r="Z318" s="176">
        <f t="shared" si="14"/>
        <v>4</v>
      </c>
      <c r="AA318" s="176">
        <f>IF(TRIM(AG318)="","",IF(INDEX(AZ1:AZ51,AC318)=AG318,INDEX(BA1:BA51,AC318),((AG318-INDEX(AZ1:AZ51,AC318))*(INDEX(BA1:BA51,AC318+1)-INDEX(BA1:BA51,AC318)))/(INDEX(AZ1:AZ51,AC318+1)-INDEX(AZ1:AZ51,AC318))+INDEX(BA1:BA51,AC318)))</f>
        <v>4</v>
      </c>
      <c r="AB318" s="176" t="e">
        <f>IF(TRIM(AG318)="","",IF(INDEX(BD1:BD51,AD318)=AG318,INDEX(BE1:BE51,AD318),((AG318-INDEX(BD1:BD51,AD318))*(INDEX(BE1:BE51,AD318+1)-INDEX(BE1:BE51,AD318)))/(INDEX(BD1:BD51,AD318+1)-INDEX(BD1:BD51,AD318))+INDEX(BE1:BE51,AD318)))</f>
        <v>#N/A</v>
      </c>
      <c r="AC318" s="164">
        <f>MATCH(AG318,AZ1:AZ51,1)</f>
        <v>4</v>
      </c>
      <c r="AD318" s="164" t="e">
        <f>MATCH(AG318,BD1:BD51,1)</f>
        <v>#N/A</v>
      </c>
      <c r="AE318" s="164">
        <v>11</v>
      </c>
      <c r="AF318" s="164">
        <v>11</v>
      </c>
      <c r="AG318" s="179">
        <f>FIXED('HourGH-FEB'!AB22)*1</f>
        <v>337.9</v>
      </c>
      <c r="AH318" s="164" t="str">
        <f>IF(AND(AE318=AP5,AE318=AR5,AF318&gt;=AQ5,AF318&lt;=AS5),"r1",IF(AND(AE318&gt;AP5,AE318&lt;AR5),"r1",IF(AND(AE318&gt;AP5,AE318=AR5,AF318&lt;=AS5),"r1",IF(AND(AE318=AP5,AE318&lt;AR5,AF318&gt;=AQ5),"r1","n"))))</f>
        <v>r1</v>
      </c>
      <c r="AI318" s="164" t="str">
        <f>IF(AH318&lt;&gt;"n",AH318,IF(AND(AE318=AT5,AE318=AV5,AF318&gt;=AU5,AF318&lt;=AW5),"r2",IF(AND(AE318&gt;AT5,AE318&lt;AV5),"r2",IF(AND(AE318&gt;AT5,AE318=AV5,AF318&lt;=AW5),"r2",IF(AND(AE318=AT5,AE318&lt;AV5,AF318&gt;=AU5),"r2","n")))))</f>
        <v>r1</v>
      </c>
      <c r="AJ318" s="164" t="str">
        <f>IF(AI318&lt;&gt;"n",AI318,IF(AND(AE318=AP6,AE318=AR6,AF318&gt;=AQ6,AF318&lt;=AS6),"r1",IF(AND(AE318&gt;AP6,AE318&lt;AR6),"r1",IF(AND(AE318&gt;AP6,AE318=AR6,AF318&lt;=AS6),"r1",IF(AND(AE318=AP6,AE318&lt;AR6,AF318&gt;=AQ6),"r1","n")))))</f>
        <v>r1</v>
      </c>
      <c r="AK318" s="164" t="str">
        <f>IF(AJ318&lt;&gt;"n",AJ318,IF(AND(AE318=AT6,AE318=AV6,AF318&gt;=AU6,AF318&lt;=AW6),"r2",IF(AND(AE318&gt;AT6,AE318&lt;AV6),"r2",IF(AND(AE318&gt;AT6,AE318=AV6,AF318&lt;=AW6),"r2",IF(AND(AE318=AT6,AE318&lt;AV6,AF318&gt;=AU6),"r2","n")))))</f>
        <v>r1</v>
      </c>
      <c r="AL318" s="164" t="str">
        <f>IF(AK318&lt;&gt;"n",AK318,IF(AND(AE318=AP7,AE318=AR7,AF318&gt;=AQ7,AF318&lt;=AS7),"r1",IF(AND(AE318&gt;AP7,AE318&lt;AR7),"r1",IF(AND(AE318&gt;AP7,AE318=AR7,AF318&lt;=AS7),"r1",IF(AND(AE318=AP7,AE318&lt;AR7,AF318&gt;=AQ7),"r1","n")))))</f>
        <v>r1</v>
      </c>
    </row>
    <row r="319" spans="26:38" ht="17.100000000000001" hidden="1" customHeight="1">
      <c r="Z319" s="176">
        <f t="shared" si="14"/>
        <v>3.8000000000001135</v>
      </c>
      <c r="AA319" s="176">
        <f>IF(TRIM(AG319)="","",IF(INDEX(AZ1:AZ51,AC319)=AG319,INDEX(BA1:BA51,AC319),((AG319-INDEX(AZ1:AZ51,AC319))*(INDEX(BA1:BA51,AC319+1)-INDEX(BA1:BA51,AC319)))/(INDEX(AZ1:AZ51,AC319+1)-INDEX(AZ1:AZ51,AC319))+INDEX(BA1:BA51,AC319)))</f>
        <v>3.8000000000001135</v>
      </c>
      <c r="AB319" s="176" t="e">
        <f>IF(TRIM(AG319)="","",IF(INDEX(BD1:BD51,AD319)=AG319,INDEX(BE1:BE51,AD319),((AG319-INDEX(BD1:BD51,AD319))*(INDEX(BE1:BE51,AD319+1)-INDEX(BE1:BE51,AD319)))/(INDEX(BD1:BD51,AD319+1)-INDEX(BD1:BD51,AD319))+INDEX(BE1:BE51,AD319)))</f>
        <v>#N/A</v>
      </c>
      <c r="AC319" s="164">
        <f>MATCH(AG319,AZ1:AZ51,1)</f>
        <v>3</v>
      </c>
      <c r="AD319" s="164" t="e">
        <f>MATCH(AG319,BD1:BD51,1)</f>
        <v>#N/A</v>
      </c>
      <c r="AE319" s="164">
        <v>11</v>
      </c>
      <c r="AF319" s="164">
        <v>12</v>
      </c>
      <c r="AG319" s="179">
        <f>FIXED('HourGH-FEB'!AB23)*1</f>
        <v>337.89</v>
      </c>
      <c r="AH319" s="164" t="str">
        <f>IF(AND(AE319=AP5,AE319=AR5,AF319&gt;=AQ5,AF319&lt;=AS5),"r1",IF(AND(AE319&gt;AP5,AE319&lt;AR5),"r1",IF(AND(AE319&gt;AP5,AE319=AR5,AF319&lt;=AS5),"r1",IF(AND(AE319=AP5,AE319&lt;AR5,AF319&gt;=AQ5),"r1","n"))))</f>
        <v>r1</v>
      </c>
      <c r="AI319" s="164" t="str">
        <f>IF(AH319&lt;&gt;"n",AH319,IF(AND(AE319=AT5,AE319=AV5,AF319&gt;=AU5,AF319&lt;=AW5),"r2",IF(AND(AE319&gt;AT5,AE319&lt;AV5),"r2",IF(AND(AE319&gt;AT5,AE319=AV5,AF319&lt;=AW5),"r2",IF(AND(AE319=AT5,AE319&lt;AV5,AF319&gt;=AU5),"r2","n")))))</f>
        <v>r1</v>
      </c>
      <c r="AJ319" s="164" t="str">
        <f>IF(AI319&lt;&gt;"n",AI319,IF(AND(AE319=AP6,AE319=AR6,AF319&gt;=AQ6,AF319&lt;=AS6),"r1",IF(AND(AE319&gt;AP6,AE319&lt;AR6),"r1",IF(AND(AE319&gt;AP6,AE319=AR6,AF319&lt;=AS6),"r1",IF(AND(AE319=AP6,AE319&lt;AR6,AF319&gt;=AQ6),"r1","n")))))</f>
        <v>r1</v>
      </c>
      <c r="AK319" s="164" t="str">
        <f>IF(AJ319&lt;&gt;"n",AJ319,IF(AND(AE319=AT6,AE319=AV6,AF319&gt;=AU6,AF319&lt;=AW6),"r2",IF(AND(AE319&gt;AT6,AE319&lt;AV6),"r2",IF(AND(AE319&gt;AT6,AE319=AV6,AF319&lt;=AW6),"r2",IF(AND(AE319=AT6,AE319&lt;AV6,AF319&gt;=AU6),"r2","n")))))</f>
        <v>r1</v>
      </c>
      <c r="AL319" s="164" t="str">
        <f>IF(AK319&lt;&gt;"n",AK319,IF(AND(AE319=AP7,AE319=AR7,AF319&gt;=AQ7,AF319&lt;=AS7),"r1",IF(AND(AE319&gt;AP7,AE319&lt;AR7),"r1",IF(AND(AE319&gt;AP7,AE319=AR7,AF319&lt;=AS7),"r1",IF(AND(AE319=AP7,AE319&lt;AR7,AF319&gt;=AQ7),"r1","n")))))</f>
        <v>r1</v>
      </c>
    </row>
    <row r="320" spans="26:38" ht="17.100000000000001" hidden="1" customHeight="1">
      <c r="Z320" s="176">
        <f t="shared" si="14"/>
        <v>4</v>
      </c>
      <c r="AA320" s="176">
        <f>IF(TRIM(AG320)="","",IF(INDEX(AZ1:AZ51,AC320)=AG320,INDEX(BA1:BA51,AC320),((AG320-INDEX(AZ1:AZ51,AC320))*(INDEX(BA1:BA51,AC320+1)-INDEX(BA1:BA51,AC320)))/(INDEX(AZ1:AZ51,AC320+1)-INDEX(AZ1:AZ51,AC320))+INDEX(BA1:BA51,AC320)))</f>
        <v>4</v>
      </c>
      <c r="AB320" s="176" t="e">
        <f>IF(TRIM(AG320)="","",IF(INDEX(BD1:BD51,AD320)=AG320,INDEX(BE1:BE51,AD320),((AG320-INDEX(BD1:BD51,AD320))*(INDEX(BE1:BE51,AD320+1)-INDEX(BE1:BE51,AD320)))/(INDEX(BD1:BD51,AD320+1)-INDEX(BD1:BD51,AD320))+INDEX(BE1:BE51,AD320)))</f>
        <v>#N/A</v>
      </c>
      <c r="AC320" s="164">
        <f>MATCH(AG320,AZ1:AZ51,1)</f>
        <v>4</v>
      </c>
      <c r="AD320" s="164" t="e">
        <f>MATCH(AG320,BD1:BD51,1)</f>
        <v>#N/A</v>
      </c>
      <c r="AE320" s="164">
        <v>11</v>
      </c>
      <c r="AF320" s="164">
        <v>13</v>
      </c>
      <c r="AG320" s="179">
        <f>FIXED('HourGH-FEB'!AB24)*1</f>
        <v>337.9</v>
      </c>
      <c r="AH320" s="164" t="str">
        <f>IF(AND(AE320=AP5,AE320=AR5,AF320&gt;=AQ5,AF320&lt;=AS5),"r1",IF(AND(AE320&gt;AP5,AE320&lt;AR5),"r1",IF(AND(AE320&gt;AP5,AE320=AR5,AF320&lt;=AS5),"r1",IF(AND(AE320=AP5,AE320&lt;AR5,AF320&gt;=AQ5),"r1","n"))))</f>
        <v>r1</v>
      </c>
      <c r="AI320" s="164" t="str">
        <f>IF(AH320&lt;&gt;"n",AH320,IF(AND(AE320=AT5,AE320=AV5,AF320&gt;=AU5,AF320&lt;=AW5),"r2",IF(AND(AE320&gt;AT5,AE320&lt;AV5),"r2",IF(AND(AE320&gt;AT5,AE320=AV5,AF320&lt;=AW5),"r2",IF(AND(AE320=AT5,AE320&lt;AV5,AF320&gt;=AU5),"r2","n")))))</f>
        <v>r1</v>
      </c>
      <c r="AJ320" s="164" t="str">
        <f>IF(AI320&lt;&gt;"n",AI320,IF(AND(AE320=AP6,AE320=AR6,AF320&gt;=AQ6,AF320&lt;=AS6),"r1",IF(AND(AE320&gt;AP6,AE320&lt;AR6),"r1",IF(AND(AE320&gt;AP6,AE320=AR6,AF320&lt;=AS6),"r1",IF(AND(AE320=AP6,AE320&lt;AR6,AF320&gt;=AQ6),"r1","n")))))</f>
        <v>r1</v>
      </c>
      <c r="AK320" s="164" t="str">
        <f>IF(AJ320&lt;&gt;"n",AJ320,IF(AND(AE320=AT6,AE320=AV6,AF320&gt;=AU6,AF320&lt;=AW6),"r2",IF(AND(AE320&gt;AT6,AE320&lt;AV6),"r2",IF(AND(AE320&gt;AT6,AE320=AV6,AF320&lt;=AW6),"r2",IF(AND(AE320=AT6,AE320&lt;AV6,AF320&gt;=AU6),"r2","n")))))</f>
        <v>r1</v>
      </c>
      <c r="AL320" s="164" t="str">
        <f>IF(AK320&lt;&gt;"n",AK320,IF(AND(AE320=AP7,AE320=AR7,AF320&gt;=AQ7,AF320&lt;=AS7),"r1",IF(AND(AE320&gt;AP7,AE320&lt;AR7),"r1",IF(AND(AE320&gt;AP7,AE320=AR7,AF320&lt;=AS7),"r1",IF(AND(AE320=AP7,AE320&lt;AR7,AF320&gt;=AQ7),"r1","n")))))</f>
        <v>r1</v>
      </c>
    </row>
    <row r="321" spans="26:38" ht="17.100000000000001" hidden="1" customHeight="1">
      <c r="Z321" s="176">
        <f t="shared" ref="Z321:Z367" si="15">IF(TRIM(AG321)="","",IF(AL321="r1",IF(COUNT(AA321)=0,0,AA321),IF(AL321="n",0,IF(COUNT(AB321)=0,0,AB321))))</f>
        <v>5.7500000000008527</v>
      </c>
      <c r="AA321" s="176">
        <f>IF(TRIM(AG321)="","",IF(INDEX(AZ1:AZ51,AC321)=AG321,INDEX(BA1:BA51,AC321),((AG321-INDEX(AZ1:AZ51,AC321))*(INDEX(BA1:BA51,AC321+1)-INDEX(BA1:BA51,AC321)))/(INDEX(AZ1:AZ51,AC321+1)-INDEX(AZ1:AZ51,AC321))+INDEX(BA1:BA51,AC321)))</f>
        <v>5.7500000000008527</v>
      </c>
      <c r="AB321" s="176" t="e">
        <f>IF(TRIM(AG321)="","",IF(INDEX(BD1:BD51,AD321)=AG321,INDEX(BE1:BE51,AD321),((AG321-INDEX(BD1:BD51,AD321))*(INDEX(BE1:BE51,AD321+1)-INDEX(BE1:BE51,AD321)))/(INDEX(BD1:BD51,AD321+1)-INDEX(BD1:BD51,AD321))+INDEX(BE1:BE51,AD321)))</f>
        <v>#N/A</v>
      </c>
      <c r="AC321" s="164">
        <f>MATCH(AG321,AZ1:AZ51,1)</f>
        <v>4</v>
      </c>
      <c r="AD321" s="164" t="e">
        <f>MATCH(AG321,BD1:BD51,1)</f>
        <v>#N/A</v>
      </c>
      <c r="AE321" s="164">
        <v>11</v>
      </c>
      <c r="AF321" s="164">
        <v>14</v>
      </c>
      <c r="AG321" s="179">
        <f>FIXED('HourGH-FEB'!AB25)*1</f>
        <v>337.97</v>
      </c>
      <c r="AH321" s="164" t="str">
        <f>IF(AND(AE321=AP5,AE321=AR5,AF321&gt;=AQ5,AF321&lt;=AS5),"r1",IF(AND(AE321&gt;AP5,AE321&lt;AR5),"r1",IF(AND(AE321&gt;AP5,AE321=AR5,AF321&lt;=AS5),"r1",IF(AND(AE321=AP5,AE321&lt;AR5,AF321&gt;=AQ5),"r1","n"))))</f>
        <v>r1</v>
      </c>
      <c r="AI321" s="164" t="str">
        <f>IF(AH321&lt;&gt;"n",AH321,IF(AND(AE321=AT5,AE321=AV5,AF321&gt;=AU5,AF321&lt;=AW5),"r2",IF(AND(AE321&gt;AT5,AE321&lt;AV5),"r2",IF(AND(AE321&gt;AT5,AE321=AV5,AF321&lt;=AW5),"r2",IF(AND(AE321=AT5,AE321&lt;AV5,AF321&gt;=AU5),"r2","n")))))</f>
        <v>r1</v>
      </c>
      <c r="AJ321" s="164" t="str">
        <f>IF(AI321&lt;&gt;"n",AI321,IF(AND(AE321=AP6,AE321=AR6,AF321&gt;=AQ6,AF321&lt;=AS6),"r1",IF(AND(AE321&gt;AP6,AE321&lt;AR6),"r1",IF(AND(AE321&gt;AP6,AE321=AR6,AF321&lt;=AS6),"r1",IF(AND(AE321=AP6,AE321&lt;AR6,AF321&gt;=AQ6),"r1","n")))))</f>
        <v>r1</v>
      </c>
      <c r="AK321" s="164" t="str">
        <f>IF(AJ321&lt;&gt;"n",AJ321,IF(AND(AE321=AT6,AE321=AV6,AF321&gt;=AU6,AF321&lt;=AW6),"r2",IF(AND(AE321&gt;AT6,AE321&lt;AV6),"r2",IF(AND(AE321&gt;AT6,AE321=AV6,AF321&lt;=AW6),"r2",IF(AND(AE321=AT6,AE321&lt;AV6,AF321&gt;=AU6),"r2","n")))))</f>
        <v>r1</v>
      </c>
      <c r="AL321" s="164" t="str">
        <f>IF(AK321&lt;&gt;"n",AK321,IF(AND(AE321=AP7,AE321=AR7,AF321&gt;=AQ7,AF321&lt;=AS7),"r1",IF(AND(AE321&gt;AP7,AE321&lt;AR7),"r1",IF(AND(AE321&gt;AP7,AE321=AR7,AF321&lt;=AS7),"r1",IF(AND(AE321=AP7,AE321&lt;AR7,AF321&gt;=AQ7),"r1","n")))))</f>
        <v>r1</v>
      </c>
    </row>
    <row r="322" spans="26:38" ht="17.100000000000001" hidden="1" customHeight="1">
      <c r="Z322" s="176">
        <f t="shared" si="15"/>
        <v>18.850000000000129</v>
      </c>
      <c r="AA322" s="176">
        <f>IF(TRIM(AG322)="","",IF(INDEX(AZ1:AZ51,AC322)=AG322,INDEX(BA1:BA51,AC322),((AG322-INDEX(AZ1:AZ51,AC322))*(INDEX(BA1:BA51,AC322+1)-INDEX(BA1:BA51,AC322)))/(INDEX(AZ1:AZ51,AC322+1)-INDEX(AZ1:AZ51,AC322))+INDEX(BA1:BA51,AC322)))</f>
        <v>18.850000000000129</v>
      </c>
      <c r="AB322" s="176" t="e">
        <f>IF(TRIM(AG322)="","",IF(INDEX(BD1:BD51,AD322)=AG322,INDEX(BE1:BE51,AD322),((AG322-INDEX(BD1:BD51,AD322))*(INDEX(BE1:BE51,AD322+1)-INDEX(BE1:BE51,AD322)))/(INDEX(BD1:BD51,AD322+1)-INDEX(BD1:BD51,AD322))+INDEX(BE1:BE51,AD322)))</f>
        <v>#N/A</v>
      </c>
      <c r="AC322" s="164">
        <f>MATCH(AG322,AZ1:AZ51,1)</f>
        <v>6</v>
      </c>
      <c r="AD322" s="164" t="e">
        <f>MATCH(AG322,BD1:BD51,1)</f>
        <v>#N/A</v>
      </c>
      <c r="AE322" s="164">
        <v>11</v>
      </c>
      <c r="AF322" s="164">
        <v>15</v>
      </c>
      <c r="AG322" s="179">
        <f>FIXED('HourGH-FEB'!AB26)*1</f>
        <v>338.33</v>
      </c>
      <c r="AH322" s="164" t="str">
        <f>IF(AND(AE322=AP5,AE322=AR5,AF322&gt;=AQ5,AF322&lt;=AS5),"r1",IF(AND(AE322&gt;AP5,AE322&lt;AR5),"r1",IF(AND(AE322&gt;AP5,AE322=AR5,AF322&lt;=AS5),"r1",IF(AND(AE322=AP5,AE322&lt;AR5,AF322&gt;=AQ5),"r1","n"))))</f>
        <v>r1</v>
      </c>
      <c r="AI322" s="164" t="str">
        <f>IF(AH322&lt;&gt;"n",AH322,IF(AND(AE322=AT5,AE322=AV5,AF322&gt;=AU5,AF322&lt;=AW5),"r2",IF(AND(AE322&gt;AT5,AE322&lt;AV5),"r2",IF(AND(AE322&gt;AT5,AE322=AV5,AF322&lt;=AW5),"r2",IF(AND(AE322=AT5,AE322&lt;AV5,AF322&gt;=AU5),"r2","n")))))</f>
        <v>r1</v>
      </c>
      <c r="AJ322" s="164" t="str">
        <f>IF(AI322&lt;&gt;"n",AI322,IF(AND(AE322=AP6,AE322=AR6,AF322&gt;=AQ6,AF322&lt;=AS6),"r1",IF(AND(AE322&gt;AP6,AE322&lt;AR6),"r1",IF(AND(AE322&gt;AP6,AE322=AR6,AF322&lt;=AS6),"r1",IF(AND(AE322=AP6,AE322&lt;AR6,AF322&gt;=AQ6),"r1","n")))))</f>
        <v>r1</v>
      </c>
      <c r="AK322" s="164" t="str">
        <f>IF(AJ322&lt;&gt;"n",AJ322,IF(AND(AE322=AT6,AE322=AV6,AF322&gt;=AU6,AF322&lt;=AW6),"r2",IF(AND(AE322&gt;AT6,AE322&lt;AV6),"r2",IF(AND(AE322&gt;AT6,AE322=AV6,AF322&lt;=AW6),"r2",IF(AND(AE322=AT6,AE322&lt;AV6,AF322&gt;=AU6),"r2","n")))))</f>
        <v>r1</v>
      </c>
      <c r="AL322" s="164" t="str">
        <f>IF(AK322&lt;&gt;"n",AK322,IF(AND(AE322=AP7,AE322=AR7,AF322&gt;=AQ7,AF322&lt;=AS7),"r1",IF(AND(AE322&gt;AP7,AE322&lt;AR7),"r1",IF(AND(AE322&gt;AP7,AE322=AR7,AF322&lt;=AS7),"r1",IF(AND(AE322=AP7,AE322&lt;AR7,AF322&gt;=AQ7),"r1","n")))))</f>
        <v>r1</v>
      </c>
    </row>
    <row r="323" spans="26:38" ht="17.100000000000001" hidden="1" customHeight="1">
      <c r="Z323" s="176">
        <f t="shared" si="15"/>
        <v>24.000000000000853</v>
      </c>
      <c r="AA323" s="176">
        <f>IF(TRIM(AG323)="","",IF(INDEX(AZ1:AZ51,AC323)=AG323,INDEX(BA1:BA51,AC323),((AG323-INDEX(AZ1:AZ51,AC323))*(INDEX(BA1:BA51,AC323+1)-INDEX(BA1:BA51,AC323)))/(INDEX(AZ1:AZ51,AC323+1)-INDEX(AZ1:AZ51,AC323))+INDEX(BA1:BA51,AC323)))</f>
        <v>24.000000000000853</v>
      </c>
      <c r="AB323" s="176" t="e">
        <f>IF(TRIM(AG323)="","",IF(INDEX(BD1:BD51,AD323)=AG323,INDEX(BE1:BE51,AD323),((AG323-INDEX(BD1:BD51,AD323))*(INDEX(BE1:BE51,AD323+1)-INDEX(BE1:BE51,AD323)))/(INDEX(BD1:BD51,AD323+1)-INDEX(BD1:BD51,AD323))+INDEX(BE1:BE51,AD323)))</f>
        <v>#N/A</v>
      </c>
      <c r="AC323" s="164">
        <f>MATCH(AG323,AZ1:AZ51,1)</f>
        <v>7</v>
      </c>
      <c r="AD323" s="164" t="e">
        <f>MATCH(AG323,BD1:BD51,1)</f>
        <v>#N/A</v>
      </c>
      <c r="AE323" s="164">
        <v>11</v>
      </c>
      <c r="AF323" s="164">
        <v>16</v>
      </c>
      <c r="AG323" s="179">
        <f>FIXED('HourGH-FEB'!AB27)*1</f>
        <v>338.44</v>
      </c>
      <c r="AH323" s="164" t="str">
        <f>IF(AND(AE323=AP5,AE323=AR5,AF323&gt;=AQ5,AF323&lt;=AS5),"r1",IF(AND(AE323&gt;AP5,AE323&lt;AR5),"r1",IF(AND(AE323&gt;AP5,AE323=AR5,AF323&lt;=AS5),"r1",IF(AND(AE323=AP5,AE323&lt;AR5,AF323&gt;=AQ5),"r1","n"))))</f>
        <v>r1</v>
      </c>
      <c r="AI323" s="164" t="str">
        <f>IF(AH323&lt;&gt;"n",AH323,IF(AND(AE323=AT5,AE323=AV5,AF323&gt;=AU5,AF323&lt;=AW5),"r2",IF(AND(AE323&gt;AT5,AE323&lt;AV5),"r2",IF(AND(AE323&gt;AT5,AE323=AV5,AF323&lt;=AW5),"r2",IF(AND(AE323=AT5,AE323&lt;AV5,AF323&gt;=AU5),"r2","n")))))</f>
        <v>r1</v>
      </c>
      <c r="AJ323" s="164" t="str">
        <f>IF(AI323&lt;&gt;"n",AI323,IF(AND(AE323=AP6,AE323=AR6,AF323&gt;=AQ6,AF323&lt;=AS6),"r1",IF(AND(AE323&gt;AP6,AE323&lt;AR6),"r1",IF(AND(AE323&gt;AP6,AE323=AR6,AF323&lt;=AS6),"r1",IF(AND(AE323=AP6,AE323&lt;AR6,AF323&gt;=AQ6),"r1","n")))))</f>
        <v>r1</v>
      </c>
      <c r="AK323" s="164" t="str">
        <f>IF(AJ323&lt;&gt;"n",AJ323,IF(AND(AE323=AT6,AE323=AV6,AF323&gt;=AU6,AF323&lt;=AW6),"r2",IF(AND(AE323&gt;AT6,AE323&lt;AV6),"r2",IF(AND(AE323&gt;AT6,AE323=AV6,AF323&lt;=AW6),"r2",IF(AND(AE323=AT6,AE323&lt;AV6,AF323&gt;=AU6),"r2","n")))))</f>
        <v>r1</v>
      </c>
      <c r="AL323" s="164" t="str">
        <f>IF(AK323&lt;&gt;"n",AK323,IF(AND(AE323=AP7,AE323=AR7,AF323&gt;=AQ7,AF323&lt;=AS7),"r1",IF(AND(AE323&gt;AP7,AE323&lt;AR7),"r1",IF(AND(AE323&gt;AP7,AE323=AR7,AF323&lt;=AS7),"r1",IF(AND(AE323=AP7,AE323&lt;AR7,AF323&gt;=AQ7),"r1","n")))))</f>
        <v>r1</v>
      </c>
    </row>
    <row r="324" spans="26:38" ht="17.100000000000001" hidden="1" customHeight="1">
      <c r="Z324" s="176">
        <f t="shared" si="15"/>
        <v>17.050000000001663</v>
      </c>
      <c r="AA324" s="176">
        <f>IF(TRIM(AG324)="","",IF(INDEX(AZ1:AZ51,AC324)=AG324,INDEX(BA1:BA51,AC324),((AG324-INDEX(AZ1:AZ51,AC324))*(INDEX(BA1:BA51,AC324+1)-INDEX(BA1:BA51,AC324)))/(INDEX(AZ1:AZ51,AC324+1)-INDEX(AZ1:AZ51,AC324))+INDEX(BA1:BA51,AC324)))</f>
        <v>17.050000000001663</v>
      </c>
      <c r="AB324" s="176" t="e">
        <f>IF(TRIM(AG324)="","",IF(INDEX(BD1:BD51,AD324)=AG324,INDEX(BE1:BE51,AD324),((AG324-INDEX(BD1:BD51,AD324))*(INDEX(BE1:BE51,AD324+1)-INDEX(BE1:BE51,AD324)))/(INDEX(BD1:BD51,AD324+1)-INDEX(BD1:BD51,AD324))+INDEX(BE1:BE51,AD324)))</f>
        <v>#N/A</v>
      </c>
      <c r="AC324" s="164">
        <f>MATCH(AG324,AZ1:AZ51,1)</f>
        <v>6</v>
      </c>
      <c r="AD324" s="164" t="e">
        <f>MATCH(AG324,BD1:BD51,1)</f>
        <v>#N/A</v>
      </c>
      <c r="AE324" s="164">
        <v>11</v>
      </c>
      <c r="AF324" s="164">
        <v>17</v>
      </c>
      <c r="AG324" s="179">
        <f>FIXED('HourGH-FEB'!AB28)*1</f>
        <v>338.29</v>
      </c>
      <c r="AH324" s="164" t="str">
        <f>IF(AND(AE324=AP5,AE324=AR5,AF324&gt;=AQ5,AF324&lt;=AS5),"r1",IF(AND(AE324&gt;AP5,AE324&lt;AR5),"r1",IF(AND(AE324&gt;AP5,AE324=AR5,AF324&lt;=AS5),"r1",IF(AND(AE324=AP5,AE324&lt;AR5,AF324&gt;=AQ5),"r1","n"))))</f>
        <v>r1</v>
      </c>
      <c r="AI324" s="164" t="str">
        <f>IF(AH324&lt;&gt;"n",AH324,IF(AND(AE324=AT5,AE324=AV5,AF324&gt;=AU5,AF324&lt;=AW5),"r2",IF(AND(AE324&gt;AT5,AE324&lt;AV5),"r2",IF(AND(AE324&gt;AT5,AE324=AV5,AF324&lt;=AW5),"r2",IF(AND(AE324=AT5,AE324&lt;AV5,AF324&gt;=AU5),"r2","n")))))</f>
        <v>r1</v>
      </c>
      <c r="AJ324" s="164" t="str">
        <f>IF(AI324&lt;&gt;"n",AI324,IF(AND(AE324=AP6,AE324=AR6,AF324&gt;=AQ6,AF324&lt;=AS6),"r1",IF(AND(AE324&gt;AP6,AE324&lt;AR6),"r1",IF(AND(AE324&gt;AP6,AE324=AR6,AF324&lt;=AS6),"r1",IF(AND(AE324=AP6,AE324&lt;AR6,AF324&gt;=AQ6),"r1","n")))))</f>
        <v>r1</v>
      </c>
      <c r="AK324" s="164" t="str">
        <f>IF(AJ324&lt;&gt;"n",AJ324,IF(AND(AE324=AT6,AE324=AV6,AF324&gt;=AU6,AF324&lt;=AW6),"r2",IF(AND(AE324&gt;AT6,AE324&lt;AV6),"r2",IF(AND(AE324&gt;AT6,AE324=AV6,AF324&lt;=AW6),"r2",IF(AND(AE324=AT6,AE324&lt;AV6,AF324&gt;=AU6),"r2","n")))))</f>
        <v>r1</v>
      </c>
      <c r="AL324" s="164" t="str">
        <f>IF(AK324&lt;&gt;"n",AK324,IF(AND(AE324=AP7,AE324=AR7,AF324&gt;=AQ7,AF324&lt;=AS7),"r1",IF(AND(AE324&gt;AP7,AE324&lt;AR7),"r1",IF(AND(AE324&gt;AP7,AE324=AR7,AF324&lt;=AS7),"r1",IF(AND(AE324=AP7,AE324&lt;AR7,AF324&gt;=AQ7),"r1","n")))))</f>
        <v>r1</v>
      </c>
    </row>
    <row r="325" spans="26:38" ht="17.100000000000001" hidden="1" customHeight="1">
      <c r="Z325" s="176">
        <f t="shared" si="15"/>
        <v>3.6000000000002275</v>
      </c>
      <c r="AA325" s="176">
        <f>IF(TRIM(AG325)="","",IF(INDEX(AZ1:AZ51,AC325)=AG325,INDEX(BA1:BA51,AC325),((AG325-INDEX(AZ1:AZ51,AC325))*(INDEX(BA1:BA51,AC325+1)-INDEX(BA1:BA51,AC325)))/(INDEX(AZ1:AZ51,AC325+1)-INDEX(AZ1:AZ51,AC325))+INDEX(BA1:BA51,AC325)))</f>
        <v>3.6000000000002275</v>
      </c>
      <c r="AB325" s="176" t="e">
        <f>IF(TRIM(AG325)="","",IF(INDEX(BD1:BD51,AD325)=AG325,INDEX(BE1:BE51,AD325),((AG325-INDEX(BD1:BD51,AD325))*(INDEX(BE1:BE51,AD325+1)-INDEX(BE1:BE51,AD325)))/(INDEX(BD1:BD51,AD325+1)-INDEX(BD1:BD51,AD325))+INDEX(BE1:BE51,AD325)))</f>
        <v>#N/A</v>
      </c>
      <c r="AC325" s="164">
        <f>MATCH(AG325,AZ1:AZ51,1)</f>
        <v>3</v>
      </c>
      <c r="AD325" s="164" t="e">
        <f>MATCH(AG325,BD1:BD51,1)</f>
        <v>#N/A</v>
      </c>
      <c r="AE325" s="164">
        <v>11</v>
      </c>
      <c r="AF325" s="164">
        <v>18</v>
      </c>
      <c r="AG325" s="179">
        <f>FIXED('HourGH-FEB'!AB29)*1</f>
        <v>337.88</v>
      </c>
      <c r="AH325" s="164" t="str">
        <f>IF(AND(AE325=AP5,AE325=AR5,AF325&gt;=AQ5,AF325&lt;=AS5),"r1",IF(AND(AE325&gt;AP5,AE325&lt;AR5),"r1",IF(AND(AE325&gt;AP5,AE325=AR5,AF325&lt;=AS5),"r1",IF(AND(AE325=AP5,AE325&lt;AR5,AF325&gt;=AQ5),"r1","n"))))</f>
        <v>r1</v>
      </c>
      <c r="AI325" s="164" t="str">
        <f>IF(AH325&lt;&gt;"n",AH325,IF(AND(AE325=AT5,AE325=AV5,AF325&gt;=AU5,AF325&lt;=AW5),"r2",IF(AND(AE325&gt;AT5,AE325&lt;AV5),"r2",IF(AND(AE325&gt;AT5,AE325=AV5,AF325&lt;=AW5),"r2",IF(AND(AE325=AT5,AE325&lt;AV5,AF325&gt;=AU5),"r2","n")))))</f>
        <v>r1</v>
      </c>
      <c r="AJ325" s="164" t="str">
        <f>IF(AI325&lt;&gt;"n",AI325,IF(AND(AE325=AP6,AE325=AR6,AF325&gt;=AQ6,AF325&lt;=AS6),"r1",IF(AND(AE325&gt;AP6,AE325&lt;AR6),"r1",IF(AND(AE325&gt;AP6,AE325=AR6,AF325&lt;=AS6),"r1",IF(AND(AE325=AP6,AE325&lt;AR6,AF325&gt;=AQ6),"r1","n")))))</f>
        <v>r1</v>
      </c>
      <c r="AK325" s="164" t="str">
        <f>IF(AJ325&lt;&gt;"n",AJ325,IF(AND(AE325=AT6,AE325=AV6,AF325&gt;=AU6,AF325&lt;=AW6),"r2",IF(AND(AE325&gt;AT6,AE325&lt;AV6),"r2",IF(AND(AE325&gt;AT6,AE325=AV6,AF325&lt;=AW6),"r2",IF(AND(AE325=AT6,AE325&lt;AV6,AF325&gt;=AU6),"r2","n")))))</f>
        <v>r1</v>
      </c>
      <c r="AL325" s="164" t="str">
        <f>IF(AK325&lt;&gt;"n",AK325,IF(AND(AE325=AP7,AE325=AR7,AF325&gt;=AQ7,AF325&lt;=AS7),"r1",IF(AND(AE325&gt;AP7,AE325&lt;AR7),"r1",IF(AND(AE325&gt;AP7,AE325=AR7,AF325&lt;=AS7),"r1",IF(AND(AE325=AP7,AE325&lt;AR7,AF325&gt;=AQ7),"r1","n")))))</f>
        <v>r1</v>
      </c>
    </row>
    <row r="326" spans="26:38" ht="17.100000000000001" hidden="1" customHeight="1">
      <c r="Z326" s="176">
        <f t="shared" si="15"/>
        <v>3.400000000000341</v>
      </c>
      <c r="AA326" s="176">
        <f>IF(TRIM(AG326)="","",IF(INDEX(AZ1:AZ51,AC326)=AG326,INDEX(BA1:BA51,AC326),((AG326-INDEX(AZ1:AZ51,AC326))*(INDEX(BA1:BA51,AC326+1)-INDEX(BA1:BA51,AC326)))/(INDEX(AZ1:AZ51,AC326+1)-INDEX(AZ1:AZ51,AC326))+INDEX(BA1:BA51,AC326)))</f>
        <v>3.400000000000341</v>
      </c>
      <c r="AB326" s="176" t="e">
        <f>IF(TRIM(AG326)="","",IF(INDEX(BD1:BD51,AD326)=AG326,INDEX(BE1:BE51,AD326),((AG326-INDEX(BD1:BD51,AD326))*(INDEX(BE1:BE51,AD326+1)-INDEX(BE1:BE51,AD326)))/(INDEX(BD1:BD51,AD326+1)-INDEX(BD1:BD51,AD326))+INDEX(BE1:BE51,AD326)))</f>
        <v>#N/A</v>
      </c>
      <c r="AC326" s="164">
        <f>MATCH(AG326,AZ1:AZ51,1)</f>
        <v>3</v>
      </c>
      <c r="AD326" s="164" t="e">
        <f>MATCH(AG326,BD1:BD51,1)</f>
        <v>#N/A</v>
      </c>
      <c r="AE326" s="164">
        <v>11</v>
      </c>
      <c r="AF326" s="164">
        <v>19</v>
      </c>
      <c r="AG326" s="179">
        <f>FIXED('HourGH-FEB'!AB30)*1</f>
        <v>337.87</v>
      </c>
      <c r="AH326" s="164" t="str">
        <f>IF(AND(AE326=AP5,AE326=AR5,AF326&gt;=AQ5,AF326&lt;=AS5),"r1",IF(AND(AE326&gt;AP5,AE326&lt;AR5),"r1",IF(AND(AE326&gt;AP5,AE326=AR5,AF326&lt;=AS5),"r1",IF(AND(AE326=AP5,AE326&lt;AR5,AF326&gt;=AQ5),"r1","n"))))</f>
        <v>r1</v>
      </c>
      <c r="AI326" s="164" t="str">
        <f>IF(AH326&lt;&gt;"n",AH326,IF(AND(AE326=AT5,AE326=AV5,AF326&gt;=AU5,AF326&lt;=AW5),"r2",IF(AND(AE326&gt;AT5,AE326&lt;AV5),"r2",IF(AND(AE326&gt;AT5,AE326=AV5,AF326&lt;=AW5),"r2",IF(AND(AE326=AT5,AE326&lt;AV5,AF326&gt;=AU5),"r2","n")))))</f>
        <v>r1</v>
      </c>
      <c r="AJ326" s="164" t="str">
        <f>IF(AI326&lt;&gt;"n",AI326,IF(AND(AE326=AP6,AE326=AR6,AF326&gt;=AQ6,AF326&lt;=AS6),"r1",IF(AND(AE326&gt;AP6,AE326&lt;AR6),"r1",IF(AND(AE326&gt;AP6,AE326=AR6,AF326&lt;=AS6),"r1",IF(AND(AE326=AP6,AE326&lt;AR6,AF326&gt;=AQ6),"r1","n")))))</f>
        <v>r1</v>
      </c>
      <c r="AK326" s="164" t="str">
        <f>IF(AJ326&lt;&gt;"n",AJ326,IF(AND(AE326=AT6,AE326=AV6,AF326&gt;=AU6,AF326&lt;=AW6),"r2",IF(AND(AE326&gt;AT6,AE326&lt;AV6),"r2",IF(AND(AE326&gt;AT6,AE326=AV6,AF326&lt;=AW6),"r2",IF(AND(AE326=AT6,AE326&lt;AV6,AF326&gt;=AU6),"r2","n")))))</f>
        <v>r1</v>
      </c>
      <c r="AL326" s="164" t="str">
        <f>IF(AK326&lt;&gt;"n",AK326,IF(AND(AE326=AP7,AE326=AR7,AF326&gt;=AQ7,AF326&lt;=AS7),"r1",IF(AND(AE326&gt;AP7,AE326&lt;AR7),"r1",IF(AND(AE326&gt;AP7,AE326=AR7,AF326&lt;=AS7),"r1",IF(AND(AE326=AP7,AE326&lt;AR7,AF326&gt;=AQ7),"r1","n")))))</f>
        <v>r1</v>
      </c>
    </row>
    <row r="327" spans="26:38" ht="17.100000000000001" hidden="1" customHeight="1">
      <c r="Z327" s="176">
        <f t="shared" si="15"/>
        <v>3.6000000000002275</v>
      </c>
      <c r="AA327" s="176">
        <f>IF(TRIM(AG327)="","",IF(INDEX(AZ1:AZ51,AC327)=AG327,INDEX(BA1:BA51,AC327),((AG327-INDEX(AZ1:AZ51,AC327))*(INDEX(BA1:BA51,AC327+1)-INDEX(BA1:BA51,AC327)))/(INDEX(AZ1:AZ51,AC327+1)-INDEX(AZ1:AZ51,AC327))+INDEX(BA1:BA51,AC327)))</f>
        <v>3.6000000000002275</v>
      </c>
      <c r="AB327" s="176" t="e">
        <f>IF(TRIM(AG327)="","",IF(INDEX(BD1:BD51,AD327)=AG327,INDEX(BE1:BE51,AD327),((AG327-INDEX(BD1:BD51,AD327))*(INDEX(BE1:BE51,AD327+1)-INDEX(BE1:BE51,AD327)))/(INDEX(BD1:BD51,AD327+1)-INDEX(BD1:BD51,AD327))+INDEX(BE1:BE51,AD327)))</f>
        <v>#N/A</v>
      </c>
      <c r="AC327" s="164">
        <f>MATCH(AG327,AZ1:AZ51,1)</f>
        <v>3</v>
      </c>
      <c r="AD327" s="164" t="e">
        <f>MATCH(AG327,BD1:BD51,1)</f>
        <v>#N/A</v>
      </c>
      <c r="AE327" s="164">
        <v>11</v>
      </c>
      <c r="AF327" s="164">
        <v>20</v>
      </c>
      <c r="AG327" s="179">
        <f>FIXED('HourGH-FEB'!AB31)*1</f>
        <v>337.88</v>
      </c>
      <c r="AH327" s="164" t="str">
        <f>IF(AND(AE327=AP5,AE327=AR5,AF327&gt;=AQ5,AF327&lt;=AS5),"r1",IF(AND(AE327&gt;AP5,AE327&lt;AR5),"r1",IF(AND(AE327&gt;AP5,AE327=AR5,AF327&lt;=AS5),"r1",IF(AND(AE327=AP5,AE327&lt;AR5,AF327&gt;=AQ5),"r1","n"))))</f>
        <v>r1</v>
      </c>
      <c r="AI327" s="164" t="str">
        <f>IF(AH327&lt;&gt;"n",AH327,IF(AND(AE327=AT5,AE327=AV5,AF327&gt;=AU5,AF327&lt;=AW5),"r2",IF(AND(AE327&gt;AT5,AE327&lt;AV5),"r2",IF(AND(AE327&gt;AT5,AE327=AV5,AF327&lt;=AW5),"r2",IF(AND(AE327=AT5,AE327&lt;AV5,AF327&gt;=AU5),"r2","n")))))</f>
        <v>r1</v>
      </c>
      <c r="AJ327" s="164" t="str">
        <f>IF(AI327&lt;&gt;"n",AI327,IF(AND(AE327=AP6,AE327=AR6,AF327&gt;=AQ6,AF327&lt;=AS6),"r1",IF(AND(AE327&gt;AP6,AE327&lt;AR6),"r1",IF(AND(AE327&gt;AP6,AE327=AR6,AF327&lt;=AS6),"r1",IF(AND(AE327=AP6,AE327&lt;AR6,AF327&gt;=AQ6),"r1","n")))))</f>
        <v>r1</v>
      </c>
      <c r="AK327" s="164" t="str">
        <f>IF(AJ327&lt;&gt;"n",AJ327,IF(AND(AE327=AT6,AE327=AV6,AF327&gt;=AU6,AF327&lt;=AW6),"r2",IF(AND(AE327&gt;AT6,AE327&lt;AV6),"r2",IF(AND(AE327&gt;AT6,AE327=AV6,AF327&lt;=AW6),"r2",IF(AND(AE327=AT6,AE327&lt;AV6,AF327&gt;=AU6),"r2","n")))))</f>
        <v>r1</v>
      </c>
      <c r="AL327" s="164" t="str">
        <f>IF(AK327&lt;&gt;"n",AK327,IF(AND(AE327=AP7,AE327=AR7,AF327&gt;=AQ7,AF327&lt;=AS7),"r1",IF(AND(AE327&gt;AP7,AE327&lt;AR7),"r1",IF(AND(AE327&gt;AP7,AE327=AR7,AF327&lt;=AS7),"r1",IF(AND(AE327=AP7,AE327&lt;AR7,AF327&gt;=AQ7),"r1","n")))))</f>
        <v>r1</v>
      </c>
    </row>
    <row r="328" spans="26:38" ht="17.100000000000001" hidden="1" customHeight="1">
      <c r="Z328" s="176">
        <f t="shared" si="15"/>
        <v>5.4999999999997158</v>
      </c>
      <c r="AA328" s="176">
        <f>IF(TRIM(AG328)="","",IF(INDEX(AZ1:AZ51,AC328)=AG328,INDEX(BA1:BA51,AC328),((AG328-INDEX(AZ1:AZ51,AC328))*(INDEX(BA1:BA51,AC328+1)-INDEX(BA1:BA51,AC328)))/(INDEX(AZ1:AZ51,AC328+1)-INDEX(AZ1:AZ51,AC328))+INDEX(BA1:BA51,AC328)))</f>
        <v>5.4999999999997158</v>
      </c>
      <c r="AB328" s="176" t="e">
        <f>IF(TRIM(AG328)="","",IF(INDEX(BD1:BD51,AD328)=AG328,INDEX(BE1:BE51,AD328),((AG328-INDEX(BD1:BD51,AD328))*(INDEX(BE1:BE51,AD328+1)-INDEX(BE1:BE51,AD328)))/(INDEX(BD1:BD51,AD328+1)-INDEX(BD1:BD51,AD328))+INDEX(BE1:BE51,AD328)))</f>
        <v>#N/A</v>
      </c>
      <c r="AC328" s="164">
        <f>MATCH(AG328,AZ1:AZ51,1)</f>
        <v>4</v>
      </c>
      <c r="AD328" s="164" t="e">
        <f>MATCH(AG328,BD1:BD51,1)</f>
        <v>#N/A</v>
      </c>
      <c r="AE328" s="164">
        <v>11</v>
      </c>
      <c r="AF328" s="164">
        <v>21</v>
      </c>
      <c r="AG328" s="179">
        <f>FIXED('HourGH-FEB'!AB33)*1</f>
        <v>337.96</v>
      </c>
      <c r="AH328" s="164" t="str">
        <f>IF(AND(AE328=AP5,AE328=AR5,AF328&gt;=AQ5,AF328&lt;=AS5),"r1",IF(AND(AE328&gt;AP5,AE328&lt;AR5),"r1",IF(AND(AE328&gt;AP5,AE328=AR5,AF328&lt;=AS5),"r1",IF(AND(AE328=AP5,AE328&lt;AR5,AF328&gt;=AQ5),"r1","n"))))</f>
        <v>r1</v>
      </c>
      <c r="AI328" s="164" t="str">
        <f>IF(AH328&lt;&gt;"n",AH328,IF(AND(AE328=AT5,AE328=AV5,AF328&gt;=AU5,AF328&lt;=AW5),"r2",IF(AND(AE328&gt;AT5,AE328&lt;AV5),"r2",IF(AND(AE328&gt;AT5,AE328=AV5,AF328&lt;=AW5),"r2",IF(AND(AE328=AT5,AE328&lt;AV5,AF328&gt;=AU5),"r2","n")))))</f>
        <v>r1</v>
      </c>
      <c r="AJ328" s="164" t="str">
        <f>IF(AI328&lt;&gt;"n",AI328,IF(AND(AE328=AP6,AE328=AR6,AF328&gt;=AQ6,AF328&lt;=AS6),"r1",IF(AND(AE328&gt;AP6,AE328&lt;AR6),"r1",IF(AND(AE328&gt;AP6,AE328=AR6,AF328&lt;=AS6),"r1",IF(AND(AE328=AP6,AE328&lt;AR6,AF328&gt;=AQ6),"r1","n")))))</f>
        <v>r1</v>
      </c>
      <c r="AK328" s="164" t="str">
        <f>IF(AJ328&lt;&gt;"n",AJ328,IF(AND(AE328=AT6,AE328=AV6,AF328&gt;=AU6,AF328&lt;=AW6),"r2",IF(AND(AE328&gt;AT6,AE328&lt;AV6),"r2",IF(AND(AE328&gt;AT6,AE328=AV6,AF328&lt;=AW6),"r2",IF(AND(AE328=AT6,AE328&lt;AV6,AF328&gt;=AU6),"r2","n")))))</f>
        <v>r1</v>
      </c>
      <c r="AL328" s="164" t="str">
        <f>IF(AK328&lt;&gt;"n",AK328,IF(AND(AE328=AP7,AE328=AR7,AF328&gt;=AQ7,AF328&lt;=AS7),"r1",IF(AND(AE328&gt;AP7,AE328&lt;AR7),"r1",IF(AND(AE328&gt;AP7,AE328=AR7,AF328&lt;=AS7),"r1",IF(AND(AE328=AP7,AE328&lt;AR7,AF328&gt;=AQ7),"r1","n")))))</f>
        <v>r1</v>
      </c>
    </row>
    <row r="329" spans="26:38" ht="17.100000000000001" hidden="1" customHeight="1">
      <c r="Z329" s="176">
        <f t="shared" si="15"/>
        <v>15.700000000000255</v>
      </c>
      <c r="AA329" s="176">
        <f>IF(TRIM(AG329)="","",IF(INDEX(AZ1:AZ51,AC329)=AG329,INDEX(BA1:BA51,AC329),((AG329-INDEX(AZ1:AZ51,AC329))*(INDEX(BA1:BA51,AC329+1)-INDEX(BA1:BA51,AC329)))/(INDEX(AZ1:AZ51,AC329+1)-INDEX(AZ1:AZ51,AC329))+INDEX(BA1:BA51,AC329)))</f>
        <v>15.700000000000255</v>
      </c>
      <c r="AB329" s="176" t="e">
        <f>IF(TRIM(AG329)="","",IF(INDEX(BD1:BD51,AD329)=AG329,INDEX(BE1:BE51,AD329),((AG329-INDEX(BD1:BD51,AD329))*(INDEX(BE1:BE51,AD329+1)-INDEX(BE1:BE51,AD329)))/(INDEX(BD1:BD51,AD329+1)-INDEX(BD1:BD51,AD329))+INDEX(BE1:BE51,AD329)))</f>
        <v>#N/A</v>
      </c>
      <c r="AC329" s="164">
        <f>MATCH(AG329,AZ1:AZ51,1)</f>
        <v>6</v>
      </c>
      <c r="AD329" s="164" t="e">
        <f>MATCH(AG329,BD1:BD51,1)</f>
        <v>#N/A</v>
      </c>
      <c r="AE329" s="164">
        <v>11</v>
      </c>
      <c r="AF329" s="164">
        <v>22</v>
      </c>
      <c r="AG329" s="179">
        <f>FIXED('HourGH-FEB'!AB34)*1</f>
        <v>338.26</v>
      </c>
      <c r="AH329" s="164" t="str">
        <f>IF(AND(AE329=AP5,AE329=AR5,AF329&gt;=AQ5,AF329&lt;=AS5),"r1",IF(AND(AE329&gt;AP5,AE329&lt;AR5),"r1",IF(AND(AE329&gt;AP5,AE329=AR5,AF329&lt;=AS5),"r1",IF(AND(AE329=AP5,AE329&lt;AR5,AF329&gt;=AQ5),"r1","n"))))</f>
        <v>r1</v>
      </c>
      <c r="AI329" s="164" t="str">
        <f>IF(AH329&lt;&gt;"n",AH329,IF(AND(AE329=AT5,AE329=AV5,AF329&gt;=AU5,AF329&lt;=AW5),"r2",IF(AND(AE329&gt;AT5,AE329&lt;AV5),"r2",IF(AND(AE329&gt;AT5,AE329=AV5,AF329&lt;=AW5),"r2",IF(AND(AE329=AT5,AE329&lt;AV5,AF329&gt;=AU5),"r2","n")))))</f>
        <v>r1</v>
      </c>
      <c r="AJ329" s="164" t="str">
        <f>IF(AI329&lt;&gt;"n",AI329,IF(AND(AE329=AP6,AE329=AR6,AF329&gt;=AQ6,AF329&lt;=AS6),"r1",IF(AND(AE329&gt;AP6,AE329&lt;AR6),"r1",IF(AND(AE329&gt;AP6,AE329=AR6,AF329&lt;=AS6),"r1",IF(AND(AE329=AP6,AE329&lt;AR6,AF329&gt;=AQ6),"r1","n")))))</f>
        <v>r1</v>
      </c>
      <c r="AK329" s="164" t="str">
        <f>IF(AJ329&lt;&gt;"n",AJ329,IF(AND(AE329=AT6,AE329=AV6,AF329&gt;=AU6,AF329&lt;=AW6),"r2",IF(AND(AE329&gt;AT6,AE329&lt;AV6),"r2",IF(AND(AE329&gt;AT6,AE329=AV6,AF329&lt;=AW6),"r2",IF(AND(AE329=AT6,AE329&lt;AV6,AF329&gt;=AU6),"r2","n")))))</f>
        <v>r1</v>
      </c>
      <c r="AL329" s="164" t="str">
        <f>IF(AK329&lt;&gt;"n",AK329,IF(AND(AE329=AP7,AE329=AR7,AF329&gt;=AQ7,AF329&lt;=AS7),"r1",IF(AND(AE329&gt;AP7,AE329&lt;AR7),"r1",IF(AND(AE329&gt;AP7,AE329=AR7,AF329&lt;=AS7),"r1",IF(AND(AE329=AP7,AE329&lt;AR7,AF329&gt;=AQ7),"r1","n")))))</f>
        <v>r1</v>
      </c>
    </row>
    <row r="330" spans="26:38" ht="17.100000000000001" hidden="1" customHeight="1">
      <c r="Z330" s="176">
        <f t="shared" si="15"/>
        <v>9.7500000000009237</v>
      </c>
      <c r="AA330" s="176">
        <f>IF(TRIM(AG330)="","",IF(INDEX(AZ1:AZ51,AC330)=AG330,INDEX(BA1:BA51,AC330),((AG330-INDEX(AZ1:AZ51,AC330))*(INDEX(BA1:BA51,AC330+1)-INDEX(BA1:BA51,AC330)))/(INDEX(AZ1:AZ51,AC330+1)-INDEX(AZ1:AZ51,AC330))+INDEX(BA1:BA51,AC330)))</f>
        <v>9.7500000000009237</v>
      </c>
      <c r="AB330" s="176" t="e">
        <f>IF(TRIM(AG330)="","",IF(INDEX(BD1:BD51,AD330)=AG330,INDEX(BE1:BE51,AD330),((AG330-INDEX(BD1:BD51,AD330))*(INDEX(BE1:BE51,AD330+1)-INDEX(BE1:BE51,AD330)))/(INDEX(BD1:BD51,AD330+1)-INDEX(BD1:BD51,AD330))+INDEX(BE1:BE51,AD330)))</f>
        <v>#N/A</v>
      </c>
      <c r="AC330" s="164">
        <f>MATCH(AG330,AZ1:AZ51,1)</f>
        <v>5</v>
      </c>
      <c r="AD330" s="164" t="e">
        <f>MATCH(AG330,BD1:BD51,1)</f>
        <v>#N/A</v>
      </c>
      <c r="AE330" s="164">
        <v>11</v>
      </c>
      <c r="AF330" s="164">
        <v>23</v>
      </c>
      <c r="AG330" s="179">
        <f>FIXED('HourGH-FEB'!AB35)*1</f>
        <v>338.1</v>
      </c>
      <c r="AH330" s="164" t="str">
        <f>IF(AND(AE330=AP5,AE330=AR5,AF330&gt;=AQ5,AF330&lt;=AS5),"r1",IF(AND(AE330&gt;AP5,AE330&lt;AR5),"r1",IF(AND(AE330&gt;AP5,AE330=AR5,AF330&lt;=AS5),"r1",IF(AND(AE330=AP5,AE330&lt;AR5,AF330&gt;=AQ5),"r1","n"))))</f>
        <v>r1</v>
      </c>
      <c r="AI330" s="164" t="str">
        <f>IF(AH330&lt;&gt;"n",AH330,IF(AND(AE330=AT5,AE330=AV5,AF330&gt;=AU5,AF330&lt;=AW5),"r2",IF(AND(AE330&gt;AT5,AE330&lt;AV5),"r2",IF(AND(AE330&gt;AT5,AE330=AV5,AF330&lt;=AW5),"r2",IF(AND(AE330=AT5,AE330&lt;AV5,AF330&gt;=AU5),"r2","n")))))</f>
        <v>r1</v>
      </c>
      <c r="AJ330" s="164" t="str">
        <f>IF(AI330&lt;&gt;"n",AI330,IF(AND(AE330=AP6,AE330=AR6,AF330&gt;=AQ6,AF330&lt;=AS6),"r1",IF(AND(AE330&gt;AP6,AE330&lt;AR6),"r1",IF(AND(AE330&gt;AP6,AE330=AR6,AF330&lt;=AS6),"r1",IF(AND(AE330=AP6,AE330&lt;AR6,AF330&gt;=AQ6),"r1","n")))))</f>
        <v>r1</v>
      </c>
      <c r="AK330" s="164" t="str">
        <f>IF(AJ330&lt;&gt;"n",AJ330,IF(AND(AE330=AT6,AE330=AV6,AF330&gt;=AU6,AF330&lt;=AW6),"r2",IF(AND(AE330&gt;AT6,AE330&lt;AV6),"r2",IF(AND(AE330&gt;AT6,AE330=AV6,AF330&lt;=AW6),"r2",IF(AND(AE330=AT6,AE330&lt;AV6,AF330&gt;=AU6),"r2","n")))))</f>
        <v>r1</v>
      </c>
      <c r="AL330" s="164" t="str">
        <f>IF(AK330&lt;&gt;"n",AK330,IF(AND(AE330=AP7,AE330=AR7,AF330&gt;=AQ7,AF330&lt;=AS7),"r1",IF(AND(AE330&gt;AP7,AE330&lt;AR7),"r1",IF(AND(AE330&gt;AP7,AE330=AR7,AF330&lt;=AS7),"r1",IF(AND(AE330=AP7,AE330&lt;AR7,AF330&gt;=AQ7),"r1","n")))))</f>
        <v>r1</v>
      </c>
    </row>
    <row r="331" spans="26:38" ht="17.100000000000001" hidden="1" customHeight="1">
      <c r="Z331" s="176">
        <f t="shared" si="15"/>
        <v>11.374999999999538</v>
      </c>
      <c r="AA331" s="176">
        <f>IF(TRIM(AG331)="","",IF(INDEX(AZ1:AZ51,AC331)=AG331,INDEX(BA1:BA51,AC331),((AG331-INDEX(AZ1:AZ51,AC331))*(INDEX(BA1:BA51,AC331+1)-INDEX(BA1:BA51,AC331)))/(INDEX(AZ1:AZ51,AC331+1)-INDEX(AZ1:AZ51,AC331))+INDEX(BA1:BA51,AC331)))</f>
        <v>11.374999999999538</v>
      </c>
      <c r="AB331" s="176" t="e">
        <f>IF(TRIM(AG331)="","",IF(INDEX(BD1:BD51,AD331)=AG331,INDEX(BE1:BE51,AD331),((AG331-INDEX(BD1:BD51,AD331))*(INDEX(BE1:BE51,AD331+1)-INDEX(BE1:BE51,AD331)))/(INDEX(BD1:BD51,AD331+1)-INDEX(BD1:BD51,AD331))+INDEX(BE1:BE51,AD331)))</f>
        <v>#N/A</v>
      </c>
      <c r="AC331" s="164">
        <f>MATCH(AG331,AZ1:AZ51,1)</f>
        <v>5</v>
      </c>
      <c r="AD331" s="164" t="e">
        <f>MATCH(AG331,BD1:BD51,1)</f>
        <v>#N/A</v>
      </c>
      <c r="AE331" s="164">
        <v>11</v>
      </c>
      <c r="AF331" s="164">
        <v>24</v>
      </c>
      <c r="AG331" s="179">
        <f>FIXED('HourGH-FEB'!AB36)*1</f>
        <v>338.15</v>
      </c>
      <c r="AH331" s="164" t="str">
        <f>IF(AND(AE331=AP5,AE331=AR5,AF331&gt;=AQ5,AF331&lt;=AS5),"r1",IF(AND(AE331&gt;AP5,AE331&lt;AR5),"r1",IF(AND(AE331&gt;AP5,AE331=AR5,AF331&lt;=AS5),"r1",IF(AND(AE331=AP5,AE331&lt;AR5,AF331&gt;=AQ5),"r1","n"))))</f>
        <v>r1</v>
      </c>
      <c r="AI331" s="164" t="str">
        <f>IF(AH331&lt;&gt;"n",AH331,IF(AND(AE331=AT5,AE331=AV5,AF331&gt;=AU5,AF331&lt;=AW5),"r2",IF(AND(AE331&gt;AT5,AE331&lt;AV5),"r2",IF(AND(AE331&gt;AT5,AE331=AV5,AF331&lt;=AW5),"r2",IF(AND(AE331=AT5,AE331&lt;AV5,AF331&gt;=AU5),"r2","n")))))</f>
        <v>r1</v>
      </c>
      <c r="AJ331" s="164" t="str">
        <f>IF(AI331&lt;&gt;"n",AI331,IF(AND(AE331=AP6,AE331=AR6,AF331&gt;=AQ6,AF331&lt;=AS6),"r1",IF(AND(AE331&gt;AP6,AE331&lt;AR6),"r1",IF(AND(AE331&gt;AP6,AE331=AR6,AF331&lt;=AS6),"r1",IF(AND(AE331=AP6,AE331&lt;AR6,AF331&gt;=AQ6),"r1","n")))))</f>
        <v>r1</v>
      </c>
      <c r="AK331" s="164" t="str">
        <f>IF(AJ331&lt;&gt;"n",AJ331,IF(AND(AE331=AT6,AE331=AV6,AF331&gt;=AU6,AF331&lt;=AW6),"r2",IF(AND(AE331&gt;AT6,AE331&lt;AV6),"r2",IF(AND(AE331&gt;AT6,AE331=AV6,AF331&lt;=AW6),"r2",IF(AND(AE331=AT6,AE331&lt;AV6,AF331&gt;=AU6),"r2","n")))))</f>
        <v>r1</v>
      </c>
      <c r="AL331" s="164" t="str">
        <f>IF(AK331&lt;&gt;"n",AK331,IF(AND(AE331=AP7,AE331=AR7,AF331&gt;=AQ7,AF331&lt;=AS7),"r1",IF(AND(AE331&gt;AP7,AE331&lt;AR7),"r1",IF(AND(AE331&gt;AP7,AE331=AR7,AF331&lt;=AS7),"r1",IF(AND(AE331=AP7,AE331&lt;AR7,AF331&gt;=AQ7),"r1","n")))))</f>
        <v>r1</v>
      </c>
    </row>
    <row r="332" spans="26:38" ht="17.100000000000001" hidden="1" customHeight="1">
      <c r="Z332" s="176">
        <f t="shared" si="15"/>
        <v>3.400000000000341</v>
      </c>
      <c r="AA332" s="176">
        <f>IF(TRIM(AG332)="","",IF(INDEX(AZ1:AZ51,AC332)=AG332,INDEX(BA1:BA51,AC332),((AG332-INDEX(AZ1:AZ51,AC332))*(INDEX(BA1:BA51,AC332+1)-INDEX(BA1:BA51,AC332)))/(INDEX(AZ1:AZ51,AC332+1)-INDEX(AZ1:AZ51,AC332))+INDEX(BA1:BA51,AC332)))</f>
        <v>3.400000000000341</v>
      </c>
      <c r="AB332" s="176" t="e">
        <f>IF(TRIM(AG332)="","",IF(INDEX(BD1:BD51,AD332)=AG332,INDEX(BE1:BE51,AD332),((AG332-INDEX(BD1:BD51,AD332))*(INDEX(BE1:BE51,AD332+1)-INDEX(BE1:BE51,AD332)))/(INDEX(BD1:BD51,AD332+1)-INDEX(BD1:BD51,AD332))+INDEX(BE1:BE51,AD332)))</f>
        <v>#N/A</v>
      </c>
      <c r="AC332" s="164">
        <f>MATCH(AG332,AZ1:AZ51,1)</f>
        <v>3</v>
      </c>
      <c r="AD332" s="164" t="e">
        <f>MATCH(AG332,BD1:BD51,1)</f>
        <v>#N/A</v>
      </c>
      <c r="AE332" s="164">
        <v>11</v>
      </c>
      <c r="AF332" s="164">
        <v>25</v>
      </c>
      <c r="AG332" s="179">
        <f>FIXED('HourGH-FEB'!AB37)*1</f>
        <v>337.87</v>
      </c>
      <c r="AH332" s="164" t="str">
        <f>IF(AND(AE332=AP5,AE332=AR5,AF332&gt;=AQ5,AF332&lt;=AS5),"r1",IF(AND(AE332&gt;AP5,AE332&lt;AR5),"r1",IF(AND(AE332&gt;AP5,AE332=AR5,AF332&lt;=AS5),"r1",IF(AND(AE332=AP5,AE332&lt;AR5,AF332&gt;=AQ5),"r1","n"))))</f>
        <v>r1</v>
      </c>
      <c r="AI332" s="164" t="str">
        <f>IF(AH332&lt;&gt;"n",AH332,IF(AND(AE332=AT5,AE332=AV5,AF332&gt;=AU5,AF332&lt;=AW5),"r2",IF(AND(AE332&gt;AT5,AE332&lt;AV5),"r2",IF(AND(AE332&gt;AT5,AE332=AV5,AF332&lt;=AW5),"r2",IF(AND(AE332=AT5,AE332&lt;AV5,AF332&gt;=AU5),"r2","n")))))</f>
        <v>r1</v>
      </c>
      <c r="AJ332" s="164" t="str">
        <f>IF(AI332&lt;&gt;"n",AI332,IF(AND(AE332=AP6,AE332=AR6,AF332&gt;=AQ6,AF332&lt;=AS6),"r1",IF(AND(AE332&gt;AP6,AE332&lt;AR6),"r1",IF(AND(AE332&gt;AP6,AE332=AR6,AF332&lt;=AS6),"r1",IF(AND(AE332=AP6,AE332&lt;AR6,AF332&gt;=AQ6),"r1","n")))))</f>
        <v>r1</v>
      </c>
      <c r="AK332" s="164" t="str">
        <f>IF(AJ332&lt;&gt;"n",AJ332,IF(AND(AE332=AT6,AE332=AV6,AF332&gt;=AU6,AF332&lt;=AW6),"r2",IF(AND(AE332&gt;AT6,AE332&lt;AV6),"r2",IF(AND(AE332&gt;AT6,AE332=AV6,AF332&lt;=AW6),"r2",IF(AND(AE332=AT6,AE332&lt;AV6,AF332&gt;=AU6),"r2","n")))))</f>
        <v>r1</v>
      </c>
      <c r="AL332" s="164" t="str">
        <f>IF(AK332&lt;&gt;"n",AK332,IF(AND(AE332=AP7,AE332=AR7,AF332&gt;=AQ7,AF332&lt;=AS7),"r1",IF(AND(AE332&gt;AP7,AE332&lt;AR7),"r1",IF(AND(AE332&gt;AP7,AE332=AR7,AF332&lt;=AS7),"r1",IF(AND(AE332=AP7,AE332&lt;AR7,AF332&gt;=AQ7),"r1","n")))))</f>
        <v>r1</v>
      </c>
    </row>
    <row r="333" spans="26:38" ht="17.100000000000001" hidden="1" customHeight="1">
      <c r="Z333" s="176">
        <f t="shared" si="15"/>
        <v>3.0000000000005684</v>
      </c>
      <c r="AA333" s="176">
        <f>IF(TRIM(AG333)="","",IF(INDEX(AZ1:AZ51,AC333)=AG333,INDEX(BA1:BA51,AC333),((AG333-INDEX(AZ1:AZ51,AC333))*(INDEX(BA1:BA51,AC333+1)-INDEX(BA1:BA51,AC333)))/(INDEX(AZ1:AZ51,AC333+1)-INDEX(AZ1:AZ51,AC333))+INDEX(BA1:BA51,AC333)))</f>
        <v>3.0000000000005684</v>
      </c>
      <c r="AB333" s="176" t="e">
        <f>IF(TRIM(AG333)="","",IF(INDEX(BD1:BD51,AD333)=AG333,INDEX(BE1:BE51,AD333),((AG333-INDEX(BD1:BD51,AD333))*(INDEX(BE1:BE51,AD333+1)-INDEX(BE1:BE51,AD333)))/(INDEX(BD1:BD51,AD333+1)-INDEX(BD1:BD51,AD333))+INDEX(BE1:BE51,AD333)))</f>
        <v>#N/A</v>
      </c>
      <c r="AC333" s="164">
        <f>MATCH(AG333,AZ1:AZ51,1)</f>
        <v>3</v>
      </c>
      <c r="AD333" s="164" t="e">
        <f>MATCH(AG333,BD1:BD51,1)</f>
        <v>#N/A</v>
      </c>
      <c r="AE333" s="164">
        <v>11</v>
      </c>
      <c r="AF333" s="164">
        <v>26</v>
      </c>
      <c r="AG333" s="179">
        <f>FIXED('HourGH-FEB'!AB38)*1</f>
        <v>337.85</v>
      </c>
      <c r="AH333" s="164" t="str">
        <f>IF(AND(AE333=AP5,AE333=AR5,AF333&gt;=AQ5,AF333&lt;=AS5),"r1",IF(AND(AE333&gt;AP5,AE333&lt;AR5),"r1",IF(AND(AE333&gt;AP5,AE333=AR5,AF333&lt;=AS5),"r1",IF(AND(AE333=AP5,AE333&lt;AR5,AF333&gt;=AQ5),"r1","n"))))</f>
        <v>r1</v>
      </c>
      <c r="AI333" s="164" t="str">
        <f>IF(AH333&lt;&gt;"n",AH333,IF(AND(AE333=AT5,AE333=AV5,AF333&gt;=AU5,AF333&lt;=AW5),"r2",IF(AND(AE333&gt;AT5,AE333&lt;AV5),"r2",IF(AND(AE333&gt;AT5,AE333=AV5,AF333&lt;=AW5),"r2",IF(AND(AE333=AT5,AE333&lt;AV5,AF333&gt;=AU5),"r2","n")))))</f>
        <v>r1</v>
      </c>
      <c r="AJ333" s="164" t="str">
        <f>IF(AI333&lt;&gt;"n",AI333,IF(AND(AE333=AP6,AE333=AR6,AF333&gt;=AQ6,AF333&lt;=AS6),"r1",IF(AND(AE333&gt;AP6,AE333&lt;AR6),"r1",IF(AND(AE333&gt;AP6,AE333=AR6,AF333&lt;=AS6),"r1",IF(AND(AE333=AP6,AE333&lt;AR6,AF333&gt;=AQ6),"r1","n")))))</f>
        <v>r1</v>
      </c>
      <c r="AK333" s="164" t="str">
        <f>IF(AJ333&lt;&gt;"n",AJ333,IF(AND(AE333=AT6,AE333=AV6,AF333&gt;=AU6,AF333&lt;=AW6),"r2",IF(AND(AE333&gt;AT6,AE333&lt;AV6),"r2",IF(AND(AE333&gt;AT6,AE333=AV6,AF333&lt;=AW6),"r2",IF(AND(AE333=AT6,AE333&lt;AV6,AF333&gt;=AU6),"r2","n")))))</f>
        <v>r1</v>
      </c>
      <c r="AL333" s="164" t="str">
        <f>IF(AK333&lt;&gt;"n",AK333,IF(AND(AE333=AP7,AE333=AR7,AF333&gt;=AQ7,AF333&lt;=AS7),"r1",IF(AND(AE333&gt;AP7,AE333&lt;AR7),"r1",IF(AND(AE333&gt;AP7,AE333=AR7,AF333&lt;=AS7),"r1",IF(AND(AE333=AP7,AE333&lt;AR7,AF333&gt;=AQ7),"r1","n")))))</f>
        <v>r1</v>
      </c>
    </row>
    <row r="334" spans="26:38" ht="17.100000000000001" hidden="1" customHeight="1">
      <c r="Z334" s="176">
        <f t="shared" si="15"/>
        <v>3.0000000000005684</v>
      </c>
      <c r="AA334" s="176">
        <f>IF(TRIM(AG334)="","",IF(INDEX(AZ1:AZ51,AC334)=AG334,INDEX(BA1:BA51,AC334),((AG334-INDEX(AZ1:AZ51,AC334))*(INDEX(BA1:BA51,AC334+1)-INDEX(BA1:BA51,AC334)))/(INDEX(AZ1:AZ51,AC334+1)-INDEX(AZ1:AZ51,AC334))+INDEX(BA1:BA51,AC334)))</f>
        <v>3.0000000000005684</v>
      </c>
      <c r="AB334" s="176" t="e">
        <f>IF(TRIM(AG334)="","",IF(INDEX(BD1:BD51,AD334)=AG334,INDEX(BE1:BE51,AD334),((AG334-INDEX(BD1:BD51,AD334))*(INDEX(BE1:BE51,AD334+1)-INDEX(BE1:BE51,AD334)))/(INDEX(BD1:BD51,AD334+1)-INDEX(BD1:BD51,AD334))+INDEX(BE1:BE51,AD334)))</f>
        <v>#N/A</v>
      </c>
      <c r="AC334" s="164">
        <f>MATCH(AG334,AZ1:AZ51,1)</f>
        <v>3</v>
      </c>
      <c r="AD334" s="164" t="e">
        <f>MATCH(AG334,BD1:BD51,1)</f>
        <v>#N/A</v>
      </c>
      <c r="AE334" s="164">
        <v>11</v>
      </c>
      <c r="AF334" s="164">
        <v>27</v>
      </c>
      <c r="AG334" s="179">
        <f>FIXED('HourGH-FEB'!AB39)*1</f>
        <v>337.85</v>
      </c>
      <c r="AH334" s="164" t="str">
        <f>IF(AND(AE334=AP5,AE334=AR5,AF334&gt;=AQ5,AF334&lt;=AS5),"r1",IF(AND(AE334&gt;AP5,AE334&lt;AR5),"r1",IF(AND(AE334&gt;AP5,AE334=AR5,AF334&lt;=AS5),"r1",IF(AND(AE334=AP5,AE334&lt;AR5,AF334&gt;=AQ5),"r1","n"))))</f>
        <v>r1</v>
      </c>
      <c r="AI334" s="164" t="str">
        <f>IF(AH334&lt;&gt;"n",AH334,IF(AND(AE334=AT5,AE334=AV5,AF334&gt;=AU5,AF334&lt;=AW5),"r2",IF(AND(AE334&gt;AT5,AE334&lt;AV5),"r2",IF(AND(AE334&gt;AT5,AE334=AV5,AF334&lt;=AW5),"r2",IF(AND(AE334=AT5,AE334&lt;AV5,AF334&gt;=AU5),"r2","n")))))</f>
        <v>r1</v>
      </c>
      <c r="AJ334" s="164" t="str">
        <f>IF(AI334&lt;&gt;"n",AI334,IF(AND(AE334=AP6,AE334=AR6,AF334&gt;=AQ6,AF334&lt;=AS6),"r1",IF(AND(AE334&gt;AP6,AE334&lt;AR6),"r1",IF(AND(AE334&gt;AP6,AE334=AR6,AF334&lt;=AS6),"r1",IF(AND(AE334=AP6,AE334&lt;AR6,AF334&gt;=AQ6),"r1","n")))))</f>
        <v>r1</v>
      </c>
      <c r="AK334" s="164" t="str">
        <f>IF(AJ334&lt;&gt;"n",AJ334,IF(AND(AE334=AT6,AE334=AV6,AF334&gt;=AU6,AF334&lt;=AW6),"r2",IF(AND(AE334&gt;AT6,AE334&lt;AV6),"r2",IF(AND(AE334&gt;AT6,AE334=AV6,AF334&lt;=AW6),"r2",IF(AND(AE334=AT6,AE334&lt;AV6,AF334&gt;=AU6),"r2","n")))))</f>
        <v>r1</v>
      </c>
      <c r="AL334" s="164" t="str">
        <f>IF(AK334&lt;&gt;"n",AK334,IF(AND(AE334=AP7,AE334=AR7,AF334&gt;=AQ7,AF334&lt;=AS7),"r1",IF(AND(AE334&gt;AP7,AE334&lt;AR7),"r1",IF(AND(AE334&gt;AP7,AE334=AR7,AF334&lt;=AS7),"r1",IF(AND(AE334=AP7,AE334&lt;AR7,AF334&gt;=AQ7),"r1","n")))))</f>
        <v>r1</v>
      </c>
    </row>
    <row r="335" spans="26:38" ht="17.100000000000001" hidden="1" customHeight="1">
      <c r="Z335" s="176">
        <f t="shared" si="15"/>
        <v>5.4999999999997158</v>
      </c>
      <c r="AA335" s="176">
        <f>IF(TRIM(AG335)="","",IF(INDEX(AZ1:AZ51,AC335)=AG335,INDEX(BA1:BA51,AC335),((AG335-INDEX(AZ1:AZ51,AC335))*(INDEX(BA1:BA51,AC335+1)-INDEX(BA1:BA51,AC335)))/(INDEX(AZ1:AZ51,AC335+1)-INDEX(AZ1:AZ51,AC335))+INDEX(BA1:BA51,AC335)))</f>
        <v>5.4999999999997158</v>
      </c>
      <c r="AB335" s="176" t="e">
        <f>IF(TRIM(AG335)="","",IF(INDEX(BD1:BD51,AD335)=AG335,INDEX(BE1:BE51,AD335),((AG335-INDEX(BD1:BD51,AD335))*(INDEX(BE1:BE51,AD335+1)-INDEX(BE1:BE51,AD335)))/(INDEX(BD1:BD51,AD335+1)-INDEX(BD1:BD51,AD335))+INDEX(BE1:BE51,AD335)))</f>
        <v>#N/A</v>
      </c>
      <c r="AC335" s="164">
        <f>MATCH(AG335,AZ1:AZ51,1)</f>
        <v>4</v>
      </c>
      <c r="AD335" s="164" t="e">
        <f>MATCH(AG335,BD1:BD51,1)</f>
        <v>#N/A</v>
      </c>
      <c r="AE335" s="164">
        <v>11</v>
      </c>
      <c r="AF335" s="164">
        <v>28</v>
      </c>
      <c r="AG335" s="179">
        <f>FIXED('HourGH-FEB'!AB40)*1</f>
        <v>337.96</v>
      </c>
      <c r="AH335" s="164" t="str">
        <f>IF(AND(AE335=AP5,AE335=AR5,AF335&gt;=AQ5,AF335&lt;=AS5),"r1",IF(AND(AE335&gt;AP5,AE335&lt;AR5),"r1",IF(AND(AE335&gt;AP5,AE335=AR5,AF335&lt;=AS5),"r1",IF(AND(AE335=AP5,AE335&lt;AR5,AF335&gt;=AQ5),"r1","n"))))</f>
        <v>r1</v>
      </c>
      <c r="AI335" s="164" t="str">
        <f>IF(AH335&lt;&gt;"n",AH335,IF(AND(AE335=AT5,AE335=AV5,AF335&gt;=AU5,AF335&lt;=AW5),"r2",IF(AND(AE335&gt;AT5,AE335&lt;AV5),"r2",IF(AND(AE335&gt;AT5,AE335=AV5,AF335&lt;=AW5),"r2",IF(AND(AE335=AT5,AE335&lt;AV5,AF335&gt;=AU5),"r2","n")))))</f>
        <v>r1</v>
      </c>
      <c r="AJ335" s="164" t="str">
        <f>IF(AI335&lt;&gt;"n",AI335,IF(AND(AE335=AP6,AE335=AR6,AF335&gt;=AQ6,AF335&lt;=AS6),"r1",IF(AND(AE335&gt;AP6,AE335&lt;AR6),"r1",IF(AND(AE335&gt;AP6,AE335=AR6,AF335&lt;=AS6),"r1",IF(AND(AE335=AP6,AE335&lt;AR6,AF335&gt;=AQ6),"r1","n")))))</f>
        <v>r1</v>
      </c>
      <c r="AK335" s="164" t="str">
        <f>IF(AJ335&lt;&gt;"n",AJ335,IF(AND(AE335=AT6,AE335=AV6,AF335&gt;=AU6,AF335&lt;=AW6),"r2",IF(AND(AE335&gt;AT6,AE335&lt;AV6),"r2",IF(AND(AE335&gt;AT6,AE335=AV6,AF335&lt;=AW6),"r2",IF(AND(AE335=AT6,AE335&lt;AV6,AF335&gt;=AU6),"r2","n")))))</f>
        <v>r1</v>
      </c>
      <c r="AL335" s="164" t="str">
        <f>IF(AK335&lt;&gt;"n",AK335,IF(AND(AE335=AP7,AE335=AR7,AF335&gt;=AQ7,AF335&lt;=AS7),"r1",IF(AND(AE335&gt;AP7,AE335&lt;AR7),"r1",IF(AND(AE335&gt;AP7,AE335=AR7,AF335&lt;=AS7),"r1",IF(AND(AE335=AP7,AE335&lt;AR7,AF335&gt;=AQ7),"r1","n")))))</f>
        <v>r1</v>
      </c>
    </row>
    <row r="336" spans="26:38" ht="17.100000000000001" hidden="1" customHeight="1">
      <c r="Z336" s="176" t="str">
        <f t="shared" si="15"/>
        <v/>
      </c>
      <c r="AA336" s="176" t="str">
        <f>IF(TRIM(AG336)="","",IF(INDEX(AZ1:AZ51,AC336)=AG336,INDEX(BA1:BA51,AC336),((AG336-INDEX(AZ1:AZ51,AC336))*(INDEX(BA1:BA51,AC336+1)-INDEX(BA1:BA51,AC336)))/(INDEX(AZ1:AZ51,AC336+1)-INDEX(AZ1:AZ51,AC336))+INDEX(BA1:BA51,AC336)))</f>
        <v/>
      </c>
      <c r="AB336" s="176" t="str">
        <f>IF(TRIM(AG336)="","",IF(INDEX(BD1:BD51,AD336)=AG336,INDEX(BE1:BE51,AD336),((AG336-INDEX(BD1:BD51,AD336))*(INDEX(BE1:BE51,AD336+1)-INDEX(BE1:BE51,AD336)))/(INDEX(BD1:BD51,AD336+1)-INDEX(BD1:BD51,AD336))+INDEX(BE1:BE51,AD336)))</f>
        <v/>
      </c>
      <c r="AC336" s="164">
        <f>MATCH(AG336,AZ1:AZ51,1)</f>
        <v>41</v>
      </c>
      <c r="AD336" s="164">
        <f>MATCH(AG336,BD1:BD51,1)</f>
        <v>41</v>
      </c>
      <c r="AE336" s="164">
        <v>11</v>
      </c>
      <c r="AF336" s="164">
        <v>29</v>
      </c>
      <c r="AG336" s="179" t="str">
        <f>IF(TRIM('HourGH-FEB'!AB41)&lt;&gt;"",FIXED('HourGH-FEB'!AB41)*1,"")</f>
        <v/>
      </c>
      <c r="AH336" s="164" t="str">
        <f>IF(AND(AE336=AP5,AE336=AR5,AF336&gt;=AQ5,AF336&lt;=AS5),"r1",IF(AND(AE336&gt;AP5,AE336&lt;AR5),"r1",IF(AND(AE336&gt;AP5,AE336=AR5,AF336&lt;=AS5),"r1",IF(AND(AE336=AP5,AE336&lt;AR5,AF336&gt;=AQ5),"r1","n"))))</f>
        <v>r1</v>
      </c>
      <c r="AI336" s="164" t="str">
        <f>IF(AH336&lt;&gt;"n",AH336,IF(AND(AE336=AT5,AE336=AV5,AF336&gt;=AU5,AF336&lt;=AW5),"r2",IF(AND(AE336&gt;AT5,AE336&lt;AV5),"r2",IF(AND(AE336&gt;AT5,AE336=AV5,AF336&lt;=AW5),"r2",IF(AND(AE336=AT5,AE336&lt;AV5,AF336&gt;=AU5),"r2","n")))))</f>
        <v>r1</v>
      </c>
      <c r="AJ336" s="164" t="str">
        <f>IF(AI336&lt;&gt;"n",AI336,IF(AND(AE336=AP6,AE336=AR6,AF336&gt;=AQ6,AF336&lt;=AS6),"r1",IF(AND(AE336&gt;AP6,AE336&lt;AR6),"r1",IF(AND(AE336&gt;AP6,AE336=AR6,AF336&lt;=AS6),"r1",IF(AND(AE336=AP6,AE336&lt;AR6,AF336&gt;=AQ6),"r1","n")))))</f>
        <v>r1</v>
      </c>
      <c r="AK336" s="164" t="str">
        <f>IF(AJ336&lt;&gt;"n",AJ336,IF(AND(AE336=AT6,AE336=AV6,AF336&gt;=AU6,AF336&lt;=AW6),"r2",IF(AND(AE336&gt;AT6,AE336&lt;AV6),"r2",IF(AND(AE336&gt;AT6,AE336=AV6,AF336&lt;=AW6),"r2",IF(AND(AE336=AT6,AE336&lt;AV6,AF336&gt;=AU6),"r2","n")))))</f>
        <v>r1</v>
      </c>
      <c r="AL336" s="164" t="str">
        <f>IF(AK336&lt;&gt;"n",AK336,IF(AND(AE336=AP7,AE336=AR7,AF336&gt;=AQ7,AF336&lt;=AS7),"r1",IF(AND(AE336&gt;AP7,AE336&lt;AR7),"r1",IF(AND(AE336&gt;AP7,AE336=AR7,AF336&lt;=AS7),"r1",IF(AND(AE336=AP7,AE336&lt;AR7,AF336&gt;=AQ7),"r1","n")))))</f>
        <v>r1</v>
      </c>
    </row>
    <row r="337" spans="26:38" ht="17.100000000000001" hidden="1" customHeight="1">
      <c r="Z337" s="176">
        <f t="shared" si="15"/>
        <v>14.800000000001024</v>
      </c>
      <c r="AA337" s="176">
        <f>IF(TRIM(AG337)="","",IF(INDEX(AZ1:AZ51,AC337)=AG337,INDEX(BA1:BA51,AC337),((AG337-INDEX(AZ1:AZ51,AC337))*(INDEX(BA1:BA51,AC337+1)-INDEX(BA1:BA51,AC337)))/(INDEX(AZ1:AZ51,AC337+1)-INDEX(AZ1:AZ51,AC337))+INDEX(BA1:BA51,AC337)))</f>
        <v>14.800000000001024</v>
      </c>
      <c r="AB337" s="176" t="e">
        <f>IF(TRIM(AG337)="","",IF(INDEX(BD1:BD51,AD337)=AG337,INDEX(BE1:BE51,AD337),((AG337-INDEX(BD1:BD51,AD337))*(INDEX(BE1:BE51,AD337+1)-INDEX(BE1:BE51,AD337)))/(INDEX(BD1:BD51,AD337+1)-INDEX(BD1:BD51,AD337))+INDEX(BE1:BE51,AD337)))</f>
        <v>#N/A</v>
      </c>
      <c r="AC337" s="164">
        <f>MATCH(AG337,AZ1:AZ51,1)</f>
        <v>6</v>
      </c>
      <c r="AD337" s="164" t="e">
        <f>MATCH(AG337,BD1:BD51,1)</f>
        <v>#N/A</v>
      </c>
      <c r="AE337" s="164">
        <v>12</v>
      </c>
      <c r="AF337" s="164">
        <v>1</v>
      </c>
      <c r="AG337" s="179">
        <f>FIXED('HourGH-MAR'!AB11)*1</f>
        <v>338.24</v>
      </c>
      <c r="AH337" s="164" t="str">
        <f>IF(AND(AE337=AP5,AE337=AR5,AF337&gt;=AQ5,AF337&lt;=AS5),"r1",IF(AND(AE337&gt;AP5,AE337&lt;AR5),"r1",IF(AND(AE337&gt;AP5,AE337=AR5,AF337&lt;=AS5),"r1",IF(AND(AE337=AP5,AE337&lt;AR5,AF337&gt;=AQ5),"r1","n"))))</f>
        <v>r1</v>
      </c>
      <c r="AI337" s="164" t="str">
        <f>IF(AH337&lt;&gt;"n",AH337,IF(AND(AE337=AT5,AE337=AV5,AF337&gt;=AU5,AF337&lt;=AW5),"r2",IF(AND(AE337&gt;AT5,AE337&lt;AV5),"r2",IF(AND(AE337&gt;AT5,AE337=AV5,AF337&lt;=AW5),"r2",IF(AND(AE337=AT5,AE337&lt;AV5,AF337&gt;=AU5),"r2","n")))))</f>
        <v>r1</v>
      </c>
      <c r="AJ337" s="164" t="str">
        <f>IF(AI337&lt;&gt;"n",AI337,IF(AND(AE337=AP6,AE337=AR6,AF337&gt;=AQ6,AF337&lt;=AS6),"r1",IF(AND(AE337&gt;AP6,AE337&lt;AR6),"r1",IF(AND(AE337&gt;AP6,AE337=AR6,AF337&lt;=AS6),"r1",IF(AND(AE337=AP6,AE337&lt;AR6,AF337&gt;=AQ6),"r1","n")))))</f>
        <v>r1</v>
      </c>
      <c r="AK337" s="164" t="str">
        <f>IF(AJ337&lt;&gt;"n",AJ337,IF(AND(AE337=AT6,AE337=AV6,AF337&gt;=AU6,AF337&lt;=AW6),"r2",IF(AND(AE337&gt;AT6,AE337&lt;AV6),"r2",IF(AND(AE337&gt;AT6,AE337=AV6,AF337&lt;=AW6),"r2",IF(AND(AE337=AT6,AE337&lt;AV6,AF337&gt;=AU6),"r2","n")))))</f>
        <v>r1</v>
      </c>
      <c r="AL337" s="164" t="str">
        <f>IF(AK337&lt;&gt;"n",AK337,IF(AND(AE337=AP7,AE337=AR7,AF337&gt;=AQ7,AF337&lt;=AS7),"r1",IF(AND(AE337&gt;AP7,AE337&lt;AR7),"r1",IF(AND(AE337&gt;AP7,AE337=AR7,AF337&lt;=AS7),"r1",IF(AND(AE337=AP7,AE337&lt;AR7,AF337&gt;=AQ7),"r1","n")))))</f>
        <v>r1</v>
      </c>
    </row>
    <row r="338" spans="26:38" ht="17.100000000000001" hidden="1" customHeight="1">
      <c r="Z338" s="176">
        <f t="shared" si="15"/>
        <v>15.250000000000639</v>
      </c>
      <c r="AA338" s="176">
        <f>IF(TRIM(AG338)="","",IF(INDEX(AZ1:AZ51,AC338)=AG338,INDEX(BA1:BA51,AC338),((AG338-INDEX(AZ1:AZ51,AC338))*(INDEX(BA1:BA51,AC338+1)-INDEX(BA1:BA51,AC338)))/(INDEX(AZ1:AZ51,AC338+1)-INDEX(AZ1:AZ51,AC338))+INDEX(BA1:BA51,AC338)))</f>
        <v>15.250000000000639</v>
      </c>
      <c r="AB338" s="176" t="e">
        <f>IF(TRIM(AG338)="","",IF(INDEX(BD1:BD51,AD338)=AG338,INDEX(BE1:BE51,AD338),((AG338-INDEX(BD1:BD51,AD338))*(INDEX(BE1:BE51,AD338+1)-INDEX(BE1:BE51,AD338)))/(INDEX(BD1:BD51,AD338+1)-INDEX(BD1:BD51,AD338))+INDEX(BE1:BE51,AD338)))</f>
        <v>#N/A</v>
      </c>
      <c r="AC338" s="164">
        <f>MATCH(AG338,AZ1:AZ51,1)</f>
        <v>6</v>
      </c>
      <c r="AD338" s="164" t="e">
        <f>MATCH(AG338,BD1:BD51,1)</f>
        <v>#N/A</v>
      </c>
      <c r="AE338" s="164">
        <v>12</v>
      </c>
      <c r="AF338" s="164">
        <v>2</v>
      </c>
      <c r="AG338" s="179">
        <f>FIXED('HourGH-MAR'!AB12)*1</f>
        <v>338.25</v>
      </c>
      <c r="AH338" s="164" t="str">
        <f>IF(AND(AE338=AP5,AE338=AR5,AF338&gt;=AQ5,AF338&lt;=AS5),"r1",IF(AND(AE338&gt;AP5,AE338&lt;AR5),"r1",IF(AND(AE338&gt;AP5,AE338=AR5,AF338&lt;=AS5),"r1",IF(AND(AE338=AP5,AE338&lt;AR5,AF338&gt;=AQ5),"r1","n"))))</f>
        <v>r1</v>
      </c>
      <c r="AI338" s="164" t="str">
        <f>IF(AH338&lt;&gt;"n",AH338,IF(AND(AE338=AT5,AE338=AV5,AF338&gt;=AU5,AF338&lt;=AW5),"r2",IF(AND(AE338&gt;AT5,AE338&lt;AV5),"r2",IF(AND(AE338&gt;AT5,AE338=AV5,AF338&lt;=AW5),"r2",IF(AND(AE338=AT5,AE338&lt;AV5,AF338&gt;=AU5),"r2","n")))))</f>
        <v>r1</v>
      </c>
      <c r="AJ338" s="164" t="str">
        <f>IF(AI338&lt;&gt;"n",AI338,IF(AND(AE338=AP6,AE338=AR6,AF338&gt;=AQ6,AF338&lt;=AS6),"r1",IF(AND(AE338&gt;AP6,AE338&lt;AR6),"r1",IF(AND(AE338&gt;AP6,AE338=AR6,AF338&lt;=AS6),"r1",IF(AND(AE338=AP6,AE338&lt;AR6,AF338&gt;=AQ6),"r1","n")))))</f>
        <v>r1</v>
      </c>
      <c r="AK338" s="164" t="str">
        <f>IF(AJ338&lt;&gt;"n",AJ338,IF(AND(AE338=AT6,AE338=AV6,AF338&gt;=AU6,AF338&lt;=AW6),"r2",IF(AND(AE338&gt;AT6,AE338&lt;AV6),"r2",IF(AND(AE338&gt;AT6,AE338=AV6,AF338&lt;=AW6),"r2",IF(AND(AE338=AT6,AE338&lt;AV6,AF338&gt;=AU6),"r2","n")))))</f>
        <v>r1</v>
      </c>
      <c r="AL338" s="164" t="str">
        <f>IF(AK338&lt;&gt;"n",AK338,IF(AND(AE338=AP7,AE338=AR7,AF338&gt;=AQ7,AF338&lt;=AS7),"r1",IF(AND(AE338&gt;AP7,AE338&lt;AR7),"r1",IF(AND(AE338&gt;AP7,AE338=AR7,AF338&lt;=AS7),"r1",IF(AND(AE338=AP7,AE338&lt;AR7,AF338&gt;=AQ7),"r1","n")))))</f>
        <v>r1</v>
      </c>
    </row>
    <row r="339" spans="26:38" ht="17.100000000000001" hidden="1" customHeight="1">
      <c r="Z339" s="176">
        <f t="shared" si="15"/>
        <v>10.40000000000037</v>
      </c>
      <c r="AA339" s="176">
        <f>IF(TRIM(AG339)="","",IF(INDEX(AZ1:AZ51,AC339)=AG339,INDEX(BA1:BA51,AC339),((AG339-INDEX(AZ1:AZ51,AC339))*(INDEX(BA1:BA51,AC339+1)-INDEX(BA1:BA51,AC339)))/(INDEX(AZ1:AZ51,AC339+1)-INDEX(AZ1:AZ51,AC339))+INDEX(BA1:BA51,AC339)))</f>
        <v>10.40000000000037</v>
      </c>
      <c r="AB339" s="176" t="e">
        <f>IF(TRIM(AG339)="","",IF(INDEX(BD1:BD51,AD339)=AG339,INDEX(BE1:BE51,AD339),((AG339-INDEX(BD1:BD51,AD339))*(INDEX(BE1:BE51,AD339+1)-INDEX(BE1:BE51,AD339)))/(INDEX(BD1:BD51,AD339+1)-INDEX(BD1:BD51,AD339))+INDEX(BE1:BE51,AD339)))</f>
        <v>#N/A</v>
      </c>
      <c r="AC339" s="164">
        <f>MATCH(AG339,AZ1:AZ51,1)</f>
        <v>5</v>
      </c>
      <c r="AD339" s="164" t="e">
        <f>MATCH(AG339,BD1:BD51,1)</f>
        <v>#N/A</v>
      </c>
      <c r="AE339" s="164">
        <v>12</v>
      </c>
      <c r="AF339" s="164">
        <v>3</v>
      </c>
      <c r="AG339" s="179">
        <f>FIXED('HourGH-MAR'!AB13)*1</f>
        <v>338.12</v>
      </c>
      <c r="AH339" s="164" t="str">
        <f>IF(AND(AE339=AP5,AE339=AR5,AF339&gt;=AQ5,AF339&lt;=AS5),"r1",IF(AND(AE339&gt;AP5,AE339&lt;AR5),"r1",IF(AND(AE339&gt;AP5,AE339=AR5,AF339&lt;=AS5),"r1",IF(AND(AE339=AP5,AE339&lt;AR5,AF339&gt;=AQ5),"r1","n"))))</f>
        <v>r1</v>
      </c>
      <c r="AI339" s="164" t="str">
        <f>IF(AH339&lt;&gt;"n",AH339,IF(AND(AE339=AT5,AE339=AV5,AF339&gt;=AU5,AF339&lt;=AW5),"r2",IF(AND(AE339&gt;AT5,AE339&lt;AV5),"r2",IF(AND(AE339&gt;AT5,AE339=AV5,AF339&lt;=AW5),"r2",IF(AND(AE339=AT5,AE339&lt;AV5,AF339&gt;=AU5),"r2","n")))))</f>
        <v>r1</v>
      </c>
      <c r="AJ339" s="164" t="str">
        <f>IF(AI339&lt;&gt;"n",AI339,IF(AND(AE339=AP6,AE339=AR6,AF339&gt;=AQ6,AF339&lt;=AS6),"r1",IF(AND(AE339&gt;AP6,AE339&lt;AR6),"r1",IF(AND(AE339&gt;AP6,AE339=AR6,AF339&lt;=AS6),"r1",IF(AND(AE339=AP6,AE339&lt;AR6,AF339&gt;=AQ6),"r1","n")))))</f>
        <v>r1</v>
      </c>
      <c r="AK339" s="164" t="str">
        <f>IF(AJ339&lt;&gt;"n",AJ339,IF(AND(AE339=AT6,AE339=AV6,AF339&gt;=AU6,AF339&lt;=AW6),"r2",IF(AND(AE339&gt;AT6,AE339&lt;AV6),"r2",IF(AND(AE339&gt;AT6,AE339=AV6,AF339&lt;=AW6),"r2",IF(AND(AE339=AT6,AE339&lt;AV6,AF339&gt;=AU6),"r2","n")))))</f>
        <v>r1</v>
      </c>
      <c r="AL339" s="164" t="str">
        <f>IF(AK339&lt;&gt;"n",AK339,IF(AND(AE339=AP7,AE339=AR7,AF339&gt;=AQ7,AF339&lt;=AS7),"r1",IF(AND(AE339&gt;AP7,AE339&lt;AR7),"r1",IF(AND(AE339&gt;AP7,AE339=AR7,AF339&lt;=AS7),"r1",IF(AND(AE339=AP7,AE339&lt;AR7,AF339&gt;=AQ7),"r1","n")))))</f>
        <v>r1</v>
      </c>
    </row>
    <row r="340" spans="26:38" ht="17.100000000000001" hidden="1" customHeight="1">
      <c r="Z340" s="176">
        <f t="shared" si="15"/>
        <v>3.0000000000005684</v>
      </c>
      <c r="AA340" s="176">
        <f>IF(TRIM(AG340)="","",IF(INDEX(AZ1:AZ51,AC340)=AG340,INDEX(BA1:BA51,AC340),((AG340-INDEX(AZ1:AZ51,AC340))*(INDEX(BA1:BA51,AC340+1)-INDEX(BA1:BA51,AC340)))/(INDEX(AZ1:AZ51,AC340+1)-INDEX(AZ1:AZ51,AC340))+INDEX(BA1:BA51,AC340)))</f>
        <v>3.0000000000005684</v>
      </c>
      <c r="AB340" s="176" t="e">
        <f>IF(TRIM(AG340)="","",IF(INDEX(BD1:BD51,AD340)=AG340,INDEX(BE1:BE51,AD340),((AG340-INDEX(BD1:BD51,AD340))*(INDEX(BE1:BE51,AD340+1)-INDEX(BE1:BE51,AD340)))/(INDEX(BD1:BD51,AD340+1)-INDEX(BD1:BD51,AD340))+INDEX(BE1:BE51,AD340)))</f>
        <v>#N/A</v>
      </c>
      <c r="AC340" s="164">
        <f>MATCH(AG340,AZ1:AZ51,1)</f>
        <v>3</v>
      </c>
      <c r="AD340" s="164" t="e">
        <f>MATCH(AG340,BD1:BD51,1)</f>
        <v>#N/A</v>
      </c>
      <c r="AE340" s="164">
        <v>12</v>
      </c>
      <c r="AF340" s="164">
        <v>4</v>
      </c>
      <c r="AG340" s="179">
        <f>FIXED('HourGH-MAR'!AB14)*1</f>
        <v>337.85</v>
      </c>
      <c r="AH340" s="164" t="str">
        <f>IF(AND(AE340=AP5,AE340=AR5,AF340&gt;=AQ5,AF340&lt;=AS5),"r1",IF(AND(AE340&gt;AP5,AE340&lt;AR5),"r1",IF(AND(AE340&gt;AP5,AE340=AR5,AF340&lt;=AS5),"r1",IF(AND(AE340=AP5,AE340&lt;AR5,AF340&gt;=AQ5),"r1","n"))))</f>
        <v>r1</v>
      </c>
      <c r="AI340" s="164" t="str">
        <f>IF(AH340&lt;&gt;"n",AH340,IF(AND(AE340=AT5,AE340=AV5,AF340&gt;=AU5,AF340&lt;=AW5),"r2",IF(AND(AE340&gt;AT5,AE340&lt;AV5),"r2",IF(AND(AE340&gt;AT5,AE340=AV5,AF340&lt;=AW5),"r2",IF(AND(AE340=AT5,AE340&lt;AV5,AF340&gt;=AU5),"r2","n")))))</f>
        <v>r1</v>
      </c>
      <c r="AJ340" s="164" t="str">
        <f>IF(AI340&lt;&gt;"n",AI340,IF(AND(AE340=AP6,AE340=AR6,AF340&gt;=AQ6,AF340&lt;=AS6),"r1",IF(AND(AE340&gt;AP6,AE340&lt;AR6),"r1",IF(AND(AE340&gt;AP6,AE340=AR6,AF340&lt;=AS6),"r1",IF(AND(AE340=AP6,AE340&lt;AR6,AF340&gt;=AQ6),"r1","n")))))</f>
        <v>r1</v>
      </c>
      <c r="AK340" s="164" t="str">
        <f>IF(AJ340&lt;&gt;"n",AJ340,IF(AND(AE340=AT6,AE340=AV6,AF340&gt;=AU6,AF340&lt;=AW6),"r2",IF(AND(AE340&gt;AT6,AE340&lt;AV6),"r2",IF(AND(AE340&gt;AT6,AE340=AV6,AF340&lt;=AW6),"r2",IF(AND(AE340=AT6,AE340&lt;AV6,AF340&gt;=AU6),"r2","n")))))</f>
        <v>r1</v>
      </c>
      <c r="AL340" s="164" t="str">
        <f>IF(AK340&lt;&gt;"n",AK340,IF(AND(AE340=AP7,AE340=AR7,AF340&gt;=AQ7,AF340&lt;=AS7),"r1",IF(AND(AE340&gt;AP7,AE340&lt;AR7),"r1",IF(AND(AE340&gt;AP7,AE340=AR7,AF340&lt;=AS7),"r1",IF(AND(AE340=AP7,AE340&lt;AR7,AF340&gt;=AQ7),"r1","n")))))</f>
        <v>r1</v>
      </c>
    </row>
    <row r="341" spans="26:38" ht="17.100000000000001" hidden="1" customHeight="1">
      <c r="Z341" s="176">
        <f t="shared" si="15"/>
        <v>3.2000000000004549</v>
      </c>
      <c r="AA341" s="176">
        <f>IF(TRIM(AG341)="","",IF(INDEX(AZ1:AZ51,AC341)=AG341,INDEX(BA1:BA51,AC341),((AG341-INDEX(AZ1:AZ51,AC341))*(INDEX(BA1:BA51,AC341+1)-INDEX(BA1:BA51,AC341)))/(INDEX(AZ1:AZ51,AC341+1)-INDEX(AZ1:AZ51,AC341))+INDEX(BA1:BA51,AC341)))</f>
        <v>3.2000000000004549</v>
      </c>
      <c r="AB341" s="176" t="e">
        <f>IF(TRIM(AG341)="","",IF(INDEX(BD1:BD51,AD341)=AG341,INDEX(BE1:BE51,AD341),((AG341-INDEX(BD1:BD51,AD341))*(INDEX(BE1:BE51,AD341+1)-INDEX(BE1:BE51,AD341)))/(INDEX(BD1:BD51,AD341+1)-INDEX(BD1:BD51,AD341))+INDEX(BE1:BE51,AD341)))</f>
        <v>#N/A</v>
      </c>
      <c r="AC341" s="164">
        <f>MATCH(AG341,AZ1:AZ51,1)</f>
        <v>3</v>
      </c>
      <c r="AD341" s="164" t="e">
        <f>MATCH(AG341,BD1:BD51,1)</f>
        <v>#N/A</v>
      </c>
      <c r="AE341" s="164">
        <v>12</v>
      </c>
      <c r="AF341" s="164">
        <v>5</v>
      </c>
      <c r="AG341" s="179">
        <f>FIXED('HourGH-MAR'!AB15)*1</f>
        <v>337.86</v>
      </c>
      <c r="AH341" s="164" t="str">
        <f>IF(AND(AE341=AP5,AE341=AR5,AF341&gt;=AQ5,AF341&lt;=AS5),"r1",IF(AND(AE341&gt;AP5,AE341&lt;AR5),"r1",IF(AND(AE341&gt;AP5,AE341=AR5,AF341&lt;=AS5),"r1",IF(AND(AE341=AP5,AE341&lt;AR5,AF341&gt;=AQ5),"r1","n"))))</f>
        <v>r1</v>
      </c>
      <c r="AI341" s="164" t="str">
        <f>IF(AH341&lt;&gt;"n",AH341,IF(AND(AE341=AT5,AE341=AV5,AF341&gt;=AU5,AF341&lt;=AW5),"r2",IF(AND(AE341&gt;AT5,AE341&lt;AV5),"r2",IF(AND(AE341&gt;AT5,AE341=AV5,AF341&lt;=AW5),"r2",IF(AND(AE341=AT5,AE341&lt;AV5,AF341&gt;=AU5),"r2","n")))))</f>
        <v>r1</v>
      </c>
      <c r="AJ341" s="164" t="str">
        <f>IF(AI341&lt;&gt;"n",AI341,IF(AND(AE341=AP6,AE341=AR6,AF341&gt;=AQ6,AF341&lt;=AS6),"r1",IF(AND(AE341&gt;AP6,AE341&lt;AR6),"r1",IF(AND(AE341&gt;AP6,AE341=AR6,AF341&lt;=AS6),"r1",IF(AND(AE341=AP6,AE341&lt;AR6,AF341&gt;=AQ6),"r1","n")))))</f>
        <v>r1</v>
      </c>
      <c r="AK341" s="164" t="str">
        <f>IF(AJ341&lt;&gt;"n",AJ341,IF(AND(AE341=AT6,AE341=AV6,AF341&gt;=AU6,AF341&lt;=AW6),"r2",IF(AND(AE341&gt;AT6,AE341&lt;AV6),"r2",IF(AND(AE341&gt;AT6,AE341=AV6,AF341&lt;=AW6),"r2",IF(AND(AE341=AT6,AE341&lt;AV6,AF341&gt;=AU6),"r2","n")))))</f>
        <v>r1</v>
      </c>
      <c r="AL341" s="164" t="str">
        <f>IF(AK341&lt;&gt;"n",AK341,IF(AND(AE341=AP7,AE341=AR7,AF341&gt;=AQ7,AF341&lt;=AS7),"r1",IF(AND(AE341&gt;AP7,AE341&lt;AR7),"r1",IF(AND(AE341&gt;AP7,AE341=AR7,AF341&lt;=AS7),"r1",IF(AND(AE341=AP7,AE341&lt;AR7,AF341&gt;=AQ7),"r1","n")))))</f>
        <v>r1</v>
      </c>
    </row>
    <row r="342" spans="26:38" ht="17.100000000000001" hidden="1" customHeight="1">
      <c r="Z342" s="176">
        <f t="shared" si="15"/>
        <v>3.0000000000005684</v>
      </c>
      <c r="AA342" s="176">
        <f>IF(TRIM(AG342)="","",IF(INDEX(AZ1:AZ51,AC342)=AG342,INDEX(BA1:BA51,AC342),((AG342-INDEX(AZ1:AZ51,AC342))*(INDEX(BA1:BA51,AC342+1)-INDEX(BA1:BA51,AC342)))/(INDEX(AZ1:AZ51,AC342+1)-INDEX(AZ1:AZ51,AC342))+INDEX(BA1:BA51,AC342)))</f>
        <v>3.0000000000005684</v>
      </c>
      <c r="AB342" s="176" t="e">
        <f>IF(TRIM(AG342)="","",IF(INDEX(BD1:BD51,AD342)=AG342,INDEX(BE1:BE51,AD342),((AG342-INDEX(BD1:BD51,AD342))*(INDEX(BE1:BE51,AD342+1)-INDEX(BE1:BE51,AD342)))/(INDEX(BD1:BD51,AD342+1)-INDEX(BD1:BD51,AD342))+INDEX(BE1:BE51,AD342)))</f>
        <v>#N/A</v>
      </c>
      <c r="AC342" s="164">
        <f>MATCH(AG342,AZ1:AZ51,1)</f>
        <v>3</v>
      </c>
      <c r="AD342" s="164" t="e">
        <f>MATCH(AG342,BD1:BD51,1)</f>
        <v>#N/A</v>
      </c>
      <c r="AE342" s="164">
        <v>12</v>
      </c>
      <c r="AF342" s="164">
        <v>6</v>
      </c>
      <c r="AG342" s="179">
        <f>FIXED('HourGH-MAR'!AB16)*1</f>
        <v>337.85</v>
      </c>
      <c r="AH342" s="164" t="str">
        <f>IF(AND(AE342=AP5,AE342=AR5,AF342&gt;=AQ5,AF342&lt;=AS5),"r1",IF(AND(AE342&gt;AP5,AE342&lt;AR5),"r1",IF(AND(AE342&gt;AP5,AE342=AR5,AF342&lt;=AS5),"r1",IF(AND(AE342=AP5,AE342&lt;AR5,AF342&gt;=AQ5),"r1","n"))))</f>
        <v>r1</v>
      </c>
      <c r="AI342" s="164" t="str">
        <f>IF(AH342&lt;&gt;"n",AH342,IF(AND(AE342=AT5,AE342=AV5,AF342&gt;=AU5,AF342&lt;=AW5),"r2",IF(AND(AE342&gt;AT5,AE342&lt;AV5),"r2",IF(AND(AE342&gt;AT5,AE342=AV5,AF342&lt;=AW5),"r2",IF(AND(AE342=AT5,AE342&lt;AV5,AF342&gt;=AU5),"r2","n")))))</f>
        <v>r1</v>
      </c>
      <c r="AJ342" s="164" t="str">
        <f>IF(AI342&lt;&gt;"n",AI342,IF(AND(AE342=AP6,AE342=AR6,AF342&gt;=AQ6,AF342&lt;=AS6),"r1",IF(AND(AE342&gt;AP6,AE342&lt;AR6),"r1",IF(AND(AE342&gt;AP6,AE342=AR6,AF342&lt;=AS6),"r1",IF(AND(AE342=AP6,AE342&lt;AR6,AF342&gt;=AQ6),"r1","n")))))</f>
        <v>r1</v>
      </c>
      <c r="AK342" s="164" t="str">
        <f>IF(AJ342&lt;&gt;"n",AJ342,IF(AND(AE342=AT6,AE342=AV6,AF342&gt;=AU6,AF342&lt;=AW6),"r2",IF(AND(AE342&gt;AT6,AE342&lt;AV6),"r2",IF(AND(AE342&gt;AT6,AE342=AV6,AF342&lt;=AW6),"r2",IF(AND(AE342=AT6,AE342&lt;AV6,AF342&gt;=AU6),"r2","n")))))</f>
        <v>r1</v>
      </c>
      <c r="AL342" s="164" t="str">
        <f>IF(AK342&lt;&gt;"n",AK342,IF(AND(AE342=AP7,AE342=AR7,AF342&gt;=AQ7,AF342&lt;=AS7),"r1",IF(AND(AE342&gt;AP7,AE342&lt;AR7),"r1",IF(AND(AE342&gt;AP7,AE342=AR7,AF342&lt;=AS7),"r1",IF(AND(AE342=AP7,AE342&lt;AR7,AF342&gt;=AQ7),"r1","n")))))</f>
        <v>r1</v>
      </c>
    </row>
    <row r="343" spans="26:38" ht="17.100000000000001" hidden="1" customHeight="1">
      <c r="Z343" s="176">
        <f t="shared" si="15"/>
        <v>4.7500000000005684</v>
      </c>
      <c r="AA343" s="176">
        <f>IF(TRIM(AG343)="","",IF(INDEX(AZ1:AZ51,AC343)=AG343,INDEX(BA1:BA51,AC343),((AG343-INDEX(AZ1:AZ51,AC343))*(INDEX(BA1:BA51,AC343+1)-INDEX(BA1:BA51,AC343)))/(INDEX(AZ1:AZ51,AC343+1)-INDEX(AZ1:AZ51,AC343))+INDEX(BA1:BA51,AC343)))</f>
        <v>4.7500000000005684</v>
      </c>
      <c r="AB343" s="176" t="e">
        <f>IF(TRIM(AG343)="","",IF(INDEX(BD1:BD51,AD343)=AG343,INDEX(BE1:BE51,AD343),((AG343-INDEX(BD1:BD51,AD343))*(INDEX(BE1:BE51,AD343+1)-INDEX(BE1:BE51,AD343)))/(INDEX(BD1:BD51,AD343+1)-INDEX(BD1:BD51,AD343))+INDEX(BE1:BE51,AD343)))</f>
        <v>#N/A</v>
      </c>
      <c r="AC343" s="164">
        <f>MATCH(AG343,AZ1:AZ51,1)</f>
        <v>4</v>
      </c>
      <c r="AD343" s="164" t="e">
        <f>MATCH(AG343,BD1:BD51,1)</f>
        <v>#N/A</v>
      </c>
      <c r="AE343" s="164">
        <v>12</v>
      </c>
      <c r="AF343" s="164">
        <v>7</v>
      </c>
      <c r="AG343" s="179">
        <f>FIXED('HourGH-MAR'!AB17)*1</f>
        <v>337.93</v>
      </c>
      <c r="AH343" s="164" t="str">
        <f>IF(AND(AE343=AP5,AE343=AR5,AF343&gt;=AQ5,AF343&lt;=AS5),"r1",IF(AND(AE343&gt;AP5,AE343&lt;AR5),"r1",IF(AND(AE343&gt;AP5,AE343=AR5,AF343&lt;=AS5),"r1",IF(AND(AE343=AP5,AE343&lt;AR5,AF343&gt;=AQ5),"r1","n"))))</f>
        <v>r1</v>
      </c>
      <c r="AI343" s="164" t="str">
        <f>IF(AH343&lt;&gt;"n",AH343,IF(AND(AE343=AT5,AE343=AV5,AF343&gt;=AU5,AF343&lt;=AW5),"r2",IF(AND(AE343&gt;AT5,AE343&lt;AV5),"r2",IF(AND(AE343&gt;AT5,AE343=AV5,AF343&lt;=AW5),"r2",IF(AND(AE343=AT5,AE343&lt;AV5,AF343&gt;=AU5),"r2","n")))))</f>
        <v>r1</v>
      </c>
      <c r="AJ343" s="164" t="str">
        <f>IF(AI343&lt;&gt;"n",AI343,IF(AND(AE343=AP6,AE343=AR6,AF343&gt;=AQ6,AF343&lt;=AS6),"r1",IF(AND(AE343&gt;AP6,AE343&lt;AR6),"r1",IF(AND(AE343&gt;AP6,AE343=AR6,AF343&lt;=AS6),"r1",IF(AND(AE343=AP6,AE343&lt;AR6,AF343&gt;=AQ6),"r1","n")))))</f>
        <v>r1</v>
      </c>
      <c r="AK343" s="164" t="str">
        <f>IF(AJ343&lt;&gt;"n",AJ343,IF(AND(AE343=AT6,AE343=AV6,AF343&gt;=AU6,AF343&lt;=AW6),"r2",IF(AND(AE343&gt;AT6,AE343&lt;AV6),"r2",IF(AND(AE343&gt;AT6,AE343=AV6,AF343&lt;=AW6),"r2",IF(AND(AE343=AT6,AE343&lt;AV6,AF343&gt;=AU6),"r2","n")))))</f>
        <v>r1</v>
      </c>
      <c r="AL343" s="164" t="str">
        <f>IF(AK343&lt;&gt;"n",AK343,IF(AND(AE343=AP7,AE343=AR7,AF343&gt;=AQ7,AF343&lt;=AS7),"r1",IF(AND(AE343&gt;AP7,AE343&lt;AR7),"r1",IF(AND(AE343&gt;AP7,AE343=AR7,AF343&lt;=AS7),"r1",IF(AND(AE343=AP7,AE343&lt;AR7,AF343&gt;=AQ7),"r1","n")))))</f>
        <v>r1</v>
      </c>
    </row>
    <row r="344" spans="26:38" ht="17.100000000000001" hidden="1" customHeight="1">
      <c r="Z344" s="176">
        <f t="shared" si="15"/>
        <v>14.800000000001024</v>
      </c>
      <c r="AA344" s="176">
        <f>IF(TRIM(AG344)="","",IF(INDEX(AZ1:AZ51,AC344)=AG344,INDEX(BA1:BA51,AC344),((AG344-INDEX(AZ1:AZ51,AC344))*(INDEX(BA1:BA51,AC344+1)-INDEX(BA1:BA51,AC344)))/(INDEX(AZ1:AZ51,AC344+1)-INDEX(AZ1:AZ51,AC344))+INDEX(BA1:BA51,AC344)))</f>
        <v>14.800000000001024</v>
      </c>
      <c r="AB344" s="176" t="e">
        <f>IF(TRIM(AG344)="","",IF(INDEX(BD1:BD51,AD344)=AG344,INDEX(BE1:BE51,AD344),((AG344-INDEX(BD1:BD51,AD344))*(INDEX(BE1:BE51,AD344+1)-INDEX(BE1:BE51,AD344)))/(INDEX(BD1:BD51,AD344+1)-INDEX(BD1:BD51,AD344))+INDEX(BE1:BE51,AD344)))</f>
        <v>#N/A</v>
      </c>
      <c r="AC344" s="164">
        <f>MATCH(AG344,AZ1:AZ51,1)</f>
        <v>6</v>
      </c>
      <c r="AD344" s="164" t="e">
        <f>MATCH(AG344,BD1:BD51,1)</f>
        <v>#N/A</v>
      </c>
      <c r="AE344" s="164">
        <v>12</v>
      </c>
      <c r="AF344" s="164">
        <v>8</v>
      </c>
      <c r="AG344" s="179">
        <f>FIXED('HourGH-MAR'!AB18)*1</f>
        <v>338.24</v>
      </c>
      <c r="AH344" s="164" t="str">
        <f>IF(AND(AE344=AP5,AE344=AR5,AF344&gt;=AQ5,AF344&lt;=AS5),"r1",IF(AND(AE344&gt;AP5,AE344&lt;AR5),"r1",IF(AND(AE344&gt;AP5,AE344=AR5,AF344&lt;=AS5),"r1",IF(AND(AE344=AP5,AE344&lt;AR5,AF344&gt;=AQ5),"r1","n"))))</f>
        <v>r1</v>
      </c>
      <c r="AI344" s="164" t="str">
        <f>IF(AH344&lt;&gt;"n",AH344,IF(AND(AE344=AT5,AE344=AV5,AF344&gt;=AU5,AF344&lt;=AW5),"r2",IF(AND(AE344&gt;AT5,AE344&lt;AV5),"r2",IF(AND(AE344&gt;AT5,AE344=AV5,AF344&lt;=AW5),"r2",IF(AND(AE344=AT5,AE344&lt;AV5,AF344&gt;=AU5),"r2","n")))))</f>
        <v>r1</v>
      </c>
      <c r="AJ344" s="164" t="str">
        <f>IF(AI344&lt;&gt;"n",AI344,IF(AND(AE344=AP6,AE344=AR6,AF344&gt;=AQ6,AF344&lt;=AS6),"r1",IF(AND(AE344&gt;AP6,AE344&lt;AR6),"r1",IF(AND(AE344&gt;AP6,AE344=AR6,AF344&lt;=AS6),"r1",IF(AND(AE344=AP6,AE344&lt;AR6,AF344&gt;=AQ6),"r1","n")))))</f>
        <v>r1</v>
      </c>
      <c r="AK344" s="164" t="str">
        <f>IF(AJ344&lt;&gt;"n",AJ344,IF(AND(AE344=AT6,AE344=AV6,AF344&gt;=AU6,AF344&lt;=AW6),"r2",IF(AND(AE344&gt;AT6,AE344&lt;AV6),"r2",IF(AND(AE344&gt;AT6,AE344=AV6,AF344&lt;=AW6),"r2",IF(AND(AE344=AT6,AE344&lt;AV6,AF344&gt;=AU6),"r2","n")))))</f>
        <v>r1</v>
      </c>
      <c r="AL344" s="164" t="str">
        <f>IF(AK344&lt;&gt;"n",AK344,IF(AND(AE344=AP7,AE344=AR7,AF344&gt;=AQ7,AF344&lt;=AS7),"r1",IF(AND(AE344&gt;AP7,AE344&lt;AR7),"r1",IF(AND(AE344&gt;AP7,AE344=AR7,AF344&lt;=AS7),"r1",IF(AND(AE344=AP7,AE344&lt;AR7,AF344&gt;=AQ7),"r1","n")))))</f>
        <v>r1</v>
      </c>
    </row>
    <row r="345" spans="26:38" ht="17.100000000000001" hidden="1" customHeight="1">
      <c r="Z345" s="176">
        <f t="shared" si="15"/>
        <v>15.250000000000639</v>
      </c>
      <c r="AA345" s="176">
        <f>IF(TRIM(AG345)="","",IF(INDEX(AZ1:AZ51,AC345)=AG345,INDEX(BA1:BA51,AC345),((AG345-INDEX(AZ1:AZ51,AC345))*(INDEX(BA1:BA51,AC345+1)-INDEX(BA1:BA51,AC345)))/(INDEX(AZ1:AZ51,AC345+1)-INDEX(AZ1:AZ51,AC345))+INDEX(BA1:BA51,AC345)))</f>
        <v>15.250000000000639</v>
      </c>
      <c r="AB345" s="176" t="e">
        <f>IF(TRIM(AG345)="","",IF(INDEX(BD1:BD51,AD345)=AG345,INDEX(BE1:BE51,AD345),((AG345-INDEX(BD1:BD51,AD345))*(INDEX(BE1:BE51,AD345+1)-INDEX(BE1:BE51,AD345)))/(INDEX(BD1:BD51,AD345+1)-INDEX(BD1:BD51,AD345))+INDEX(BE1:BE51,AD345)))</f>
        <v>#N/A</v>
      </c>
      <c r="AC345" s="164">
        <f>MATCH(AG345,AZ1:AZ51,1)</f>
        <v>6</v>
      </c>
      <c r="AD345" s="164" t="e">
        <f>MATCH(AG345,BD1:BD51,1)</f>
        <v>#N/A</v>
      </c>
      <c r="AE345" s="164">
        <v>12</v>
      </c>
      <c r="AF345" s="164">
        <v>9</v>
      </c>
      <c r="AG345" s="179">
        <f>FIXED('HourGH-MAR'!AB19)*1</f>
        <v>338.25</v>
      </c>
      <c r="AH345" s="164" t="str">
        <f>IF(AND(AE345=AP5,AE345=AR5,AF345&gt;=AQ5,AF345&lt;=AS5),"r1",IF(AND(AE345&gt;AP5,AE345&lt;AR5),"r1",IF(AND(AE345&gt;AP5,AE345=AR5,AF345&lt;=AS5),"r1",IF(AND(AE345=AP5,AE345&lt;AR5,AF345&gt;=AQ5),"r1","n"))))</f>
        <v>r1</v>
      </c>
      <c r="AI345" s="164" t="str">
        <f>IF(AH345&lt;&gt;"n",AH345,IF(AND(AE345=AT5,AE345=AV5,AF345&gt;=AU5,AF345&lt;=AW5),"r2",IF(AND(AE345&gt;AT5,AE345&lt;AV5),"r2",IF(AND(AE345&gt;AT5,AE345=AV5,AF345&lt;=AW5),"r2",IF(AND(AE345=AT5,AE345&lt;AV5,AF345&gt;=AU5),"r2","n")))))</f>
        <v>r1</v>
      </c>
      <c r="AJ345" s="164" t="str">
        <f>IF(AI345&lt;&gt;"n",AI345,IF(AND(AE345=AP6,AE345=AR6,AF345&gt;=AQ6,AF345&lt;=AS6),"r1",IF(AND(AE345&gt;AP6,AE345&lt;AR6),"r1",IF(AND(AE345&gt;AP6,AE345=AR6,AF345&lt;=AS6),"r1",IF(AND(AE345=AP6,AE345&lt;AR6,AF345&gt;=AQ6),"r1","n")))))</f>
        <v>r1</v>
      </c>
      <c r="AK345" s="164" t="str">
        <f>IF(AJ345&lt;&gt;"n",AJ345,IF(AND(AE345=AT6,AE345=AV6,AF345&gt;=AU6,AF345&lt;=AW6),"r2",IF(AND(AE345&gt;AT6,AE345&lt;AV6),"r2",IF(AND(AE345&gt;AT6,AE345=AV6,AF345&lt;=AW6),"r2",IF(AND(AE345=AT6,AE345&lt;AV6,AF345&gt;=AU6),"r2","n")))))</f>
        <v>r1</v>
      </c>
      <c r="AL345" s="164" t="str">
        <f>IF(AK345&lt;&gt;"n",AK345,IF(AND(AE345=AP7,AE345=AR7,AF345&gt;=AQ7,AF345&lt;=AS7),"r1",IF(AND(AE345&gt;AP7,AE345&lt;AR7),"r1",IF(AND(AE345&gt;AP7,AE345=AR7,AF345&lt;=AS7),"r1",IF(AND(AE345=AP7,AE345&lt;AR7,AF345&gt;=AQ7),"r1","n")))))</f>
        <v>r1</v>
      </c>
    </row>
    <row r="346" spans="26:38" ht="17.100000000000001" hidden="1" customHeight="1">
      <c r="Z346" s="176">
        <f t="shared" si="15"/>
        <v>15.250000000000639</v>
      </c>
      <c r="AA346" s="176">
        <f>IF(TRIM(AG346)="","",IF(INDEX(AZ1:AZ51,AC346)=AG346,INDEX(BA1:BA51,AC346),((AG346-INDEX(AZ1:AZ51,AC346))*(INDEX(BA1:BA51,AC346+1)-INDEX(BA1:BA51,AC346)))/(INDEX(AZ1:AZ51,AC346+1)-INDEX(AZ1:AZ51,AC346))+INDEX(BA1:BA51,AC346)))</f>
        <v>15.250000000000639</v>
      </c>
      <c r="AB346" s="176" t="e">
        <f>IF(TRIM(AG346)="","",IF(INDEX(BD1:BD51,AD346)=AG346,INDEX(BE1:BE51,AD346),((AG346-INDEX(BD1:BD51,AD346))*(INDEX(BE1:BE51,AD346+1)-INDEX(BE1:BE51,AD346)))/(INDEX(BD1:BD51,AD346+1)-INDEX(BD1:BD51,AD346))+INDEX(BE1:BE51,AD346)))</f>
        <v>#N/A</v>
      </c>
      <c r="AC346" s="164">
        <f>MATCH(AG346,AZ1:AZ51,1)</f>
        <v>6</v>
      </c>
      <c r="AD346" s="164" t="e">
        <f>MATCH(AG346,BD1:BD51,1)</f>
        <v>#N/A</v>
      </c>
      <c r="AE346" s="164">
        <v>12</v>
      </c>
      <c r="AF346" s="164">
        <v>10</v>
      </c>
      <c r="AG346" s="179">
        <f>FIXED('HourGH-MAR'!AB20)*1</f>
        <v>338.25</v>
      </c>
      <c r="AH346" s="164" t="str">
        <f>IF(AND(AE346=AP5,AE346=AR5,AF346&gt;=AQ5,AF346&lt;=AS5),"r1",IF(AND(AE346&gt;AP5,AE346&lt;AR5),"r1",IF(AND(AE346&gt;AP5,AE346=AR5,AF346&lt;=AS5),"r1",IF(AND(AE346=AP5,AE346&lt;AR5,AF346&gt;=AQ5),"r1","n"))))</f>
        <v>r1</v>
      </c>
      <c r="AI346" s="164" t="str">
        <f>IF(AH346&lt;&gt;"n",AH346,IF(AND(AE346=AT5,AE346=AV5,AF346&gt;=AU5,AF346&lt;=AW5),"r2",IF(AND(AE346&gt;AT5,AE346&lt;AV5),"r2",IF(AND(AE346&gt;AT5,AE346=AV5,AF346&lt;=AW5),"r2",IF(AND(AE346=AT5,AE346&lt;AV5,AF346&gt;=AU5),"r2","n")))))</f>
        <v>r1</v>
      </c>
      <c r="AJ346" s="164" t="str">
        <f>IF(AI346&lt;&gt;"n",AI346,IF(AND(AE346=AP6,AE346=AR6,AF346&gt;=AQ6,AF346&lt;=AS6),"r1",IF(AND(AE346&gt;AP6,AE346&lt;AR6),"r1",IF(AND(AE346&gt;AP6,AE346=AR6,AF346&lt;=AS6),"r1",IF(AND(AE346=AP6,AE346&lt;AR6,AF346&gt;=AQ6),"r1","n")))))</f>
        <v>r1</v>
      </c>
      <c r="AK346" s="164" t="str">
        <f>IF(AJ346&lt;&gt;"n",AJ346,IF(AND(AE346=AT6,AE346=AV6,AF346&gt;=AU6,AF346&lt;=AW6),"r2",IF(AND(AE346&gt;AT6,AE346&lt;AV6),"r2",IF(AND(AE346&gt;AT6,AE346=AV6,AF346&lt;=AW6),"r2",IF(AND(AE346=AT6,AE346&lt;AV6,AF346&gt;=AU6),"r2","n")))))</f>
        <v>r1</v>
      </c>
      <c r="AL346" s="164" t="str">
        <f>IF(AK346&lt;&gt;"n",AK346,IF(AND(AE346=AP7,AE346=AR7,AF346&gt;=AQ7,AF346&lt;=AS7),"r1",IF(AND(AE346&gt;AP7,AE346&lt;AR7),"r1",IF(AND(AE346&gt;AP7,AE346=AR7,AF346&lt;=AS7),"r1",IF(AND(AE346=AP7,AE346&lt;AR7,AF346&gt;=AQ7),"r1","n")))))</f>
        <v>r1</v>
      </c>
    </row>
    <row r="347" spans="26:38" ht="17.100000000000001" hidden="1" customHeight="1">
      <c r="Z347" s="176">
        <f t="shared" si="15"/>
        <v>12.025000000000832</v>
      </c>
      <c r="AA347" s="176">
        <f>IF(TRIM(AG347)="","",IF(INDEX(AZ1:AZ51,AC347)=AG347,INDEX(BA1:BA51,AC347),((AG347-INDEX(AZ1:AZ51,AC347))*(INDEX(BA1:BA51,AC347+1)-INDEX(BA1:BA51,AC347)))/(INDEX(AZ1:AZ51,AC347+1)-INDEX(AZ1:AZ51,AC347))+INDEX(BA1:BA51,AC347)))</f>
        <v>12.025000000000832</v>
      </c>
      <c r="AB347" s="176" t="e">
        <f>IF(TRIM(AG347)="","",IF(INDEX(BD1:BD51,AD347)=AG347,INDEX(BE1:BE51,AD347),((AG347-INDEX(BD1:BD51,AD347))*(INDEX(BE1:BE51,AD347+1)-INDEX(BE1:BE51,AD347)))/(INDEX(BD1:BD51,AD347+1)-INDEX(BD1:BD51,AD347))+INDEX(BE1:BE51,AD347)))</f>
        <v>#N/A</v>
      </c>
      <c r="AC347" s="164">
        <f>MATCH(AG347,AZ1:AZ51,1)</f>
        <v>5</v>
      </c>
      <c r="AD347" s="164" t="e">
        <f>MATCH(AG347,BD1:BD51,1)</f>
        <v>#N/A</v>
      </c>
      <c r="AE347" s="164">
        <v>12</v>
      </c>
      <c r="AF347" s="164">
        <v>11</v>
      </c>
      <c r="AG347" s="179">
        <f>FIXED('HourGH-MAR'!AB22)*1</f>
        <v>338.17</v>
      </c>
      <c r="AH347" s="164" t="str">
        <f>IF(AND(AE347=AP5,AE347=AR5,AF347&gt;=AQ5,AF347&lt;=AS5),"r1",IF(AND(AE347&gt;AP5,AE347&lt;AR5),"r1",IF(AND(AE347&gt;AP5,AE347=AR5,AF347&lt;=AS5),"r1",IF(AND(AE347=AP5,AE347&lt;AR5,AF347&gt;=AQ5),"r1","n"))))</f>
        <v>r1</v>
      </c>
      <c r="AI347" s="164" t="str">
        <f>IF(AH347&lt;&gt;"n",AH347,IF(AND(AE347=AT5,AE347=AV5,AF347&gt;=AU5,AF347&lt;=AW5),"r2",IF(AND(AE347&gt;AT5,AE347&lt;AV5),"r2",IF(AND(AE347&gt;AT5,AE347=AV5,AF347&lt;=AW5),"r2",IF(AND(AE347=AT5,AE347&lt;AV5,AF347&gt;=AU5),"r2","n")))))</f>
        <v>r1</v>
      </c>
      <c r="AJ347" s="164" t="str">
        <f>IF(AI347&lt;&gt;"n",AI347,IF(AND(AE347=AP6,AE347=AR6,AF347&gt;=AQ6,AF347&lt;=AS6),"r1",IF(AND(AE347&gt;AP6,AE347&lt;AR6),"r1",IF(AND(AE347&gt;AP6,AE347=AR6,AF347&lt;=AS6),"r1",IF(AND(AE347=AP6,AE347&lt;AR6,AF347&gt;=AQ6),"r1","n")))))</f>
        <v>r1</v>
      </c>
      <c r="AK347" s="164" t="str">
        <f>IF(AJ347&lt;&gt;"n",AJ347,IF(AND(AE347=AT6,AE347=AV6,AF347&gt;=AU6,AF347&lt;=AW6),"r2",IF(AND(AE347&gt;AT6,AE347&lt;AV6),"r2",IF(AND(AE347&gt;AT6,AE347=AV6,AF347&lt;=AW6),"r2",IF(AND(AE347=AT6,AE347&lt;AV6,AF347&gt;=AU6),"r2","n")))))</f>
        <v>r1</v>
      </c>
      <c r="AL347" s="164" t="str">
        <f>IF(AK347&lt;&gt;"n",AK347,IF(AND(AE347=AP7,AE347=AR7,AF347&gt;=AQ7,AF347&lt;=AS7),"r1",IF(AND(AE347&gt;AP7,AE347&lt;AR7),"r1",IF(AND(AE347&gt;AP7,AE347=AR7,AF347&lt;=AS7),"r1",IF(AND(AE347=AP7,AE347&lt;AR7,AF347&gt;=AQ7),"r1","n")))))</f>
        <v>r1</v>
      </c>
    </row>
    <row r="348" spans="26:38" ht="17.100000000000001" hidden="1" customHeight="1">
      <c r="Z348" s="176">
        <f t="shared" si="15"/>
        <v>3.0000000000005684</v>
      </c>
      <c r="AA348" s="176">
        <f>IF(TRIM(AG348)="","",IF(INDEX(AZ1:AZ51,AC348)=AG348,INDEX(BA1:BA51,AC348),((AG348-INDEX(AZ1:AZ51,AC348))*(INDEX(BA1:BA51,AC348+1)-INDEX(BA1:BA51,AC348)))/(INDEX(AZ1:AZ51,AC348+1)-INDEX(AZ1:AZ51,AC348))+INDEX(BA1:BA51,AC348)))</f>
        <v>3.0000000000005684</v>
      </c>
      <c r="AB348" s="176" t="e">
        <f>IF(TRIM(AG348)="","",IF(INDEX(BD1:BD51,AD348)=AG348,INDEX(BE1:BE51,AD348),((AG348-INDEX(BD1:BD51,AD348))*(INDEX(BE1:BE51,AD348+1)-INDEX(BE1:BE51,AD348)))/(INDEX(BD1:BD51,AD348+1)-INDEX(BD1:BD51,AD348))+INDEX(BE1:BE51,AD348)))</f>
        <v>#N/A</v>
      </c>
      <c r="AC348" s="164">
        <f>MATCH(AG348,AZ1:AZ51,1)</f>
        <v>3</v>
      </c>
      <c r="AD348" s="164" t="e">
        <f>MATCH(AG348,BD1:BD51,1)</f>
        <v>#N/A</v>
      </c>
      <c r="AE348" s="164">
        <v>12</v>
      </c>
      <c r="AF348" s="164">
        <v>12</v>
      </c>
      <c r="AG348" s="179">
        <f>FIXED('HourGH-MAR'!AB23)*1</f>
        <v>337.85</v>
      </c>
      <c r="AH348" s="164" t="str">
        <f>IF(AND(AE348=AP5,AE348=AR5,AF348&gt;=AQ5,AF348&lt;=AS5),"r1",IF(AND(AE348&gt;AP5,AE348&lt;AR5),"r1",IF(AND(AE348&gt;AP5,AE348=AR5,AF348&lt;=AS5),"r1",IF(AND(AE348=AP5,AE348&lt;AR5,AF348&gt;=AQ5),"r1","n"))))</f>
        <v>r1</v>
      </c>
      <c r="AI348" s="164" t="str">
        <f>IF(AH348&lt;&gt;"n",AH348,IF(AND(AE348=AT5,AE348=AV5,AF348&gt;=AU5,AF348&lt;=AW5),"r2",IF(AND(AE348&gt;AT5,AE348&lt;AV5),"r2",IF(AND(AE348&gt;AT5,AE348=AV5,AF348&lt;=AW5),"r2",IF(AND(AE348=AT5,AE348&lt;AV5,AF348&gt;=AU5),"r2","n")))))</f>
        <v>r1</v>
      </c>
      <c r="AJ348" s="164" t="str">
        <f>IF(AI348&lt;&gt;"n",AI348,IF(AND(AE348=AP6,AE348=AR6,AF348&gt;=AQ6,AF348&lt;=AS6),"r1",IF(AND(AE348&gt;AP6,AE348&lt;AR6),"r1",IF(AND(AE348&gt;AP6,AE348=AR6,AF348&lt;=AS6),"r1",IF(AND(AE348=AP6,AE348&lt;AR6,AF348&gt;=AQ6),"r1","n")))))</f>
        <v>r1</v>
      </c>
      <c r="AK348" s="164" t="str">
        <f>IF(AJ348&lt;&gt;"n",AJ348,IF(AND(AE348=AT6,AE348=AV6,AF348&gt;=AU6,AF348&lt;=AW6),"r2",IF(AND(AE348&gt;AT6,AE348&lt;AV6),"r2",IF(AND(AE348&gt;AT6,AE348=AV6,AF348&lt;=AW6),"r2",IF(AND(AE348=AT6,AE348&lt;AV6,AF348&gt;=AU6),"r2","n")))))</f>
        <v>r1</v>
      </c>
      <c r="AL348" s="164" t="str">
        <f>IF(AK348&lt;&gt;"n",AK348,IF(AND(AE348=AP7,AE348=AR7,AF348&gt;=AQ7,AF348&lt;=AS7),"r1",IF(AND(AE348&gt;AP7,AE348&lt;AR7),"r1",IF(AND(AE348&gt;AP7,AE348=AR7,AF348&lt;=AS7),"r1",IF(AND(AE348=AP7,AE348&lt;AR7,AF348&gt;=AQ7),"r1","n")))))</f>
        <v>r1</v>
      </c>
    </row>
    <row r="349" spans="26:38" ht="17.100000000000001" hidden="1" customHeight="1">
      <c r="Z349" s="176">
        <f t="shared" si="15"/>
        <v>2.7999999999995451</v>
      </c>
      <c r="AA349" s="176">
        <f>IF(TRIM(AG349)="","",IF(INDEX(AZ1:AZ51,AC349)=AG349,INDEX(BA1:BA51,AC349),((AG349-INDEX(AZ1:AZ51,AC349))*(INDEX(BA1:BA51,AC349+1)-INDEX(BA1:BA51,AC349)))/(INDEX(AZ1:AZ51,AC349+1)-INDEX(AZ1:AZ51,AC349))+INDEX(BA1:BA51,AC349)))</f>
        <v>2.7999999999995451</v>
      </c>
      <c r="AB349" s="176" t="e">
        <f>IF(TRIM(AG349)="","",IF(INDEX(BD1:BD51,AD349)=AG349,INDEX(BE1:BE51,AD349),((AG349-INDEX(BD1:BD51,AD349))*(INDEX(BE1:BE51,AD349+1)-INDEX(BE1:BE51,AD349)))/(INDEX(BD1:BD51,AD349+1)-INDEX(BD1:BD51,AD349))+INDEX(BE1:BE51,AD349)))</f>
        <v>#N/A</v>
      </c>
      <c r="AC349" s="164">
        <f>MATCH(AG349,AZ1:AZ51,1)</f>
        <v>3</v>
      </c>
      <c r="AD349" s="164" t="e">
        <f>MATCH(AG349,BD1:BD51,1)</f>
        <v>#N/A</v>
      </c>
      <c r="AE349" s="164">
        <v>12</v>
      </c>
      <c r="AF349" s="164">
        <v>13</v>
      </c>
      <c r="AG349" s="179">
        <f>FIXED('HourGH-MAR'!AB24)*1</f>
        <v>337.84</v>
      </c>
      <c r="AH349" s="164" t="str">
        <f>IF(AND(AE349=AP5,AE349=AR5,AF349&gt;=AQ5,AF349&lt;=AS5),"r1",IF(AND(AE349&gt;AP5,AE349&lt;AR5),"r1",IF(AND(AE349&gt;AP5,AE349=AR5,AF349&lt;=AS5),"r1",IF(AND(AE349=AP5,AE349&lt;AR5,AF349&gt;=AQ5),"r1","n"))))</f>
        <v>r1</v>
      </c>
      <c r="AI349" s="164" t="str">
        <f>IF(AH349&lt;&gt;"n",AH349,IF(AND(AE349=AT5,AE349=AV5,AF349&gt;=AU5,AF349&lt;=AW5),"r2",IF(AND(AE349&gt;AT5,AE349&lt;AV5),"r2",IF(AND(AE349&gt;AT5,AE349=AV5,AF349&lt;=AW5),"r2",IF(AND(AE349=AT5,AE349&lt;AV5,AF349&gt;=AU5),"r2","n")))))</f>
        <v>r1</v>
      </c>
      <c r="AJ349" s="164" t="str">
        <f>IF(AI349&lt;&gt;"n",AI349,IF(AND(AE349=AP6,AE349=AR6,AF349&gt;=AQ6,AF349&lt;=AS6),"r1",IF(AND(AE349&gt;AP6,AE349&lt;AR6),"r1",IF(AND(AE349&gt;AP6,AE349=AR6,AF349&lt;=AS6),"r1",IF(AND(AE349=AP6,AE349&lt;AR6,AF349&gt;=AQ6),"r1","n")))))</f>
        <v>r1</v>
      </c>
      <c r="AK349" s="164" t="str">
        <f>IF(AJ349&lt;&gt;"n",AJ349,IF(AND(AE349=AT6,AE349=AV6,AF349&gt;=AU6,AF349&lt;=AW6),"r2",IF(AND(AE349&gt;AT6,AE349&lt;AV6),"r2",IF(AND(AE349&gt;AT6,AE349=AV6,AF349&lt;=AW6),"r2",IF(AND(AE349=AT6,AE349&lt;AV6,AF349&gt;=AU6),"r2","n")))))</f>
        <v>r1</v>
      </c>
      <c r="AL349" s="164" t="str">
        <f>IF(AK349&lt;&gt;"n",AK349,IF(AND(AE349=AP7,AE349=AR7,AF349&gt;=AQ7,AF349&lt;=AS7),"r1",IF(AND(AE349&gt;AP7,AE349&lt;AR7),"r1",IF(AND(AE349&gt;AP7,AE349=AR7,AF349&lt;=AS7),"r1",IF(AND(AE349=AP7,AE349&lt;AR7,AF349&gt;=AQ7),"r1","n")))))</f>
        <v>r1</v>
      </c>
    </row>
    <row r="350" spans="26:38" ht="17.100000000000001" hidden="1" customHeight="1">
      <c r="Z350" s="176">
        <f t="shared" si="15"/>
        <v>4.7500000000005684</v>
      </c>
      <c r="AA350" s="176">
        <f>IF(TRIM(AG350)="","",IF(INDEX(AZ1:AZ51,AC350)=AG350,INDEX(BA1:BA51,AC350),((AG350-INDEX(AZ1:AZ51,AC350))*(INDEX(BA1:BA51,AC350+1)-INDEX(BA1:BA51,AC350)))/(INDEX(AZ1:AZ51,AC350+1)-INDEX(AZ1:AZ51,AC350))+INDEX(BA1:BA51,AC350)))</f>
        <v>4.7500000000005684</v>
      </c>
      <c r="AB350" s="176" t="e">
        <f>IF(TRIM(AG350)="","",IF(INDEX(BD1:BD51,AD350)=AG350,INDEX(BE1:BE51,AD350),((AG350-INDEX(BD1:BD51,AD350))*(INDEX(BE1:BE51,AD350+1)-INDEX(BE1:BE51,AD350)))/(INDEX(BD1:BD51,AD350+1)-INDEX(BD1:BD51,AD350))+INDEX(BE1:BE51,AD350)))</f>
        <v>#N/A</v>
      </c>
      <c r="AC350" s="164">
        <f>MATCH(AG350,AZ1:AZ51,1)</f>
        <v>4</v>
      </c>
      <c r="AD350" s="164" t="e">
        <f>MATCH(AG350,BD1:BD51,1)</f>
        <v>#N/A</v>
      </c>
      <c r="AE350" s="164">
        <v>12</v>
      </c>
      <c r="AF350" s="164">
        <v>14</v>
      </c>
      <c r="AG350" s="179">
        <f>FIXED('HourGH-MAR'!AB25)*1</f>
        <v>337.93</v>
      </c>
      <c r="AH350" s="164" t="str">
        <f>IF(AND(AE350=AP5,AE350=AR5,AF350&gt;=AQ5,AF350&lt;=AS5),"r1",IF(AND(AE350&gt;AP5,AE350&lt;AR5),"r1",IF(AND(AE350&gt;AP5,AE350=AR5,AF350&lt;=AS5),"r1",IF(AND(AE350=AP5,AE350&lt;AR5,AF350&gt;=AQ5),"r1","n"))))</f>
        <v>r1</v>
      </c>
      <c r="AI350" s="164" t="str">
        <f>IF(AH350&lt;&gt;"n",AH350,IF(AND(AE350=AT5,AE350=AV5,AF350&gt;=AU5,AF350&lt;=AW5),"r2",IF(AND(AE350&gt;AT5,AE350&lt;AV5),"r2",IF(AND(AE350&gt;AT5,AE350=AV5,AF350&lt;=AW5),"r2",IF(AND(AE350=AT5,AE350&lt;AV5,AF350&gt;=AU5),"r2","n")))))</f>
        <v>r1</v>
      </c>
      <c r="AJ350" s="164" t="str">
        <f>IF(AI350&lt;&gt;"n",AI350,IF(AND(AE350=AP6,AE350=AR6,AF350&gt;=AQ6,AF350&lt;=AS6),"r1",IF(AND(AE350&gt;AP6,AE350&lt;AR6),"r1",IF(AND(AE350&gt;AP6,AE350=AR6,AF350&lt;=AS6),"r1",IF(AND(AE350=AP6,AE350&lt;AR6,AF350&gt;=AQ6),"r1","n")))))</f>
        <v>r1</v>
      </c>
      <c r="AK350" s="164" t="str">
        <f>IF(AJ350&lt;&gt;"n",AJ350,IF(AND(AE350=AT6,AE350=AV6,AF350&gt;=AU6,AF350&lt;=AW6),"r2",IF(AND(AE350&gt;AT6,AE350&lt;AV6),"r2",IF(AND(AE350&gt;AT6,AE350=AV6,AF350&lt;=AW6),"r2",IF(AND(AE350=AT6,AE350&lt;AV6,AF350&gt;=AU6),"r2","n")))))</f>
        <v>r1</v>
      </c>
      <c r="AL350" s="164" t="str">
        <f>IF(AK350&lt;&gt;"n",AK350,IF(AND(AE350=AP7,AE350=AR7,AF350&gt;=AQ7,AF350&lt;=AS7),"r1",IF(AND(AE350&gt;AP7,AE350&lt;AR7),"r1",IF(AND(AE350&gt;AP7,AE350=AR7,AF350&lt;=AS7),"r1",IF(AND(AE350=AP7,AE350&lt;AR7,AF350&gt;=AQ7),"r1","n")))))</f>
        <v>r1</v>
      </c>
    </row>
    <row r="351" spans="26:38" ht="17.100000000000001" hidden="1" customHeight="1">
      <c r="Z351" s="176">
        <f t="shared" si="15"/>
        <v>17.050000000001663</v>
      </c>
      <c r="AA351" s="176">
        <f>IF(TRIM(AG351)="","",IF(INDEX(AZ1:AZ51,AC351)=AG351,INDEX(BA1:BA51,AC351),((AG351-INDEX(AZ1:AZ51,AC351))*(INDEX(BA1:BA51,AC351+1)-INDEX(BA1:BA51,AC351)))/(INDEX(AZ1:AZ51,AC351+1)-INDEX(AZ1:AZ51,AC351))+INDEX(BA1:BA51,AC351)))</f>
        <v>17.050000000001663</v>
      </c>
      <c r="AB351" s="176" t="e">
        <f>IF(TRIM(AG351)="","",IF(INDEX(BD1:BD51,AD351)=AG351,INDEX(BE1:BE51,AD351),((AG351-INDEX(BD1:BD51,AD351))*(INDEX(BE1:BE51,AD351+1)-INDEX(BE1:BE51,AD351)))/(INDEX(BD1:BD51,AD351+1)-INDEX(BD1:BD51,AD351))+INDEX(BE1:BE51,AD351)))</f>
        <v>#N/A</v>
      </c>
      <c r="AC351" s="164">
        <f>MATCH(AG351,AZ1:AZ51,1)</f>
        <v>6</v>
      </c>
      <c r="AD351" s="164" t="e">
        <f>MATCH(AG351,BD1:BD51,1)</f>
        <v>#N/A</v>
      </c>
      <c r="AE351" s="164">
        <v>12</v>
      </c>
      <c r="AF351" s="164">
        <v>15</v>
      </c>
      <c r="AG351" s="179">
        <f>FIXED('HourGH-MAR'!AB26)*1</f>
        <v>338.29</v>
      </c>
      <c r="AH351" s="164" t="str">
        <f>IF(AND(AE351=AP5,AE351=AR5,AF351&gt;=AQ5,AF351&lt;=AS5),"r1",IF(AND(AE351&gt;AP5,AE351&lt;AR5),"r1",IF(AND(AE351&gt;AP5,AE351=AR5,AF351&lt;=AS5),"r1",IF(AND(AE351=AP5,AE351&lt;AR5,AF351&gt;=AQ5),"r1","n"))))</f>
        <v>r1</v>
      </c>
      <c r="AI351" s="164" t="str">
        <f>IF(AH351&lt;&gt;"n",AH351,IF(AND(AE351=AT5,AE351=AV5,AF351&gt;=AU5,AF351&lt;=AW5),"r2",IF(AND(AE351&gt;AT5,AE351&lt;AV5),"r2",IF(AND(AE351&gt;AT5,AE351=AV5,AF351&lt;=AW5),"r2",IF(AND(AE351=AT5,AE351&lt;AV5,AF351&gt;=AU5),"r2","n")))))</f>
        <v>r1</v>
      </c>
      <c r="AJ351" s="164" t="str">
        <f>IF(AI351&lt;&gt;"n",AI351,IF(AND(AE351=AP6,AE351=AR6,AF351&gt;=AQ6,AF351&lt;=AS6),"r1",IF(AND(AE351&gt;AP6,AE351&lt;AR6),"r1",IF(AND(AE351&gt;AP6,AE351=AR6,AF351&lt;=AS6),"r1",IF(AND(AE351=AP6,AE351&lt;AR6,AF351&gt;=AQ6),"r1","n")))))</f>
        <v>r1</v>
      </c>
      <c r="AK351" s="164" t="str">
        <f>IF(AJ351&lt;&gt;"n",AJ351,IF(AND(AE351=AT6,AE351=AV6,AF351&gt;=AU6,AF351&lt;=AW6),"r2",IF(AND(AE351&gt;AT6,AE351&lt;AV6),"r2",IF(AND(AE351&gt;AT6,AE351=AV6,AF351&lt;=AW6),"r2",IF(AND(AE351=AT6,AE351&lt;AV6,AF351&gt;=AU6),"r2","n")))))</f>
        <v>r1</v>
      </c>
      <c r="AL351" s="164" t="str">
        <f>IF(AK351&lt;&gt;"n",AK351,IF(AND(AE351=AP7,AE351=AR7,AF351&gt;=AQ7,AF351&lt;=AS7),"r1",IF(AND(AE351&gt;AP7,AE351&lt;AR7),"r1",IF(AND(AE351&gt;AP7,AE351=AR7,AF351&lt;=AS7),"r1",IF(AND(AE351=AP7,AE351&lt;AR7,AF351&gt;=AQ7),"r1","n")))))</f>
        <v>r1</v>
      </c>
    </row>
    <row r="352" spans="26:38" ht="17.100000000000001" hidden="1" customHeight="1">
      <c r="Z352" s="176">
        <f t="shared" si="15"/>
        <v>17.500000000001279</v>
      </c>
      <c r="AA352" s="176">
        <f>IF(TRIM(AG352)="","",IF(INDEX(AZ1:AZ51,AC352)=AG352,INDEX(BA1:BA51,AC352),((AG352-INDEX(AZ1:AZ51,AC352))*(INDEX(BA1:BA51,AC352+1)-INDEX(BA1:BA51,AC352)))/(INDEX(AZ1:AZ51,AC352+1)-INDEX(AZ1:AZ51,AC352))+INDEX(BA1:BA51,AC352)))</f>
        <v>17.500000000001279</v>
      </c>
      <c r="AB352" s="176" t="e">
        <f>IF(TRIM(AG352)="","",IF(INDEX(BD1:BD51,AD352)=AG352,INDEX(BE1:BE51,AD352),((AG352-INDEX(BD1:BD51,AD352))*(INDEX(BE1:BE51,AD352+1)-INDEX(BE1:BE51,AD352)))/(INDEX(BD1:BD51,AD352+1)-INDEX(BD1:BD51,AD352))+INDEX(BE1:BE51,AD352)))</f>
        <v>#N/A</v>
      </c>
      <c r="AC352" s="164">
        <f>MATCH(AG352,AZ1:AZ51,1)</f>
        <v>6</v>
      </c>
      <c r="AD352" s="164" t="e">
        <f>MATCH(AG352,BD1:BD51,1)</f>
        <v>#N/A</v>
      </c>
      <c r="AE352" s="164">
        <v>12</v>
      </c>
      <c r="AF352" s="164">
        <v>16</v>
      </c>
      <c r="AG352" s="179">
        <f>FIXED('HourGH-MAR'!AB27)*1</f>
        <v>338.3</v>
      </c>
      <c r="AH352" s="164" t="str">
        <f>IF(AND(AE352=AP5,AE352=AR5,AF352&gt;=AQ5,AF352&lt;=AS5),"r1",IF(AND(AE352&gt;AP5,AE352&lt;AR5),"r1",IF(AND(AE352&gt;AP5,AE352=AR5,AF352&lt;=AS5),"r1",IF(AND(AE352=AP5,AE352&lt;AR5,AF352&gt;=AQ5),"r1","n"))))</f>
        <v>r1</v>
      </c>
      <c r="AI352" s="164" t="str">
        <f>IF(AH352&lt;&gt;"n",AH352,IF(AND(AE352=AT5,AE352=AV5,AF352&gt;=AU5,AF352&lt;=AW5),"r2",IF(AND(AE352&gt;AT5,AE352&lt;AV5),"r2",IF(AND(AE352&gt;AT5,AE352=AV5,AF352&lt;=AW5),"r2",IF(AND(AE352=AT5,AE352&lt;AV5,AF352&gt;=AU5),"r2","n")))))</f>
        <v>r1</v>
      </c>
      <c r="AJ352" s="164" t="str">
        <f>IF(AI352&lt;&gt;"n",AI352,IF(AND(AE352=AP6,AE352=AR6,AF352&gt;=AQ6,AF352&lt;=AS6),"r1",IF(AND(AE352&gt;AP6,AE352&lt;AR6),"r1",IF(AND(AE352&gt;AP6,AE352=AR6,AF352&lt;=AS6),"r1",IF(AND(AE352=AP6,AE352&lt;AR6,AF352&gt;=AQ6),"r1","n")))))</f>
        <v>r1</v>
      </c>
      <c r="AK352" s="164" t="str">
        <f>IF(AJ352&lt;&gt;"n",AJ352,IF(AND(AE352=AT6,AE352=AV6,AF352&gt;=AU6,AF352&lt;=AW6),"r2",IF(AND(AE352&gt;AT6,AE352&lt;AV6),"r2",IF(AND(AE352&gt;AT6,AE352=AV6,AF352&lt;=AW6),"r2",IF(AND(AE352=AT6,AE352&lt;AV6,AF352&gt;=AU6),"r2","n")))))</f>
        <v>r1</v>
      </c>
      <c r="AL352" s="164" t="str">
        <f>IF(AK352&lt;&gt;"n",AK352,IF(AND(AE352=AP7,AE352=AR7,AF352&gt;=AQ7,AF352&lt;=AS7),"r1",IF(AND(AE352&gt;AP7,AE352&lt;AR7),"r1",IF(AND(AE352&gt;AP7,AE352=AR7,AF352&lt;=AS7),"r1",IF(AND(AE352=AP7,AE352&lt;AR7,AF352&gt;=AQ7),"r1","n")))))</f>
        <v>r1</v>
      </c>
    </row>
    <row r="353" spans="26:38" ht="17.100000000000001" hidden="1" customHeight="1">
      <c r="Z353" s="176">
        <f t="shared" si="15"/>
        <v>17.950000000000895</v>
      </c>
      <c r="AA353" s="176">
        <f>IF(TRIM(AG353)="","",IF(INDEX(AZ1:AZ51,AC353)=AG353,INDEX(BA1:BA51,AC353),((AG353-INDEX(AZ1:AZ51,AC353))*(INDEX(BA1:BA51,AC353+1)-INDEX(BA1:BA51,AC353)))/(INDEX(AZ1:AZ51,AC353+1)-INDEX(AZ1:AZ51,AC353))+INDEX(BA1:BA51,AC353)))</f>
        <v>17.950000000000895</v>
      </c>
      <c r="AB353" s="176" t="e">
        <f>IF(TRIM(AG353)="","",IF(INDEX(BD1:BD51,AD353)=AG353,INDEX(BE1:BE51,AD353),((AG353-INDEX(BD1:BD51,AD353))*(INDEX(BE1:BE51,AD353+1)-INDEX(BE1:BE51,AD353)))/(INDEX(BD1:BD51,AD353+1)-INDEX(BD1:BD51,AD353))+INDEX(BE1:BE51,AD353)))</f>
        <v>#N/A</v>
      </c>
      <c r="AC353" s="164">
        <f>MATCH(AG353,AZ1:AZ51,1)</f>
        <v>6</v>
      </c>
      <c r="AD353" s="164" t="e">
        <f>MATCH(AG353,BD1:BD51,1)</f>
        <v>#N/A</v>
      </c>
      <c r="AE353" s="164">
        <v>12</v>
      </c>
      <c r="AF353" s="164">
        <v>17</v>
      </c>
      <c r="AG353" s="179">
        <f>FIXED('HourGH-MAR'!AB28)*1</f>
        <v>338.31</v>
      </c>
      <c r="AH353" s="164" t="str">
        <f>IF(AND(AE353=AP5,AE353=AR5,AF353&gt;=AQ5,AF353&lt;=AS5),"r1",IF(AND(AE353&gt;AP5,AE353&lt;AR5),"r1",IF(AND(AE353&gt;AP5,AE353=AR5,AF353&lt;=AS5),"r1",IF(AND(AE353=AP5,AE353&lt;AR5,AF353&gt;=AQ5),"r1","n"))))</f>
        <v>r1</v>
      </c>
      <c r="AI353" s="164" t="str">
        <f>IF(AH353&lt;&gt;"n",AH353,IF(AND(AE353=AT5,AE353=AV5,AF353&gt;=AU5,AF353&lt;=AW5),"r2",IF(AND(AE353&gt;AT5,AE353&lt;AV5),"r2",IF(AND(AE353&gt;AT5,AE353=AV5,AF353&lt;=AW5),"r2",IF(AND(AE353=AT5,AE353&lt;AV5,AF353&gt;=AU5),"r2","n")))))</f>
        <v>r1</v>
      </c>
      <c r="AJ353" s="164" t="str">
        <f>IF(AI353&lt;&gt;"n",AI353,IF(AND(AE353=AP6,AE353=AR6,AF353&gt;=AQ6,AF353&lt;=AS6),"r1",IF(AND(AE353&gt;AP6,AE353&lt;AR6),"r1",IF(AND(AE353&gt;AP6,AE353=AR6,AF353&lt;=AS6),"r1",IF(AND(AE353=AP6,AE353&lt;AR6,AF353&gt;=AQ6),"r1","n")))))</f>
        <v>r1</v>
      </c>
      <c r="AK353" s="164" t="str">
        <f>IF(AJ353&lt;&gt;"n",AJ353,IF(AND(AE353=AT6,AE353=AV6,AF353&gt;=AU6,AF353&lt;=AW6),"r2",IF(AND(AE353&gt;AT6,AE353&lt;AV6),"r2",IF(AND(AE353&gt;AT6,AE353=AV6,AF353&lt;=AW6),"r2",IF(AND(AE353=AT6,AE353&lt;AV6,AF353&gt;=AU6),"r2","n")))))</f>
        <v>r1</v>
      </c>
      <c r="AL353" s="164" t="str">
        <f>IF(AK353&lt;&gt;"n",AK353,IF(AND(AE353=AP7,AE353=AR7,AF353&gt;=AQ7,AF353&lt;=AS7),"r1",IF(AND(AE353&gt;AP7,AE353&lt;AR7),"r1",IF(AND(AE353&gt;AP7,AE353=AR7,AF353&lt;=AS7),"r1",IF(AND(AE353=AP7,AE353&lt;AR7,AF353&gt;=AQ7),"r1","n")))))</f>
        <v>r1</v>
      </c>
    </row>
    <row r="354" spans="26:38" ht="17.100000000000001" hidden="1" customHeight="1">
      <c r="Z354" s="176">
        <f t="shared" si="15"/>
        <v>12.350000000000554</v>
      </c>
      <c r="AA354" s="176">
        <f>IF(TRIM(AG354)="","",IF(INDEX(AZ1:AZ51,AC354)=AG354,INDEX(BA1:BA51,AC354),((AG354-INDEX(AZ1:AZ51,AC354))*(INDEX(BA1:BA51,AC354+1)-INDEX(BA1:BA51,AC354)))/(INDEX(AZ1:AZ51,AC354+1)-INDEX(AZ1:AZ51,AC354))+INDEX(BA1:BA51,AC354)))</f>
        <v>12.350000000000554</v>
      </c>
      <c r="AB354" s="176" t="e">
        <f>IF(TRIM(AG354)="","",IF(INDEX(BD1:BD51,AD354)=AG354,INDEX(BE1:BE51,AD354),((AG354-INDEX(BD1:BD51,AD354))*(INDEX(BE1:BE51,AD354+1)-INDEX(BE1:BE51,AD354)))/(INDEX(BD1:BD51,AD354+1)-INDEX(BD1:BD51,AD354))+INDEX(BE1:BE51,AD354)))</f>
        <v>#N/A</v>
      </c>
      <c r="AC354" s="164">
        <f>MATCH(AG354,AZ1:AZ51,1)</f>
        <v>5</v>
      </c>
      <c r="AD354" s="164" t="e">
        <f>MATCH(AG354,BD1:BD51,1)</f>
        <v>#N/A</v>
      </c>
      <c r="AE354" s="164">
        <v>12</v>
      </c>
      <c r="AF354" s="164">
        <v>18</v>
      </c>
      <c r="AG354" s="179">
        <f>FIXED('HourGH-MAR'!AB29)*1</f>
        <v>338.18</v>
      </c>
      <c r="AH354" s="164" t="str">
        <f>IF(AND(AE354=AP5,AE354=AR5,AF354&gt;=AQ5,AF354&lt;=AS5),"r1",IF(AND(AE354&gt;AP5,AE354&lt;AR5),"r1",IF(AND(AE354&gt;AP5,AE354=AR5,AF354&lt;=AS5),"r1",IF(AND(AE354=AP5,AE354&lt;AR5,AF354&gt;=AQ5),"r1","n"))))</f>
        <v>r1</v>
      </c>
      <c r="AI354" s="164" t="str">
        <f>IF(AH354&lt;&gt;"n",AH354,IF(AND(AE354=AT5,AE354=AV5,AF354&gt;=AU5,AF354&lt;=AW5),"r2",IF(AND(AE354&gt;AT5,AE354&lt;AV5),"r2",IF(AND(AE354&gt;AT5,AE354=AV5,AF354&lt;=AW5),"r2",IF(AND(AE354=AT5,AE354&lt;AV5,AF354&gt;=AU5),"r2","n")))))</f>
        <v>r1</v>
      </c>
      <c r="AJ354" s="164" t="str">
        <f>IF(AI354&lt;&gt;"n",AI354,IF(AND(AE354=AP6,AE354=AR6,AF354&gt;=AQ6,AF354&lt;=AS6),"r1",IF(AND(AE354&gt;AP6,AE354&lt;AR6),"r1",IF(AND(AE354&gt;AP6,AE354=AR6,AF354&lt;=AS6),"r1",IF(AND(AE354=AP6,AE354&lt;AR6,AF354&gt;=AQ6),"r1","n")))))</f>
        <v>r1</v>
      </c>
      <c r="AK354" s="164" t="str">
        <f>IF(AJ354&lt;&gt;"n",AJ354,IF(AND(AE354=AT6,AE354=AV6,AF354&gt;=AU6,AF354&lt;=AW6),"r2",IF(AND(AE354&gt;AT6,AE354&lt;AV6),"r2",IF(AND(AE354&gt;AT6,AE354=AV6,AF354&lt;=AW6),"r2",IF(AND(AE354=AT6,AE354&lt;AV6,AF354&gt;=AU6),"r2","n")))))</f>
        <v>r1</v>
      </c>
      <c r="AL354" s="164" t="str">
        <f>IF(AK354&lt;&gt;"n",AK354,IF(AND(AE354=AP7,AE354=AR7,AF354&gt;=AQ7,AF354&lt;=AS7),"r1",IF(AND(AE354&gt;AP7,AE354&lt;AR7),"r1",IF(AND(AE354&gt;AP7,AE354=AR7,AF354&lt;=AS7),"r1",IF(AND(AE354=AP7,AE354&lt;AR7,AF354&gt;=AQ7),"r1","n")))))</f>
        <v>r1</v>
      </c>
    </row>
    <row r="355" spans="26:38" ht="17.100000000000001" hidden="1" customHeight="1">
      <c r="Z355" s="176">
        <f t="shared" si="15"/>
        <v>2.599999999999659</v>
      </c>
      <c r="AA355" s="176">
        <f>IF(TRIM(AG355)="","",IF(INDEX(AZ1:AZ51,AC355)=AG355,INDEX(BA1:BA51,AC355),((AG355-INDEX(AZ1:AZ51,AC355))*(INDEX(BA1:BA51,AC355+1)-INDEX(BA1:BA51,AC355)))/(INDEX(AZ1:AZ51,AC355+1)-INDEX(AZ1:AZ51,AC355))+INDEX(BA1:BA51,AC355)))</f>
        <v>2.599999999999659</v>
      </c>
      <c r="AB355" s="176" t="e">
        <f>IF(TRIM(AG355)="","",IF(INDEX(BD1:BD51,AD355)=AG355,INDEX(BE1:BE51,AD355),((AG355-INDEX(BD1:BD51,AD355))*(INDEX(BE1:BE51,AD355+1)-INDEX(BE1:BE51,AD355)))/(INDEX(BD1:BD51,AD355+1)-INDEX(BD1:BD51,AD355))+INDEX(BE1:BE51,AD355)))</f>
        <v>#N/A</v>
      </c>
      <c r="AC355" s="164">
        <f>MATCH(AG355,AZ1:AZ51,1)</f>
        <v>3</v>
      </c>
      <c r="AD355" s="164" t="e">
        <f>MATCH(AG355,BD1:BD51,1)</f>
        <v>#N/A</v>
      </c>
      <c r="AE355" s="164">
        <v>12</v>
      </c>
      <c r="AF355" s="164">
        <v>19</v>
      </c>
      <c r="AG355" s="179">
        <f>FIXED('HourGH-MAR'!AB30)*1</f>
        <v>337.83</v>
      </c>
      <c r="AH355" s="164" t="str">
        <f>IF(AND(AE355=AP5,AE355=AR5,AF355&gt;=AQ5,AF355&lt;=AS5),"r1",IF(AND(AE355&gt;AP5,AE355&lt;AR5),"r1",IF(AND(AE355&gt;AP5,AE355=AR5,AF355&lt;=AS5),"r1",IF(AND(AE355=AP5,AE355&lt;AR5,AF355&gt;=AQ5),"r1","n"))))</f>
        <v>r1</v>
      </c>
      <c r="AI355" s="164" t="str">
        <f>IF(AH355&lt;&gt;"n",AH355,IF(AND(AE355=AT5,AE355=AV5,AF355&gt;=AU5,AF355&lt;=AW5),"r2",IF(AND(AE355&gt;AT5,AE355&lt;AV5),"r2",IF(AND(AE355&gt;AT5,AE355=AV5,AF355&lt;=AW5),"r2",IF(AND(AE355=AT5,AE355&lt;AV5,AF355&gt;=AU5),"r2","n")))))</f>
        <v>r1</v>
      </c>
      <c r="AJ355" s="164" t="str">
        <f>IF(AI355&lt;&gt;"n",AI355,IF(AND(AE355=AP6,AE355=AR6,AF355&gt;=AQ6,AF355&lt;=AS6),"r1",IF(AND(AE355&gt;AP6,AE355&lt;AR6),"r1",IF(AND(AE355&gt;AP6,AE355=AR6,AF355&lt;=AS6),"r1",IF(AND(AE355=AP6,AE355&lt;AR6,AF355&gt;=AQ6),"r1","n")))))</f>
        <v>r1</v>
      </c>
      <c r="AK355" s="164" t="str">
        <f>IF(AJ355&lt;&gt;"n",AJ355,IF(AND(AE355=AT6,AE355=AV6,AF355&gt;=AU6,AF355&lt;=AW6),"r2",IF(AND(AE355&gt;AT6,AE355&lt;AV6),"r2",IF(AND(AE355&gt;AT6,AE355=AV6,AF355&lt;=AW6),"r2",IF(AND(AE355=AT6,AE355&lt;AV6,AF355&gt;=AU6),"r2","n")))))</f>
        <v>r1</v>
      </c>
      <c r="AL355" s="164" t="str">
        <f>IF(AK355&lt;&gt;"n",AK355,IF(AND(AE355=AP7,AE355=AR7,AF355&gt;=AQ7,AF355&lt;=AS7),"r1",IF(AND(AE355&gt;AP7,AE355&lt;AR7),"r1",IF(AND(AE355&gt;AP7,AE355=AR7,AF355&lt;=AS7),"r1",IF(AND(AE355=AP7,AE355&lt;AR7,AF355&gt;=AQ7),"r1","n")))))</f>
        <v>r1</v>
      </c>
    </row>
    <row r="356" spans="26:38" ht="17.100000000000001" hidden="1" customHeight="1">
      <c r="Z356" s="176">
        <f t="shared" si="15"/>
        <v>2.1999999999998865</v>
      </c>
      <c r="AA356" s="176">
        <f>IF(TRIM(AG356)="","",IF(INDEX(AZ1:AZ51,AC356)=AG356,INDEX(BA1:BA51,AC356),((AG356-INDEX(AZ1:AZ51,AC356))*(INDEX(BA1:BA51,AC356+1)-INDEX(BA1:BA51,AC356)))/(INDEX(AZ1:AZ51,AC356+1)-INDEX(AZ1:AZ51,AC356))+INDEX(BA1:BA51,AC356)))</f>
        <v>2.1999999999998865</v>
      </c>
      <c r="AB356" s="176" t="e">
        <f>IF(TRIM(AG356)="","",IF(INDEX(BD1:BD51,AD356)=AG356,INDEX(BE1:BE51,AD356),((AG356-INDEX(BD1:BD51,AD356))*(INDEX(BE1:BE51,AD356+1)-INDEX(BE1:BE51,AD356)))/(INDEX(BD1:BD51,AD356+1)-INDEX(BD1:BD51,AD356))+INDEX(BE1:BE51,AD356)))</f>
        <v>#N/A</v>
      </c>
      <c r="AC356" s="164">
        <f>MATCH(AG356,AZ1:AZ51,1)</f>
        <v>3</v>
      </c>
      <c r="AD356" s="164" t="e">
        <f>MATCH(AG356,BD1:BD51,1)</f>
        <v>#N/A</v>
      </c>
      <c r="AE356" s="164">
        <v>12</v>
      </c>
      <c r="AF356" s="164">
        <v>20</v>
      </c>
      <c r="AG356" s="179">
        <f>FIXED('HourGH-MAR'!AB31)*1</f>
        <v>337.81</v>
      </c>
      <c r="AH356" s="164" t="str">
        <f>IF(AND(AE356=AP5,AE356=AR5,AF356&gt;=AQ5,AF356&lt;=AS5),"r1",IF(AND(AE356&gt;AP5,AE356&lt;AR5),"r1",IF(AND(AE356&gt;AP5,AE356=AR5,AF356&lt;=AS5),"r1",IF(AND(AE356=AP5,AE356&lt;AR5,AF356&gt;=AQ5),"r1","n"))))</f>
        <v>r1</v>
      </c>
      <c r="AI356" s="164" t="str">
        <f>IF(AH356&lt;&gt;"n",AH356,IF(AND(AE356=AT5,AE356=AV5,AF356&gt;=AU5,AF356&lt;=AW5),"r2",IF(AND(AE356&gt;AT5,AE356&lt;AV5),"r2",IF(AND(AE356&gt;AT5,AE356=AV5,AF356&lt;=AW5),"r2",IF(AND(AE356=AT5,AE356&lt;AV5,AF356&gt;=AU5),"r2","n")))))</f>
        <v>r1</v>
      </c>
      <c r="AJ356" s="164" t="str">
        <f>IF(AI356&lt;&gt;"n",AI356,IF(AND(AE356=AP6,AE356=AR6,AF356&gt;=AQ6,AF356&lt;=AS6),"r1",IF(AND(AE356&gt;AP6,AE356&lt;AR6),"r1",IF(AND(AE356&gt;AP6,AE356=AR6,AF356&lt;=AS6),"r1",IF(AND(AE356=AP6,AE356&lt;AR6,AF356&gt;=AQ6),"r1","n")))))</f>
        <v>r1</v>
      </c>
      <c r="AK356" s="164" t="str">
        <f>IF(AJ356&lt;&gt;"n",AJ356,IF(AND(AE356=AT6,AE356=AV6,AF356&gt;=AU6,AF356&lt;=AW6),"r2",IF(AND(AE356&gt;AT6,AE356&lt;AV6),"r2",IF(AND(AE356&gt;AT6,AE356=AV6,AF356&lt;=AW6),"r2",IF(AND(AE356=AT6,AE356&lt;AV6,AF356&gt;=AU6),"r2","n")))))</f>
        <v>r1</v>
      </c>
      <c r="AL356" s="164" t="str">
        <f>IF(AK356&lt;&gt;"n",AK356,IF(AND(AE356=AP7,AE356=AR7,AF356&gt;=AQ7,AF356&lt;=AS7),"r1",IF(AND(AE356&gt;AP7,AE356&lt;AR7),"r1",IF(AND(AE356&gt;AP7,AE356=AR7,AF356&lt;=AS7),"r1",IF(AND(AE356=AP7,AE356&lt;AR7,AF356&gt;=AQ7),"r1","n")))))</f>
        <v>r1</v>
      </c>
    </row>
    <row r="357" spans="26:38" ht="17.100000000000001" hidden="1" customHeight="1">
      <c r="Z357" s="176">
        <f t="shared" si="15"/>
        <v>4.7500000000005684</v>
      </c>
      <c r="AA357" s="176">
        <f>IF(TRIM(AG357)="","",IF(INDEX(AZ1:AZ51,AC357)=AG357,INDEX(BA1:BA51,AC357),((AG357-INDEX(AZ1:AZ51,AC357))*(INDEX(BA1:BA51,AC357+1)-INDEX(BA1:BA51,AC357)))/(INDEX(AZ1:AZ51,AC357+1)-INDEX(AZ1:AZ51,AC357))+INDEX(BA1:BA51,AC357)))</f>
        <v>4.7500000000005684</v>
      </c>
      <c r="AB357" s="176" t="e">
        <f>IF(TRIM(AG357)="","",IF(INDEX(BD1:BD51,AD357)=AG357,INDEX(BE1:BE51,AD357),((AG357-INDEX(BD1:BD51,AD357))*(INDEX(BE1:BE51,AD357+1)-INDEX(BE1:BE51,AD357)))/(INDEX(BD1:BD51,AD357+1)-INDEX(BD1:BD51,AD357))+INDEX(BE1:BE51,AD357)))</f>
        <v>#N/A</v>
      </c>
      <c r="AC357" s="164">
        <f>MATCH(AG357,AZ1:AZ51,1)</f>
        <v>4</v>
      </c>
      <c r="AD357" s="164" t="e">
        <f>MATCH(AG357,BD1:BD51,1)</f>
        <v>#N/A</v>
      </c>
      <c r="AE357" s="164">
        <v>12</v>
      </c>
      <c r="AF357" s="164">
        <v>21</v>
      </c>
      <c r="AG357" s="179">
        <f>FIXED('HourGH-MAR'!AB33)*1</f>
        <v>337.93</v>
      </c>
      <c r="AH357" s="164" t="str">
        <f>IF(AND(AE357=AP5,AE357=AR5,AF357&gt;=AQ5,AF357&lt;=AS5),"r1",IF(AND(AE357&gt;AP5,AE357&lt;AR5),"r1",IF(AND(AE357&gt;AP5,AE357=AR5,AF357&lt;=AS5),"r1",IF(AND(AE357=AP5,AE357&lt;AR5,AF357&gt;=AQ5),"r1","n"))))</f>
        <v>r1</v>
      </c>
      <c r="AI357" s="164" t="str">
        <f>IF(AH357&lt;&gt;"n",AH357,IF(AND(AE357=AT5,AE357=AV5,AF357&gt;=AU5,AF357&lt;=AW5),"r2",IF(AND(AE357&gt;AT5,AE357&lt;AV5),"r2",IF(AND(AE357&gt;AT5,AE357=AV5,AF357&lt;=AW5),"r2",IF(AND(AE357=AT5,AE357&lt;AV5,AF357&gt;=AU5),"r2","n")))))</f>
        <v>r1</v>
      </c>
      <c r="AJ357" s="164" t="str">
        <f>IF(AI357&lt;&gt;"n",AI357,IF(AND(AE357=AP6,AE357=AR6,AF357&gt;=AQ6,AF357&lt;=AS6),"r1",IF(AND(AE357&gt;AP6,AE357&lt;AR6),"r1",IF(AND(AE357&gt;AP6,AE357=AR6,AF357&lt;=AS6),"r1",IF(AND(AE357=AP6,AE357&lt;AR6,AF357&gt;=AQ6),"r1","n")))))</f>
        <v>r1</v>
      </c>
      <c r="AK357" s="164" t="str">
        <f>IF(AJ357&lt;&gt;"n",AJ357,IF(AND(AE357=AT6,AE357=AV6,AF357&gt;=AU6,AF357&lt;=AW6),"r2",IF(AND(AE357&gt;AT6,AE357&lt;AV6),"r2",IF(AND(AE357&gt;AT6,AE357=AV6,AF357&lt;=AW6),"r2",IF(AND(AE357=AT6,AE357&lt;AV6,AF357&gt;=AU6),"r2","n")))))</f>
        <v>r1</v>
      </c>
      <c r="AL357" s="164" t="str">
        <f>IF(AK357&lt;&gt;"n",AK357,IF(AND(AE357=AP7,AE357=AR7,AF357&gt;=AQ7,AF357&lt;=AS7),"r1",IF(AND(AE357&gt;AP7,AE357&lt;AR7),"r1",IF(AND(AE357&gt;AP7,AE357=AR7,AF357&lt;=AS7),"r1",IF(AND(AE357=AP7,AE357&lt;AR7,AF357&gt;=AQ7),"r1","n")))))</f>
        <v>r1</v>
      </c>
    </row>
    <row r="358" spans="26:38" ht="17.100000000000001" hidden="1" customHeight="1">
      <c r="Z358" s="176">
        <f t="shared" si="15"/>
        <v>16.59999999999949</v>
      </c>
      <c r="AA358" s="176">
        <f>IF(TRIM(AG358)="","",IF(INDEX(AZ1:AZ51,AC358)=AG358,INDEX(BA1:BA51,AC358),((AG358-INDEX(AZ1:AZ51,AC358))*(INDEX(BA1:BA51,AC358+1)-INDEX(BA1:BA51,AC358)))/(INDEX(AZ1:AZ51,AC358+1)-INDEX(AZ1:AZ51,AC358))+INDEX(BA1:BA51,AC358)))</f>
        <v>16.59999999999949</v>
      </c>
      <c r="AB358" s="176" t="e">
        <f>IF(TRIM(AG358)="","",IF(INDEX(BD1:BD51,AD358)=AG358,INDEX(BE1:BE51,AD358),((AG358-INDEX(BD1:BD51,AD358))*(INDEX(BE1:BE51,AD358+1)-INDEX(BE1:BE51,AD358)))/(INDEX(BD1:BD51,AD358+1)-INDEX(BD1:BD51,AD358))+INDEX(BE1:BE51,AD358)))</f>
        <v>#N/A</v>
      </c>
      <c r="AC358" s="164">
        <f>MATCH(AG358,AZ1:AZ51,1)</f>
        <v>6</v>
      </c>
      <c r="AD358" s="164" t="e">
        <f>MATCH(AG358,BD1:BD51,1)</f>
        <v>#N/A</v>
      </c>
      <c r="AE358" s="164">
        <v>12</v>
      </c>
      <c r="AF358" s="164">
        <v>22</v>
      </c>
      <c r="AG358" s="179">
        <f>FIXED('HourGH-MAR'!AB34)*1</f>
        <v>338.28</v>
      </c>
      <c r="AH358" s="164" t="str">
        <f>IF(AND(AE358=AP5,AE358=AR5,AF358&gt;=AQ5,AF358&lt;=AS5),"r1",IF(AND(AE358&gt;AP5,AE358&lt;AR5),"r1",IF(AND(AE358&gt;AP5,AE358=AR5,AF358&lt;=AS5),"r1",IF(AND(AE358=AP5,AE358&lt;AR5,AF358&gt;=AQ5),"r1","n"))))</f>
        <v>r1</v>
      </c>
      <c r="AI358" s="164" t="str">
        <f>IF(AH358&lt;&gt;"n",AH358,IF(AND(AE358=AT5,AE358=AV5,AF358&gt;=AU5,AF358&lt;=AW5),"r2",IF(AND(AE358&gt;AT5,AE358&lt;AV5),"r2",IF(AND(AE358&gt;AT5,AE358=AV5,AF358&lt;=AW5),"r2",IF(AND(AE358=AT5,AE358&lt;AV5,AF358&gt;=AU5),"r2","n")))))</f>
        <v>r1</v>
      </c>
      <c r="AJ358" s="164" t="str">
        <f>IF(AI358&lt;&gt;"n",AI358,IF(AND(AE358=AP6,AE358=AR6,AF358&gt;=AQ6,AF358&lt;=AS6),"r1",IF(AND(AE358&gt;AP6,AE358&lt;AR6),"r1",IF(AND(AE358&gt;AP6,AE358=AR6,AF358&lt;=AS6),"r1",IF(AND(AE358=AP6,AE358&lt;AR6,AF358&gt;=AQ6),"r1","n")))))</f>
        <v>r1</v>
      </c>
      <c r="AK358" s="164" t="str">
        <f>IF(AJ358&lt;&gt;"n",AJ358,IF(AND(AE358=AT6,AE358=AV6,AF358&gt;=AU6,AF358&lt;=AW6),"r2",IF(AND(AE358&gt;AT6,AE358&lt;AV6),"r2",IF(AND(AE358&gt;AT6,AE358=AV6,AF358&lt;=AW6),"r2",IF(AND(AE358=AT6,AE358&lt;AV6,AF358&gt;=AU6),"r2","n")))))</f>
        <v>r1</v>
      </c>
      <c r="AL358" s="164" t="str">
        <f>IF(AK358&lt;&gt;"n",AK358,IF(AND(AE358=AP7,AE358=AR7,AF358&gt;=AQ7,AF358&lt;=AS7),"r1",IF(AND(AE358&gt;AP7,AE358&lt;AR7),"r1",IF(AND(AE358&gt;AP7,AE358=AR7,AF358&lt;=AS7),"r1",IF(AND(AE358=AP7,AE358&lt;AR7,AF358&gt;=AQ7),"r1","n")))))</f>
        <v>r1</v>
      </c>
    </row>
    <row r="359" spans="26:38" ht="17.100000000000001" hidden="1" customHeight="1">
      <c r="Z359" s="176">
        <f t="shared" si="15"/>
        <v>14.800000000001024</v>
      </c>
      <c r="AA359" s="176">
        <f>IF(TRIM(AG359)="","",IF(INDEX(AZ1:AZ51,AC359)=AG359,INDEX(BA1:BA51,AC359),((AG359-INDEX(AZ1:AZ51,AC359))*(INDEX(BA1:BA51,AC359+1)-INDEX(BA1:BA51,AC359)))/(INDEX(AZ1:AZ51,AC359+1)-INDEX(AZ1:AZ51,AC359))+INDEX(BA1:BA51,AC359)))</f>
        <v>14.800000000001024</v>
      </c>
      <c r="AB359" s="176" t="e">
        <f>IF(TRIM(AG359)="","",IF(INDEX(BD1:BD51,AD359)=AG359,INDEX(BE1:BE51,AD359),((AG359-INDEX(BD1:BD51,AD359))*(INDEX(BE1:BE51,AD359+1)-INDEX(BE1:BE51,AD359)))/(INDEX(BD1:BD51,AD359+1)-INDEX(BD1:BD51,AD359))+INDEX(BE1:BE51,AD359)))</f>
        <v>#N/A</v>
      </c>
      <c r="AC359" s="164">
        <f>MATCH(AG359,AZ1:AZ51,1)</f>
        <v>6</v>
      </c>
      <c r="AD359" s="164" t="e">
        <f>MATCH(AG359,BD1:BD51,1)</f>
        <v>#N/A</v>
      </c>
      <c r="AE359" s="164">
        <v>12</v>
      </c>
      <c r="AF359" s="164">
        <v>23</v>
      </c>
      <c r="AG359" s="179">
        <f>FIXED('HourGH-MAR'!AB35)*1</f>
        <v>338.24</v>
      </c>
      <c r="AH359" s="164" t="str">
        <f>IF(AND(AE359=AP5,AE359=AR5,AF359&gt;=AQ5,AF359&lt;=AS5),"r1",IF(AND(AE359&gt;AP5,AE359&lt;AR5),"r1",IF(AND(AE359&gt;AP5,AE359=AR5,AF359&lt;=AS5),"r1",IF(AND(AE359=AP5,AE359&lt;AR5,AF359&gt;=AQ5),"r1","n"))))</f>
        <v>r1</v>
      </c>
      <c r="AI359" s="164" t="str">
        <f>IF(AH359&lt;&gt;"n",AH359,IF(AND(AE359=AT5,AE359=AV5,AF359&gt;=AU5,AF359&lt;=AW5),"r2",IF(AND(AE359&gt;AT5,AE359&lt;AV5),"r2",IF(AND(AE359&gt;AT5,AE359=AV5,AF359&lt;=AW5),"r2",IF(AND(AE359=AT5,AE359&lt;AV5,AF359&gt;=AU5),"r2","n")))))</f>
        <v>r1</v>
      </c>
      <c r="AJ359" s="164" t="str">
        <f>IF(AI359&lt;&gt;"n",AI359,IF(AND(AE359=AP6,AE359=AR6,AF359&gt;=AQ6,AF359&lt;=AS6),"r1",IF(AND(AE359&gt;AP6,AE359&lt;AR6),"r1",IF(AND(AE359&gt;AP6,AE359=AR6,AF359&lt;=AS6),"r1",IF(AND(AE359=AP6,AE359&lt;AR6,AF359&gt;=AQ6),"r1","n")))))</f>
        <v>r1</v>
      </c>
      <c r="AK359" s="164" t="str">
        <f>IF(AJ359&lt;&gt;"n",AJ359,IF(AND(AE359=AT6,AE359=AV6,AF359&gt;=AU6,AF359&lt;=AW6),"r2",IF(AND(AE359&gt;AT6,AE359&lt;AV6),"r2",IF(AND(AE359&gt;AT6,AE359=AV6,AF359&lt;=AW6),"r2",IF(AND(AE359=AT6,AE359&lt;AV6,AF359&gt;=AU6),"r2","n")))))</f>
        <v>r1</v>
      </c>
      <c r="AL359" s="164" t="str">
        <f>IF(AK359&lt;&gt;"n",AK359,IF(AND(AE359=AP7,AE359=AR7,AF359&gt;=AQ7,AF359&lt;=AS7),"r1",IF(AND(AE359&gt;AP7,AE359&lt;AR7),"r1",IF(AND(AE359&gt;AP7,AE359=AR7,AF359&lt;=AS7),"r1",IF(AND(AE359=AP7,AE359&lt;AR7,AF359&gt;=AQ7),"r1","n")))))</f>
        <v>r1</v>
      </c>
    </row>
    <row r="360" spans="26:38" ht="17.100000000000001" hidden="1" customHeight="1">
      <c r="Z360" s="176">
        <f t="shared" si="15"/>
        <v>12.675000000000278</v>
      </c>
      <c r="AA360" s="176">
        <f>IF(TRIM(AG360)="","",IF(INDEX(AZ1:AZ51,AC360)=AG360,INDEX(BA1:BA51,AC360),((AG360-INDEX(AZ1:AZ51,AC360))*(INDEX(BA1:BA51,AC360+1)-INDEX(BA1:BA51,AC360)))/(INDEX(AZ1:AZ51,AC360+1)-INDEX(AZ1:AZ51,AC360))+INDEX(BA1:BA51,AC360)))</f>
        <v>12.675000000000278</v>
      </c>
      <c r="AB360" s="176" t="e">
        <f>IF(TRIM(AG360)="","",IF(INDEX(BD1:BD51,AD360)=AG360,INDEX(BE1:BE51,AD360),((AG360-INDEX(BD1:BD51,AD360))*(INDEX(BE1:BE51,AD360+1)-INDEX(BE1:BE51,AD360)))/(INDEX(BD1:BD51,AD360+1)-INDEX(BD1:BD51,AD360))+INDEX(BE1:BE51,AD360)))</f>
        <v>#N/A</v>
      </c>
      <c r="AC360" s="164">
        <f>MATCH(AG360,AZ1:AZ51,1)</f>
        <v>5</v>
      </c>
      <c r="AD360" s="164" t="e">
        <f>MATCH(AG360,BD1:BD51,1)</f>
        <v>#N/A</v>
      </c>
      <c r="AE360" s="164">
        <v>12</v>
      </c>
      <c r="AF360" s="164">
        <v>24</v>
      </c>
      <c r="AG360" s="179">
        <f>FIXED('HourGH-MAR'!AB36)*1</f>
        <v>338.19</v>
      </c>
      <c r="AH360" s="164" t="str">
        <f>IF(AND(AE360=AP5,AE360=AR5,AF360&gt;=AQ5,AF360&lt;=AS5),"r1",IF(AND(AE360&gt;AP5,AE360&lt;AR5),"r1",IF(AND(AE360&gt;AP5,AE360=AR5,AF360&lt;=AS5),"r1",IF(AND(AE360=AP5,AE360&lt;AR5,AF360&gt;=AQ5),"r1","n"))))</f>
        <v>r1</v>
      </c>
      <c r="AI360" s="164" t="str">
        <f>IF(AH360&lt;&gt;"n",AH360,IF(AND(AE360=AT5,AE360=AV5,AF360&gt;=AU5,AF360&lt;=AW5),"r2",IF(AND(AE360&gt;AT5,AE360&lt;AV5),"r2",IF(AND(AE360&gt;AT5,AE360=AV5,AF360&lt;=AW5),"r2",IF(AND(AE360=AT5,AE360&lt;AV5,AF360&gt;=AU5),"r2","n")))))</f>
        <v>r1</v>
      </c>
      <c r="AJ360" s="164" t="str">
        <f>IF(AI360&lt;&gt;"n",AI360,IF(AND(AE360=AP6,AE360=AR6,AF360&gt;=AQ6,AF360&lt;=AS6),"r1",IF(AND(AE360&gt;AP6,AE360&lt;AR6),"r1",IF(AND(AE360&gt;AP6,AE360=AR6,AF360&lt;=AS6),"r1",IF(AND(AE360=AP6,AE360&lt;AR6,AF360&gt;=AQ6),"r1","n")))))</f>
        <v>r1</v>
      </c>
      <c r="AK360" s="164" t="str">
        <f>IF(AJ360&lt;&gt;"n",AJ360,IF(AND(AE360=AT6,AE360=AV6,AF360&gt;=AU6,AF360&lt;=AW6),"r2",IF(AND(AE360&gt;AT6,AE360&lt;AV6),"r2",IF(AND(AE360&gt;AT6,AE360=AV6,AF360&lt;=AW6),"r2",IF(AND(AE360=AT6,AE360&lt;AV6,AF360&gt;=AU6),"r2","n")))))</f>
        <v>r1</v>
      </c>
      <c r="AL360" s="164" t="str">
        <f>IF(AK360&lt;&gt;"n",AK360,IF(AND(AE360=AP7,AE360=AR7,AF360&gt;=AQ7,AF360&lt;=AS7),"r1",IF(AND(AE360&gt;AP7,AE360&lt;AR7),"r1",IF(AND(AE360&gt;AP7,AE360=AR7,AF360&lt;=AS7),"r1",IF(AND(AE360=AP7,AE360&lt;AR7,AF360&gt;=AQ7),"r1","n")))))</f>
        <v>r1</v>
      </c>
    </row>
    <row r="361" spans="26:38" ht="17.100000000000001" hidden="1" customHeight="1">
      <c r="Z361" s="176">
        <f t="shared" si="15"/>
        <v>8.1250000000004619</v>
      </c>
      <c r="AA361" s="176">
        <f>IF(TRIM(AG361)="","",IF(INDEX(AZ1:AZ51,AC361)=AG361,INDEX(BA1:BA51,AC361),((AG361-INDEX(AZ1:AZ51,AC361))*(INDEX(BA1:BA51,AC361+1)-INDEX(BA1:BA51,AC361)))/(INDEX(AZ1:AZ51,AC361+1)-INDEX(AZ1:AZ51,AC361))+INDEX(BA1:BA51,AC361)))</f>
        <v>8.1250000000004619</v>
      </c>
      <c r="AB361" s="176" t="e">
        <f>IF(TRIM(AG361)="","",IF(INDEX(BD1:BD51,AD361)=AG361,INDEX(BE1:BE51,AD361),((AG361-INDEX(BD1:BD51,AD361))*(INDEX(BE1:BE51,AD361+1)-INDEX(BE1:BE51,AD361)))/(INDEX(BD1:BD51,AD361+1)-INDEX(BD1:BD51,AD361))+INDEX(BE1:BE51,AD361)))</f>
        <v>#N/A</v>
      </c>
      <c r="AC361" s="164">
        <f>MATCH(AG361,AZ1:AZ51,1)</f>
        <v>5</v>
      </c>
      <c r="AD361" s="164" t="e">
        <f>MATCH(AG361,BD1:BD51,1)</f>
        <v>#N/A</v>
      </c>
      <c r="AE361" s="164">
        <v>12</v>
      </c>
      <c r="AF361" s="164">
        <v>25</v>
      </c>
      <c r="AG361" s="179">
        <f>FIXED('HourGH-MAR'!AB37)*1</f>
        <v>338.05</v>
      </c>
      <c r="AH361" s="164" t="str">
        <f>IF(AND(AE361=AP5,AE361=AR5,AF361&gt;=AQ5,AF361&lt;=AS5),"r1",IF(AND(AE361&gt;AP5,AE361&lt;AR5),"r1",IF(AND(AE361&gt;AP5,AE361=AR5,AF361&lt;=AS5),"r1",IF(AND(AE361=AP5,AE361&lt;AR5,AF361&gt;=AQ5),"r1","n"))))</f>
        <v>r1</v>
      </c>
      <c r="AI361" s="164" t="str">
        <f>IF(AH361&lt;&gt;"n",AH361,IF(AND(AE361=AT5,AE361=AV5,AF361&gt;=AU5,AF361&lt;=AW5),"r2",IF(AND(AE361&gt;AT5,AE361&lt;AV5),"r2",IF(AND(AE361&gt;AT5,AE361=AV5,AF361&lt;=AW5),"r2",IF(AND(AE361=AT5,AE361&lt;AV5,AF361&gt;=AU5),"r2","n")))))</f>
        <v>r1</v>
      </c>
      <c r="AJ361" s="164" t="str">
        <f>IF(AI361&lt;&gt;"n",AI361,IF(AND(AE361=AP6,AE361=AR6,AF361&gt;=AQ6,AF361&lt;=AS6),"r1",IF(AND(AE361&gt;AP6,AE361&lt;AR6),"r1",IF(AND(AE361&gt;AP6,AE361=AR6,AF361&lt;=AS6),"r1",IF(AND(AE361=AP6,AE361&lt;AR6,AF361&gt;=AQ6),"r1","n")))))</f>
        <v>r1</v>
      </c>
      <c r="AK361" s="164" t="str">
        <f>IF(AJ361&lt;&gt;"n",AJ361,IF(AND(AE361=AT6,AE361=AV6,AF361&gt;=AU6,AF361&lt;=AW6),"r2",IF(AND(AE361&gt;AT6,AE361&lt;AV6),"r2",IF(AND(AE361&gt;AT6,AE361=AV6,AF361&lt;=AW6),"r2",IF(AND(AE361=AT6,AE361&lt;AV6,AF361&gt;=AU6),"r2","n")))))</f>
        <v>r1</v>
      </c>
      <c r="AL361" s="164" t="str">
        <f>IF(AK361&lt;&gt;"n",AK361,IF(AND(AE361=AP7,AE361=AR7,AF361&gt;=AQ7,AF361&lt;=AS7),"r1",IF(AND(AE361&gt;AP7,AE361&lt;AR7),"r1",IF(AND(AE361&gt;AP7,AE361=AR7,AF361&lt;=AS7),"r1",IF(AND(AE361=AP7,AE361&lt;AR7,AF361&gt;=AQ7),"r1","n")))))</f>
        <v>r1</v>
      </c>
    </row>
    <row r="362" spans="26:38" ht="17.100000000000001" hidden="1" customHeight="1">
      <c r="Z362" s="176">
        <f t="shared" si="15"/>
        <v>2</v>
      </c>
      <c r="AA362" s="176">
        <f>IF(TRIM(AG362)="","",IF(INDEX(AZ1:AZ51,AC362)=AG362,INDEX(BA1:BA51,AC362),((AG362-INDEX(AZ1:AZ51,AC362))*(INDEX(BA1:BA51,AC362+1)-INDEX(BA1:BA51,AC362)))/(INDEX(AZ1:AZ51,AC362+1)-INDEX(AZ1:AZ51,AC362))+INDEX(BA1:BA51,AC362)))</f>
        <v>2</v>
      </c>
      <c r="AB362" s="176" t="e">
        <f>IF(TRIM(AG362)="","",IF(INDEX(BD1:BD51,AD362)=AG362,INDEX(BE1:BE51,AD362),((AG362-INDEX(BD1:BD51,AD362))*(INDEX(BE1:BE51,AD362+1)-INDEX(BE1:BE51,AD362)))/(INDEX(BD1:BD51,AD362+1)-INDEX(BD1:BD51,AD362))+INDEX(BE1:BE51,AD362)))</f>
        <v>#N/A</v>
      </c>
      <c r="AC362" s="164">
        <f>MATCH(AG362,AZ1:AZ51,1)</f>
        <v>3</v>
      </c>
      <c r="AD362" s="164" t="e">
        <f>MATCH(AG362,BD1:BD51,1)</f>
        <v>#N/A</v>
      </c>
      <c r="AE362" s="164">
        <v>12</v>
      </c>
      <c r="AF362" s="164">
        <v>26</v>
      </c>
      <c r="AG362" s="179">
        <f>FIXED('HourGH-MAR'!AB38)*1</f>
        <v>337.8</v>
      </c>
      <c r="AH362" s="164" t="str">
        <f>IF(AND(AE362=AP5,AE362=AR5,AF362&gt;=AQ5,AF362&lt;=AS5),"r1",IF(AND(AE362&gt;AP5,AE362&lt;AR5),"r1",IF(AND(AE362&gt;AP5,AE362=AR5,AF362&lt;=AS5),"r1",IF(AND(AE362=AP5,AE362&lt;AR5,AF362&gt;=AQ5),"r1","n"))))</f>
        <v>r1</v>
      </c>
      <c r="AI362" s="164" t="str">
        <f>IF(AH362&lt;&gt;"n",AH362,IF(AND(AE362=AT5,AE362=AV5,AF362&gt;=AU5,AF362&lt;=AW5),"r2",IF(AND(AE362&gt;AT5,AE362&lt;AV5),"r2",IF(AND(AE362&gt;AT5,AE362=AV5,AF362&lt;=AW5),"r2",IF(AND(AE362=AT5,AE362&lt;AV5,AF362&gt;=AU5),"r2","n")))))</f>
        <v>r1</v>
      </c>
      <c r="AJ362" s="164" t="str">
        <f>IF(AI362&lt;&gt;"n",AI362,IF(AND(AE362=AP6,AE362=AR6,AF362&gt;=AQ6,AF362&lt;=AS6),"r1",IF(AND(AE362&gt;AP6,AE362&lt;AR6),"r1",IF(AND(AE362&gt;AP6,AE362=AR6,AF362&lt;=AS6),"r1",IF(AND(AE362=AP6,AE362&lt;AR6,AF362&gt;=AQ6),"r1","n")))))</f>
        <v>r1</v>
      </c>
      <c r="AK362" s="164" t="str">
        <f>IF(AJ362&lt;&gt;"n",AJ362,IF(AND(AE362=AT6,AE362=AV6,AF362&gt;=AU6,AF362&lt;=AW6),"r2",IF(AND(AE362&gt;AT6,AE362&lt;AV6),"r2",IF(AND(AE362&gt;AT6,AE362=AV6,AF362&lt;=AW6),"r2",IF(AND(AE362=AT6,AE362&lt;AV6,AF362&gt;=AU6),"r2","n")))))</f>
        <v>r1</v>
      </c>
      <c r="AL362" s="164" t="str">
        <f>IF(AK362&lt;&gt;"n",AK362,IF(AND(AE362=AP7,AE362=AR7,AF362&gt;=AQ7,AF362&lt;=AS7),"r1",IF(AND(AE362&gt;AP7,AE362&lt;AR7),"r1",IF(AND(AE362&gt;AP7,AE362=AR7,AF362&lt;=AS7),"r1",IF(AND(AE362=AP7,AE362&lt;AR7,AF362&gt;=AQ7),"r1","n")))))</f>
        <v>r1</v>
      </c>
    </row>
    <row r="363" spans="26:38" ht="17.100000000000001" hidden="1" customHeight="1">
      <c r="Z363" s="176">
        <f t="shared" si="15"/>
        <v>2</v>
      </c>
      <c r="AA363" s="176">
        <f>IF(TRIM(AG363)="","",IF(INDEX(AZ1:AZ51,AC363)=AG363,INDEX(BA1:BA51,AC363),((AG363-INDEX(AZ1:AZ51,AC363))*(INDEX(BA1:BA51,AC363+1)-INDEX(BA1:BA51,AC363)))/(INDEX(AZ1:AZ51,AC363+1)-INDEX(AZ1:AZ51,AC363))+INDEX(BA1:BA51,AC363)))</f>
        <v>2</v>
      </c>
      <c r="AB363" s="176" t="e">
        <f>IF(TRIM(AG363)="","",IF(INDEX(BD1:BD51,AD363)=AG363,INDEX(BE1:BE51,AD363),((AG363-INDEX(BD1:BD51,AD363))*(INDEX(BE1:BE51,AD363+1)-INDEX(BE1:BE51,AD363)))/(INDEX(BD1:BD51,AD363+1)-INDEX(BD1:BD51,AD363))+INDEX(BE1:BE51,AD363)))</f>
        <v>#N/A</v>
      </c>
      <c r="AC363" s="164">
        <f>MATCH(AG363,AZ1:AZ51,1)</f>
        <v>3</v>
      </c>
      <c r="AD363" s="164" t="e">
        <f>MATCH(AG363,BD1:BD51,1)</f>
        <v>#N/A</v>
      </c>
      <c r="AE363" s="164">
        <v>12</v>
      </c>
      <c r="AF363" s="164">
        <v>27</v>
      </c>
      <c r="AG363" s="179">
        <f>FIXED('HourGH-MAR'!AB39)*1</f>
        <v>337.8</v>
      </c>
      <c r="AH363" s="164" t="str">
        <f>IF(AND(AE363=AP5,AE363=AR5,AF363&gt;=AQ5,AF363&lt;=AS5),"r1",IF(AND(AE363&gt;AP5,AE363&lt;AR5),"r1",IF(AND(AE363&gt;AP5,AE363=AR5,AF363&lt;=AS5),"r1",IF(AND(AE363=AP5,AE363&lt;AR5,AF363&gt;=AQ5),"r1","n"))))</f>
        <v>r1</v>
      </c>
      <c r="AI363" s="164" t="str">
        <f>IF(AH363&lt;&gt;"n",AH363,IF(AND(AE363=AT5,AE363=AV5,AF363&gt;=AU5,AF363&lt;=AW5),"r2",IF(AND(AE363&gt;AT5,AE363&lt;AV5),"r2",IF(AND(AE363&gt;AT5,AE363=AV5,AF363&lt;=AW5),"r2",IF(AND(AE363=AT5,AE363&lt;AV5,AF363&gt;=AU5),"r2","n")))))</f>
        <v>r1</v>
      </c>
      <c r="AJ363" s="164" t="str">
        <f>IF(AI363&lt;&gt;"n",AI363,IF(AND(AE363=AP6,AE363=AR6,AF363&gt;=AQ6,AF363&lt;=AS6),"r1",IF(AND(AE363&gt;AP6,AE363&lt;AR6),"r1",IF(AND(AE363&gt;AP6,AE363=AR6,AF363&lt;=AS6),"r1",IF(AND(AE363=AP6,AE363&lt;AR6,AF363&gt;=AQ6),"r1","n")))))</f>
        <v>r1</v>
      </c>
      <c r="AK363" s="164" t="str">
        <f>IF(AJ363&lt;&gt;"n",AJ363,IF(AND(AE363=AT6,AE363=AV6,AF363&gt;=AU6,AF363&lt;=AW6),"r2",IF(AND(AE363&gt;AT6,AE363&lt;AV6),"r2",IF(AND(AE363&gt;AT6,AE363=AV6,AF363&lt;=AW6),"r2",IF(AND(AE363=AT6,AE363&lt;AV6,AF363&gt;=AU6),"r2","n")))))</f>
        <v>r1</v>
      </c>
      <c r="AL363" s="164" t="str">
        <f>IF(AK363&lt;&gt;"n",AK363,IF(AND(AE363=AP7,AE363=AR7,AF363&gt;=AQ7,AF363&lt;=AS7),"r1",IF(AND(AE363&gt;AP7,AE363&lt;AR7),"r1",IF(AND(AE363&gt;AP7,AE363=AR7,AF363&lt;=AS7),"r1",IF(AND(AE363=AP7,AE363&lt;AR7,AF363&gt;=AQ7),"r1","n")))))</f>
        <v>r1</v>
      </c>
    </row>
    <row r="364" spans="26:38" ht="17.100000000000001" hidden="1" customHeight="1">
      <c r="Z364" s="176">
        <f t="shared" si="15"/>
        <v>5.25</v>
      </c>
      <c r="AA364" s="176">
        <f>IF(TRIM(AG364)="","",IF(INDEX(AZ1:AZ51,AC364)=AG364,INDEX(BA1:BA51,AC364),((AG364-INDEX(AZ1:AZ51,AC364))*(INDEX(BA1:BA51,AC364+1)-INDEX(BA1:BA51,AC364)))/(INDEX(AZ1:AZ51,AC364+1)-INDEX(AZ1:AZ51,AC364))+INDEX(BA1:BA51,AC364)))</f>
        <v>5.25</v>
      </c>
      <c r="AB364" s="176" t="e">
        <f>IF(TRIM(AG364)="","",IF(INDEX(BD1:BD51,AD364)=AG364,INDEX(BE1:BE51,AD364),((AG364-INDEX(BD1:BD51,AD364))*(INDEX(BE1:BE51,AD364+1)-INDEX(BE1:BE51,AD364)))/(INDEX(BD1:BD51,AD364+1)-INDEX(BD1:BD51,AD364))+INDEX(BE1:BE51,AD364)))</f>
        <v>#N/A</v>
      </c>
      <c r="AC364" s="164">
        <f>MATCH(AG364,AZ1:AZ51,1)</f>
        <v>4</v>
      </c>
      <c r="AD364" s="164" t="e">
        <f>MATCH(AG364,BD1:BD51,1)</f>
        <v>#N/A</v>
      </c>
      <c r="AE364" s="164">
        <v>12</v>
      </c>
      <c r="AF364" s="164">
        <v>28</v>
      </c>
      <c r="AG364" s="179">
        <f>FIXED('HourGH-MAR'!AB40)*1</f>
        <v>337.95</v>
      </c>
      <c r="AH364" s="164" t="str">
        <f>IF(AND(AE364=AP5,AE364=AR5,AF364&gt;=AQ5,AF364&lt;=AS5),"r1",IF(AND(AE364&gt;AP5,AE364&lt;AR5),"r1",IF(AND(AE364&gt;AP5,AE364=AR5,AF364&lt;=AS5),"r1",IF(AND(AE364=AP5,AE364&lt;AR5,AF364&gt;=AQ5),"r1","n"))))</f>
        <v>r1</v>
      </c>
      <c r="AI364" s="164" t="str">
        <f>IF(AH364&lt;&gt;"n",AH364,IF(AND(AE364=AT5,AE364=AV5,AF364&gt;=AU5,AF364&lt;=AW5),"r2",IF(AND(AE364&gt;AT5,AE364&lt;AV5),"r2",IF(AND(AE364&gt;AT5,AE364=AV5,AF364&lt;=AW5),"r2",IF(AND(AE364=AT5,AE364&lt;AV5,AF364&gt;=AU5),"r2","n")))))</f>
        <v>r1</v>
      </c>
      <c r="AJ364" s="164" t="str">
        <f>IF(AI364&lt;&gt;"n",AI364,IF(AND(AE364=AP6,AE364=AR6,AF364&gt;=AQ6,AF364&lt;=AS6),"r1",IF(AND(AE364&gt;AP6,AE364&lt;AR6),"r1",IF(AND(AE364&gt;AP6,AE364=AR6,AF364&lt;=AS6),"r1",IF(AND(AE364=AP6,AE364&lt;AR6,AF364&gt;=AQ6),"r1","n")))))</f>
        <v>r1</v>
      </c>
      <c r="AK364" s="164" t="str">
        <f>IF(AJ364&lt;&gt;"n",AJ364,IF(AND(AE364=AT6,AE364=AV6,AF364&gt;=AU6,AF364&lt;=AW6),"r2",IF(AND(AE364&gt;AT6,AE364&lt;AV6),"r2",IF(AND(AE364&gt;AT6,AE364=AV6,AF364&lt;=AW6),"r2",IF(AND(AE364=AT6,AE364&lt;AV6,AF364&gt;=AU6),"r2","n")))))</f>
        <v>r1</v>
      </c>
      <c r="AL364" s="164" t="str">
        <f>IF(AK364&lt;&gt;"n",AK364,IF(AND(AE364=AP7,AE364=AR7,AF364&gt;=AQ7,AF364&lt;=AS7),"r1",IF(AND(AE364&gt;AP7,AE364&lt;AR7),"r1",IF(AND(AE364&gt;AP7,AE364=AR7,AF364&lt;=AS7),"r1",IF(AND(AE364=AP7,AE364&lt;AR7,AF364&gt;=AQ7),"r1","n")))))</f>
        <v>r1</v>
      </c>
    </row>
    <row r="365" spans="26:38" ht="17.100000000000001" hidden="1" customHeight="1">
      <c r="Z365" s="176">
        <f t="shared" si="15"/>
        <v>17.050000000001663</v>
      </c>
      <c r="AA365" s="176">
        <f>IF(TRIM(AG365)="","",IF(INDEX(AZ1:AZ51,AC365)=AG365,INDEX(BA1:BA51,AC365),((AG365-INDEX(AZ1:AZ51,AC365))*(INDEX(BA1:BA51,AC365+1)-INDEX(BA1:BA51,AC365)))/(INDEX(AZ1:AZ51,AC365+1)-INDEX(AZ1:AZ51,AC365))+INDEX(BA1:BA51,AC365)))</f>
        <v>17.050000000001663</v>
      </c>
      <c r="AB365" s="176" t="e">
        <f>IF(TRIM(AG365)="","",IF(INDEX(BD1:BD51,AD365)=AG365,INDEX(BE1:BE51,AD365),((AG365-INDEX(BD1:BD51,AD365))*(INDEX(BE1:BE51,AD365+1)-INDEX(BE1:BE51,AD365)))/(INDEX(BD1:BD51,AD365+1)-INDEX(BD1:BD51,AD365))+INDEX(BE1:BE51,AD365)))</f>
        <v>#N/A</v>
      </c>
      <c r="AC365" s="164">
        <f>MATCH(AG365,AZ1:AZ51,1)</f>
        <v>6</v>
      </c>
      <c r="AD365" s="164" t="e">
        <f>MATCH(AG365,BD1:BD51,1)</f>
        <v>#N/A</v>
      </c>
      <c r="AE365" s="164">
        <v>12</v>
      </c>
      <c r="AF365" s="164">
        <v>29</v>
      </c>
      <c r="AG365" s="179">
        <f>FIXED('HourGH-MAR'!AB41)*1</f>
        <v>338.29</v>
      </c>
      <c r="AH365" s="164" t="str">
        <f>IF(AND(AE365=AP5,AE365=AR5,AF365&gt;=AQ5,AF365&lt;=AS5),"r1",IF(AND(AE365&gt;AP5,AE365&lt;AR5),"r1",IF(AND(AE365&gt;AP5,AE365=AR5,AF365&lt;=AS5),"r1",IF(AND(AE365=AP5,AE365&lt;AR5,AF365&gt;=AQ5),"r1","n"))))</f>
        <v>r1</v>
      </c>
      <c r="AI365" s="164" t="str">
        <f>IF(AH365&lt;&gt;"n",AH365,IF(AND(AE365=AT5,AE365=AV5,AF365&gt;=AU5,AF365&lt;=AW5),"r2",IF(AND(AE365&gt;AT5,AE365&lt;AV5),"r2",IF(AND(AE365&gt;AT5,AE365=AV5,AF365&lt;=AW5),"r2",IF(AND(AE365=AT5,AE365&lt;AV5,AF365&gt;=AU5),"r2","n")))))</f>
        <v>r1</v>
      </c>
      <c r="AJ365" s="164" t="str">
        <f>IF(AI365&lt;&gt;"n",AI365,IF(AND(AE365=AP6,AE365=AR6,AF365&gt;=AQ6,AF365&lt;=AS6),"r1",IF(AND(AE365&gt;AP6,AE365&lt;AR6),"r1",IF(AND(AE365&gt;AP6,AE365=AR6,AF365&lt;=AS6),"r1",IF(AND(AE365=AP6,AE365&lt;AR6,AF365&gt;=AQ6),"r1","n")))))</f>
        <v>r1</v>
      </c>
      <c r="AK365" s="164" t="str">
        <f>IF(AJ365&lt;&gt;"n",AJ365,IF(AND(AE365=AT6,AE365=AV6,AF365&gt;=AU6,AF365&lt;=AW6),"r2",IF(AND(AE365&gt;AT6,AE365&lt;AV6),"r2",IF(AND(AE365&gt;AT6,AE365=AV6,AF365&lt;=AW6),"r2",IF(AND(AE365=AT6,AE365&lt;AV6,AF365&gt;=AU6),"r2","n")))))</f>
        <v>r1</v>
      </c>
      <c r="AL365" s="164" t="str">
        <f>IF(AK365&lt;&gt;"n",AK365,IF(AND(AE365=AP7,AE365=AR7,AF365&gt;=AQ7,AF365&lt;=AS7),"r1",IF(AND(AE365&gt;AP7,AE365&lt;AR7),"r1",IF(AND(AE365&gt;AP7,AE365=AR7,AF365&lt;=AS7),"r1",IF(AND(AE365=AP7,AE365&lt;AR7,AF365&gt;=AQ7),"r1","n")))))</f>
        <v>r1</v>
      </c>
    </row>
    <row r="366" spans="26:38" ht="17.100000000000001" hidden="1" customHeight="1">
      <c r="Z366" s="176">
        <f t="shared" si="15"/>
        <v>14.800000000001024</v>
      </c>
      <c r="AA366" s="176">
        <f>IF(TRIM(AG366)="","",IF(INDEX(AZ1:AZ51,AC366)=AG366,INDEX(BA1:BA51,AC366),((AG366-INDEX(AZ1:AZ51,AC366))*(INDEX(BA1:BA51,AC366+1)-INDEX(BA1:BA51,AC366)))/(INDEX(AZ1:AZ51,AC366+1)-INDEX(AZ1:AZ51,AC366))+INDEX(BA1:BA51,AC366)))</f>
        <v>14.800000000001024</v>
      </c>
      <c r="AB366" s="176" t="e">
        <f>IF(TRIM(AG366)="","",IF(INDEX(BD1:BD51,AD366)=AG366,INDEX(BE1:BE51,AD366),((AG366-INDEX(BD1:BD51,AD366))*(INDEX(BE1:BE51,AD366+1)-INDEX(BE1:BE51,AD366)))/(INDEX(BD1:BD51,AD366+1)-INDEX(BD1:BD51,AD366))+INDEX(BE1:BE51,AD366)))</f>
        <v>#N/A</v>
      </c>
      <c r="AC366" s="164">
        <f>MATCH(AG366,AZ1:AZ51,1)</f>
        <v>6</v>
      </c>
      <c r="AD366" s="164" t="e">
        <f>MATCH(AG366,BD1:BD51,1)</f>
        <v>#N/A</v>
      </c>
      <c r="AE366" s="164">
        <v>12</v>
      </c>
      <c r="AF366" s="164">
        <v>30</v>
      </c>
      <c r="AG366" s="179">
        <f>FIXED('HourGH-MAR'!AB42)*1</f>
        <v>338.24</v>
      </c>
      <c r="AH366" s="164" t="str">
        <f>IF(AND(AE366=AP5,AE366=AR5,AF366&gt;=AQ5,AF366&lt;=AS5),"r1",IF(AND(AE366&gt;AP5,AE366&lt;AR5),"r1",IF(AND(AE366&gt;AP5,AE366=AR5,AF366&lt;=AS5),"r1",IF(AND(AE366=AP5,AE366&lt;AR5,AF366&gt;=AQ5),"r1","n"))))</f>
        <v>r1</v>
      </c>
      <c r="AI366" s="164" t="str">
        <f>IF(AH366&lt;&gt;"n",AH366,IF(AND(AE366=AT5,AE366=AV5,AF366&gt;=AU5,AF366&lt;=AW5),"r2",IF(AND(AE366&gt;AT5,AE366&lt;AV5),"r2",IF(AND(AE366&gt;AT5,AE366=AV5,AF366&lt;=AW5),"r2",IF(AND(AE366=AT5,AE366&lt;AV5,AF366&gt;=AU5),"r2","n")))))</f>
        <v>r1</v>
      </c>
      <c r="AJ366" s="164" t="str">
        <f>IF(AI366&lt;&gt;"n",AI366,IF(AND(AE366=AP6,AE366=AR6,AF366&gt;=AQ6,AF366&lt;=AS6),"r1",IF(AND(AE366&gt;AP6,AE366&lt;AR6),"r1",IF(AND(AE366&gt;AP6,AE366=AR6,AF366&lt;=AS6),"r1",IF(AND(AE366=AP6,AE366&lt;AR6,AF366&gt;=AQ6),"r1","n")))))</f>
        <v>r1</v>
      </c>
      <c r="AK366" s="164" t="str">
        <f>IF(AJ366&lt;&gt;"n",AJ366,IF(AND(AE366=AT6,AE366=AV6,AF366&gt;=AU6,AF366&lt;=AW6),"r2",IF(AND(AE366&gt;AT6,AE366&lt;AV6),"r2",IF(AND(AE366&gt;AT6,AE366=AV6,AF366&lt;=AW6),"r2",IF(AND(AE366=AT6,AE366&lt;AV6,AF366&gt;=AU6),"r2","n")))))</f>
        <v>r1</v>
      </c>
      <c r="AL366" s="164" t="str">
        <f>IF(AK366&lt;&gt;"n",AK366,IF(AND(AE366=AP7,AE366=AR7,AF366&gt;=AQ7,AF366&lt;=AS7),"r1",IF(AND(AE366&gt;AP7,AE366&lt;AR7),"r1",IF(AND(AE366&gt;AP7,AE366=AR7,AF366&lt;=AS7),"r1",IF(AND(AE366=AP7,AE366&lt;AR7,AF366&gt;=AQ7),"r1","n")))))</f>
        <v>r1</v>
      </c>
    </row>
    <row r="367" spans="26:38" ht="17.100000000000001" hidden="1" customHeight="1">
      <c r="Z367" s="176">
        <f t="shared" si="15"/>
        <v>13.449999999999616</v>
      </c>
      <c r="AA367" s="176">
        <f>IF(TRIM(AG367)="","",IF(INDEX(AZ1:AZ51,AC367)=AG367,INDEX(BA1:BA51,AC367),((AG367-INDEX(AZ1:AZ51,AC367))*(INDEX(BA1:BA51,AC367+1)-INDEX(BA1:BA51,AC367)))/(INDEX(AZ1:AZ51,AC367+1)-INDEX(AZ1:AZ51,AC367))+INDEX(BA1:BA51,AC367)))</f>
        <v>13.449999999999616</v>
      </c>
      <c r="AB367" s="176" t="e">
        <f>IF(TRIM(AG367)="","",IF(INDEX(BD1:BD51,AD367)=AG367,INDEX(BE1:BE51,AD367),((AG367-INDEX(BD1:BD51,AD367))*(INDEX(BE1:BE51,AD367+1)-INDEX(BE1:BE51,AD367)))/(INDEX(BD1:BD51,AD367+1)-INDEX(BD1:BD51,AD367))+INDEX(BE1:BE51,AD367)))</f>
        <v>#N/A</v>
      </c>
      <c r="AC367" s="164">
        <f>MATCH(AG367,AZ1:AZ51,1)</f>
        <v>6</v>
      </c>
      <c r="AD367" s="164" t="e">
        <f>MATCH(AG367,BD1:BD51,1)</f>
        <v>#N/A</v>
      </c>
      <c r="AE367" s="164">
        <v>12</v>
      </c>
      <c r="AF367" s="164">
        <v>31</v>
      </c>
      <c r="AG367" s="179">
        <f>FIXED('HourGH-MAR'!AB43)*1</f>
        <v>338.21</v>
      </c>
      <c r="AH367" s="164" t="str">
        <f>IF(AND(AE367=AP5,AE367=AR5,AF367&gt;=AQ5,AF367&lt;=AS5),"r1",IF(AND(AE367&gt;AP5,AE367&lt;AR5),"r1",IF(AND(AE367&gt;AP5,AE367=AR5,AF367&lt;=AS5),"r1",IF(AND(AE367=AP5,AE367&lt;AR5,AF367&gt;=AQ5),"r1","n"))))</f>
        <v>r1</v>
      </c>
      <c r="AI367" s="164" t="str">
        <f>IF(AH367&lt;&gt;"n",AH367,IF(AND(AE367=AT5,AE367=AV5,AF367&gt;=AU5,AF367&lt;=AW5),"r2",IF(AND(AE367&gt;AT5,AE367&lt;AV5),"r2",IF(AND(AE367&gt;AT5,AE367=AV5,AF367&lt;=AW5),"r2",IF(AND(AE367=AT5,AE367&lt;AV5,AF367&gt;=AU5),"r2","n")))))</f>
        <v>r1</v>
      </c>
      <c r="AJ367" s="164" t="str">
        <f>IF(AI367&lt;&gt;"n",AI367,IF(AND(AE367=AP6,AE367=AR6,AF367&gt;=AQ6,AF367&lt;=AS6),"r1",IF(AND(AE367&gt;AP6,AE367&lt;AR6),"r1",IF(AND(AE367&gt;AP6,AE367=AR6,AF367&lt;=AS6),"r1",IF(AND(AE367=AP6,AE367&lt;AR6,AF367&gt;=AQ6),"r1","n")))))</f>
        <v>r1</v>
      </c>
      <c r="AK367" s="164" t="str">
        <f>IF(AJ367&lt;&gt;"n",AJ367,IF(AND(AE367=AT6,AE367=AV6,AF367&gt;=AU6,AF367&lt;=AW6),"r2",IF(AND(AE367&gt;AT6,AE367&lt;AV6),"r2",IF(AND(AE367&gt;AT6,AE367=AV6,AF367&lt;=AW6),"r2",IF(AND(AE367=AT6,AE367&lt;AV6,AF367&gt;=AU6),"r2","n")))))</f>
        <v>r1</v>
      </c>
      <c r="AL367" s="164" t="str">
        <f>IF(AK367&lt;&gt;"n",AK367,IF(AND(AE367=AP7,AE367=AR7,AF367&gt;=AQ7,AF367&lt;=AS7),"r1",IF(AND(AE367&gt;AP7,AE367&lt;AR7),"r1",IF(AND(AE367&gt;AP7,AE367=AR7,AF367&lt;=AS7),"r1",IF(AND(AE367=AP7,AE367&lt;AR7,AF367&gt;=AQ7),"r1","n")))))</f>
        <v>r1</v>
      </c>
    </row>
    <row r="368" spans="26:38" ht="17.100000000000001" hidden="1" customHeight="1"/>
    <row r="369" spans="32:57" ht="17.100000000000001" hidden="1" customHeight="1">
      <c r="AF369" s="179"/>
      <c r="AW369" s="176"/>
      <c r="BE369" s="164"/>
    </row>
    <row r="370" spans="32:57" ht="17.100000000000001" hidden="1" customHeight="1">
      <c r="AF370" s="179"/>
      <c r="AW370" s="176"/>
      <c r="BE370" s="164"/>
    </row>
    <row r="371" spans="32:57" ht="17.100000000000001" hidden="1" customHeight="1">
      <c r="AF371" s="179"/>
      <c r="AW371" s="176"/>
      <c r="BE371" s="164"/>
    </row>
    <row r="372" spans="32:57" ht="17.100000000000001" hidden="1" customHeight="1">
      <c r="AF372" s="179"/>
      <c r="AW372" s="176"/>
      <c r="BE372" s="164"/>
    </row>
    <row r="373" spans="32:57" ht="17.100000000000001" hidden="1" customHeight="1">
      <c r="AF373" s="179"/>
      <c r="AG373" s="179" t="str">
        <f>F48</f>
        <v>340.23</v>
      </c>
      <c r="AW373" s="176"/>
      <c r="BE373" s="164"/>
    </row>
    <row r="374" spans="32:57" ht="17.100000000000001" hidden="1" customHeight="1">
      <c r="AF374" s="179"/>
      <c r="AW374" s="176"/>
      <c r="BE374" s="164"/>
    </row>
    <row r="375" spans="32:57" ht="17.100000000000001" hidden="1" customHeight="1">
      <c r="AF375" s="179"/>
      <c r="AW375" s="176"/>
      <c r="BE375" s="164"/>
    </row>
    <row r="376" spans="32:57" ht="17.100000000000001" hidden="1" customHeight="1">
      <c r="AF376" s="179"/>
      <c r="AW376" s="176"/>
      <c r="BE376" s="164"/>
    </row>
    <row r="377" spans="32:57" ht="17.100000000000001" hidden="1" customHeight="1">
      <c r="AF377" s="179"/>
      <c r="AW377" s="176"/>
      <c r="BE377" s="164"/>
    </row>
    <row r="378" spans="32:57" ht="17.100000000000001" hidden="1" customHeight="1">
      <c r="AF378" s="179"/>
      <c r="AW378" s="176"/>
      <c r="BE378" s="164"/>
    </row>
    <row r="379" spans="32:57" ht="17.100000000000001" hidden="1" customHeight="1">
      <c r="AF379" s="179"/>
      <c r="AW379" s="176"/>
      <c r="BE379" s="164"/>
    </row>
    <row r="380" spans="32:57" ht="17.100000000000001" hidden="1" customHeight="1">
      <c r="AF380" s="179"/>
      <c r="AW380" s="176"/>
      <c r="BE380" s="164"/>
    </row>
    <row r="381" spans="32:57" ht="17.100000000000001" hidden="1" customHeight="1">
      <c r="AF381" s="179"/>
      <c r="AW381" s="176"/>
      <c r="BE381" s="164"/>
    </row>
    <row r="382" spans="32:57" ht="17.100000000000001" hidden="1" customHeight="1">
      <c r="AF382" s="179"/>
      <c r="AW382" s="176"/>
      <c r="BE382" s="164"/>
    </row>
    <row r="383" spans="32:57" ht="17.100000000000001" hidden="1" customHeight="1">
      <c r="AF383" s="179"/>
      <c r="AW383" s="176"/>
      <c r="BE383" s="164"/>
    </row>
    <row r="384" spans="32:57" ht="17.100000000000001" hidden="1" customHeight="1">
      <c r="AF384" s="179"/>
      <c r="AW384" s="176"/>
      <c r="BE384" s="164"/>
    </row>
    <row r="385" spans="32:57" ht="17.100000000000001" hidden="1" customHeight="1">
      <c r="AF385" s="179"/>
      <c r="AW385" s="176"/>
      <c r="BE385" s="164"/>
    </row>
    <row r="386" spans="32:57" ht="17.100000000000001" hidden="1" customHeight="1">
      <c r="AF386" s="179"/>
      <c r="AW386" s="176"/>
      <c r="BE386" s="164"/>
    </row>
    <row r="387" spans="32:57" ht="17.100000000000001" hidden="1" customHeight="1">
      <c r="AF387" s="179"/>
      <c r="AW387" s="176"/>
      <c r="BE387" s="164"/>
    </row>
    <row r="388" spans="32:57" ht="17.100000000000001" hidden="1" customHeight="1">
      <c r="AF388" s="179"/>
      <c r="AW388" s="176"/>
      <c r="BE388" s="164"/>
    </row>
    <row r="389" spans="32:57" ht="17.100000000000001" hidden="1" customHeight="1">
      <c r="AF389" s="179"/>
      <c r="AW389" s="176"/>
      <c r="BE389" s="164"/>
    </row>
    <row r="390" spans="32:57" ht="17.100000000000001" hidden="1" customHeight="1">
      <c r="AF390" s="179"/>
      <c r="AW390" s="176"/>
      <c r="BE390" s="164"/>
    </row>
  </sheetData>
  <sheetProtection password="D965" sheet="1" objects="1" scenarios="1"/>
  <mergeCells count="15">
    <mergeCell ref="A1:B1"/>
    <mergeCell ref="A2:B2"/>
    <mergeCell ref="M3:N3"/>
    <mergeCell ref="C1:J1"/>
    <mergeCell ref="C2:G2"/>
    <mergeCell ref="C3:G3"/>
    <mergeCell ref="M1:O1"/>
    <mergeCell ref="C4:G4"/>
    <mergeCell ref="B5:O5"/>
    <mergeCell ref="H4:I4"/>
    <mergeCell ref="B49:C49"/>
    <mergeCell ref="E49:I49"/>
    <mergeCell ref="K49:N49"/>
    <mergeCell ref="L48:M48"/>
    <mergeCell ref="M4:O4"/>
  </mergeCells>
  <phoneticPr fontId="71" type="noConversion"/>
  <pageMargins left="0.55118110236220474" right="0.35433070866141736" top="0.19685039370078741" bottom="0.39370078740157483" header="0.31496062992125984" footer="0.31496062992125984"/>
  <pageSetup paperSize="9" scale="93" orientation="landscape" horizontalDpi="4294967293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Y49"/>
  <sheetViews>
    <sheetView showGridLines="0" topLeftCell="A10" workbookViewId="0">
      <selection activeCell="F18" sqref="F18"/>
    </sheetView>
  </sheetViews>
  <sheetFormatPr defaultRowHeight="12.75"/>
  <cols>
    <col min="1" max="15" width="9.140625" style="63"/>
    <col min="16" max="16" width="5.7109375" style="63" customWidth="1"/>
    <col min="17" max="25" width="9.140625" style="63" hidden="1" customWidth="1"/>
    <col min="26" max="26" width="0" style="63" hidden="1" customWidth="1"/>
    <col min="27" max="16384" width="9.140625" style="63"/>
  </cols>
  <sheetData>
    <row r="1" spans="1:23">
      <c r="A1" s="296" t="s">
        <v>264</v>
      </c>
      <c r="B1" s="297"/>
      <c r="C1" s="306" t="str">
        <f>'c-form'!AG4</f>
        <v>Ban Cho Lae,  Mae Taeng, Chiang Mai,P.75</v>
      </c>
      <c r="D1" s="306"/>
      <c r="E1" s="306"/>
      <c r="F1" s="306"/>
      <c r="G1" s="306"/>
      <c r="H1" s="306"/>
      <c r="I1" s="306"/>
      <c r="J1" s="306"/>
      <c r="K1" s="236"/>
      <c r="L1" s="164"/>
      <c r="M1" s="296" t="s">
        <v>316</v>
      </c>
      <c r="N1" s="297"/>
      <c r="O1" s="282"/>
      <c r="P1" s="164"/>
    </row>
    <row r="2" spans="1:23">
      <c r="A2" s="296" t="s">
        <v>265</v>
      </c>
      <c r="B2" s="297"/>
      <c r="C2" s="295" t="str">
        <f>'c-form'!AG3</f>
        <v>Nam  Ping</v>
      </c>
      <c r="D2" s="295"/>
      <c r="E2" s="295"/>
      <c r="F2" s="295"/>
      <c r="G2" s="295"/>
      <c r="H2" s="246"/>
      <c r="I2" s="246"/>
      <c r="J2" s="246"/>
      <c r="K2" s="236"/>
      <c r="L2" s="164"/>
      <c r="M2" s="165" t="s">
        <v>94</v>
      </c>
      <c r="N2" s="235"/>
      <c r="O2" s="164"/>
      <c r="P2" s="164"/>
    </row>
    <row r="3" spans="1:23">
      <c r="A3" s="165" t="s">
        <v>270</v>
      </c>
      <c r="B3" s="165"/>
      <c r="C3" s="295" t="str">
        <f>'c-form'!AH3</f>
        <v>Ping</v>
      </c>
      <c r="D3" s="295"/>
      <c r="E3" s="295"/>
      <c r="F3" s="295"/>
      <c r="G3" s="295"/>
      <c r="H3" s="246"/>
      <c r="I3" s="246"/>
      <c r="J3" s="246"/>
      <c r="K3" s="236"/>
      <c r="L3" s="164"/>
      <c r="M3" s="296" t="s">
        <v>268</v>
      </c>
      <c r="N3" s="296"/>
      <c r="O3" s="164"/>
      <c r="P3" s="164"/>
    </row>
    <row r="4" spans="1:23">
      <c r="A4" s="165" t="s">
        <v>271</v>
      </c>
      <c r="B4" s="248"/>
      <c r="C4" s="298" t="str">
        <f>'c-form'!AI3</f>
        <v>Ping</v>
      </c>
      <c r="D4" s="298"/>
      <c r="E4" s="298"/>
      <c r="F4" s="298"/>
      <c r="G4" s="298"/>
      <c r="H4" s="296" t="str">
        <f>IF(TRIM('c-form'!AJ3)&lt;&gt;"","Water  Year   " &amp; 'c-form'!AJ3,"Water  Year   ")</f>
        <v>Water  Year   2013</v>
      </c>
      <c r="I4" s="296"/>
      <c r="J4" s="249"/>
      <c r="K4" s="236"/>
      <c r="L4" s="164"/>
      <c r="M4" s="296" t="str">
        <f>"Rating  Curve" &amp;"  " &amp; R5</f>
        <v>Rating  Curve  HC.1/2424</v>
      </c>
      <c r="N4" s="270"/>
      <c r="O4" s="282"/>
      <c r="P4" s="282"/>
      <c r="R4" s="63" t="str">
        <f>IF(TRIM('c-form'!E15)="","",'c-form'!E15)</f>
        <v>MSL.</v>
      </c>
      <c r="S4" s="63">
        <f>IF(TRIM('c-form'!U15)="","",'c-form'!U15)</f>
        <v>340.23</v>
      </c>
      <c r="T4" s="63" t="str">
        <f>IF(TRIM('c-form'!W15)="","","0"&amp;'c-form'!W15&amp;":00")</f>
        <v>010:00</v>
      </c>
      <c r="U4" s="63" t="str">
        <f>IF(TRIM('c-form'!Z15)="","",'c-form'!Z15)</f>
        <v>OCT</v>
      </c>
      <c r="V4" s="63">
        <f>IF(TRIM('c-form'!AA15)="","",'c-form'!AA15)</f>
        <v>19</v>
      </c>
      <c r="W4" s="63">
        <f>IF(TRIM('c-form'!C7)="","",'c-form'!C7)</f>
        <v>2013</v>
      </c>
    </row>
    <row r="5" spans="1:23">
      <c r="A5" s="164"/>
      <c r="B5" s="293" t="str">
        <f>IF(TRIM('c-form'!AJ3)&lt;&gt;"","GAGE HEIGHT IN METER ("&amp;R4&amp;"), Water Year April 1, "&amp;'c-form'!AJ3&amp;" to March 31,  "&amp;'c-form'!AJ3+1,"GAGE HEIGHT IN METER ("&amp;R4&amp;"), Water Year April 1,         to March 31,  ")</f>
        <v>GAGE HEIGHT IN METER (MSL.), Water Year April 1, 2013 to March 31,  2014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164"/>
      <c r="R5" s="63" t="str">
        <f>IF(TRIM('c-form'!C18)="","",'c-form'!C18)</f>
        <v>HC.1/2424</v>
      </c>
      <c r="T5" s="63">
        <f>IF(TRIM('c-form'!C15)="","",'c-form'!C15)</f>
        <v>337.6</v>
      </c>
      <c r="U5" s="63">
        <f>IF(TRIM('c-form'!O15)="","",'c-form'!O15)</f>
        <v>337.34</v>
      </c>
      <c r="V5" s="63">
        <f>IF(TRIM('c-form'!J15)="","",'c-form'!J15)</f>
        <v>345.12</v>
      </c>
      <c r="W5" s="63">
        <f>IF(TRIM('c-form'!M15)="","",'c-form'!M15)</f>
        <v>345.16</v>
      </c>
    </row>
    <row r="6" spans="1:23">
      <c r="A6" s="164"/>
      <c r="B6" s="250"/>
      <c r="C6" s="236"/>
      <c r="D6" s="236"/>
      <c r="E6" s="236"/>
      <c r="F6" s="236"/>
      <c r="G6" s="236"/>
      <c r="H6" s="236"/>
      <c r="I6" s="236"/>
      <c r="J6" s="236"/>
      <c r="K6" s="236"/>
      <c r="L6" s="164"/>
      <c r="M6" s="164"/>
      <c r="N6" s="164"/>
      <c r="O6" s="164"/>
      <c r="P6" s="164"/>
      <c r="R6" s="63">
        <f>IF(TRIM('c-form'!G15)="","",'c-form'!G15)</f>
        <v>3090</v>
      </c>
    </row>
    <row r="7" spans="1:23" ht="23.25">
      <c r="A7" s="174"/>
      <c r="B7" s="251" t="s">
        <v>252</v>
      </c>
      <c r="C7" s="252" t="s">
        <v>253</v>
      </c>
      <c r="D7" s="252" t="s">
        <v>254</v>
      </c>
      <c r="E7" s="252" t="s">
        <v>255</v>
      </c>
      <c r="F7" s="252" t="s">
        <v>256</v>
      </c>
      <c r="G7" s="252" t="s">
        <v>257</v>
      </c>
      <c r="H7" s="252" t="s">
        <v>247</v>
      </c>
      <c r="I7" s="252" t="s">
        <v>258</v>
      </c>
      <c r="J7" s="252" t="s">
        <v>259</v>
      </c>
      <c r="K7" s="252" t="s">
        <v>260</v>
      </c>
      <c r="L7" s="252" t="s">
        <v>261</v>
      </c>
      <c r="M7" s="252" t="s">
        <v>262</v>
      </c>
      <c r="N7" s="252" t="s">
        <v>263</v>
      </c>
      <c r="O7" s="252" t="s">
        <v>266</v>
      </c>
      <c r="P7" s="174"/>
    </row>
    <row r="8" spans="1:23" ht="5.25" customHeight="1">
      <c r="A8" s="164"/>
      <c r="B8" s="250"/>
      <c r="C8" s="236"/>
      <c r="D8" s="236"/>
      <c r="E8" s="236"/>
      <c r="F8" s="236"/>
      <c r="G8" s="236"/>
      <c r="H8" s="236"/>
      <c r="I8" s="236"/>
      <c r="J8" s="236"/>
      <c r="K8" s="236"/>
      <c r="L8" s="164"/>
      <c r="M8" s="164"/>
      <c r="N8" s="164"/>
      <c r="O8" s="164"/>
      <c r="P8" s="164"/>
    </row>
    <row r="9" spans="1:23">
      <c r="A9" s="164"/>
      <c r="B9" s="178">
        <v>1</v>
      </c>
      <c r="C9" s="176">
        <f>IF(COUNT('HourGH-APR'!AB11)=0,"",ROUND('HourGH-APR'!AB11,2))</f>
        <v>338.05</v>
      </c>
      <c r="D9" s="176">
        <f>IF(COUNT('HourGH-MAY'!AB11)=0,"",ROUND('HourGH-MAY'!AB11,2))</f>
        <v>338.17</v>
      </c>
      <c r="E9" s="176">
        <f>IF(COUNT('HourGH-JUN'!AB11)=0,"",ROUND('HourGH-JUN'!AB11,2))</f>
        <v>337.83</v>
      </c>
      <c r="F9" s="176">
        <f>IF(COUNT('HourGH-JUL'!AB11)=0,"",ROUND('HourGH-JUL'!AB11,2))</f>
        <v>337.83</v>
      </c>
      <c r="G9" s="176">
        <f>IF(COUNT('HourGH-AUG'!AB11)=0,"",ROUND('HourGH-AUG'!AB11,2))</f>
        <v>338.18</v>
      </c>
      <c r="H9" s="176">
        <f>IF(COUNT('HourGH-SEP'!AB11)=0,"",ROUND('HourGH-SEP'!AB11,2))</f>
        <v>338.89</v>
      </c>
      <c r="I9" s="176">
        <f>IF(COUNT('HourGH-OCT'!AB11)=0,"",ROUND('HourGH-OCT'!AB11,2))</f>
        <v>338.61</v>
      </c>
      <c r="J9" s="176">
        <f>IF(COUNT('HourGH-NOV'!AB11)=0,"",ROUND('HourGH-NOV'!AB11,2))</f>
        <v>338.62</v>
      </c>
      <c r="K9" s="176">
        <f>IF(COUNT('HourGH-DEC'!AB11)=0,"",ROUND('HourGH-DEC'!AB11,2))</f>
        <v>338.16</v>
      </c>
      <c r="L9" s="176">
        <f>IF(COUNT('HourGH-JAN'!AB11)=0,"",ROUND('HourGH-JAN'!AB11,2))</f>
        <v>338.04</v>
      </c>
      <c r="M9" s="176">
        <f>IF(COUNT('HourGH-FEB'!AB11)=0,"",ROUND('HourGH-FEB'!AB11,2))</f>
        <v>338.31</v>
      </c>
      <c r="N9" s="176">
        <f>IF(COUNT('HourGH-MAR'!AB11)=0,"",ROUND('HourGH-MAR'!AB11,2))</f>
        <v>338.24</v>
      </c>
      <c r="O9" s="176"/>
      <c r="P9" s="164"/>
    </row>
    <row r="10" spans="1:23">
      <c r="A10" s="164"/>
      <c r="B10" s="178">
        <v>2</v>
      </c>
      <c r="C10" s="176">
        <f>IF(COUNT('HourGH-APR'!AB12)=0,"",ROUND('HourGH-APR'!AB12,2))</f>
        <v>338.32</v>
      </c>
      <c r="D10" s="176">
        <f>IF(COUNT('HourGH-MAY'!AB12)=0,"",ROUND('HourGH-MAY'!AB12,2))</f>
        <v>338.17</v>
      </c>
      <c r="E10" s="176">
        <f>IF(COUNT('HourGH-JUN'!AB12)=0,"",ROUND('HourGH-JUN'!AB12,2))</f>
        <v>337.83</v>
      </c>
      <c r="F10" s="176">
        <f>IF(COUNT('HourGH-JUL'!AB12)=0,"",ROUND('HourGH-JUL'!AB12,2))</f>
        <v>337.83</v>
      </c>
      <c r="G10" s="176">
        <f>IF(COUNT('HourGH-AUG'!AB12)=0,"",ROUND('HourGH-AUG'!AB12,2))</f>
        <v>338.15</v>
      </c>
      <c r="H10" s="176">
        <f>IF(COUNT('HourGH-SEP'!AB12)=0,"",ROUND('HourGH-SEP'!AB12,2))</f>
        <v>338.76</v>
      </c>
      <c r="I10" s="176">
        <f>IF(COUNT('HourGH-OCT'!AB12)=0,"",ROUND('HourGH-OCT'!AB12,2))</f>
        <v>338.57</v>
      </c>
      <c r="J10" s="176">
        <f>IF(COUNT('HourGH-NOV'!AB12)=0,"",ROUND('HourGH-NOV'!AB12,2))</f>
        <v>338.55</v>
      </c>
      <c r="K10" s="176">
        <f>IF(COUNT('HourGH-DEC'!AB12)=0,"",ROUND('HourGH-DEC'!AB12,2))</f>
        <v>338.14</v>
      </c>
      <c r="L10" s="176">
        <f>IF(COUNT('HourGH-JAN'!AB12)=0,"",ROUND('HourGH-JAN'!AB12,2))</f>
        <v>338.03</v>
      </c>
      <c r="M10" s="176">
        <f>IF(COUNT('HourGH-FEB'!AB12)=0,"",ROUND('HourGH-FEB'!AB12,2))</f>
        <v>338.24</v>
      </c>
      <c r="N10" s="176">
        <f>IF(COUNT('HourGH-MAR'!AB12)=0,"",ROUND('HourGH-MAR'!AB12,2))</f>
        <v>338.25</v>
      </c>
      <c r="O10" s="176"/>
      <c r="P10" s="164"/>
    </row>
    <row r="11" spans="1:23">
      <c r="A11" s="164"/>
      <c r="B11" s="178">
        <v>3</v>
      </c>
      <c r="C11" s="176">
        <f>IF(COUNT('HourGH-APR'!AB13)=0,"",ROUND('HourGH-APR'!AB13,2))</f>
        <v>338.21</v>
      </c>
      <c r="D11" s="176">
        <f>IF(COUNT('HourGH-MAY'!AB13)=0,"",ROUND('HourGH-MAY'!AB13,2))</f>
        <v>338.18</v>
      </c>
      <c r="E11" s="176">
        <f>IF(COUNT('HourGH-JUN'!AB13)=0,"",ROUND('HourGH-JUN'!AB13,2))</f>
        <v>337.82</v>
      </c>
      <c r="F11" s="176">
        <f>IF(COUNT('HourGH-JUL'!AB13)=0,"",ROUND('HourGH-JUL'!AB13,2))</f>
        <v>337.83</v>
      </c>
      <c r="G11" s="176">
        <f>IF(COUNT('HourGH-AUG'!AB13)=0,"",ROUND('HourGH-AUG'!AB13,2))</f>
        <v>338.11</v>
      </c>
      <c r="H11" s="176">
        <f>IF(COUNT('HourGH-SEP'!AB13)=0,"",ROUND('HourGH-SEP'!AB13,2))</f>
        <v>338.41</v>
      </c>
      <c r="I11" s="176">
        <f>IF(COUNT('HourGH-OCT'!AB13)=0,"",ROUND('HourGH-OCT'!AB13,2))</f>
        <v>338.59</v>
      </c>
      <c r="J11" s="176">
        <f>IF(COUNT('HourGH-NOV'!AB13)=0,"",ROUND('HourGH-NOV'!AB13,2))</f>
        <v>338.49</v>
      </c>
      <c r="K11" s="176">
        <f>IF(COUNT('HourGH-DEC'!AB13)=0,"",ROUND('HourGH-DEC'!AB13,2))</f>
        <v>338.14</v>
      </c>
      <c r="L11" s="176">
        <f>IF(COUNT('HourGH-JAN'!AB13)=0,"",ROUND('HourGH-JAN'!AB13,2))</f>
        <v>338.03</v>
      </c>
      <c r="M11" s="176">
        <f>IF(COUNT('HourGH-FEB'!AB13)=0,"",ROUND('HourGH-FEB'!AB13,2))</f>
        <v>337.98</v>
      </c>
      <c r="N11" s="176">
        <f>IF(COUNT('HourGH-MAR'!AB13)=0,"",ROUND('HourGH-MAR'!AB13,2))</f>
        <v>338.12</v>
      </c>
      <c r="O11" s="176"/>
      <c r="P11" s="164"/>
    </row>
    <row r="12" spans="1:23">
      <c r="A12" s="164"/>
      <c r="B12" s="178">
        <v>4</v>
      </c>
      <c r="C12" s="176">
        <f>IF(COUNT('HourGH-APR'!AB14)=0,"",ROUND('HourGH-APR'!AB14,2))</f>
        <v>338.15</v>
      </c>
      <c r="D12" s="176">
        <f>IF(COUNT('HourGH-MAY'!AB14)=0,"",ROUND('HourGH-MAY'!AB14,2))</f>
        <v>338.16</v>
      </c>
      <c r="E12" s="176">
        <f>IF(COUNT('HourGH-JUN'!AB14)=0,"",ROUND('HourGH-JUN'!AB14,2))</f>
        <v>337.81</v>
      </c>
      <c r="F12" s="176">
        <f>IF(COUNT('HourGH-JUL'!AB14)=0,"",ROUND('HourGH-JUL'!AB14,2))</f>
        <v>337.85</v>
      </c>
      <c r="G12" s="176">
        <f>IF(COUNT('HourGH-AUG'!AB14)=0,"",ROUND('HourGH-AUG'!AB14,2))</f>
        <v>338.09</v>
      </c>
      <c r="H12" s="176">
        <f>IF(COUNT('HourGH-SEP'!AB14)=0,"",ROUND('HourGH-SEP'!AB14,2))</f>
        <v>338.27</v>
      </c>
      <c r="I12" s="176">
        <f>IF(COUNT('HourGH-OCT'!AB14)=0,"",ROUND('HourGH-OCT'!AB14,2))</f>
        <v>338.55</v>
      </c>
      <c r="J12" s="176">
        <f>IF(COUNT('HourGH-NOV'!AB14)=0,"",ROUND('HourGH-NOV'!AB14,2))</f>
        <v>338.45</v>
      </c>
      <c r="K12" s="176">
        <f>IF(COUNT('HourGH-DEC'!AB14)=0,"",ROUND('HourGH-DEC'!AB14,2))</f>
        <v>338.13</v>
      </c>
      <c r="L12" s="176">
        <f>IF(COUNT('HourGH-JAN'!AB14)=0,"",ROUND('HourGH-JAN'!AB14,2))</f>
        <v>338.03</v>
      </c>
      <c r="M12" s="176">
        <f>IF(COUNT('HourGH-FEB'!AB14)=0,"",ROUND('HourGH-FEB'!AB14,2))</f>
        <v>338.05</v>
      </c>
      <c r="N12" s="176">
        <f>IF(COUNT('HourGH-MAR'!AB14)=0,"",ROUND('HourGH-MAR'!AB14,2))</f>
        <v>337.85</v>
      </c>
      <c r="O12" s="176"/>
      <c r="P12" s="164"/>
    </row>
    <row r="13" spans="1:23">
      <c r="A13" s="164"/>
      <c r="B13" s="178">
        <v>5</v>
      </c>
      <c r="C13" s="176">
        <f>IF(COUNT('HourGH-APR'!AB15)=0,"",ROUND('HourGH-APR'!AB15,2))</f>
        <v>338.18</v>
      </c>
      <c r="D13" s="176">
        <f>IF(COUNT('HourGH-MAY'!AB15)=0,"",ROUND('HourGH-MAY'!AB15,2))</f>
        <v>338.16</v>
      </c>
      <c r="E13" s="176">
        <f>IF(COUNT('HourGH-JUN'!AB15)=0,"",ROUND('HourGH-JUN'!AB15,2))</f>
        <v>337.8</v>
      </c>
      <c r="F13" s="176">
        <f>IF(COUNT('HourGH-JUL'!AB15)=0,"",ROUND('HourGH-JUL'!AB15,2))</f>
        <v>337.87</v>
      </c>
      <c r="G13" s="176">
        <f>IF(COUNT('HourGH-AUG'!AB15)=0,"",ROUND('HourGH-AUG'!AB15,2))</f>
        <v>338.12</v>
      </c>
      <c r="H13" s="176">
        <f>IF(COUNT('HourGH-SEP'!AB15)=0,"",ROUND('HourGH-SEP'!AB15,2))</f>
        <v>338.21</v>
      </c>
      <c r="I13" s="176">
        <f>IF(COUNT('HourGH-OCT'!AB15)=0,"",ROUND('HourGH-OCT'!AB15,2))</f>
        <v>338.49</v>
      </c>
      <c r="J13" s="176">
        <f>IF(COUNT('HourGH-NOV'!AB15)=0,"",ROUND('HourGH-NOV'!AB15,2))</f>
        <v>338.4</v>
      </c>
      <c r="K13" s="176">
        <f>IF(COUNT('HourGH-DEC'!AB15)=0,"",ROUND('HourGH-DEC'!AB15,2))</f>
        <v>338.12</v>
      </c>
      <c r="L13" s="176">
        <f>IF(COUNT('HourGH-JAN'!AB15)=0,"",ROUND('HourGH-JAN'!AB15,2))</f>
        <v>338.03</v>
      </c>
      <c r="M13" s="176">
        <f>IF(COUNT('HourGH-FEB'!AB15)=0,"",ROUND('HourGH-FEB'!AB15,2))</f>
        <v>337.93</v>
      </c>
      <c r="N13" s="176">
        <f>IF(COUNT('HourGH-MAR'!AB15)=0,"",ROUND('HourGH-MAR'!AB15,2))</f>
        <v>337.86</v>
      </c>
      <c r="O13" s="176"/>
      <c r="P13" s="164"/>
    </row>
    <row r="14" spans="1:23">
      <c r="A14" s="164"/>
      <c r="B14" s="178">
        <v>6</v>
      </c>
      <c r="C14" s="176">
        <f>IF(COUNT('HourGH-APR'!AB16)=0,"",ROUND('HourGH-APR'!AB16,2))</f>
        <v>338.2</v>
      </c>
      <c r="D14" s="176">
        <f>IF(COUNT('HourGH-MAY'!AB16)=0,"",ROUND('HourGH-MAY'!AB16,2))</f>
        <v>338.12</v>
      </c>
      <c r="E14" s="176">
        <f>IF(COUNT('HourGH-JUN'!AB16)=0,"",ROUND('HourGH-JUN'!AB16,2))</f>
        <v>337.82</v>
      </c>
      <c r="F14" s="176">
        <f>IF(COUNT('HourGH-JUL'!AB16)=0,"",ROUND('HourGH-JUL'!AB16,2))</f>
        <v>337.86</v>
      </c>
      <c r="G14" s="176">
        <f>IF(COUNT('HourGH-AUG'!AB16)=0,"",ROUND('HourGH-AUG'!AB16,2))</f>
        <v>338.26</v>
      </c>
      <c r="H14" s="176">
        <f>IF(COUNT('HourGH-SEP'!AB16)=0,"",ROUND('HourGH-SEP'!AB16,2))</f>
        <v>338.29</v>
      </c>
      <c r="I14" s="176">
        <f>IF(COUNT('HourGH-OCT'!AB16)=0,"",ROUND('HourGH-OCT'!AB16,2))</f>
        <v>338.61</v>
      </c>
      <c r="J14" s="176">
        <f>IF(COUNT('HourGH-NOV'!AB16)=0,"",ROUND('HourGH-NOV'!AB16,2))</f>
        <v>338.37</v>
      </c>
      <c r="K14" s="176">
        <f>IF(COUNT('HourGH-DEC'!AB16)=0,"",ROUND('HourGH-DEC'!AB16,2))</f>
        <v>338.11</v>
      </c>
      <c r="L14" s="176">
        <f>IF(COUNT('HourGH-JAN'!AB16)=0,"",ROUND('HourGH-JAN'!AB16,2))</f>
        <v>338.01</v>
      </c>
      <c r="M14" s="176">
        <f>IF(COUNT('HourGH-FEB'!AB16)=0,"",ROUND('HourGH-FEB'!AB16,2))</f>
        <v>337.92</v>
      </c>
      <c r="N14" s="176">
        <f>IF(COUNT('HourGH-MAR'!AB16)=0,"",ROUND('HourGH-MAR'!AB16,2))</f>
        <v>337.85</v>
      </c>
      <c r="O14" s="176"/>
      <c r="P14" s="164"/>
    </row>
    <row r="15" spans="1:23">
      <c r="A15" s="164"/>
      <c r="B15" s="178">
        <v>7</v>
      </c>
      <c r="C15" s="176">
        <f>IF(COUNT('HourGH-APR'!AB17)=0,"",ROUND('HourGH-APR'!AB17,2))</f>
        <v>338.29</v>
      </c>
      <c r="D15" s="176">
        <f>IF(COUNT('HourGH-MAY'!AB17)=0,"",ROUND('HourGH-MAY'!AB17,2))</f>
        <v>338.08</v>
      </c>
      <c r="E15" s="176">
        <f>IF(COUNT('HourGH-JUN'!AB17)=0,"",ROUND('HourGH-JUN'!AB17,2))</f>
        <v>337.84</v>
      </c>
      <c r="F15" s="176">
        <f>IF(COUNT('HourGH-JUL'!AB17)=0,"",ROUND('HourGH-JUL'!AB17,2))</f>
        <v>337.86</v>
      </c>
      <c r="G15" s="176">
        <f>IF(COUNT('HourGH-AUG'!AB17)=0,"",ROUND('HourGH-AUG'!AB17,2))</f>
        <v>338.18</v>
      </c>
      <c r="H15" s="176">
        <f>IF(COUNT('HourGH-SEP'!AB17)=0,"",ROUND('HourGH-SEP'!AB17,2))</f>
        <v>338.78</v>
      </c>
      <c r="I15" s="176">
        <f>IF(COUNT('HourGH-OCT'!AB17)=0,"",ROUND('HourGH-OCT'!AB17,2))</f>
        <v>338.49</v>
      </c>
      <c r="J15" s="176">
        <f>IF(COUNT('HourGH-NOV'!AB17)=0,"",ROUND('HourGH-NOV'!AB17,2))</f>
        <v>338.34</v>
      </c>
      <c r="K15" s="176">
        <f>IF(COUNT('HourGH-DEC'!AB17)=0,"",ROUND('HourGH-DEC'!AB17,2))</f>
        <v>338.1</v>
      </c>
      <c r="L15" s="176">
        <f>IF(COUNT('HourGH-JAN'!AB17)=0,"",ROUND('HourGH-JAN'!AB17,2))</f>
        <v>338.02</v>
      </c>
      <c r="M15" s="176">
        <f>IF(COUNT('HourGH-FEB'!AB17)=0,"",ROUND('HourGH-FEB'!AB17,2))</f>
        <v>338.01</v>
      </c>
      <c r="N15" s="176">
        <f>IF(COUNT('HourGH-MAR'!AB17)=0,"",ROUND('HourGH-MAR'!AB17,2))</f>
        <v>337.93</v>
      </c>
      <c r="O15" s="176"/>
      <c r="P15" s="164"/>
    </row>
    <row r="16" spans="1:23">
      <c r="A16" s="164"/>
      <c r="B16" s="178">
        <v>8</v>
      </c>
      <c r="C16" s="176">
        <f>IF(COUNT('HourGH-APR'!AB18)=0,"",ROUND('HourGH-APR'!AB18,2))</f>
        <v>338.23</v>
      </c>
      <c r="D16" s="176">
        <f>IF(COUNT('HourGH-MAY'!AB18)=0,"",ROUND('HourGH-MAY'!AB18,2))</f>
        <v>338.09</v>
      </c>
      <c r="E16" s="176">
        <f>IF(COUNT('HourGH-JUN'!AB18)=0,"",ROUND('HourGH-JUN'!AB18,2))</f>
        <v>337.84</v>
      </c>
      <c r="F16" s="176">
        <f>IF(COUNT('HourGH-JUL'!AB18)=0,"",ROUND('HourGH-JUL'!AB18,2))</f>
        <v>337.88</v>
      </c>
      <c r="G16" s="176">
        <f>IF(COUNT('HourGH-AUG'!AB18)=0,"",ROUND('HourGH-AUG'!AB18,2))</f>
        <v>338.17</v>
      </c>
      <c r="H16" s="176">
        <f>IF(COUNT('HourGH-SEP'!AB18)=0,"",ROUND('HourGH-SEP'!AB18,2))</f>
        <v>339.31</v>
      </c>
      <c r="I16" s="176">
        <f>IF(COUNT('HourGH-OCT'!AB18)=0,"",ROUND('HourGH-OCT'!AB18,2))</f>
        <v>338.42</v>
      </c>
      <c r="J16" s="176">
        <f>IF(COUNT('HourGH-NOV'!AB18)=0,"",ROUND('HourGH-NOV'!AB18,2))</f>
        <v>338.32</v>
      </c>
      <c r="K16" s="176">
        <f>IF(COUNT('HourGH-DEC'!AB18)=0,"",ROUND('HourGH-DEC'!AB18,2))</f>
        <v>338.1</v>
      </c>
      <c r="L16" s="176">
        <f>IF(COUNT('HourGH-JAN'!AB18)=0,"",ROUND('HourGH-JAN'!AB18,2))</f>
        <v>338.02</v>
      </c>
      <c r="M16" s="176">
        <f>IF(COUNT('HourGH-FEB'!AB18)=0,"",ROUND('HourGH-FEB'!AB18,2))</f>
        <v>338.26</v>
      </c>
      <c r="N16" s="176">
        <f>IF(COUNT('HourGH-MAR'!AB18)=0,"",ROUND('HourGH-MAR'!AB18,2))</f>
        <v>338.24</v>
      </c>
      <c r="O16" s="176"/>
      <c r="P16" s="164"/>
    </row>
    <row r="17" spans="1:16">
      <c r="A17" s="164"/>
      <c r="B17" s="178">
        <v>9</v>
      </c>
      <c r="C17" s="176">
        <f>IF(COUNT('HourGH-APR'!AB19)=0,"",ROUND('HourGH-APR'!AB19,2))</f>
        <v>338.2</v>
      </c>
      <c r="D17" s="176">
        <f>IF(COUNT('HourGH-MAY'!AB19)=0,"",ROUND('HourGH-MAY'!AB19,2))</f>
        <v>338.11</v>
      </c>
      <c r="E17" s="176">
        <f>IF(COUNT('HourGH-JUN'!AB19)=0,"",ROUND('HourGH-JUN'!AB19,2))</f>
        <v>337.82</v>
      </c>
      <c r="F17" s="176">
        <f>IF(COUNT('HourGH-JUL'!AB19)=0,"",ROUND('HourGH-JUL'!AB19,2))</f>
        <v>337.88</v>
      </c>
      <c r="G17" s="176">
        <f>IF(COUNT('HourGH-AUG'!AB19)=0,"",ROUND('HourGH-AUG'!AB19,2))</f>
        <v>338.44</v>
      </c>
      <c r="H17" s="176">
        <f>IF(COUNT('HourGH-SEP'!AB19)=0,"",ROUND('HourGH-SEP'!AB19,2))</f>
        <v>340</v>
      </c>
      <c r="I17" s="176">
        <f>IF(COUNT('HourGH-OCT'!AB19)=0,"",ROUND('HourGH-OCT'!AB19,2))</f>
        <v>338.35</v>
      </c>
      <c r="J17" s="176">
        <f>IF(COUNT('HourGH-NOV'!AB19)=0,"",ROUND('HourGH-NOV'!AB19,2))</f>
        <v>338.3</v>
      </c>
      <c r="K17" s="176">
        <f>IF(COUNT('HourGH-DEC'!AB19)=0,"",ROUND('HourGH-DEC'!AB19,2))</f>
        <v>338.09</v>
      </c>
      <c r="L17" s="176">
        <f>IF(COUNT('HourGH-JAN'!AB19)=0,"",ROUND('HourGH-JAN'!AB19,2))</f>
        <v>338.01</v>
      </c>
      <c r="M17" s="176">
        <f>IF(COUNT('HourGH-FEB'!AB19)=0,"",ROUND('HourGH-FEB'!AB19,2))</f>
        <v>338.27</v>
      </c>
      <c r="N17" s="176">
        <f>IF(COUNT('HourGH-MAR'!AB19)=0,"",ROUND('HourGH-MAR'!AB19,2))</f>
        <v>338.25</v>
      </c>
      <c r="O17" s="176"/>
      <c r="P17" s="164"/>
    </row>
    <row r="18" spans="1:16">
      <c r="A18" s="164"/>
      <c r="B18" s="178">
        <v>10</v>
      </c>
      <c r="C18" s="176">
        <f>IF(COUNT('HourGH-APR'!AB20)=0,"",ROUND('HourGH-APR'!AB20,2))</f>
        <v>338.21</v>
      </c>
      <c r="D18" s="176">
        <f>IF(COUNT('HourGH-MAY'!AB20)=0,"",ROUND('HourGH-MAY'!AB20,2))</f>
        <v>338.18</v>
      </c>
      <c r="E18" s="176">
        <f>IF(COUNT('HourGH-JUN'!AB20)=0,"",ROUND('HourGH-JUN'!AB20,2))</f>
        <v>337.77</v>
      </c>
      <c r="F18" s="176">
        <f>IF(COUNT('HourGH-JUL'!AB20)=0,"",ROUND('HourGH-JUL'!AB20,2))</f>
        <v>338.01</v>
      </c>
      <c r="G18" s="176">
        <f>IF(COUNT('HourGH-AUG'!AB20)=0,"",ROUND('HourGH-AUG'!AB20,2))</f>
        <v>339.68</v>
      </c>
      <c r="H18" s="176">
        <f>IF(COUNT('HourGH-SEP'!AB20)=0,"",ROUND('HourGH-SEP'!AB20,2))</f>
        <v>339.72</v>
      </c>
      <c r="I18" s="176">
        <f>IF(COUNT('HourGH-OCT'!AB20)=0,"",ROUND('HourGH-OCT'!AB20,2))</f>
        <v>338.29</v>
      </c>
      <c r="J18" s="176">
        <f>IF(COUNT('HourGH-NOV'!AB20)=0,"",ROUND('HourGH-NOV'!AB20,2))</f>
        <v>338.28</v>
      </c>
      <c r="K18" s="176">
        <f>IF(COUNT('HourGH-DEC'!AB20)=0,"",ROUND('HourGH-DEC'!AB20,2))</f>
        <v>338.08</v>
      </c>
      <c r="L18" s="176">
        <f>IF(COUNT('HourGH-JAN'!AB20)=0,"",ROUND('HourGH-JAN'!AB20,2))</f>
        <v>338.01</v>
      </c>
      <c r="M18" s="176">
        <f>IF(COUNT('HourGH-FEB'!AB20)=0,"",ROUND('HourGH-FEB'!AB20,2))</f>
        <v>338.17</v>
      </c>
      <c r="N18" s="176">
        <f>IF(COUNT('HourGH-MAR'!AB20)=0,"",ROUND('HourGH-MAR'!AB20,2))</f>
        <v>338.25</v>
      </c>
      <c r="O18" s="176"/>
      <c r="P18" s="164"/>
    </row>
    <row r="19" spans="1:16" ht="3.75" customHeight="1">
      <c r="A19" s="164"/>
      <c r="B19" s="178"/>
      <c r="C19" s="176" t="str">
        <f>IF(COUNT('HourGH-APR'!AB21)=0,"",ROUND('HourGH-APR'!AB21,2))</f>
        <v/>
      </c>
      <c r="D19" s="176" t="str">
        <f>IF(COUNT('HourGH-MAY'!AB21)=0,"",ROUND('HourGH-MAY'!AB21,2))</f>
        <v/>
      </c>
      <c r="E19" s="176" t="str">
        <f>IF(COUNT('HourGH-JUN'!AB21)=0,"",ROUND('HourGH-JUN'!AB21,2))</f>
        <v/>
      </c>
      <c r="F19" s="176" t="str">
        <f>IF(COUNT('HourGH-JUL'!AB21)=0,"",ROUND('HourGH-JUL'!AB21,2))</f>
        <v/>
      </c>
      <c r="G19" s="176" t="str">
        <f>IF(COUNT('HourGH-AUG'!AB21)=0,"",ROUND('HourGH-AUG'!AB21,2))</f>
        <v/>
      </c>
      <c r="H19" s="176" t="str">
        <f>IF(COUNT('HourGH-SEP'!AB21)=0,"",ROUND('HourGH-SEP'!AB21,2))</f>
        <v/>
      </c>
      <c r="I19" s="176" t="str">
        <f>IF(COUNT('HourGH-OCT'!AB21)=0,"",ROUND('HourGH-OCT'!AB21,2))</f>
        <v/>
      </c>
      <c r="J19" s="176" t="str">
        <f>IF(COUNT('HourGH-NOV'!AB21)=0,"",ROUND('HourGH-NOV'!AB21,2))</f>
        <v/>
      </c>
      <c r="K19" s="176" t="str">
        <f>IF(COUNT('HourGH-DEC'!AB21)=0,"",ROUND('HourGH-DEC'!AB21,2))</f>
        <v/>
      </c>
      <c r="L19" s="176" t="str">
        <f>IF(COUNT('HourGH-JAN'!AB21)=0,"",ROUND('HourGH-JAN'!AB21,2))</f>
        <v/>
      </c>
      <c r="M19" s="176" t="str">
        <f>IF(COUNT('HourGH-FEB'!AB21)=0,"",ROUND('HourGH-FEB'!AB21,2))</f>
        <v/>
      </c>
      <c r="N19" s="176" t="str">
        <f>IF(COUNT('HourGH-MAR'!AB21)=0,"",ROUND('HourGH-MAR'!AB21,2))</f>
        <v/>
      </c>
      <c r="O19" s="176"/>
      <c r="P19" s="164"/>
    </row>
    <row r="20" spans="1:16">
      <c r="A20" s="164"/>
      <c r="B20" s="178">
        <v>11</v>
      </c>
      <c r="C20" s="176">
        <f>IF(COUNT('HourGH-APR'!AB22)=0,"",ROUND('HourGH-APR'!AB22,2))</f>
        <v>338.22</v>
      </c>
      <c r="D20" s="176">
        <f>IF(COUNT('HourGH-MAY'!AB22)=0,"",ROUND('HourGH-MAY'!AB22,2))</f>
        <v>338.18</v>
      </c>
      <c r="E20" s="176">
        <f>IF(COUNT('HourGH-JUN'!AB22)=0,"",ROUND('HourGH-JUN'!AB22,2))</f>
        <v>337.9</v>
      </c>
      <c r="F20" s="176">
        <f>IF(COUNT('HourGH-JUL'!AB22)=0,"",ROUND('HourGH-JUL'!AB22,2))</f>
        <v>338.07</v>
      </c>
      <c r="G20" s="176">
        <f>IF(COUNT('HourGH-AUG'!AB22)=0,"",ROUND('HourGH-AUG'!AB22,2))</f>
        <v>340.05</v>
      </c>
      <c r="H20" s="176">
        <f>IF(COUNT('HourGH-SEP'!AB22)=0,"",ROUND('HourGH-SEP'!AB22,2))</f>
        <v>339.01</v>
      </c>
      <c r="I20" s="176">
        <f>IF(COUNT('HourGH-OCT'!AB22)=0,"",ROUND('HourGH-OCT'!AB22,2))</f>
        <v>338.25</v>
      </c>
      <c r="J20" s="176">
        <f>IF(COUNT('HourGH-NOV'!AB22)=0,"",ROUND('HourGH-NOV'!AB22,2))</f>
        <v>338.26</v>
      </c>
      <c r="K20" s="176">
        <f>IF(COUNT('HourGH-DEC'!AB22)=0,"",ROUND('HourGH-DEC'!AB22,2))</f>
        <v>338.08</v>
      </c>
      <c r="L20" s="176">
        <f>IF(COUNT('HourGH-JAN'!AB22)=0,"",ROUND('HourGH-JAN'!AB22,2))</f>
        <v>338</v>
      </c>
      <c r="M20" s="176">
        <f>IF(COUNT('HourGH-FEB'!AB22)=0,"",ROUND('HourGH-FEB'!AB22,2))</f>
        <v>337.9</v>
      </c>
      <c r="N20" s="176">
        <f>IF(COUNT('HourGH-MAR'!AB22)=0,"",ROUND('HourGH-MAR'!AB22,2))</f>
        <v>338.17</v>
      </c>
      <c r="O20" s="176"/>
      <c r="P20" s="164"/>
    </row>
    <row r="21" spans="1:16">
      <c r="A21" s="164"/>
      <c r="B21" s="178">
        <v>12</v>
      </c>
      <c r="C21" s="176">
        <f>IF(COUNT('HourGH-APR'!AB23)=0,"",ROUND('HourGH-APR'!AB23,2))</f>
        <v>338.18</v>
      </c>
      <c r="D21" s="176">
        <f>IF(COUNT('HourGH-MAY'!AB23)=0,"",ROUND('HourGH-MAY'!AB23,2))</f>
        <v>338.17</v>
      </c>
      <c r="E21" s="176">
        <f>IF(COUNT('HourGH-JUN'!AB23)=0,"",ROUND('HourGH-JUN'!AB23,2))</f>
        <v>338.27</v>
      </c>
      <c r="F21" s="176">
        <f>IF(COUNT('HourGH-JUL'!AB23)=0,"",ROUND('HourGH-JUL'!AB23,2))</f>
        <v>338.06</v>
      </c>
      <c r="G21" s="176">
        <f>IF(COUNT('HourGH-AUG'!AB23)=0,"",ROUND('HourGH-AUG'!AB23,2))</f>
        <v>339.58</v>
      </c>
      <c r="H21" s="176">
        <f>IF(COUNT('HourGH-SEP'!AB23)=0,"",ROUND('HourGH-SEP'!AB23,2))</f>
        <v>338.8</v>
      </c>
      <c r="I21" s="176">
        <f>IF(COUNT('HourGH-OCT'!AB23)=0,"",ROUND('HourGH-OCT'!AB23,2))</f>
        <v>338.24</v>
      </c>
      <c r="J21" s="176">
        <f>IF(COUNT('HourGH-NOV'!AB23)=0,"",ROUND('HourGH-NOV'!AB23,2))</f>
        <v>338.26</v>
      </c>
      <c r="K21" s="176">
        <f>IF(COUNT('HourGH-DEC'!AB23)=0,"",ROUND('HourGH-DEC'!AB23,2))</f>
        <v>338.09</v>
      </c>
      <c r="L21" s="176">
        <f>IF(COUNT('HourGH-JAN'!AB23)=0,"",ROUND('HourGH-JAN'!AB23,2))</f>
        <v>338</v>
      </c>
      <c r="M21" s="176">
        <f>IF(COUNT('HourGH-FEB'!AB23)=0,"",ROUND('HourGH-FEB'!AB23,2))</f>
        <v>337.89</v>
      </c>
      <c r="N21" s="176">
        <f>IF(COUNT('HourGH-MAR'!AB23)=0,"",ROUND('HourGH-MAR'!AB23,2))</f>
        <v>337.85</v>
      </c>
      <c r="O21" s="176"/>
      <c r="P21" s="164"/>
    </row>
    <row r="22" spans="1:16">
      <c r="A22" s="164"/>
      <c r="B22" s="178">
        <v>13</v>
      </c>
      <c r="C22" s="176">
        <f>IF(COUNT('HourGH-APR'!AB24)=0,"",ROUND('HourGH-APR'!AB24,2))</f>
        <v>338.16</v>
      </c>
      <c r="D22" s="176">
        <f>IF(COUNT('HourGH-MAY'!AB24)=0,"",ROUND('HourGH-MAY'!AB24,2))</f>
        <v>338.15</v>
      </c>
      <c r="E22" s="176">
        <f>IF(COUNT('HourGH-JUN'!AB24)=0,"",ROUND('HourGH-JUN'!AB24,2))</f>
        <v>338.01</v>
      </c>
      <c r="F22" s="176">
        <f>IF(COUNT('HourGH-JUL'!AB24)=0,"",ROUND('HourGH-JUL'!AB24,2))</f>
        <v>338.01</v>
      </c>
      <c r="G22" s="176">
        <f>IF(COUNT('HourGH-AUG'!AB24)=0,"",ROUND('HourGH-AUG'!AB24,2))</f>
        <v>339.06</v>
      </c>
      <c r="H22" s="176">
        <f>IF(COUNT('HourGH-SEP'!AB24)=0,"",ROUND('HourGH-SEP'!AB24,2))</f>
        <v>339.01</v>
      </c>
      <c r="I22" s="176">
        <f>IF(COUNT('HourGH-OCT'!AB24)=0,"",ROUND('HourGH-OCT'!AB24,2))</f>
        <v>338.24</v>
      </c>
      <c r="J22" s="176">
        <f>IF(COUNT('HourGH-NOV'!AB24)=0,"",ROUND('HourGH-NOV'!AB24,2))</f>
        <v>338.24</v>
      </c>
      <c r="K22" s="176">
        <f>IF(COUNT('HourGH-DEC'!AB24)=0,"",ROUND('HourGH-DEC'!AB24,2))</f>
        <v>338.12</v>
      </c>
      <c r="L22" s="176">
        <f>IF(COUNT('HourGH-JAN'!AB24)=0,"",ROUND('HourGH-JAN'!AB24,2))</f>
        <v>337.99</v>
      </c>
      <c r="M22" s="176">
        <f>IF(COUNT('HourGH-FEB'!AB24)=0,"",ROUND('HourGH-FEB'!AB24,2))</f>
        <v>337.9</v>
      </c>
      <c r="N22" s="176">
        <f>IF(COUNT('HourGH-MAR'!AB24)=0,"",ROUND('HourGH-MAR'!AB24,2))</f>
        <v>337.84</v>
      </c>
      <c r="O22" s="176"/>
      <c r="P22" s="164"/>
    </row>
    <row r="23" spans="1:16">
      <c r="A23" s="164"/>
      <c r="B23" s="178">
        <v>14</v>
      </c>
      <c r="C23" s="176">
        <f>IF(COUNT('HourGH-APR'!AB25)=0,"",ROUND('HourGH-APR'!AB25,2))</f>
        <v>338.2</v>
      </c>
      <c r="D23" s="176">
        <f>IF(COUNT('HourGH-MAY'!AB25)=0,"",ROUND('HourGH-MAY'!AB25,2))</f>
        <v>338.1</v>
      </c>
      <c r="E23" s="176">
        <f>IF(COUNT('HourGH-JUN'!AB25)=0,"",ROUND('HourGH-JUN'!AB25,2))</f>
        <v>337.88</v>
      </c>
      <c r="F23" s="176">
        <f>IF(COUNT('HourGH-JUL'!AB25)=0,"",ROUND('HourGH-JUL'!AB25,2))</f>
        <v>337.99</v>
      </c>
      <c r="G23" s="176">
        <f>IF(COUNT('HourGH-AUG'!AB25)=0,"",ROUND('HourGH-AUG'!AB25,2))</f>
        <v>338.65</v>
      </c>
      <c r="H23" s="176">
        <f>IF(COUNT('HourGH-SEP'!AB25)=0,"",ROUND('HourGH-SEP'!AB25,2))</f>
        <v>339.07</v>
      </c>
      <c r="I23" s="176">
        <f>IF(COUNT('HourGH-OCT'!AB25)=0,"",ROUND('HourGH-OCT'!AB25,2))</f>
        <v>338.22</v>
      </c>
      <c r="J23" s="176">
        <f>IF(COUNT('HourGH-NOV'!AB25)=0,"",ROUND('HourGH-NOV'!AB25,2))</f>
        <v>338.26</v>
      </c>
      <c r="K23" s="176">
        <f>IF(COUNT('HourGH-DEC'!AB25)=0,"",ROUND('HourGH-DEC'!AB25,2))</f>
        <v>338.34</v>
      </c>
      <c r="L23" s="176">
        <f>IF(COUNT('HourGH-JAN'!AB25)=0,"",ROUND('HourGH-JAN'!AB25,2))</f>
        <v>338</v>
      </c>
      <c r="M23" s="176">
        <f>IF(COUNT('HourGH-FEB'!AB25)=0,"",ROUND('HourGH-FEB'!AB25,2))</f>
        <v>337.97</v>
      </c>
      <c r="N23" s="176">
        <f>IF(COUNT('HourGH-MAR'!AB25)=0,"",ROUND('HourGH-MAR'!AB25,2))</f>
        <v>337.93</v>
      </c>
      <c r="O23" s="176"/>
      <c r="P23" s="164"/>
    </row>
    <row r="24" spans="1:16">
      <c r="A24" s="164"/>
      <c r="B24" s="178">
        <v>15</v>
      </c>
      <c r="C24" s="176">
        <f>IF(COUNT('HourGH-APR'!AB26)=0,"",ROUND('HourGH-APR'!AB26,2))</f>
        <v>338.2</v>
      </c>
      <c r="D24" s="176">
        <f>IF(COUNT('HourGH-MAY'!AB26)=0,"",ROUND('HourGH-MAY'!AB26,2))</f>
        <v>338.1</v>
      </c>
      <c r="E24" s="176">
        <f>IF(COUNT('HourGH-JUN'!AB26)=0,"",ROUND('HourGH-JUN'!AB26,2))</f>
        <v>337.82</v>
      </c>
      <c r="F24" s="176">
        <f>IF(COUNT('HourGH-JUL'!AB26)=0,"",ROUND('HourGH-JUL'!AB26,2))</f>
        <v>338.17</v>
      </c>
      <c r="G24" s="176">
        <f>IF(COUNT('HourGH-AUG'!AB26)=0,"",ROUND('HourGH-AUG'!AB26,2))</f>
        <v>338.7</v>
      </c>
      <c r="H24" s="176">
        <f>IF(COUNT('HourGH-SEP'!AB26)=0,"",ROUND('HourGH-SEP'!AB26,2))</f>
        <v>339.46</v>
      </c>
      <c r="I24" s="176">
        <f>IF(COUNT('HourGH-OCT'!AB26)=0,"",ROUND('HourGH-OCT'!AB26,2))</f>
        <v>338.2</v>
      </c>
      <c r="J24" s="176">
        <f>IF(COUNT('HourGH-NOV'!AB26)=0,"",ROUND('HourGH-NOV'!AB26,2))</f>
        <v>338.43</v>
      </c>
      <c r="K24" s="176">
        <f>IF(COUNT('HourGH-DEC'!AB26)=0,"",ROUND('HourGH-DEC'!AB26,2))</f>
        <v>338.54</v>
      </c>
      <c r="L24" s="176">
        <f>IF(COUNT('HourGH-JAN'!AB26)=0,"",ROUND('HourGH-JAN'!AB26,2))</f>
        <v>338</v>
      </c>
      <c r="M24" s="176">
        <f>IF(COUNT('HourGH-FEB'!AB26)=0,"",ROUND('HourGH-FEB'!AB26,2))</f>
        <v>338.33</v>
      </c>
      <c r="N24" s="176">
        <f>IF(COUNT('HourGH-MAR'!AB26)=0,"",ROUND('HourGH-MAR'!AB26,2))</f>
        <v>338.29</v>
      </c>
      <c r="O24" s="176"/>
      <c r="P24" s="164"/>
    </row>
    <row r="25" spans="1:16">
      <c r="A25" s="164"/>
      <c r="B25" s="178">
        <v>16</v>
      </c>
      <c r="C25" s="176">
        <f>IF(COUNT('HourGH-APR'!AB27)=0,"",ROUND('HourGH-APR'!AB27,2))</f>
        <v>338.2</v>
      </c>
      <c r="D25" s="176">
        <f>IF(COUNT('HourGH-MAY'!AB27)=0,"",ROUND('HourGH-MAY'!AB27,2))</f>
        <v>338.09</v>
      </c>
      <c r="E25" s="176">
        <f>IF(COUNT('HourGH-JUN'!AB27)=0,"",ROUND('HourGH-JUN'!AB27,2))</f>
        <v>337.8</v>
      </c>
      <c r="F25" s="176">
        <f>IF(COUNT('HourGH-JUL'!AB27)=0,"",ROUND('HourGH-JUL'!AB27,2))</f>
        <v>338.11</v>
      </c>
      <c r="G25" s="176">
        <f>IF(COUNT('HourGH-AUG'!AB27)=0,"",ROUND('HourGH-AUG'!AB27,2))</f>
        <v>338.53</v>
      </c>
      <c r="H25" s="176">
        <f>IF(COUNT('HourGH-SEP'!AB27)=0,"",ROUND('HourGH-SEP'!AB27,2))</f>
        <v>339.28</v>
      </c>
      <c r="I25" s="176">
        <f>IF(COUNT('HourGH-OCT'!AB27)=0,"",ROUND('HourGH-OCT'!AB27,2))</f>
        <v>338.18</v>
      </c>
      <c r="J25" s="176">
        <f>IF(COUNT('HourGH-NOV'!AB27)=0,"",ROUND('HourGH-NOV'!AB27,2))</f>
        <v>338.28</v>
      </c>
      <c r="K25" s="176">
        <f>IF(COUNT('HourGH-DEC'!AB27)=0,"",ROUND('HourGH-DEC'!AB27,2))</f>
        <v>338.51</v>
      </c>
      <c r="L25" s="176">
        <f>IF(COUNT('HourGH-JAN'!AB27)=0,"",ROUND('HourGH-JAN'!AB27,2))</f>
        <v>338</v>
      </c>
      <c r="M25" s="176">
        <f>IF(COUNT('HourGH-FEB'!AB27)=0,"",ROUND('HourGH-FEB'!AB27,2))</f>
        <v>338.44</v>
      </c>
      <c r="N25" s="176">
        <f>IF(COUNT('HourGH-MAR'!AB27)=0,"",ROUND('HourGH-MAR'!AB27,2))</f>
        <v>338.3</v>
      </c>
      <c r="O25" s="176"/>
      <c r="P25" s="164"/>
    </row>
    <row r="26" spans="1:16">
      <c r="A26" s="164"/>
      <c r="B26" s="178">
        <v>17</v>
      </c>
      <c r="C26" s="176">
        <f>IF(COUNT('HourGH-APR'!AB28)=0,"",ROUND('HourGH-APR'!AB28,2))</f>
        <v>338.2</v>
      </c>
      <c r="D26" s="176">
        <f>IF(COUNT('HourGH-MAY'!AB28)=0,"",ROUND('HourGH-MAY'!AB28,2))</f>
        <v>338.08</v>
      </c>
      <c r="E26" s="176">
        <f>IF(COUNT('HourGH-JUN'!AB28)=0,"",ROUND('HourGH-JUN'!AB28,2))</f>
        <v>337.8</v>
      </c>
      <c r="F26" s="176">
        <f>IF(COUNT('HourGH-JUL'!AB28)=0,"",ROUND('HourGH-JUL'!AB28,2))</f>
        <v>338.08</v>
      </c>
      <c r="G26" s="176">
        <f>IF(COUNT('HourGH-AUG'!AB28)=0,"",ROUND('HourGH-AUG'!AB28,2))</f>
        <v>338.41</v>
      </c>
      <c r="H26" s="176">
        <f>IF(COUNT('HourGH-SEP'!AB28)=0,"",ROUND('HourGH-SEP'!AB28,2))</f>
        <v>339.51</v>
      </c>
      <c r="I26" s="176">
        <f>IF(COUNT('HourGH-OCT'!AB28)=0,"",ROUND('HourGH-OCT'!AB28,2))</f>
        <v>338.19</v>
      </c>
      <c r="J26" s="176">
        <f>IF(COUNT('HourGH-NOV'!AB28)=0,"",ROUND('HourGH-NOV'!AB28,2))</f>
        <v>338.26</v>
      </c>
      <c r="K26" s="176">
        <f>IF(COUNT('HourGH-DEC'!AB28)=0,"",ROUND('HourGH-DEC'!AB28,2))</f>
        <v>338.27</v>
      </c>
      <c r="L26" s="176">
        <f>IF(COUNT('HourGH-JAN'!AB28)=0,"",ROUND('HourGH-JAN'!AB28,2))</f>
        <v>338.07</v>
      </c>
      <c r="M26" s="176">
        <f>IF(COUNT('HourGH-FEB'!AB28)=0,"",ROUND('HourGH-FEB'!AB28,2))</f>
        <v>338.29</v>
      </c>
      <c r="N26" s="176">
        <f>IF(COUNT('HourGH-MAR'!AB28)=0,"",ROUND('HourGH-MAR'!AB28,2))</f>
        <v>338.31</v>
      </c>
      <c r="O26" s="176"/>
      <c r="P26" s="164"/>
    </row>
    <row r="27" spans="1:16">
      <c r="A27" s="164"/>
      <c r="B27" s="178">
        <v>18</v>
      </c>
      <c r="C27" s="176">
        <f>IF(COUNT('HourGH-APR'!AB29)=0,"",ROUND('HourGH-APR'!AB29,2))</f>
        <v>338.2</v>
      </c>
      <c r="D27" s="176">
        <f>IF(COUNT('HourGH-MAY'!AB29)=0,"",ROUND('HourGH-MAY'!AB29,2))</f>
        <v>338.08</v>
      </c>
      <c r="E27" s="176">
        <f>IF(COUNT('HourGH-JUN'!AB29)=0,"",ROUND('HourGH-JUN'!AB29,2))</f>
        <v>337.81</v>
      </c>
      <c r="F27" s="176">
        <f>IF(COUNT('HourGH-JUL'!AB29)=0,"",ROUND('HourGH-JUL'!AB29,2))</f>
        <v>338.08</v>
      </c>
      <c r="G27" s="176">
        <f>IF(COUNT('HourGH-AUG'!AB29)=0,"",ROUND('HourGH-AUG'!AB29,2))</f>
        <v>338.27</v>
      </c>
      <c r="H27" s="176">
        <f>IF(COUNT('HourGH-SEP'!AB29)=0,"",ROUND('HourGH-SEP'!AB29,2))</f>
        <v>339.46</v>
      </c>
      <c r="I27" s="176">
        <f>IF(COUNT('HourGH-OCT'!AB29)=0,"",ROUND('HourGH-OCT'!AB29,2))</f>
        <v>338.96</v>
      </c>
      <c r="J27" s="176">
        <f>IF(COUNT('HourGH-NOV'!AB29)=0,"",ROUND('HourGH-NOV'!AB29,2))</f>
        <v>338.27</v>
      </c>
      <c r="K27" s="176">
        <f>IF(COUNT('HourGH-DEC'!AB29)=0,"",ROUND('HourGH-DEC'!AB29,2))</f>
        <v>338.2</v>
      </c>
      <c r="L27" s="176">
        <f>IF(COUNT('HourGH-JAN'!AB29)=0,"",ROUND('HourGH-JAN'!AB29,2))</f>
        <v>338.31</v>
      </c>
      <c r="M27" s="176">
        <f>IF(COUNT('HourGH-FEB'!AB29)=0,"",ROUND('HourGH-FEB'!AB29,2))</f>
        <v>337.88</v>
      </c>
      <c r="N27" s="176">
        <f>IF(COUNT('HourGH-MAR'!AB29)=0,"",ROUND('HourGH-MAR'!AB29,2))</f>
        <v>338.18</v>
      </c>
      <c r="O27" s="176"/>
      <c r="P27" s="164"/>
    </row>
    <row r="28" spans="1:16">
      <c r="A28" s="164"/>
      <c r="B28" s="178">
        <v>19</v>
      </c>
      <c r="C28" s="176">
        <f>IF(COUNT('HourGH-APR'!AB30)=0,"",ROUND('HourGH-APR'!AB30,2))</f>
        <v>338.19</v>
      </c>
      <c r="D28" s="176">
        <f>IF(COUNT('HourGH-MAY'!AB30)=0,"",ROUND('HourGH-MAY'!AB30,2))</f>
        <v>337.99</v>
      </c>
      <c r="E28" s="176">
        <f>IF(COUNT('HourGH-JUN'!AB30)=0,"",ROUND('HourGH-JUN'!AB30,2))</f>
        <v>337.81</v>
      </c>
      <c r="F28" s="176">
        <f>IF(COUNT('HourGH-JUL'!AB30)=0,"",ROUND('HourGH-JUL'!AB30,2))</f>
        <v>338.04</v>
      </c>
      <c r="G28" s="176">
        <f>IF(COUNT('HourGH-AUG'!AB30)=0,"",ROUND('HourGH-AUG'!AB30,2))</f>
        <v>338.22</v>
      </c>
      <c r="H28" s="176">
        <f>IF(COUNT('HourGH-SEP'!AB30)=0,"",ROUND('HourGH-SEP'!AB30,2))</f>
        <v>338.98</v>
      </c>
      <c r="I28" s="176">
        <f>IF(COUNT('HourGH-OCT'!AB30)=0,"",ROUND('HourGH-OCT'!AB30,2))</f>
        <v>340.15</v>
      </c>
      <c r="J28" s="176">
        <f>IF(COUNT('HourGH-NOV'!AB30)=0,"",ROUND('HourGH-NOV'!AB30,2))</f>
        <v>338.34</v>
      </c>
      <c r="K28" s="176">
        <f>IF(COUNT('HourGH-DEC'!AB30)=0,"",ROUND('HourGH-DEC'!AB30,2))</f>
        <v>338.17</v>
      </c>
      <c r="L28" s="176">
        <f>IF(COUNT('HourGH-JAN'!AB30)=0,"",ROUND('HourGH-JAN'!AB30,2))</f>
        <v>338.33</v>
      </c>
      <c r="M28" s="176">
        <f>IF(COUNT('HourGH-FEB'!AB30)=0,"",ROUND('HourGH-FEB'!AB30,2))</f>
        <v>337.87</v>
      </c>
      <c r="N28" s="176">
        <f>IF(COUNT('HourGH-MAR'!AB30)=0,"",ROUND('HourGH-MAR'!AB30,2))</f>
        <v>337.83</v>
      </c>
      <c r="O28" s="176"/>
      <c r="P28" s="164"/>
    </row>
    <row r="29" spans="1:16">
      <c r="A29" s="164"/>
      <c r="B29" s="178">
        <v>20</v>
      </c>
      <c r="C29" s="176">
        <f>IF(COUNT('HourGH-APR'!AB31)=0,"",ROUND('HourGH-APR'!AB31,2))</f>
        <v>338.17</v>
      </c>
      <c r="D29" s="176">
        <f>IF(COUNT('HourGH-MAY'!AB31)=0,"",ROUND('HourGH-MAY'!AB31,2))</f>
        <v>337.75</v>
      </c>
      <c r="E29" s="176">
        <f>IF(COUNT('HourGH-JUN'!AB31)=0,"",ROUND('HourGH-JUN'!AB31,2))</f>
        <v>337.85</v>
      </c>
      <c r="F29" s="176">
        <f>IF(COUNT('HourGH-JUL'!AB31)=0,"",ROUND('HourGH-JUL'!AB31,2))</f>
        <v>337.97</v>
      </c>
      <c r="G29" s="176">
        <f>IF(COUNT('HourGH-AUG'!AB31)=0,"",ROUND('HourGH-AUG'!AB31,2))</f>
        <v>338.21</v>
      </c>
      <c r="H29" s="176">
        <f>IF(COUNT('HourGH-SEP'!AB31)=0,"",ROUND('HourGH-SEP'!AB31,2))</f>
        <v>338.83</v>
      </c>
      <c r="I29" s="176">
        <f>IF(COUNT('HourGH-OCT'!AB31)=0,"",ROUND('HourGH-OCT'!AB31,2))</f>
        <v>339.59</v>
      </c>
      <c r="J29" s="176">
        <f>IF(COUNT('HourGH-NOV'!AB31)=0,"",ROUND('HourGH-NOV'!AB31,2))</f>
        <v>338.46</v>
      </c>
      <c r="K29" s="176">
        <f>IF(COUNT('HourGH-DEC'!AB31)=0,"",ROUND('HourGH-DEC'!AB31,2))</f>
        <v>338.13</v>
      </c>
      <c r="L29" s="176">
        <f>IF(COUNT('HourGH-JAN'!AB31)=0,"",ROUND('HourGH-JAN'!AB31,2))</f>
        <v>338.24</v>
      </c>
      <c r="M29" s="176">
        <f>IF(COUNT('HourGH-FEB'!AB31)=0,"",ROUND('HourGH-FEB'!AB31,2))</f>
        <v>337.88</v>
      </c>
      <c r="N29" s="176">
        <f>IF(COUNT('HourGH-MAR'!AB31)=0,"",ROUND('HourGH-MAR'!AB31,2))</f>
        <v>337.81</v>
      </c>
      <c r="O29" s="176"/>
      <c r="P29" s="164"/>
    </row>
    <row r="30" spans="1:16" ht="3.75" customHeight="1">
      <c r="A30" s="164"/>
      <c r="B30" s="178"/>
      <c r="C30" s="176" t="str">
        <f>IF(COUNT('HourGH-APR'!AB32)=0,"",ROUND('HourGH-APR'!AB32,2))</f>
        <v/>
      </c>
      <c r="D30" s="176" t="str">
        <f>IF(COUNT('HourGH-MAY'!AB32)=0,"",ROUND('HourGH-MAY'!AB32,2))</f>
        <v/>
      </c>
      <c r="E30" s="176" t="str">
        <f>IF(COUNT('HourGH-JUN'!AB32)=0,"",ROUND('HourGH-JUN'!AB32,2))</f>
        <v/>
      </c>
      <c r="F30" s="176" t="str">
        <f>IF(COUNT('HourGH-JUL'!AB32)=0,"",ROUND('HourGH-JUL'!AB32,2))</f>
        <v/>
      </c>
      <c r="G30" s="176" t="str">
        <f>IF(COUNT('HourGH-AUG'!AB32)=0,"",ROUND('HourGH-AUG'!AB32,2))</f>
        <v/>
      </c>
      <c r="H30" s="176" t="str">
        <f>IF(COUNT('HourGH-SEP'!AB32)=0,"",ROUND('HourGH-SEP'!AB32,2))</f>
        <v/>
      </c>
      <c r="I30" s="176" t="str">
        <f>IF(COUNT('HourGH-OCT'!AB32)=0,"",ROUND('HourGH-OCT'!AB32,2))</f>
        <v/>
      </c>
      <c r="J30" s="176" t="str">
        <f>IF(COUNT('HourGH-NOV'!AB32)=0,"",ROUND('HourGH-NOV'!AB32,2))</f>
        <v/>
      </c>
      <c r="K30" s="176" t="str">
        <f>IF(COUNT('HourGH-DEC'!AB32)=0,"",ROUND('HourGH-DEC'!AB32,2))</f>
        <v/>
      </c>
      <c r="L30" s="176" t="str">
        <f>IF(COUNT('HourGH-JAN'!AB32)=0,"",ROUND('HourGH-JAN'!AB32,2))</f>
        <v/>
      </c>
      <c r="M30" s="176" t="str">
        <f>IF(COUNT('HourGH-FEB'!AB32)=0,"",ROUND('HourGH-FEB'!AB32,2))</f>
        <v/>
      </c>
      <c r="N30" s="176" t="str">
        <f>IF(COUNT('HourGH-MAR'!AB32)=0,"",ROUND('HourGH-MAR'!AB32,2))</f>
        <v/>
      </c>
      <c r="O30" s="176"/>
      <c r="P30" s="164"/>
    </row>
    <row r="31" spans="1:16">
      <c r="A31" s="164"/>
      <c r="B31" s="178">
        <v>21</v>
      </c>
      <c r="C31" s="176">
        <f>IF(COUNT('HourGH-APR'!AB33)=0,"",ROUND('HourGH-APR'!AB33,2))</f>
        <v>338.17</v>
      </c>
      <c r="D31" s="176">
        <f>IF(COUNT('HourGH-MAY'!AB33)=0,"",ROUND('HourGH-MAY'!AB33,2))</f>
        <v>337.82</v>
      </c>
      <c r="E31" s="176">
        <f>IF(COUNT('HourGH-JUN'!AB33)=0,"",ROUND('HourGH-JUN'!AB33,2))</f>
        <v>337.86</v>
      </c>
      <c r="F31" s="176">
        <f>IF(COUNT('HourGH-JUL'!AB33)=0,"",ROUND('HourGH-JUL'!AB33,2))</f>
        <v>337.94</v>
      </c>
      <c r="G31" s="176">
        <f>IF(COUNT('HourGH-AUG'!AB33)=0,"",ROUND('HourGH-AUG'!AB33,2))</f>
        <v>338.21</v>
      </c>
      <c r="H31" s="176">
        <f>IF(COUNT('HourGH-SEP'!AB33)=0,"",ROUND('HourGH-SEP'!AB33,2))</f>
        <v>338.73</v>
      </c>
      <c r="I31" s="176">
        <f>IF(COUNT('HourGH-OCT'!AB33)=0,"",ROUND('HourGH-OCT'!AB33,2))</f>
        <v>339.32</v>
      </c>
      <c r="J31" s="176">
        <f>IF(COUNT('HourGH-NOV'!AB33)=0,"",ROUND('HourGH-NOV'!AB33,2))</f>
        <v>338.35</v>
      </c>
      <c r="K31" s="176">
        <f>IF(COUNT('HourGH-DEC'!AB33)=0,"",ROUND('HourGH-DEC'!AB33,2))</f>
        <v>338.1</v>
      </c>
      <c r="L31" s="176">
        <f>IF(COUNT('HourGH-JAN'!AB33)=0,"",ROUND('HourGH-JAN'!AB33,2))</f>
        <v>337.97</v>
      </c>
      <c r="M31" s="176">
        <f>IF(COUNT('HourGH-FEB'!AB33)=0,"",ROUND('HourGH-FEB'!AB33,2))</f>
        <v>337.96</v>
      </c>
      <c r="N31" s="176">
        <f>IF(COUNT('HourGH-MAR'!AB33)=0,"",ROUND('HourGH-MAR'!AB33,2))</f>
        <v>337.93</v>
      </c>
      <c r="O31" s="176"/>
      <c r="P31" s="164"/>
    </row>
    <row r="32" spans="1:16">
      <c r="A32" s="164"/>
      <c r="B32" s="178">
        <v>22</v>
      </c>
      <c r="C32" s="176">
        <f>IF(COUNT('HourGH-APR'!AB34)=0,"",ROUND('HourGH-APR'!AB34,2))</f>
        <v>338.18</v>
      </c>
      <c r="D32" s="176">
        <f>IF(COUNT('HourGH-MAY'!AB34)=0,"",ROUND('HourGH-MAY'!AB34,2))</f>
        <v>337.8</v>
      </c>
      <c r="E32" s="176">
        <f>IF(COUNT('HourGH-JUN'!AB34)=0,"",ROUND('HourGH-JUN'!AB34,2))</f>
        <v>337.84</v>
      </c>
      <c r="F32" s="176">
        <f>IF(COUNT('HourGH-JUL'!AB34)=0,"",ROUND('HourGH-JUL'!AB34,2))</f>
        <v>337.94</v>
      </c>
      <c r="G32" s="176">
        <f>IF(COUNT('HourGH-AUG'!AB34)=0,"",ROUND('HourGH-AUG'!AB34,2))</f>
        <v>338.31</v>
      </c>
      <c r="H32" s="176">
        <f>IF(COUNT('HourGH-SEP'!AB34)=0,"",ROUND('HourGH-SEP'!AB34,2))</f>
        <v>338.55</v>
      </c>
      <c r="I32" s="176">
        <f>IF(COUNT('HourGH-OCT'!AB34)=0,"",ROUND('HourGH-OCT'!AB34,2))</f>
        <v>339.63</v>
      </c>
      <c r="J32" s="176">
        <f>IF(COUNT('HourGH-NOV'!AB34)=0,"",ROUND('HourGH-NOV'!AB34,2))</f>
        <v>338.28</v>
      </c>
      <c r="K32" s="176">
        <f>IF(COUNT('HourGH-DEC'!AB34)=0,"",ROUND('HourGH-DEC'!AB34,2))</f>
        <v>338.08</v>
      </c>
      <c r="L32" s="176">
        <f>IF(COUNT('HourGH-JAN'!AB34)=0,"",ROUND('HourGH-JAN'!AB34,2))</f>
        <v>337.96</v>
      </c>
      <c r="M32" s="176">
        <f>IF(COUNT('HourGH-FEB'!AB34)=0,"",ROUND('HourGH-FEB'!AB34,2))</f>
        <v>338.26</v>
      </c>
      <c r="N32" s="176">
        <f>IF(COUNT('HourGH-MAR'!AB34)=0,"",ROUND('HourGH-MAR'!AB34,2))</f>
        <v>338.28</v>
      </c>
      <c r="O32" s="176"/>
      <c r="P32" s="164"/>
    </row>
    <row r="33" spans="1:16">
      <c r="A33" s="164"/>
      <c r="B33" s="178">
        <v>23</v>
      </c>
      <c r="C33" s="176">
        <f>IF(COUNT('HourGH-APR'!AB35)=0,"",ROUND('HourGH-APR'!AB35,2))</f>
        <v>338.17</v>
      </c>
      <c r="D33" s="176">
        <f>IF(COUNT('HourGH-MAY'!AB35)=0,"",ROUND('HourGH-MAY'!AB35,2))</f>
        <v>337.79</v>
      </c>
      <c r="E33" s="176">
        <f>IF(COUNT('HourGH-JUN'!AB35)=0,"",ROUND('HourGH-JUN'!AB35,2))</f>
        <v>337.96</v>
      </c>
      <c r="F33" s="176">
        <f>IF(COUNT('HourGH-JUL'!AB35)=0,"",ROUND('HourGH-JUL'!AB35,2))</f>
        <v>337.96</v>
      </c>
      <c r="G33" s="176">
        <f>IF(COUNT('HourGH-AUG'!AB35)=0,"",ROUND('HourGH-AUG'!AB35,2))</f>
        <v>338.58</v>
      </c>
      <c r="H33" s="176">
        <f>IF(COUNT('HourGH-SEP'!AB35)=0,"",ROUND('HourGH-SEP'!AB35,2))</f>
        <v>338.46</v>
      </c>
      <c r="I33" s="176">
        <f>IF(COUNT('HourGH-OCT'!AB35)=0,"",ROUND('HourGH-OCT'!AB35,2))</f>
        <v>339.36</v>
      </c>
      <c r="J33" s="176">
        <f>IF(COUNT('HourGH-NOV'!AB35)=0,"",ROUND('HourGH-NOV'!AB35,2))</f>
        <v>338.23</v>
      </c>
      <c r="K33" s="176">
        <f>IF(COUNT('HourGH-DEC'!AB35)=0,"",ROUND('HourGH-DEC'!AB35,2))</f>
        <v>338.07</v>
      </c>
      <c r="L33" s="176">
        <f>IF(COUNT('HourGH-JAN'!AB35)=0,"",ROUND('HourGH-JAN'!AB35,2))</f>
        <v>337.96</v>
      </c>
      <c r="M33" s="176">
        <f>IF(COUNT('HourGH-FEB'!AB35)=0,"",ROUND('HourGH-FEB'!AB35,2))</f>
        <v>338.1</v>
      </c>
      <c r="N33" s="176">
        <f>IF(COUNT('HourGH-MAR'!AB35)=0,"",ROUND('HourGH-MAR'!AB35,2))</f>
        <v>338.24</v>
      </c>
      <c r="O33" s="176"/>
      <c r="P33" s="164"/>
    </row>
    <row r="34" spans="1:16">
      <c r="A34" s="164"/>
      <c r="B34" s="178">
        <v>24</v>
      </c>
      <c r="C34" s="176">
        <f>IF(COUNT('HourGH-APR'!AB36)=0,"",ROUND('HourGH-APR'!AB36,2))</f>
        <v>338.17</v>
      </c>
      <c r="D34" s="176">
        <f>IF(COUNT('HourGH-MAY'!AB36)=0,"",ROUND('HourGH-MAY'!AB36,2))</f>
        <v>337.81</v>
      </c>
      <c r="E34" s="176">
        <f>IF(COUNT('HourGH-JUN'!AB36)=0,"",ROUND('HourGH-JUN'!AB36,2))</f>
        <v>338.16</v>
      </c>
      <c r="F34" s="176">
        <f>IF(COUNT('HourGH-JUL'!AB36)=0,"",ROUND('HourGH-JUL'!AB36,2))</f>
        <v>338.18</v>
      </c>
      <c r="G34" s="176">
        <f>IF(COUNT('HourGH-AUG'!AB36)=0,"",ROUND('HourGH-AUG'!AB36,2))</f>
        <v>338.55</v>
      </c>
      <c r="H34" s="176">
        <f>IF(COUNT('HourGH-SEP'!AB36)=0,"",ROUND('HourGH-SEP'!AB36,2))</f>
        <v>338.42</v>
      </c>
      <c r="I34" s="176">
        <f>IF(COUNT('HourGH-OCT'!AB36)=0,"",ROUND('HourGH-OCT'!AB36,2))</f>
        <v>339.21</v>
      </c>
      <c r="J34" s="176">
        <f>IF(COUNT('HourGH-NOV'!AB36)=0,"",ROUND('HourGH-NOV'!AB36,2))</f>
        <v>338.22</v>
      </c>
      <c r="K34" s="176">
        <f>IF(COUNT('HourGH-DEC'!AB36)=0,"",ROUND('HourGH-DEC'!AB36,2))</f>
        <v>338.05</v>
      </c>
      <c r="L34" s="176">
        <f>IF(COUNT('HourGH-JAN'!AB36)=0,"",ROUND('HourGH-JAN'!AB36,2))</f>
        <v>338</v>
      </c>
      <c r="M34" s="176">
        <f>IF(COUNT('HourGH-FEB'!AB36)=0,"",ROUND('HourGH-FEB'!AB36,2))</f>
        <v>338.15</v>
      </c>
      <c r="N34" s="176">
        <f>IF(COUNT('HourGH-MAR'!AB36)=0,"",ROUND('HourGH-MAR'!AB36,2))</f>
        <v>338.19</v>
      </c>
      <c r="O34" s="176"/>
      <c r="P34" s="164"/>
    </row>
    <row r="35" spans="1:16">
      <c r="A35" s="164"/>
      <c r="B35" s="178">
        <v>25</v>
      </c>
      <c r="C35" s="176">
        <f>IF(COUNT('HourGH-APR'!AB37)=0,"",ROUND('HourGH-APR'!AB37,2))</f>
        <v>338.17</v>
      </c>
      <c r="D35" s="176">
        <f>IF(COUNT('HourGH-MAY'!AB37)=0,"",ROUND('HourGH-MAY'!AB37,2))</f>
        <v>337.78</v>
      </c>
      <c r="E35" s="176">
        <f>IF(COUNT('HourGH-JUN'!AB37)=0,"",ROUND('HourGH-JUN'!AB37,2))</f>
        <v>337.84</v>
      </c>
      <c r="F35" s="176">
        <f>IF(COUNT('HourGH-JUL'!AB37)=0,"",ROUND('HourGH-JUL'!AB37,2))</f>
        <v>338.06</v>
      </c>
      <c r="G35" s="176">
        <f>IF(COUNT('HourGH-AUG'!AB37)=0,"",ROUND('HourGH-AUG'!AB37,2))</f>
        <v>338.35</v>
      </c>
      <c r="H35" s="176">
        <f>IF(COUNT('HourGH-SEP'!AB37)=0,"",ROUND('HourGH-SEP'!AB37,2))</f>
        <v>338.42</v>
      </c>
      <c r="I35" s="176">
        <f>IF(COUNT('HourGH-OCT'!AB37)=0,"",ROUND('HourGH-OCT'!AB37,2))</f>
        <v>339.05</v>
      </c>
      <c r="J35" s="176">
        <f>IF(COUNT('HourGH-NOV'!AB37)=0,"",ROUND('HourGH-NOV'!AB37,2))</f>
        <v>338.2</v>
      </c>
      <c r="K35" s="176">
        <f>IF(COUNT('HourGH-DEC'!AB37)=0,"",ROUND('HourGH-DEC'!AB37,2))</f>
        <v>338.14</v>
      </c>
      <c r="L35" s="176">
        <f>IF(COUNT('HourGH-JAN'!AB37)=0,"",ROUND('HourGH-JAN'!AB37,2))</f>
        <v>338.31</v>
      </c>
      <c r="M35" s="176">
        <f>IF(COUNT('HourGH-FEB'!AB37)=0,"",ROUND('HourGH-FEB'!AB37,2))</f>
        <v>337.87</v>
      </c>
      <c r="N35" s="176">
        <f>IF(COUNT('HourGH-MAR'!AB37)=0,"",ROUND('HourGH-MAR'!AB37,2))</f>
        <v>338.05</v>
      </c>
      <c r="O35" s="176"/>
      <c r="P35" s="164"/>
    </row>
    <row r="36" spans="1:16">
      <c r="A36" s="164"/>
      <c r="B36" s="178">
        <v>26</v>
      </c>
      <c r="C36" s="176">
        <f>IF(COUNT('HourGH-APR'!AB38)=0,"",ROUND('HourGH-APR'!AB38,2))</f>
        <v>338.16</v>
      </c>
      <c r="D36" s="176">
        <f>IF(COUNT('HourGH-MAY'!AB38)=0,"",ROUND('HourGH-MAY'!AB38,2))</f>
        <v>337.75</v>
      </c>
      <c r="E36" s="176">
        <f>IF(COUNT('HourGH-JUN'!AB38)=0,"",ROUND('HourGH-JUN'!AB38,2))</f>
        <v>337.86</v>
      </c>
      <c r="F36" s="176">
        <f>IF(COUNT('HourGH-JUL'!AB38)=0,"",ROUND('HourGH-JUL'!AB38,2))</f>
        <v>338.01</v>
      </c>
      <c r="G36" s="176">
        <f>IF(COUNT('HourGH-AUG'!AB38)=0,"",ROUND('HourGH-AUG'!AB38,2))</f>
        <v>338.31</v>
      </c>
      <c r="H36" s="176">
        <f>IF(COUNT('HourGH-SEP'!AB38)=0,"",ROUND('HourGH-SEP'!AB38,2))</f>
        <v>338.69</v>
      </c>
      <c r="I36" s="176">
        <f>IF(COUNT('HourGH-OCT'!AB38)=0,"",ROUND('HourGH-OCT'!AB38,2))</f>
        <v>338.88</v>
      </c>
      <c r="J36" s="176">
        <f>IF(COUNT('HourGH-NOV'!AB38)=0,"",ROUND('HourGH-NOV'!AB38,2))</f>
        <v>338.18</v>
      </c>
      <c r="K36" s="176">
        <f>IF(COUNT('HourGH-DEC'!AB38)=0,"",ROUND('HourGH-DEC'!AB38,2))</f>
        <v>338.05</v>
      </c>
      <c r="L36" s="176">
        <f>IF(COUNT('HourGH-JAN'!AB38)=0,"",ROUND('HourGH-JAN'!AB38,2))</f>
        <v>338.32</v>
      </c>
      <c r="M36" s="176">
        <f>IF(COUNT('HourGH-FEB'!AB38)=0,"",ROUND('HourGH-FEB'!AB38,2))</f>
        <v>337.85</v>
      </c>
      <c r="N36" s="176">
        <f>IF(COUNT('HourGH-MAR'!AB38)=0,"",ROUND('HourGH-MAR'!AB38,2))</f>
        <v>337.8</v>
      </c>
      <c r="O36" s="176"/>
      <c r="P36" s="164"/>
    </row>
    <row r="37" spans="1:16">
      <c r="A37" s="164"/>
      <c r="B37" s="178">
        <v>27</v>
      </c>
      <c r="C37" s="176">
        <f>IF(COUNT('HourGH-APR'!AB39)=0,"",ROUND('HourGH-APR'!AB39,2))</f>
        <v>338.16</v>
      </c>
      <c r="D37" s="176">
        <f>IF(COUNT('HourGH-MAY'!AB39)=0,"",ROUND('HourGH-MAY'!AB39,2))</f>
        <v>337.78</v>
      </c>
      <c r="E37" s="176">
        <f>IF(COUNT('HourGH-JUN'!AB39)=0,"",ROUND('HourGH-JUN'!AB39,2))</f>
        <v>337.85</v>
      </c>
      <c r="F37" s="176">
        <f>IF(COUNT('HourGH-JUL'!AB39)=0,"",ROUND('HourGH-JUL'!AB39,2))</f>
        <v>337.96</v>
      </c>
      <c r="G37" s="176">
        <f>IF(COUNT('HourGH-AUG'!AB39)=0,"",ROUND('HourGH-AUG'!AB39,2))</f>
        <v>338.27</v>
      </c>
      <c r="H37" s="176">
        <f>IF(COUNT('HourGH-SEP'!AB39)=0,"",ROUND('HourGH-SEP'!AB39,2))</f>
        <v>339.5</v>
      </c>
      <c r="I37" s="176">
        <f>IF(COUNT('HourGH-OCT'!AB39)=0,"",ROUND('HourGH-OCT'!AB39,2))</f>
        <v>338.78</v>
      </c>
      <c r="J37" s="176">
        <f>IF(COUNT('HourGH-NOV'!AB39)=0,"",ROUND('HourGH-NOV'!AB39,2))</f>
        <v>338.18</v>
      </c>
      <c r="K37" s="176">
        <f>IF(COUNT('HourGH-DEC'!AB39)=0,"",ROUND('HourGH-DEC'!AB39,2))</f>
        <v>338.03</v>
      </c>
      <c r="L37" s="176">
        <f>IF(COUNT('HourGH-JAN'!AB39)=0,"",ROUND('HourGH-JAN'!AB39,2))</f>
        <v>338.2</v>
      </c>
      <c r="M37" s="176">
        <f>IF(COUNT('HourGH-FEB'!AB39)=0,"",ROUND('HourGH-FEB'!AB39,2))</f>
        <v>337.85</v>
      </c>
      <c r="N37" s="176">
        <f>IF(COUNT('HourGH-MAR'!AB39)=0,"",ROUND('HourGH-MAR'!AB39,2))</f>
        <v>337.8</v>
      </c>
      <c r="O37" s="176"/>
      <c r="P37" s="164"/>
    </row>
    <row r="38" spans="1:16">
      <c r="A38" s="164"/>
      <c r="B38" s="178">
        <v>28</v>
      </c>
      <c r="C38" s="176">
        <f>IF(COUNT('HourGH-APR'!AB40)=0,"",ROUND('HourGH-APR'!AB40,2))</f>
        <v>338.16</v>
      </c>
      <c r="D38" s="176">
        <f>IF(COUNT('HourGH-MAY'!AB40)=0,"",ROUND('HourGH-MAY'!AB40,2))</f>
        <v>337.78</v>
      </c>
      <c r="E38" s="176">
        <f>IF(COUNT('HourGH-JUN'!AB40)=0,"",ROUND('HourGH-JUN'!AB40,2))</f>
        <v>337.83</v>
      </c>
      <c r="F38" s="176">
        <f>IF(COUNT('HourGH-JUL'!AB40)=0,"",ROUND('HourGH-JUL'!AB40,2))</f>
        <v>337.98</v>
      </c>
      <c r="G38" s="176">
        <f>IF(COUNT('HourGH-AUG'!AB40)=0,"",ROUND('HourGH-AUG'!AB40,2))</f>
        <v>338.23</v>
      </c>
      <c r="H38" s="176">
        <f>IF(COUNT('HourGH-SEP'!AB40)=0,"",ROUND('HourGH-SEP'!AB40,2))</f>
        <v>339.1</v>
      </c>
      <c r="I38" s="176">
        <f>IF(COUNT('HourGH-OCT'!AB40)=0,"",ROUND('HourGH-OCT'!AB40,2))</f>
        <v>338.76</v>
      </c>
      <c r="J38" s="176">
        <f>IF(COUNT('HourGH-NOV'!AB40)=0,"",ROUND('HourGH-NOV'!AB40,2))</f>
        <v>338.18</v>
      </c>
      <c r="K38" s="176">
        <f>IF(COUNT('HourGH-DEC'!AB40)=0,"",ROUND('HourGH-DEC'!AB40,2))</f>
        <v>338.03</v>
      </c>
      <c r="L38" s="176">
        <f>IF(COUNT('HourGH-JAN'!AB40)=0,"",ROUND('HourGH-JAN'!AB40,2))</f>
        <v>337.94</v>
      </c>
      <c r="M38" s="176">
        <f>IF(COUNT('HourGH-FEB'!AB40)=0,"",ROUND('HourGH-FEB'!AB40,2))</f>
        <v>337.96</v>
      </c>
      <c r="N38" s="176">
        <f>IF(COUNT('HourGH-MAR'!AB40)=0,"",ROUND('HourGH-MAR'!AB40,2))</f>
        <v>337.95</v>
      </c>
      <c r="O38" s="176"/>
      <c r="P38" s="164"/>
    </row>
    <row r="39" spans="1:16">
      <c r="A39" s="164"/>
      <c r="B39" s="178">
        <v>29</v>
      </c>
      <c r="C39" s="176">
        <f>IF(COUNT('HourGH-APR'!AB41)=0,"",ROUND('HourGH-APR'!AB41,2))</f>
        <v>338.16</v>
      </c>
      <c r="D39" s="176">
        <f>IF(COUNT('HourGH-MAY'!AB41)=0,"",ROUND('HourGH-MAY'!AB41,2))</f>
        <v>337.79</v>
      </c>
      <c r="E39" s="176">
        <f>IF(COUNT('HourGH-JUN'!AB41)=0,"",ROUND('HourGH-JUN'!AB41,2))</f>
        <v>337.84</v>
      </c>
      <c r="F39" s="176">
        <f>IF(COUNT('HourGH-JUL'!AB41)=0,"",ROUND('HourGH-JUL'!AB41,2))</f>
        <v>338.04</v>
      </c>
      <c r="G39" s="176">
        <f>IF(COUNT('HourGH-AUG'!AB41)=0,"",ROUND('HourGH-AUG'!AB41,2))</f>
        <v>338.18</v>
      </c>
      <c r="H39" s="176">
        <f>IF(COUNT('HourGH-SEP'!AB41)=0,"",ROUND('HourGH-SEP'!AB41,2))</f>
        <v>339.37</v>
      </c>
      <c r="I39" s="176">
        <f>IF(COUNT('HourGH-OCT'!AB41)=0,"",ROUND('HourGH-OCT'!AB41,2))</f>
        <v>339.01</v>
      </c>
      <c r="J39" s="176">
        <f>IF(COUNT('HourGH-NOV'!AB41)=0,"",ROUND('HourGH-NOV'!AB41,2))</f>
        <v>338.17</v>
      </c>
      <c r="K39" s="176">
        <f>IF(COUNT('HourGH-DEC'!AB41)=0,"",ROUND('HourGH-DEC'!AB41,2))</f>
        <v>338.04</v>
      </c>
      <c r="L39" s="176">
        <f>IF(COUNT('HourGH-JAN'!AB41)=0,"",ROUND('HourGH-JAN'!AB41,2))</f>
        <v>337.92</v>
      </c>
      <c r="M39" s="176" t="str">
        <f>IF(COUNT('HourGH-FEB'!AB41)=0,"",ROUND('HourGH-FEB'!AB41,2))</f>
        <v/>
      </c>
      <c r="N39" s="176">
        <f>IF(COUNT('HourGH-MAR'!AB41)=0,"",ROUND('HourGH-MAR'!AB41,2))</f>
        <v>338.29</v>
      </c>
      <c r="O39" s="176"/>
      <c r="P39" s="164"/>
    </row>
    <row r="40" spans="1:16">
      <c r="A40" s="164"/>
      <c r="B40" s="178">
        <v>30</v>
      </c>
      <c r="C40" s="176">
        <f>IF(COUNT('HourGH-APR'!AB42)=0,"",ROUND('HourGH-APR'!AB42,2))</f>
        <v>338.16</v>
      </c>
      <c r="D40" s="176">
        <f>IF(COUNT('HourGH-MAY'!AB42)=0,"",ROUND('HourGH-MAY'!AB42,2))</f>
        <v>337.81</v>
      </c>
      <c r="E40" s="176">
        <f>IF(COUNT('HourGH-JUN'!AB42)=0,"",ROUND('HourGH-JUN'!AB42,2))</f>
        <v>337.85</v>
      </c>
      <c r="F40" s="176">
        <f>IF(COUNT('HourGH-JUL'!AB42)=0,"",ROUND('HourGH-JUL'!AB42,2))</f>
        <v>338.16</v>
      </c>
      <c r="G40" s="176">
        <f>IF(COUNT('HourGH-AUG'!AB42)=0,"",ROUND('HourGH-AUG'!AB42,2))</f>
        <v>338.15</v>
      </c>
      <c r="H40" s="176">
        <f>IF(COUNT('HourGH-SEP'!AB42)=0,"",ROUND('HourGH-SEP'!AB42,2))</f>
        <v>338.79</v>
      </c>
      <c r="I40" s="176">
        <f>IF(COUNT('HourGH-OCT'!AB42)=0,"",ROUND('HourGH-OCT'!AB42,2))</f>
        <v>338.75</v>
      </c>
      <c r="J40" s="176">
        <f>IF(COUNT('HourGH-NOV'!AB42)=0,"",ROUND('HourGH-NOV'!AB42,2))</f>
        <v>338.18</v>
      </c>
      <c r="K40" s="176">
        <f>IF(COUNT('HourGH-DEC'!AB42)=0,"",ROUND('HourGH-DEC'!AB42,2))</f>
        <v>338.04</v>
      </c>
      <c r="L40" s="176">
        <f>IF(COUNT('HourGH-JAN'!AB42)=0,"",ROUND('HourGH-JAN'!AB42,2))</f>
        <v>337.93</v>
      </c>
      <c r="M40" s="176"/>
      <c r="N40" s="176">
        <f>IF(COUNT('HourGH-MAR'!AB42)=0,"",ROUND('HourGH-MAR'!AB42,2))</f>
        <v>338.24</v>
      </c>
      <c r="O40" s="176"/>
      <c r="P40" s="164"/>
    </row>
    <row r="41" spans="1:16">
      <c r="A41" s="182"/>
      <c r="B41" s="178">
        <v>31</v>
      </c>
      <c r="C41" s="176"/>
      <c r="D41" s="176">
        <f>IF(COUNT('HourGH-MAY'!AB43)=0,"",ROUND('HourGH-MAY'!AB43,2))</f>
        <v>337.83</v>
      </c>
      <c r="E41" s="176"/>
      <c r="F41" s="176">
        <f>IF(COUNT('HourGH-JUL'!AB43)=0,"",ROUND('HourGH-JUL'!AB43,2))</f>
        <v>338.2</v>
      </c>
      <c r="G41" s="176">
        <f>IF(COUNT('HourGH-AUG'!AB43)=0,"",ROUND('HourGH-AUG'!AB43,2))</f>
        <v>338.21</v>
      </c>
      <c r="H41" s="176"/>
      <c r="I41" s="176">
        <f>IF(COUNT('HourGH-OCT'!AB43)=0,"",ROUND('HourGH-OCT'!AB43,2))</f>
        <v>338.68</v>
      </c>
      <c r="J41" s="176"/>
      <c r="K41" s="176">
        <f>IF(COUNT('HourGH-DEC'!AB43)=0,"",ROUND('HourGH-DEC'!AB43,2))</f>
        <v>338.04</v>
      </c>
      <c r="L41" s="176">
        <f>IF(COUNT('HourGH-JAN'!AB43)=0,"",ROUND('HourGH-JAN'!AB43,2))</f>
        <v>338.01</v>
      </c>
      <c r="M41" s="176"/>
      <c r="N41" s="176">
        <f>IF(COUNT('HourGH-MAR'!AB43)=0,"",ROUND('HourGH-MAR'!AB43,2))</f>
        <v>338.21</v>
      </c>
      <c r="O41" s="183"/>
      <c r="P41" s="182"/>
    </row>
    <row r="42" spans="1:16" ht="6.75" customHeight="1">
      <c r="A42" s="182"/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2"/>
    </row>
    <row r="43" spans="1:16" ht="14.25" customHeight="1">
      <c r="A43" s="164"/>
      <c r="B43" s="233" t="s">
        <v>274</v>
      </c>
      <c r="C43" s="176">
        <f>IF(COUNT(C9:C41)&gt;0,AVERAGE(C9:C41),"")</f>
        <v>338.1873333333333</v>
      </c>
      <c r="D43" s="176">
        <f t="shared" ref="D43:N43" si="0">IF(COUNT(D9:D41)&gt;0,AVERAGE(D9:D41),"")</f>
        <v>337.99516129032264</v>
      </c>
      <c r="E43" s="176">
        <f t="shared" si="0"/>
        <v>337.86733333333342</v>
      </c>
      <c r="F43" s="176">
        <f t="shared" si="0"/>
        <v>337.99064516129033</v>
      </c>
      <c r="G43" s="176">
        <f t="shared" si="0"/>
        <v>338.46483870967734</v>
      </c>
      <c r="H43" s="176">
        <f t="shared" si="0"/>
        <v>338.93600000000004</v>
      </c>
      <c r="I43" s="176">
        <f t="shared" si="0"/>
        <v>338.7296774193548</v>
      </c>
      <c r="J43" s="176">
        <f t="shared" si="0"/>
        <v>338.31166666666672</v>
      </c>
      <c r="K43" s="176">
        <f t="shared" si="0"/>
        <v>338.13838709677435</v>
      </c>
      <c r="L43" s="176">
        <f t="shared" si="0"/>
        <v>338.05451612903227</v>
      </c>
      <c r="M43" s="176">
        <f t="shared" si="0"/>
        <v>338.05321428571426</v>
      </c>
      <c r="N43" s="176">
        <f t="shared" si="0"/>
        <v>338.07516129032257</v>
      </c>
      <c r="O43" s="176"/>
      <c r="P43" s="241"/>
    </row>
    <row r="44" spans="1:16" ht="14.25" customHeight="1">
      <c r="A44" s="164"/>
      <c r="B44" s="233" t="s">
        <v>276</v>
      </c>
      <c r="C44" s="176">
        <f>IF(COUNT(C9:C41)&gt;0,MAX(C9:C41),"")</f>
        <v>338.32</v>
      </c>
      <c r="D44" s="176">
        <f t="shared" ref="D44:N44" si="1">IF(COUNT(D9:D41)&gt;0,MAX(D9:D41),"")</f>
        <v>338.18</v>
      </c>
      <c r="E44" s="176">
        <f t="shared" si="1"/>
        <v>338.27</v>
      </c>
      <c r="F44" s="176">
        <f t="shared" si="1"/>
        <v>338.2</v>
      </c>
      <c r="G44" s="176">
        <f t="shared" si="1"/>
        <v>340.05</v>
      </c>
      <c r="H44" s="176">
        <f t="shared" si="1"/>
        <v>340</v>
      </c>
      <c r="I44" s="176">
        <f t="shared" si="1"/>
        <v>340.15</v>
      </c>
      <c r="J44" s="176">
        <f t="shared" si="1"/>
        <v>338.62</v>
      </c>
      <c r="K44" s="176">
        <f t="shared" si="1"/>
        <v>338.54</v>
      </c>
      <c r="L44" s="176">
        <f t="shared" si="1"/>
        <v>338.33</v>
      </c>
      <c r="M44" s="176">
        <f t="shared" si="1"/>
        <v>338.44</v>
      </c>
      <c r="N44" s="176">
        <f t="shared" si="1"/>
        <v>338.31</v>
      </c>
      <c r="O44" s="176">
        <f>IF(COUNT(C44:N44)&gt;0,MAX(C44:N44),"")</f>
        <v>340.15</v>
      </c>
      <c r="P44" s="241"/>
    </row>
    <row r="45" spans="1:16" ht="14.25" customHeight="1">
      <c r="A45" s="164"/>
      <c r="B45" s="233" t="s">
        <v>277</v>
      </c>
      <c r="C45" s="176">
        <f>IF(COUNT(C9:C41)&gt;0,MIN(C9:C41),"")</f>
        <v>338.05</v>
      </c>
      <c r="D45" s="176">
        <f t="shared" ref="D45:N45" si="2">IF(COUNT(D9:D41)&gt;0,MIN(D9:D41),"")</f>
        <v>337.75</v>
      </c>
      <c r="E45" s="176">
        <f t="shared" si="2"/>
        <v>337.77</v>
      </c>
      <c r="F45" s="176">
        <f t="shared" si="2"/>
        <v>337.83</v>
      </c>
      <c r="G45" s="176">
        <f t="shared" si="2"/>
        <v>338.09</v>
      </c>
      <c r="H45" s="176">
        <f t="shared" si="2"/>
        <v>338.21</v>
      </c>
      <c r="I45" s="176">
        <f t="shared" si="2"/>
        <v>338.18</v>
      </c>
      <c r="J45" s="176">
        <f t="shared" si="2"/>
        <v>338.17</v>
      </c>
      <c r="K45" s="176">
        <f t="shared" si="2"/>
        <v>338.03</v>
      </c>
      <c r="L45" s="176">
        <f t="shared" si="2"/>
        <v>337.92</v>
      </c>
      <c r="M45" s="176">
        <f t="shared" si="2"/>
        <v>337.85</v>
      </c>
      <c r="N45" s="176">
        <f t="shared" si="2"/>
        <v>337.8</v>
      </c>
      <c r="O45" s="176">
        <f>IF(COUNT(C45:N45)&gt;0,MIN(C45:N45),"")</f>
        <v>337.75</v>
      </c>
      <c r="P45" s="241"/>
    </row>
    <row r="46" spans="1:16" ht="14.25" customHeight="1">
      <c r="A46" s="164"/>
      <c r="B46" s="309" t="s">
        <v>317</v>
      </c>
      <c r="C46" s="282"/>
      <c r="D46" s="282"/>
      <c r="E46" s="282"/>
      <c r="F46" s="312" t="str">
        <f>S4 &amp; "  M ( " &amp; R4 &amp; " ),  AT  " &amp; T4 &amp; "  Hours, On  " &amp; U4 &amp; "  " &amp; V4 &amp; ",  " &amp; W4</f>
        <v>340.23  M ( MSL. ),  AT  010:00  Hours, On  OCT  19,  2013</v>
      </c>
      <c r="G46" s="312"/>
      <c r="H46" s="312"/>
      <c r="I46" s="312"/>
      <c r="J46" s="312"/>
      <c r="K46" s="312"/>
      <c r="L46" s="312"/>
      <c r="M46" s="176"/>
      <c r="N46" s="176"/>
      <c r="O46" s="176"/>
      <c r="P46" s="242"/>
    </row>
    <row r="47" spans="1:16" ht="14.25" customHeight="1">
      <c r="A47" s="164"/>
      <c r="B47" s="309" t="s">
        <v>318</v>
      </c>
      <c r="C47" s="282"/>
      <c r="D47" s="282"/>
      <c r="E47" s="282"/>
      <c r="F47" s="310" t="str">
        <f>T5 &amp; "  M  ( " &amp; R4 &amp; " ),  River Bed   " &amp; U5 &amp; "  M  ( " &amp; R4 &amp; " )"</f>
        <v>337.6  M  ( MSL. ),  River Bed   337.34  M  ( MSL. )</v>
      </c>
      <c r="G47" s="311"/>
      <c r="H47" s="311"/>
      <c r="I47" s="311"/>
      <c r="J47" s="311"/>
      <c r="K47" s="311"/>
      <c r="L47" s="311"/>
      <c r="M47" s="237"/>
      <c r="N47" s="164"/>
      <c r="O47" s="164"/>
      <c r="P47" s="164"/>
    </row>
    <row r="48" spans="1:16" ht="14.25" customHeight="1">
      <c r="A48" s="164"/>
      <c r="B48" s="303" t="s">
        <v>319</v>
      </c>
      <c r="C48" s="304"/>
      <c r="D48" s="282"/>
      <c r="E48" s="282"/>
      <c r="F48" s="308" t="str">
        <f>V5&amp;"  M  ( "&amp;R4&amp;") "</f>
        <v xml:space="preserve">345.12  M  ( MSL.) </v>
      </c>
      <c r="G48" s="308"/>
      <c r="H48" s="308"/>
      <c r="I48" s="234"/>
      <c r="J48" s="189"/>
      <c r="K48" s="234"/>
      <c r="L48" s="234"/>
      <c r="M48" s="234"/>
      <c r="N48" s="234"/>
      <c r="O48" s="164"/>
      <c r="P48" s="164"/>
    </row>
    <row r="49" spans="2:13" ht="14.25" customHeight="1">
      <c r="B49" s="307" t="s">
        <v>320</v>
      </c>
      <c r="C49" s="307"/>
      <c r="D49" s="307"/>
      <c r="E49" s="282"/>
      <c r="F49" s="308" t="str">
        <f>W5&amp;"  M  ( "&amp;R4&amp;"),     Drainage Area    " &amp; R6 &amp; "  Square Kilometers"</f>
        <v>345.16  M  ( MSL.),     Drainage Area    3090  Square Kilometers</v>
      </c>
      <c r="G49" s="308"/>
      <c r="H49" s="308"/>
      <c r="I49" s="282"/>
      <c r="J49" s="282"/>
      <c r="K49" s="282"/>
      <c r="L49" s="282"/>
      <c r="M49" s="282"/>
    </row>
  </sheetData>
  <sheetProtection password="D965" sheet="1" objects="1" scenarios="1"/>
  <mergeCells count="19">
    <mergeCell ref="B5:O5"/>
    <mergeCell ref="B46:E46"/>
    <mergeCell ref="F46:L46"/>
    <mergeCell ref="B49:E49"/>
    <mergeCell ref="F48:H48"/>
    <mergeCell ref="F49:M49"/>
    <mergeCell ref="A1:B1"/>
    <mergeCell ref="C1:J1"/>
    <mergeCell ref="M1:O1"/>
    <mergeCell ref="A2:B2"/>
    <mergeCell ref="C2:G2"/>
    <mergeCell ref="B48:E48"/>
    <mergeCell ref="C3:G3"/>
    <mergeCell ref="B47:E47"/>
    <mergeCell ref="F47:L47"/>
    <mergeCell ref="M3:N3"/>
    <mergeCell ref="C4:G4"/>
    <mergeCell ref="H4:I4"/>
    <mergeCell ref="M4:P4"/>
  </mergeCells>
  <phoneticPr fontId="71" type="noConversion"/>
  <pageMargins left="0.74803149606299213" right="0.74803149606299213" top="0.59055118110236227" bottom="0.59055118110236227" header="0.51181102362204722" footer="0.51181102362204722"/>
  <pageSetup paperSize="9" scale="8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N49"/>
  <sheetViews>
    <sheetView showGridLines="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K20" sqref="K20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7.28515625" customWidth="1"/>
    <col min="34" max="38" width="0" hidden="1" customWidth="1"/>
    <col min="39" max="39" width="8.5703125" hidden="1" customWidth="1"/>
    <col min="40" max="40" width="9.5703125" hidden="1" customWidth="1"/>
    <col min="41" max="41" width="0" hidden="1" customWidth="1"/>
  </cols>
  <sheetData>
    <row r="1" spans="1:40" ht="9" customHeight="1">
      <c r="AD1" s="344" t="s">
        <v>108</v>
      </c>
      <c r="AE1" s="345"/>
    </row>
    <row r="2" spans="1:40" ht="24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ht="21.75">
      <c r="B3" s="343" t="s">
        <v>106</v>
      </c>
      <c r="C3" s="343"/>
      <c r="D3" s="343"/>
      <c r="AA3" s="9"/>
      <c r="AB3" s="9"/>
      <c r="AC3" s="9"/>
      <c r="AD3" s="9"/>
      <c r="AE3" s="9"/>
      <c r="AF3" s="9"/>
    </row>
    <row r="4" spans="1:40" ht="21.75">
      <c r="F4" s="53"/>
      <c r="AA4" s="9"/>
      <c r="AB4" s="9"/>
      <c r="AC4" s="9"/>
      <c r="AD4" s="162" t="s">
        <v>123</v>
      </c>
      <c r="AE4" s="313"/>
      <c r="AF4" s="313"/>
      <c r="AG4" s="314"/>
    </row>
    <row r="5" spans="1:40" s="74" customFormat="1" ht="24">
      <c r="B5" s="75" t="s">
        <v>109</v>
      </c>
      <c r="C5" s="318" t="str">
        <f>IF(ISBLANK(rsteam),"",rsteam)</f>
        <v>Nam  Ping</v>
      </c>
      <c r="D5" s="311"/>
      <c r="E5" s="311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</row>
    <row r="6" spans="1:40" s="74" customFormat="1" ht="12.75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0" s="74" customFormat="1" ht="24">
      <c r="B7" s="324" t="s">
        <v>116</v>
      </c>
      <c r="C7" s="324"/>
      <c r="D7" s="325" t="s">
        <v>65</v>
      </c>
      <c r="E7" s="326"/>
      <c r="F7" s="77" t="s">
        <v>117</v>
      </c>
      <c r="G7" s="327">
        <f>IF('c-form'!C7="","",('c-form'!C7+543)+1)</f>
        <v>2557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</row>
    <row r="8" spans="1:40" ht="15.75" customHeight="1">
      <c r="AA8" s="9"/>
      <c r="AB8" s="9"/>
      <c r="AC8" s="9"/>
      <c r="AD8" s="9"/>
      <c r="AE8" s="9"/>
      <c r="AF8" s="9"/>
    </row>
    <row r="9" spans="1:40" s="52" customFormat="1" ht="30.75" customHeight="1">
      <c r="A9" s="55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33" t="str">
        <f>'c-form'!AF15</f>
        <v>MSL.</v>
      </c>
      <c r="AE9" s="334"/>
      <c r="AF9" s="335"/>
    </row>
    <row r="10" spans="1:40" s="52" customFormat="1" ht="21" customHeight="1">
      <c r="A10" s="55"/>
      <c r="B10" s="338"/>
      <c r="C10" s="61">
        <v>1</v>
      </c>
      <c r="D10" s="61">
        <v>2</v>
      </c>
      <c r="E10" s="61">
        <v>3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  <c r="M10" s="61">
        <v>11</v>
      </c>
      <c r="N10" s="61">
        <v>12</v>
      </c>
      <c r="O10" s="61">
        <v>13</v>
      </c>
      <c r="P10" s="61">
        <v>14</v>
      </c>
      <c r="Q10" s="61">
        <v>15</v>
      </c>
      <c r="R10" s="61">
        <v>16</v>
      </c>
      <c r="S10" s="61">
        <v>17</v>
      </c>
      <c r="T10" s="61">
        <v>18</v>
      </c>
      <c r="U10" s="61">
        <v>19</v>
      </c>
      <c r="V10" s="61">
        <v>20</v>
      </c>
      <c r="W10" s="61">
        <v>21</v>
      </c>
      <c r="X10" s="61">
        <v>22</v>
      </c>
      <c r="Y10" s="61">
        <v>23</v>
      </c>
      <c r="Z10" s="61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60"/>
      <c r="B11" s="132">
        <v>1</v>
      </c>
      <c r="C11" s="264">
        <v>0.59</v>
      </c>
      <c r="D11" s="264">
        <v>0.61</v>
      </c>
      <c r="E11" s="264">
        <v>0.62</v>
      </c>
      <c r="F11" s="264">
        <v>0.63</v>
      </c>
      <c r="G11" s="264">
        <v>0.64</v>
      </c>
      <c r="H11" s="264">
        <v>0.65</v>
      </c>
      <c r="I11" s="264">
        <v>0.65</v>
      </c>
      <c r="J11" s="264">
        <v>0.65</v>
      </c>
      <c r="K11" s="264">
        <v>0.65</v>
      </c>
      <c r="L11" s="264">
        <v>0.65</v>
      </c>
      <c r="M11" s="264">
        <v>0.65</v>
      </c>
      <c r="N11" s="264">
        <v>0.65</v>
      </c>
      <c r="O11" s="264">
        <v>0.65</v>
      </c>
      <c r="P11" s="264">
        <v>0.65</v>
      </c>
      <c r="Q11" s="264">
        <v>0.65</v>
      </c>
      <c r="R11" s="264">
        <v>0.65</v>
      </c>
      <c r="S11" s="264">
        <v>0.65</v>
      </c>
      <c r="T11" s="264">
        <v>0.65</v>
      </c>
      <c r="U11" s="264">
        <v>0.65</v>
      </c>
      <c r="V11" s="264">
        <v>0.65</v>
      </c>
      <c r="W11" s="264">
        <v>0.65</v>
      </c>
      <c r="X11" s="264">
        <v>0.65</v>
      </c>
      <c r="Y11" s="264">
        <v>0.65</v>
      </c>
      <c r="Z11" s="264">
        <v>0.65</v>
      </c>
      <c r="AA11" s="57">
        <f t="shared" ref="AA11:AA41" si="0">IF(ISERROR(AVERAGE(C11:Z11))," ",AVERAGE(C11:Z11))</f>
        <v>0.64333333333333353</v>
      </c>
      <c r="AB11" s="58">
        <f>IF(AA11=" "," ",IF('c-form'!AE15="",AA11,AA11+'c-form'!AE15))</f>
        <v>338.24333333333334</v>
      </c>
      <c r="AC11" s="58">
        <f>IF(AA11=" "," ",IF('c-form'!AE15="",AM11,AM11+'c-form'!AE15))</f>
        <v>338.25</v>
      </c>
      <c r="AD11" s="150">
        <f>IF(AB11=" "," ",MATCH(AM11,C11:Z11,0))</f>
        <v>6</v>
      </c>
      <c r="AE11" s="58">
        <f>IF(AA11=" "," ",IF('c-form'!AE15="",AN11,AN11+'c-form'!AE15))</f>
        <v>338.19</v>
      </c>
      <c r="AF11" s="150">
        <f t="shared" ref="AF11:AF20" si="1">IF(AD11=" "," ",MATCH(AN11,C11:Z11,0))</f>
        <v>1</v>
      </c>
      <c r="AM11">
        <f>IF(AB11=" "," ",MAX(C11:Z11))</f>
        <v>0.65</v>
      </c>
      <c r="AN11" s="54">
        <f>IF(AB11=" "," ",MIN(C11:Z11))</f>
        <v>0.59</v>
      </c>
    </row>
    <row r="12" spans="1:40" ht="22.5" customHeight="1">
      <c r="A12" s="60"/>
      <c r="B12" s="132">
        <v>2</v>
      </c>
      <c r="C12" s="264">
        <v>0.65</v>
      </c>
      <c r="D12" s="264">
        <v>0.65</v>
      </c>
      <c r="E12" s="264">
        <v>0.65</v>
      </c>
      <c r="F12" s="264">
        <v>0.65</v>
      </c>
      <c r="G12" s="264">
        <v>0.65</v>
      </c>
      <c r="H12" s="264">
        <v>0.65</v>
      </c>
      <c r="I12" s="264">
        <v>0.65</v>
      </c>
      <c r="J12" s="264">
        <v>0.65</v>
      </c>
      <c r="K12" s="264">
        <v>0.65</v>
      </c>
      <c r="L12" s="264">
        <v>0.65</v>
      </c>
      <c r="M12" s="264">
        <v>0.65</v>
      </c>
      <c r="N12" s="264">
        <v>0.65</v>
      </c>
      <c r="O12" s="264">
        <v>0.65</v>
      </c>
      <c r="P12" s="264">
        <v>0.65</v>
      </c>
      <c r="Q12" s="264">
        <v>0.65</v>
      </c>
      <c r="R12" s="264">
        <v>0.65</v>
      </c>
      <c r="S12" s="264">
        <v>0.65</v>
      </c>
      <c r="T12" s="264">
        <v>0.65</v>
      </c>
      <c r="U12" s="264">
        <v>0.65</v>
      </c>
      <c r="V12" s="264">
        <v>0.65</v>
      </c>
      <c r="W12" s="264">
        <v>0.65</v>
      </c>
      <c r="X12" s="264">
        <v>0.65</v>
      </c>
      <c r="Y12" s="264">
        <v>0.65</v>
      </c>
      <c r="Z12" s="264">
        <v>0.65</v>
      </c>
      <c r="AA12" s="57">
        <f t="shared" si="0"/>
        <v>0.65000000000000024</v>
      </c>
      <c r="AB12" s="58">
        <f>IF(AA12=" "," ",IF('c-form'!AE15="",AA12,AA12+'c-form'!AE15))</f>
        <v>338.25</v>
      </c>
      <c r="AC12" s="58">
        <f>IF(AA12=" "," ",IF('c-form'!AE15="",AM12,AM12+'c-form'!AE15))</f>
        <v>338.25</v>
      </c>
      <c r="AD12" s="150">
        <f>IF(AB12=" "," ",MATCH(AM12,C12:Z12,0))</f>
        <v>1</v>
      </c>
      <c r="AE12" s="58">
        <f>IF(AA12=" "," ",IF('c-form'!AE15="",AN12,AN12+'c-form'!AE15))</f>
        <v>338.25</v>
      </c>
      <c r="AF12" s="150">
        <f t="shared" si="1"/>
        <v>1</v>
      </c>
      <c r="AM12">
        <f t="shared" ref="AM12:AM43" si="2">IF(AB12=" "," ",MAX(C12:Z12))</f>
        <v>0.65</v>
      </c>
      <c r="AN12" s="54">
        <f>IF(AB12=" "," ",MIN(C12:Z12))</f>
        <v>0.65</v>
      </c>
    </row>
    <row r="13" spans="1:40" ht="22.5" customHeight="1">
      <c r="A13" s="60"/>
      <c r="B13" s="132">
        <v>3</v>
      </c>
      <c r="C13" s="264">
        <v>0.64</v>
      </c>
      <c r="D13" s="264">
        <v>0.64</v>
      </c>
      <c r="E13" s="264">
        <v>0.64</v>
      </c>
      <c r="F13" s="264">
        <v>0.64</v>
      </c>
      <c r="G13" s="264">
        <v>0.64</v>
      </c>
      <c r="H13" s="264">
        <v>0.66</v>
      </c>
      <c r="I13" s="264">
        <v>0.63</v>
      </c>
      <c r="J13" s="264">
        <v>0.62</v>
      </c>
      <c r="K13" s="264">
        <v>0.61</v>
      </c>
      <c r="L13" s="264">
        <v>0.59</v>
      </c>
      <c r="M13" s="264">
        <v>0.57999999999999996</v>
      </c>
      <c r="N13" s="264">
        <v>0.56000000000000005</v>
      </c>
      <c r="O13" s="264">
        <v>0.54</v>
      </c>
      <c r="P13" s="264">
        <v>0.52</v>
      </c>
      <c r="Q13" s="264">
        <v>0.5</v>
      </c>
      <c r="R13" s="264">
        <v>0.47</v>
      </c>
      <c r="S13" s="264">
        <v>0.45</v>
      </c>
      <c r="T13" s="264">
        <v>0.43</v>
      </c>
      <c r="U13" s="264">
        <v>0.4</v>
      </c>
      <c r="V13" s="264">
        <v>0.38</v>
      </c>
      <c r="W13" s="264">
        <v>0.36</v>
      </c>
      <c r="X13" s="264">
        <v>0.34</v>
      </c>
      <c r="Y13" s="264">
        <v>0.32</v>
      </c>
      <c r="Z13" s="264">
        <v>0.31</v>
      </c>
      <c r="AA13" s="57">
        <f t="shared" si="0"/>
        <v>0.5195833333333334</v>
      </c>
      <c r="AB13" s="58">
        <f>IF(AA13=" "," ",IF('c-form'!AE15="",AA13,AA13+'c-form'!AE15))</f>
        <v>338.11958333333337</v>
      </c>
      <c r="AC13" s="58">
        <f>IF(AA13=" "," ",IF('c-form'!AE15="",AM13,AM13+'c-form'!AE15))</f>
        <v>338.26000000000005</v>
      </c>
      <c r="AD13" s="150">
        <f t="shared" ref="AD13:AD20" si="3">IF(AB13=" "," ",MATCH(AM13,C13:Z13,0))</f>
        <v>6</v>
      </c>
      <c r="AE13" s="58">
        <f>IF(AA13=" "," ",IF('c-form'!AE15="",AN13,AN13+'c-form'!AE15))</f>
        <v>337.91</v>
      </c>
      <c r="AF13" s="150">
        <f t="shared" si="1"/>
        <v>24</v>
      </c>
      <c r="AM13">
        <f t="shared" si="2"/>
        <v>0.66</v>
      </c>
      <c r="AN13" s="54">
        <f t="shared" ref="AN13:AN43" si="4">IF(AB13=" "," ",MIN(C13:Z13))</f>
        <v>0.31</v>
      </c>
    </row>
    <row r="14" spans="1:40" ht="22.5" customHeight="1">
      <c r="A14" s="60"/>
      <c r="B14" s="132">
        <v>4</v>
      </c>
      <c r="C14" s="264">
        <v>0.28999999999999998</v>
      </c>
      <c r="D14" s="264">
        <v>0.28000000000000003</v>
      </c>
      <c r="E14" s="264">
        <v>0.27</v>
      </c>
      <c r="F14" s="264">
        <v>0.26</v>
      </c>
      <c r="G14" s="264">
        <v>0.25</v>
      </c>
      <c r="H14" s="264">
        <v>0.24</v>
      </c>
      <c r="I14" s="264">
        <v>0.24</v>
      </c>
      <c r="J14" s="264">
        <v>0.24</v>
      </c>
      <c r="K14" s="264">
        <v>0.24</v>
      </c>
      <c r="L14" s="264">
        <v>0.24</v>
      </c>
      <c r="M14" s="264">
        <v>0.25</v>
      </c>
      <c r="N14" s="264">
        <v>0.25</v>
      </c>
      <c r="O14" s="264">
        <v>0.25</v>
      </c>
      <c r="P14" s="264">
        <v>0.25</v>
      </c>
      <c r="Q14" s="264">
        <v>0.25</v>
      </c>
      <c r="R14" s="264">
        <v>0.25</v>
      </c>
      <c r="S14" s="264">
        <v>0.25</v>
      </c>
      <c r="T14" s="264">
        <v>0.25</v>
      </c>
      <c r="U14" s="264">
        <v>0.25</v>
      </c>
      <c r="V14" s="264">
        <v>0.25</v>
      </c>
      <c r="W14" s="264">
        <v>0.25</v>
      </c>
      <c r="X14" s="264">
        <v>0.25</v>
      </c>
      <c r="Y14" s="264">
        <v>0.25</v>
      </c>
      <c r="Z14" s="264">
        <v>0.25</v>
      </c>
      <c r="AA14" s="57">
        <f t="shared" si="0"/>
        <v>0.25208333333333338</v>
      </c>
      <c r="AB14" s="58">
        <f>IF(AA14=" "," ",IF('c-form'!AE15="",AA14,AA14+'c-form'!AE15))</f>
        <v>337.85208333333338</v>
      </c>
      <c r="AC14" s="58">
        <f>IF(AA14=" "," ",IF('c-form'!AE15="",AM14,AM14+'c-form'!AE15))</f>
        <v>337.89000000000004</v>
      </c>
      <c r="AD14" s="150">
        <f t="shared" si="3"/>
        <v>1</v>
      </c>
      <c r="AE14" s="58">
        <f>IF(AA14=" "," ",IF('c-form'!AE15="",AN14,AN14+'c-form'!AE15))</f>
        <v>337.84000000000003</v>
      </c>
      <c r="AF14" s="150">
        <f t="shared" si="1"/>
        <v>6</v>
      </c>
      <c r="AM14">
        <f t="shared" si="2"/>
        <v>0.28999999999999998</v>
      </c>
      <c r="AN14" s="54">
        <f t="shared" si="4"/>
        <v>0.24</v>
      </c>
    </row>
    <row r="15" spans="1:40" ht="22.5" customHeight="1">
      <c r="A15" s="60"/>
      <c r="B15" s="132">
        <v>5</v>
      </c>
      <c r="C15" s="264">
        <v>0.26</v>
      </c>
      <c r="D15" s="264">
        <v>0.26</v>
      </c>
      <c r="E15" s="264">
        <v>0.26</v>
      </c>
      <c r="F15" s="264">
        <v>0.26</v>
      </c>
      <c r="G15" s="264">
        <v>0.26</v>
      </c>
      <c r="H15" s="264">
        <v>0.26</v>
      </c>
      <c r="I15" s="264">
        <v>0.26</v>
      </c>
      <c r="J15" s="264">
        <v>0.26</v>
      </c>
      <c r="K15" s="264">
        <v>0.26</v>
      </c>
      <c r="L15" s="264">
        <v>0.26</v>
      </c>
      <c r="M15" s="264">
        <v>0.26</v>
      </c>
      <c r="N15" s="264">
        <v>0.26</v>
      </c>
      <c r="O15" s="264">
        <v>0.26</v>
      </c>
      <c r="P15" s="264">
        <v>0.26</v>
      </c>
      <c r="Q15" s="264">
        <v>0.26</v>
      </c>
      <c r="R15" s="264">
        <v>0.26</v>
      </c>
      <c r="S15" s="264">
        <v>0.26</v>
      </c>
      <c r="T15" s="264">
        <v>0.26</v>
      </c>
      <c r="U15" s="264">
        <v>0.26</v>
      </c>
      <c r="V15" s="264">
        <v>0.26</v>
      </c>
      <c r="W15" s="264">
        <v>0.26</v>
      </c>
      <c r="X15" s="264">
        <v>0.26</v>
      </c>
      <c r="Y15" s="264">
        <v>0.26</v>
      </c>
      <c r="Z15" s="264">
        <v>0.26</v>
      </c>
      <c r="AA15" s="57">
        <f t="shared" si="0"/>
        <v>0.25999999999999984</v>
      </c>
      <c r="AB15" s="58">
        <f>IF(AA15=" "," ",IF('c-form'!AE15="",AA15,AA15+'c-form'!AE15))</f>
        <v>337.86</v>
      </c>
      <c r="AC15" s="58">
        <f>IF(AA15=" "," ",IF('c-form'!AE15="",AM15,AM15+'c-form'!AE15))</f>
        <v>337.86</v>
      </c>
      <c r="AD15" s="150">
        <f t="shared" si="3"/>
        <v>1</v>
      </c>
      <c r="AE15" s="58">
        <f>IF(AA15=" "," ",IF('c-form'!AE15="",AN15,AN15+'c-form'!AE15))</f>
        <v>337.86</v>
      </c>
      <c r="AF15" s="150">
        <f t="shared" si="1"/>
        <v>1</v>
      </c>
      <c r="AM15">
        <f t="shared" si="2"/>
        <v>0.26</v>
      </c>
      <c r="AN15" s="54">
        <f t="shared" si="4"/>
        <v>0.26</v>
      </c>
    </row>
    <row r="16" spans="1:40" ht="22.5" customHeight="1">
      <c r="A16" s="60"/>
      <c r="B16" s="132">
        <v>6</v>
      </c>
      <c r="C16" s="264">
        <v>0.26</v>
      </c>
      <c r="D16" s="264">
        <v>0.26</v>
      </c>
      <c r="E16" s="264">
        <v>0.26</v>
      </c>
      <c r="F16" s="264">
        <v>0.26</v>
      </c>
      <c r="G16" s="264">
        <v>0.26</v>
      </c>
      <c r="H16" s="264">
        <v>0.26</v>
      </c>
      <c r="I16" s="264">
        <v>0.25</v>
      </c>
      <c r="J16" s="264">
        <v>0.25</v>
      </c>
      <c r="K16" s="264">
        <v>0.25</v>
      </c>
      <c r="L16" s="264">
        <v>0.25</v>
      </c>
      <c r="M16" s="264">
        <v>0.25</v>
      </c>
      <c r="N16" s="264">
        <v>0.25</v>
      </c>
      <c r="O16" s="264">
        <v>0.25</v>
      </c>
      <c r="P16" s="264">
        <v>0.25</v>
      </c>
      <c r="Q16" s="264">
        <v>0.25</v>
      </c>
      <c r="R16" s="264">
        <v>0.25</v>
      </c>
      <c r="S16" s="264">
        <v>0.25</v>
      </c>
      <c r="T16" s="264">
        <v>0.24</v>
      </c>
      <c r="U16" s="264">
        <v>0.24</v>
      </c>
      <c r="V16" s="264">
        <v>0.24</v>
      </c>
      <c r="W16" s="264">
        <v>0.24</v>
      </c>
      <c r="X16" s="264">
        <v>0.24</v>
      </c>
      <c r="Y16" s="264">
        <v>0.24</v>
      </c>
      <c r="Z16" s="264">
        <v>0.24</v>
      </c>
      <c r="AA16" s="57">
        <f t="shared" si="0"/>
        <v>0.24958333333333341</v>
      </c>
      <c r="AB16" s="58">
        <f>IF(AA16=" "," ",IF('c-form'!AE15="",AA16,AA16+'c-form'!AE15))</f>
        <v>337.84958333333333</v>
      </c>
      <c r="AC16" s="58">
        <f>IF(AA16=" "," ",IF('c-form'!AE15="",AM16,AM16+'c-form'!AE15))</f>
        <v>337.86</v>
      </c>
      <c r="AD16" s="150">
        <f t="shared" si="3"/>
        <v>1</v>
      </c>
      <c r="AE16" s="58">
        <f>IF(AA16=" "," ",IF('c-form'!AE15="",AN16,AN16+'c-form'!AE15))</f>
        <v>337.84000000000003</v>
      </c>
      <c r="AF16" s="150">
        <f t="shared" si="1"/>
        <v>18</v>
      </c>
      <c r="AM16">
        <f t="shared" si="2"/>
        <v>0.26</v>
      </c>
      <c r="AN16" s="54">
        <f t="shared" si="4"/>
        <v>0.24</v>
      </c>
    </row>
    <row r="17" spans="1:40" ht="22.5" customHeight="1">
      <c r="A17" s="60"/>
      <c r="B17" s="132">
        <v>7</v>
      </c>
      <c r="C17" s="264">
        <v>0.24</v>
      </c>
      <c r="D17" s="264">
        <v>0.24</v>
      </c>
      <c r="E17" s="264">
        <v>0.24</v>
      </c>
      <c r="F17" s="264">
        <v>0.24</v>
      </c>
      <c r="G17" s="264">
        <v>0.24</v>
      </c>
      <c r="H17" s="264">
        <v>0.24</v>
      </c>
      <c r="I17" s="264">
        <v>0.24</v>
      </c>
      <c r="J17" s="264">
        <v>0.25</v>
      </c>
      <c r="K17" s="264">
        <v>0.25</v>
      </c>
      <c r="L17" s="264">
        <v>0.26</v>
      </c>
      <c r="M17" s="264">
        <v>0.27</v>
      </c>
      <c r="N17" s="264">
        <v>0.27</v>
      </c>
      <c r="O17" s="264">
        <v>0.28000000000000003</v>
      </c>
      <c r="P17" s="264">
        <v>0.3</v>
      </c>
      <c r="Q17" s="264">
        <v>0.32</v>
      </c>
      <c r="R17" s="264">
        <v>0.34</v>
      </c>
      <c r="S17" s="264">
        <v>0.37</v>
      </c>
      <c r="T17" s="264">
        <v>0.4</v>
      </c>
      <c r="U17" s="264">
        <v>0.43</v>
      </c>
      <c r="V17" s="264">
        <v>0.46</v>
      </c>
      <c r="W17" s="264">
        <v>0.49</v>
      </c>
      <c r="X17" s="264">
        <v>0.52</v>
      </c>
      <c r="Y17" s="264">
        <v>0.54</v>
      </c>
      <c r="Z17" s="264">
        <v>0.56000000000000005</v>
      </c>
      <c r="AA17" s="57">
        <f t="shared" si="0"/>
        <v>0.33291666666666669</v>
      </c>
      <c r="AB17" s="58">
        <f>IF(AA17=" "," ",IF('c-form'!AE15="",AA17,AA17+'c-form'!AE15))</f>
        <v>337.9329166666667</v>
      </c>
      <c r="AC17" s="58">
        <f>IF(AA17=" "," ",IF('c-form'!AE15="",AM17,AM17+'c-form'!AE15))</f>
        <v>338.16</v>
      </c>
      <c r="AD17" s="150">
        <f t="shared" si="3"/>
        <v>24</v>
      </c>
      <c r="AE17" s="58">
        <f>IF(AA17=" "," ",IF('c-form'!AE15="",AN17,AN17+'c-form'!AE15))</f>
        <v>337.84000000000003</v>
      </c>
      <c r="AF17" s="150">
        <f t="shared" si="1"/>
        <v>1</v>
      </c>
      <c r="AM17">
        <f t="shared" si="2"/>
        <v>0.56000000000000005</v>
      </c>
      <c r="AN17" s="54">
        <f t="shared" si="4"/>
        <v>0.24</v>
      </c>
    </row>
    <row r="18" spans="1:40" ht="22.5" customHeight="1">
      <c r="A18" s="60"/>
      <c r="B18" s="132">
        <v>8</v>
      </c>
      <c r="C18" s="264">
        <v>0.57999999999999996</v>
      </c>
      <c r="D18" s="264">
        <v>0.6</v>
      </c>
      <c r="E18" s="264">
        <v>0.62</v>
      </c>
      <c r="F18" s="264">
        <v>0.63</v>
      </c>
      <c r="G18" s="264">
        <v>0.64</v>
      </c>
      <c r="H18" s="264">
        <v>0.65</v>
      </c>
      <c r="I18" s="264">
        <v>0.65</v>
      </c>
      <c r="J18" s="264">
        <v>0.65</v>
      </c>
      <c r="K18" s="264">
        <v>0.65</v>
      </c>
      <c r="L18" s="264">
        <v>0.65</v>
      </c>
      <c r="M18" s="264">
        <v>0.65</v>
      </c>
      <c r="N18" s="264">
        <v>0.65</v>
      </c>
      <c r="O18" s="264">
        <v>0.65</v>
      </c>
      <c r="P18" s="264">
        <v>0.65</v>
      </c>
      <c r="Q18" s="264">
        <v>0.65</v>
      </c>
      <c r="R18" s="264">
        <v>0.65</v>
      </c>
      <c r="S18" s="264">
        <v>0.65</v>
      </c>
      <c r="T18" s="264">
        <v>0.65</v>
      </c>
      <c r="U18" s="264">
        <v>0.65</v>
      </c>
      <c r="V18" s="264">
        <v>0.65</v>
      </c>
      <c r="W18" s="264">
        <v>0.65</v>
      </c>
      <c r="X18" s="264">
        <v>0.65</v>
      </c>
      <c r="Y18" s="264">
        <v>0.65</v>
      </c>
      <c r="Z18" s="264">
        <v>0.65</v>
      </c>
      <c r="AA18" s="57">
        <f t="shared" si="0"/>
        <v>0.64250000000000018</v>
      </c>
      <c r="AB18" s="58">
        <f>IF(AA18=" "," ",IF('c-form'!AE15="",AA18,AA18+'c-form'!AE15))</f>
        <v>338.24250000000001</v>
      </c>
      <c r="AC18" s="58">
        <f>IF(AA18=" "," ",IF('c-form'!AE15="",AM18,AM18+'c-form'!AE15))</f>
        <v>338.25</v>
      </c>
      <c r="AD18" s="150">
        <f t="shared" si="3"/>
        <v>6</v>
      </c>
      <c r="AE18" s="58">
        <f>IF(AA18=" "," ",IF('c-form'!AE15="",AN18,AN18+'c-form'!AE15))</f>
        <v>338.18</v>
      </c>
      <c r="AF18" s="150">
        <f t="shared" si="1"/>
        <v>1</v>
      </c>
      <c r="AM18">
        <f t="shared" si="2"/>
        <v>0.65</v>
      </c>
      <c r="AN18" s="54">
        <f t="shared" si="4"/>
        <v>0.57999999999999996</v>
      </c>
    </row>
    <row r="19" spans="1:40" ht="22.5" customHeight="1">
      <c r="A19" s="60"/>
      <c r="B19" s="132">
        <v>9</v>
      </c>
      <c r="C19" s="264">
        <v>0.65</v>
      </c>
      <c r="D19" s="264">
        <v>0.65</v>
      </c>
      <c r="E19" s="264">
        <v>0.65</v>
      </c>
      <c r="F19" s="264">
        <v>0.65</v>
      </c>
      <c r="G19" s="264">
        <v>0.65</v>
      </c>
      <c r="H19" s="264">
        <v>0.65</v>
      </c>
      <c r="I19" s="264">
        <v>0.65</v>
      </c>
      <c r="J19" s="264">
        <v>0.65</v>
      </c>
      <c r="K19" s="264">
        <v>0.65</v>
      </c>
      <c r="L19" s="264">
        <v>0.65</v>
      </c>
      <c r="M19" s="264">
        <v>0.65</v>
      </c>
      <c r="N19" s="264">
        <v>0.65</v>
      </c>
      <c r="O19" s="264">
        <v>0.65</v>
      </c>
      <c r="P19" s="264">
        <v>0.65</v>
      </c>
      <c r="Q19" s="264">
        <v>0.65</v>
      </c>
      <c r="R19" s="264">
        <v>0.65</v>
      </c>
      <c r="S19" s="264">
        <v>0.65</v>
      </c>
      <c r="T19" s="264">
        <v>0.65</v>
      </c>
      <c r="U19" s="264">
        <v>0.65</v>
      </c>
      <c r="V19" s="264">
        <v>0.65</v>
      </c>
      <c r="W19" s="264">
        <v>0.65</v>
      </c>
      <c r="X19" s="264">
        <v>0.65</v>
      </c>
      <c r="Y19" s="264">
        <v>0.65</v>
      </c>
      <c r="Z19" s="264">
        <v>0.65</v>
      </c>
      <c r="AA19" s="57">
        <f t="shared" si="0"/>
        <v>0.65000000000000024</v>
      </c>
      <c r="AB19" s="58">
        <f>IF(AA19=" "," ",IF('c-form'!AE15="",AA19,AA19+'c-form'!AE15))</f>
        <v>338.25</v>
      </c>
      <c r="AC19" s="58">
        <f>IF(AA19=" "," ",IF('c-form'!AE15="",AM19,AM19+'c-form'!AE15))</f>
        <v>338.25</v>
      </c>
      <c r="AD19" s="150">
        <f t="shared" si="3"/>
        <v>1</v>
      </c>
      <c r="AE19" s="58">
        <f>IF(AA19=" "," ",IF('c-form'!AE15="",AN19,AN19+'c-form'!AE15))</f>
        <v>338.25</v>
      </c>
      <c r="AF19" s="150">
        <f t="shared" si="1"/>
        <v>1</v>
      </c>
      <c r="AM19">
        <f t="shared" si="2"/>
        <v>0.65</v>
      </c>
      <c r="AN19" s="54">
        <f t="shared" si="4"/>
        <v>0.65</v>
      </c>
    </row>
    <row r="20" spans="1:40" ht="22.5" customHeight="1">
      <c r="A20" s="60"/>
      <c r="B20" s="132">
        <v>10</v>
      </c>
      <c r="C20" s="264">
        <v>0.65</v>
      </c>
      <c r="D20" s="264">
        <v>0.65</v>
      </c>
      <c r="E20" s="264">
        <v>0.65</v>
      </c>
      <c r="F20" s="264">
        <v>0.65</v>
      </c>
      <c r="G20" s="264">
        <v>0.65</v>
      </c>
      <c r="H20" s="264">
        <v>0.65</v>
      </c>
      <c r="I20" s="264">
        <v>0.65</v>
      </c>
      <c r="J20" s="264">
        <v>0.65</v>
      </c>
      <c r="K20" s="264">
        <v>0.65</v>
      </c>
      <c r="L20" s="264">
        <v>0.65</v>
      </c>
      <c r="M20" s="264">
        <v>0.65</v>
      </c>
      <c r="N20" s="264">
        <v>0.65</v>
      </c>
      <c r="O20" s="264">
        <v>0.65</v>
      </c>
      <c r="P20" s="264">
        <v>0.65</v>
      </c>
      <c r="Q20" s="264">
        <v>0.65</v>
      </c>
      <c r="R20" s="264">
        <v>0.65</v>
      </c>
      <c r="S20" s="264">
        <v>0.65</v>
      </c>
      <c r="T20" s="264">
        <v>0.65</v>
      </c>
      <c r="U20" s="264">
        <v>0.65</v>
      </c>
      <c r="V20" s="264">
        <v>0.65</v>
      </c>
      <c r="W20" s="264">
        <v>0.65</v>
      </c>
      <c r="X20" s="264">
        <v>0.65</v>
      </c>
      <c r="Y20" s="264">
        <v>0.65</v>
      </c>
      <c r="Z20" s="264">
        <v>0.65</v>
      </c>
      <c r="AA20" s="57">
        <f t="shared" si="0"/>
        <v>0.65000000000000024</v>
      </c>
      <c r="AB20" s="58">
        <f>IF(AA20=" "," ",IF('c-form'!AE15="",AA20,AA20+'c-form'!AE15))</f>
        <v>338.25</v>
      </c>
      <c r="AC20" s="58">
        <f>IF(AA20=" "," ",IF('c-form'!AE15="",AM20,AM20+'c-form'!AE15))</f>
        <v>338.25</v>
      </c>
      <c r="AD20" s="150">
        <f t="shared" si="3"/>
        <v>1</v>
      </c>
      <c r="AE20" s="58">
        <f>IF(AA20=" "," ",IF('c-form'!AE15="",AN20,AN20+'c-form'!AE15))</f>
        <v>338.25</v>
      </c>
      <c r="AF20" s="150">
        <f t="shared" si="1"/>
        <v>1</v>
      </c>
      <c r="AM20">
        <f t="shared" si="2"/>
        <v>0.65</v>
      </c>
      <c r="AN20" s="54">
        <f t="shared" si="4"/>
        <v>0.65</v>
      </c>
    </row>
    <row r="21" spans="1:40" ht="22.5" customHeight="1">
      <c r="A21" s="60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9"/>
      <c r="AC21" s="139"/>
      <c r="AD21" s="151"/>
      <c r="AE21" s="139"/>
      <c r="AF21" s="151"/>
      <c r="AM21">
        <f>IF(AB21=" "," ",MAX(C21:Z21))</f>
        <v>0</v>
      </c>
      <c r="AN21" s="54">
        <f t="shared" si="4"/>
        <v>0</v>
      </c>
    </row>
    <row r="22" spans="1:40" ht="22.5" customHeight="1">
      <c r="A22" s="60"/>
      <c r="B22" s="132">
        <v>11</v>
      </c>
      <c r="C22" s="264">
        <v>0.66</v>
      </c>
      <c r="D22" s="264">
        <v>0.66</v>
      </c>
      <c r="E22" s="264">
        <v>0.66</v>
      </c>
      <c r="F22" s="264">
        <v>0.66</v>
      </c>
      <c r="G22" s="264">
        <v>0.66</v>
      </c>
      <c r="H22" s="264">
        <v>0.66</v>
      </c>
      <c r="I22" s="264">
        <v>0.66</v>
      </c>
      <c r="J22" s="264">
        <v>0.66</v>
      </c>
      <c r="K22" s="264">
        <v>0.65</v>
      </c>
      <c r="L22" s="264">
        <v>0.64</v>
      </c>
      <c r="M22" s="264">
        <v>0.63</v>
      </c>
      <c r="N22" s="264">
        <v>0.62</v>
      </c>
      <c r="O22" s="264">
        <v>0.61</v>
      </c>
      <c r="P22" s="264">
        <v>0.6</v>
      </c>
      <c r="Q22" s="264">
        <v>0.57999999999999996</v>
      </c>
      <c r="R22" s="264">
        <v>0.56000000000000005</v>
      </c>
      <c r="S22" s="264">
        <v>0.54</v>
      </c>
      <c r="T22" s="264">
        <v>0.51</v>
      </c>
      <c r="U22" s="264">
        <v>0.49</v>
      </c>
      <c r="V22" s="264">
        <v>0.46</v>
      </c>
      <c r="W22" s="264">
        <v>0.42</v>
      </c>
      <c r="X22" s="264">
        <v>0.39</v>
      </c>
      <c r="Y22" s="264">
        <v>0.37</v>
      </c>
      <c r="Z22" s="264">
        <v>0.35</v>
      </c>
      <c r="AA22" s="57">
        <f t="shared" si="0"/>
        <v>0.57083333333333341</v>
      </c>
      <c r="AB22" s="58">
        <f>IF(AA22=" "," ",IF('c-form'!AE15="",AA22,AA22+'c-form'!AE15))</f>
        <v>338.17083333333335</v>
      </c>
      <c r="AC22" s="58">
        <f>IF(AA22=" "," ",IF('c-form'!AE15="",AM22,AM22+'c-form'!AE15))</f>
        <v>338.26000000000005</v>
      </c>
      <c r="AD22" s="150">
        <f t="shared" ref="AD22:AD31" si="5">IF(AB22=" "," ",MATCH(AM22,C22:Z22,0))</f>
        <v>1</v>
      </c>
      <c r="AE22" s="58">
        <f>IF(AA22=" "," ",IF('c-form'!AE15="",AN22,AN22+'c-form'!AE15))</f>
        <v>337.95000000000005</v>
      </c>
      <c r="AF22" s="150">
        <f t="shared" ref="AF22:AF31" si="6">IF(AD22=" "," ",MATCH(AN22,C22:Z22,0))</f>
        <v>24</v>
      </c>
      <c r="AM22">
        <f t="shared" si="2"/>
        <v>0.66</v>
      </c>
      <c r="AN22" s="54">
        <f t="shared" si="4"/>
        <v>0.35</v>
      </c>
    </row>
    <row r="23" spans="1:40" ht="22.5" customHeight="1">
      <c r="A23" s="60"/>
      <c r="B23" s="132">
        <v>12</v>
      </c>
      <c r="C23" s="264">
        <v>0.33</v>
      </c>
      <c r="D23" s="264">
        <v>0.31</v>
      </c>
      <c r="E23" s="264">
        <v>0.28999999999999998</v>
      </c>
      <c r="F23" s="264">
        <v>0.27</v>
      </c>
      <c r="G23" s="264">
        <v>0.25</v>
      </c>
      <c r="H23" s="264">
        <v>0.24</v>
      </c>
      <c r="I23" s="264">
        <v>0.24</v>
      </c>
      <c r="J23" s="264">
        <v>0.24</v>
      </c>
      <c r="K23" s="264">
        <v>0.24</v>
      </c>
      <c r="L23" s="264">
        <v>0.24</v>
      </c>
      <c r="M23" s="264">
        <v>0.24</v>
      </c>
      <c r="N23" s="264">
        <v>0.24</v>
      </c>
      <c r="O23" s="264">
        <v>0.24</v>
      </c>
      <c r="P23" s="264">
        <v>0.24</v>
      </c>
      <c r="Q23" s="264">
        <v>0.24</v>
      </c>
      <c r="R23" s="264">
        <v>0.24</v>
      </c>
      <c r="S23" s="264">
        <v>0.24</v>
      </c>
      <c r="T23" s="264">
        <v>0.24</v>
      </c>
      <c r="U23" s="264">
        <v>0.24</v>
      </c>
      <c r="V23" s="264">
        <v>0.24</v>
      </c>
      <c r="W23" s="264">
        <v>0.24</v>
      </c>
      <c r="X23" s="264">
        <v>0.24</v>
      </c>
      <c r="Y23" s="264">
        <v>0.24</v>
      </c>
      <c r="Z23" s="264">
        <v>0.24</v>
      </c>
      <c r="AA23" s="57">
        <f t="shared" si="0"/>
        <v>0.25041666666666679</v>
      </c>
      <c r="AB23" s="58">
        <f>IF(AA23=" "," ",IF('c-form'!AE15="",AA23,AA23+'c-form'!AE15))</f>
        <v>337.85041666666672</v>
      </c>
      <c r="AC23" s="58">
        <f>IF(AA23=" "," ",IF('c-form'!AE15="",AM23,AM23+'c-form'!AE15))</f>
        <v>337.93</v>
      </c>
      <c r="AD23" s="150">
        <f t="shared" si="5"/>
        <v>1</v>
      </c>
      <c r="AE23" s="58">
        <f>IF(AA23=" "," ",IF('c-form'!AE15="",AN23,AN23+'c-form'!AE15))</f>
        <v>337.84000000000003</v>
      </c>
      <c r="AF23" s="150">
        <f t="shared" si="6"/>
        <v>6</v>
      </c>
      <c r="AM23">
        <f t="shared" si="2"/>
        <v>0.33</v>
      </c>
      <c r="AN23" s="54">
        <f t="shared" si="4"/>
        <v>0.24</v>
      </c>
    </row>
    <row r="24" spans="1:40" ht="22.5" customHeight="1">
      <c r="A24" s="60"/>
      <c r="B24" s="132">
        <v>13</v>
      </c>
      <c r="C24" s="264">
        <v>0.24</v>
      </c>
      <c r="D24" s="264">
        <v>0.24</v>
      </c>
      <c r="E24" s="264">
        <v>0.24</v>
      </c>
      <c r="F24" s="264">
        <v>0.24</v>
      </c>
      <c r="G24" s="264">
        <v>0.24</v>
      </c>
      <c r="H24" s="264">
        <v>0.24</v>
      </c>
      <c r="I24" s="264">
        <v>0.24</v>
      </c>
      <c r="J24" s="264">
        <v>0.24</v>
      </c>
      <c r="K24" s="264">
        <v>0.24</v>
      </c>
      <c r="L24" s="264">
        <v>0.24</v>
      </c>
      <c r="M24" s="264">
        <v>0.24</v>
      </c>
      <c r="N24" s="264">
        <v>0.24</v>
      </c>
      <c r="O24" s="264">
        <v>0.24</v>
      </c>
      <c r="P24" s="264">
        <v>0.24</v>
      </c>
      <c r="Q24" s="264">
        <v>0.24</v>
      </c>
      <c r="R24" s="264">
        <v>0.24</v>
      </c>
      <c r="S24" s="264">
        <v>0.24</v>
      </c>
      <c r="T24" s="264">
        <v>0.24</v>
      </c>
      <c r="U24" s="264">
        <v>0.24</v>
      </c>
      <c r="V24" s="264">
        <v>0.24</v>
      </c>
      <c r="W24" s="264">
        <v>0.24</v>
      </c>
      <c r="X24" s="264">
        <v>0.24</v>
      </c>
      <c r="Y24" s="264">
        <v>0.24</v>
      </c>
      <c r="Z24" s="264">
        <v>0.24</v>
      </c>
      <c r="AA24" s="57">
        <f t="shared" si="0"/>
        <v>0.24000000000000013</v>
      </c>
      <c r="AB24" s="58">
        <f>IF(AA24=" "," ",IF('c-form'!AE15="",AA24,AA24+'c-form'!AE15))</f>
        <v>337.84000000000003</v>
      </c>
      <c r="AC24" s="58">
        <f>IF(AA24=" "," ",IF('c-form'!AE15="",AM24,AM24+'c-form'!AE15))</f>
        <v>337.84000000000003</v>
      </c>
      <c r="AD24" s="150">
        <f t="shared" si="5"/>
        <v>1</v>
      </c>
      <c r="AE24" s="58">
        <f>IF(AA24=" "," ",IF('c-form'!AE15="",AN24,AN24+'c-form'!AE15))</f>
        <v>337.84000000000003</v>
      </c>
      <c r="AF24" s="150">
        <f t="shared" si="6"/>
        <v>1</v>
      </c>
      <c r="AM24">
        <f t="shared" si="2"/>
        <v>0.24</v>
      </c>
      <c r="AN24" s="54">
        <f t="shared" si="4"/>
        <v>0.24</v>
      </c>
    </row>
    <row r="25" spans="1:40" ht="22.5" customHeight="1">
      <c r="A25" s="60"/>
      <c r="B25" s="132">
        <v>14</v>
      </c>
      <c r="C25" s="264">
        <v>0.24</v>
      </c>
      <c r="D25" s="264">
        <v>0.24</v>
      </c>
      <c r="E25" s="264">
        <v>0.24</v>
      </c>
      <c r="F25" s="264">
        <v>0.24</v>
      </c>
      <c r="G25" s="264">
        <v>0.24</v>
      </c>
      <c r="H25" s="264">
        <v>0.24</v>
      </c>
      <c r="I25" s="264">
        <v>0.25</v>
      </c>
      <c r="J25" s="264">
        <v>0.26</v>
      </c>
      <c r="K25" s="264">
        <v>0.27</v>
      </c>
      <c r="L25" s="264">
        <v>0.28000000000000003</v>
      </c>
      <c r="M25" s="264">
        <v>0.28999999999999998</v>
      </c>
      <c r="N25" s="264">
        <v>0.3</v>
      </c>
      <c r="O25" s="264">
        <v>0.31</v>
      </c>
      <c r="P25" s="264">
        <v>0.33</v>
      </c>
      <c r="Q25" s="264">
        <v>0.34</v>
      </c>
      <c r="R25" s="264">
        <v>0.35</v>
      </c>
      <c r="S25" s="264">
        <v>0.37</v>
      </c>
      <c r="T25" s="264">
        <v>0.39</v>
      </c>
      <c r="U25" s="264">
        <v>0.41</v>
      </c>
      <c r="V25" s="264">
        <v>0.43</v>
      </c>
      <c r="W25" s="264">
        <v>0.45</v>
      </c>
      <c r="X25" s="264">
        <v>0.48</v>
      </c>
      <c r="Y25" s="264">
        <v>0.5</v>
      </c>
      <c r="Z25" s="264">
        <v>0.52</v>
      </c>
      <c r="AA25" s="57">
        <f t="shared" si="0"/>
        <v>0.33208333333333329</v>
      </c>
      <c r="AB25" s="58">
        <f>IF(AA25=" "," ",IF('c-form'!AE15="",AA25,AA25+'c-form'!AE15))</f>
        <v>337.93208333333337</v>
      </c>
      <c r="AC25" s="58">
        <f>IF(AA25=" "," ",IF('c-form'!AE15="",AM25,AM25+'c-form'!AE15))</f>
        <v>338.12</v>
      </c>
      <c r="AD25" s="150">
        <f t="shared" si="5"/>
        <v>24</v>
      </c>
      <c r="AE25" s="58">
        <f>IF(AA25=" "," ",IF('c-form'!AE15="",AN25,AN25+'c-form'!AE15))</f>
        <v>337.84000000000003</v>
      </c>
      <c r="AF25" s="150">
        <f t="shared" si="6"/>
        <v>1</v>
      </c>
      <c r="AM25">
        <f t="shared" si="2"/>
        <v>0.52</v>
      </c>
      <c r="AN25" s="54">
        <f t="shared" si="4"/>
        <v>0.24</v>
      </c>
    </row>
    <row r="26" spans="1:40" ht="22.5" customHeight="1">
      <c r="A26" s="60"/>
      <c r="B26" s="132">
        <v>15</v>
      </c>
      <c r="C26" s="264">
        <v>0.63</v>
      </c>
      <c r="D26" s="264">
        <v>0.65</v>
      </c>
      <c r="E26" s="264">
        <v>0.67</v>
      </c>
      <c r="F26" s="264">
        <v>0.68</v>
      </c>
      <c r="G26" s="264">
        <v>0.69</v>
      </c>
      <c r="H26" s="264">
        <v>0.7</v>
      </c>
      <c r="I26" s="264">
        <v>0.7</v>
      </c>
      <c r="J26" s="264">
        <v>0.7</v>
      </c>
      <c r="K26" s="264">
        <v>0.7</v>
      </c>
      <c r="L26" s="264">
        <v>0.7</v>
      </c>
      <c r="M26" s="264">
        <v>0.7</v>
      </c>
      <c r="N26" s="264">
        <v>0.7</v>
      </c>
      <c r="O26" s="264">
        <v>0.7</v>
      </c>
      <c r="P26" s="264">
        <v>0.7</v>
      </c>
      <c r="Q26" s="264">
        <v>0.7</v>
      </c>
      <c r="R26" s="264">
        <v>0.7</v>
      </c>
      <c r="S26" s="264">
        <v>0.7</v>
      </c>
      <c r="T26" s="264">
        <v>0.7</v>
      </c>
      <c r="U26" s="264">
        <v>0.7</v>
      </c>
      <c r="V26" s="264">
        <v>0.7</v>
      </c>
      <c r="W26" s="264">
        <v>0.7</v>
      </c>
      <c r="X26" s="264">
        <v>0.7</v>
      </c>
      <c r="Y26" s="264">
        <v>0.7</v>
      </c>
      <c r="Z26" s="264">
        <v>0.7</v>
      </c>
      <c r="AA26" s="57">
        <f t="shared" si="0"/>
        <v>0.69249999999999978</v>
      </c>
      <c r="AB26" s="58">
        <f>IF(AA26=" "," ",IF('c-form'!AE15="",AA26,AA26+'c-form'!AE15))</f>
        <v>338.29250000000002</v>
      </c>
      <c r="AC26" s="58">
        <f>IF(AA26=" "," ",IF('c-form'!AE15="",AM26,AM26+'c-form'!AE15))</f>
        <v>338.3</v>
      </c>
      <c r="AD26" s="150">
        <f t="shared" si="5"/>
        <v>6</v>
      </c>
      <c r="AE26" s="58">
        <f>IF(AA26=" "," ",IF('c-form'!AE15="",AN26,AN26+'c-form'!AE15))</f>
        <v>338.23</v>
      </c>
      <c r="AF26" s="150">
        <f t="shared" si="6"/>
        <v>1</v>
      </c>
      <c r="AM26">
        <f t="shared" si="2"/>
        <v>0.7</v>
      </c>
      <c r="AN26" s="54">
        <f t="shared" si="4"/>
        <v>0.63</v>
      </c>
    </row>
    <row r="27" spans="1:40" ht="22.5" customHeight="1">
      <c r="A27" s="60"/>
      <c r="B27" s="132">
        <v>16</v>
      </c>
      <c r="C27" s="264">
        <v>0.7</v>
      </c>
      <c r="D27" s="264">
        <v>0.7</v>
      </c>
      <c r="E27" s="264">
        <v>0.7</v>
      </c>
      <c r="F27" s="264">
        <v>0.7</v>
      </c>
      <c r="G27" s="264">
        <v>0.7</v>
      </c>
      <c r="H27" s="264">
        <v>0.7</v>
      </c>
      <c r="I27" s="264">
        <v>0.7</v>
      </c>
      <c r="J27" s="264">
        <v>0.7</v>
      </c>
      <c r="K27" s="264">
        <v>0.7</v>
      </c>
      <c r="L27" s="264">
        <v>0.7</v>
      </c>
      <c r="M27" s="264">
        <v>0.7</v>
      </c>
      <c r="N27" s="264">
        <v>0.7</v>
      </c>
      <c r="O27" s="264">
        <v>0.7</v>
      </c>
      <c r="P27" s="264">
        <v>0.7</v>
      </c>
      <c r="Q27" s="264">
        <v>0.7</v>
      </c>
      <c r="R27" s="264">
        <v>0.7</v>
      </c>
      <c r="S27" s="264">
        <v>0.7</v>
      </c>
      <c r="T27" s="264">
        <v>0.7</v>
      </c>
      <c r="U27" s="264">
        <v>0.7</v>
      </c>
      <c r="V27" s="264">
        <v>0.7</v>
      </c>
      <c r="W27" s="264">
        <v>0.7</v>
      </c>
      <c r="X27" s="264">
        <v>0.7</v>
      </c>
      <c r="Y27" s="264">
        <v>0.7</v>
      </c>
      <c r="Z27" s="264">
        <v>0.7</v>
      </c>
      <c r="AA27" s="57">
        <f t="shared" si="0"/>
        <v>0.69999999999999973</v>
      </c>
      <c r="AB27" s="58">
        <f>IF(AA27=" "," ",IF('c-form'!AE15="",AA27,AA27+'c-form'!AE15))</f>
        <v>338.3</v>
      </c>
      <c r="AC27" s="58">
        <f>IF(AA27=" "," ",IF('c-form'!AE15="",AM27,AM27+'c-form'!AE15))</f>
        <v>338.3</v>
      </c>
      <c r="AD27" s="150">
        <f t="shared" si="5"/>
        <v>1</v>
      </c>
      <c r="AE27" s="58">
        <f>IF(AA27=" "," ",IF('c-form'!AE15="",AN27,AN27+'c-form'!AE15))</f>
        <v>338.3</v>
      </c>
      <c r="AF27" s="150">
        <f t="shared" si="6"/>
        <v>1</v>
      </c>
      <c r="AM27">
        <f t="shared" si="2"/>
        <v>0.7</v>
      </c>
      <c r="AN27" s="54">
        <f t="shared" si="4"/>
        <v>0.7</v>
      </c>
    </row>
    <row r="28" spans="1:40" ht="22.5" customHeight="1">
      <c r="A28" s="60"/>
      <c r="B28" s="132">
        <v>17</v>
      </c>
      <c r="C28" s="264">
        <v>0.71</v>
      </c>
      <c r="D28" s="264">
        <v>0.71</v>
      </c>
      <c r="E28" s="264">
        <v>0.71</v>
      </c>
      <c r="F28" s="264">
        <v>0.71</v>
      </c>
      <c r="G28" s="264">
        <v>0.71</v>
      </c>
      <c r="H28" s="264">
        <v>0.71</v>
      </c>
      <c r="I28" s="264">
        <v>0.71</v>
      </c>
      <c r="J28" s="264">
        <v>0.71</v>
      </c>
      <c r="K28" s="264">
        <v>0.71</v>
      </c>
      <c r="L28" s="264">
        <v>0.71</v>
      </c>
      <c r="M28" s="264">
        <v>0.71</v>
      </c>
      <c r="N28" s="264">
        <v>0.71</v>
      </c>
      <c r="O28" s="264">
        <v>0.71</v>
      </c>
      <c r="P28" s="264">
        <v>0.71</v>
      </c>
      <c r="Q28" s="264">
        <v>0.71</v>
      </c>
      <c r="R28" s="264">
        <v>0.71</v>
      </c>
      <c r="S28" s="264">
        <v>0.71</v>
      </c>
      <c r="T28" s="264">
        <v>0.71</v>
      </c>
      <c r="U28" s="264">
        <v>0.71</v>
      </c>
      <c r="V28" s="264">
        <v>0.71</v>
      </c>
      <c r="W28" s="264">
        <v>0.71</v>
      </c>
      <c r="X28" s="264">
        <v>0.71</v>
      </c>
      <c r="Y28" s="264">
        <v>0.71</v>
      </c>
      <c r="Z28" s="264">
        <v>0.71</v>
      </c>
      <c r="AA28" s="57">
        <f t="shared" si="0"/>
        <v>0.71000000000000041</v>
      </c>
      <c r="AB28" s="58">
        <f>IF(AA28=" "," ",IF('c-form'!AE15="",AA28,AA28+'c-form'!AE15))</f>
        <v>338.31</v>
      </c>
      <c r="AC28" s="58">
        <f>IF(AA28=" "," ",IF('c-form'!AE15="",AM28,AM28+'c-form'!AE15))</f>
        <v>338.31</v>
      </c>
      <c r="AD28" s="150">
        <f t="shared" si="5"/>
        <v>1</v>
      </c>
      <c r="AE28" s="58">
        <f>IF(AA28=" "," ",IF('c-form'!AE15="",AN28,AN28+'c-form'!AE15))</f>
        <v>338.31</v>
      </c>
      <c r="AF28" s="150">
        <f t="shared" si="6"/>
        <v>1</v>
      </c>
      <c r="AM28">
        <f t="shared" si="2"/>
        <v>0.71</v>
      </c>
      <c r="AN28" s="54">
        <f t="shared" si="4"/>
        <v>0.71</v>
      </c>
    </row>
    <row r="29" spans="1:40" ht="22.5" customHeight="1">
      <c r="A29" s="60"/>
      <c r="B29" s="132">
        <v>18</v>
      </c>
      <c r="C29" s="264">
        <v>0.7</v>
      </c>
      <c r="D29" s="264">
        <v>0.7</v>
      </c>
      <c r="E29" s="264">
        <v>0.7</v>
      </c>
      <c r="F29" s="264">
        <v>0.7</v>
      </c>
      <c r="G29" s="264">
        <v>0.7</v>
      </c>
      <c r="H29" s="264">
        <v>0.7</v>
      </c>
      <c r="I29" s="264">
        <v>0.69</v>
      </c>
      <c r="J29" s="264">
        <v>0.69</v>
      </c>
      <c r="K29" s="264">
        <v>0.68</v>
      </c>
      <c r="L29" s="264">
        <v>0.67</v>
      </c>
      <c r="M29" s="264">
        <v>0.66</v>
      </c>
      <c r="N29" s="264">
        <v>0.64</v>
      </c>
      <c r="O29" s="264">
        <v>0.62</v>
      </c>
      <c r="P29" s="264">
        <v>0.6</v>
      </c>
      <c r="Q29" s="264">
        <v>0.57999999999999996</v>
      </c>
      <c r="R29" s="264">
        <v>0.51</v>
      </c>
      <c r="S29" s="264">
        <v>0.49</v>
      </c>
      <c r="T29" s="264">
        <v>0.47</v>
      </c>
      <c r="U29" s="264">
        <v>0.46</v>
      </c>
      <c r="V29" s="264">
        <v>0.45</v>
      </c>
      <c r="W29" s="264">
        <v>0.43</v>
      </c>
      <c r="X29" s="264">
        <v>0.41</v>
      </c>
      <c r="Y29" s="264">
        <v>0.39</v>
      </c>
      <c r="Z29" s="264">
        <v>0.36</v>
      </c>
      <c r="AA29" s="57">
        <f t="shared" si="0"/>
        <v>0.58333333333333337</v>
      </c>
      <c r="AB29" s="58">
        <f>IF(AA29=" "," ",IF('c-form'!AE15="",AA29,AA29+'c-form'!AE15))</f>
        <v>338.18333333333334</v>
      </c>
      <c r="AC29" s="58">
        <f>IF(AA29=" "," ",IF('c-form'!AE15="",AM29,AM29+'c-form'!AE15))</f>
        <v>338.3</v>
      </c>
      <c r="AD29" s="150">
        <f t="shared" si="5"/>
        <v>1</v>
      </c>
      <c r="AE29" s="58">
        <f>IF(AA29=" "," ",IF('c-form'!AE15="",AN29,AN29+'c-form'!AE15))</f>
        <v>337.96000000000004</v>
      </c>
      <c r="AF29" s="150">
        <f t="shared" si="6"/>
        <v>24</v>
      </c>
      <c r="AM29">
        <f>IF(AB29=" "," ",MAX(C29:Z29))</f>
        <v>0.7</v>
      </c>
      <c r="AN29" s="54">
        <f t="shared" si="4"/>
        <v>0.36</v>
      </c>
    </row>
    <row r="30" spans="1:40" ht="22.5" customHeight="1">
      <c r="A30" s="60"/>
      <c r="B30" s="132">
        <v>19</v>
      </c>
      <c r="C30" s="264">
        <v>0.34</v>
      </c>
      <c r="D30" s="264">
        <v>0.31</v>
      </c>
      <c r="E30" s="264">
        <v>0.28000000000000003</v>
      </c>
      <c r="F30" s="264">
        <v>0.26</v>
      </c>
      <c r="G30" s="264">
        <v>0.24</v>
      </c>
      <c r="H30" s="264">
        <v>0.22</v>
      </c>
      <c r="I30" s="264">
        <v>0.22</v>
      </c>
      <c r="J30" s="264">
        <v>0.22</v>
      </c>
      <c r="K30" s="264">
        <v>0.22</v>
      </c>
      <c r="L30" s="264">
        <v>0.22</v>
      </c>
      <c r="M30" s="264">
        <v>0.22</v>
      </c>
      <c r="N30" s="264">
        <v>0.22</v>
      </c>
      <c r="O30" s="264">
        <v>0.22</v>
      </c>
      <c r="P30" s="264">
        <v>0.22</v>
      </c>
      <c r="Q30" s="264">
        <v>0.22</v>
      </c>
      <c r="R30" s="264">
        <v>0.22</v>
      </c>
      <c r="S30" s="264">
        <v>0.22</v>
      </c>
      <c r="T30" s="264">
        <v>0.22</v>
      </c>
      <c r="U30" s="264">
        <v>0.22</v>
      </c>
      <c r="V30" s="264">
        <v>0.22</v>
      </c>
      <c r="W30" s="264">
        <v>0.22</v>
      </c>
      <c r="X30" s="264">
        <v>0.22</v>
      </c>
      <c r="Y30" s="264">
        <v>0.22</v>
      </c>
      <c r="Z30" s="264">
        <v>0.22</v>
      </c>
      <c r="AA30" s="57">
        <f t="shared" si="0"/>
        <v>0.23374999999999999</v>
      </c>
      <c r="AB30" s="58">
        <f>IF(AA30=" "," ",IF('c-form'!AE15="",AA30,AA30+'c-form'!AE15))</f>
        <v>337.83375000000001</v>
      </c>
      <c r="AC30" s="58">
        <f>IF(AA30=" "," ",IF('c-form'!AE15="",AM30,AM30+'c-form'!AE15))</f>
        <v>337.94</v>
      </c>
      <c r="AD30" s="150">
        <f t="shared" si="5"/>
        <v>1</v>
      </c>
      <c r="AE30" s="58">
        <f>IF(AA30=" "," ",IF('c-form'!AE15="",AN30,AN30+'c-form'!AE15))</f>
        <v>337.82000000000005</v>
      </c>
      <c r="AF30" s="150">
        <f t="shared" si="6"/>
        <v>6</v>
      </c>
      <c r="AM30">
        <f t="shared" si="2"/>
        <v>0.34</v>
      </c>
      <c r="AN30" s="54">
        <f t="shared" si="4"/>
        <v>0.22</v>
      </c>
    </row>
    <row r="31" spans="1:40" ht="22.5" customHeight="1">
      <c r="A31" s="60"/>
      <c r="B31" s="132">
        <v>20</v>
      </c>
      <c r="C31" s="264">
        <v>0.21</v>
      </c>
      <c r="D31" s="264">
        <v>0.21</v>
      </c>
      <c r="E31" s="264">
        <v>0.21</v>
      </c>
      <c r="F31" s="264">
        <v>0.21</v>
      </c>
      <c r="G31" s="264">
        <v>0.21</v>
      </c>
      <c r="H31" s="264">
        <v>0.21</v>
      </c>
      <c r="I31" s="264">
        <v>0.21</v>
      </c>
      <c r="J31" s="264">
        <v>0.21</v>
      </c>
      <c r="K31" s="264">
        <v>0.21</v>
      </c>
      <c r="L31" s="264">
        <v>0.21</v>
      </c>
      <c r="M31" s="264">
        <v>0.21</v>
      </c>
      <c r="N31" s="264">
        <v>0.21</v>
      </c>
      <c r="O31" s="264">
        <v>0.2</v>
      </c>
      <c r="P31" s="264">
        <v>0.2</v>
      </c>
      <c r="Q31" s="264">
        <v>0.2</v>
      </c>
      <c r="R31" s="264">
        <v>0.2</v>
      </c>
      <c r="S31" s="264">
        <v>0.2</v>
      </c>
      <c r="T31" s="264">
        <v>0.2</v>
      </c>
      <c r="U31" s="264">
        <v>0.2</v>
      </c>
      <c r="V31" s="264">
        <v>0.2</v>
      </c>
      <c r="W31" s="264">
        <v>0.2</v>
      </c>
      <c r="X31" s="264">
        <v>0.2</v>
      </c>
      <c r="Y31" s="264">
        <v>0.2</v>
      </c>
      <c r="Z31" s="264">
        <v>0.2</v>
      </c>
      <c r="AA31" s="57">
        <f t="shared" si="0"/>
        <v>0.20500000000000007</v>
      </c>
      <c r="AB31" s="58">
        <f>IF(AA31=" "," ",IF('c-form'!AE15="",AA31,AA31+'c-form'!AE15))</f>
        <v>337.80500000000001</v>
      </c>
      <c r="AC31" s="58">
        <f>IF(AA31=" "," ",IF('c-form'!AE15="",AM31,AM31+'c-form'!AE15))</f>
        <v>337.81</v>
      </c>
      <c r="AD31" s="150">
        <f t="shared" si="5"/>
        <v>1</v>
      </c>
      <c r="AE31" s="58">
        <f>IF(AA31=" "," ",IF('c-form'!AE15="",AN31,AN31+'c-form'!AE15))</f>
        <v>337.8</v>
      </c>
      <c r="AF31" s="150">
        <f t="shared" si="6"/>
        <v>13</v>
      </c>
      <c r="AM31">
        <f t="shared" si="2"/>
        <v>0.21</v>
      </c>
      <c r="AN31" s="54">
        <f t="shared" si="4"/>
        <v>0.2</v>
      </c>
    </row>
    <row r="32" spans="1:40" ht="22.5" customHeight="1">
      <c r="A32" s="60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39"/>
      <c r="AF32" s="151"/>
      <c r="AM32">
        <f t="shared" si="2"/>
        <v>0</v>
      </c>
      <c r="AN32" s="54">
        <f t="shared" si="4"/>
        <v>0</v>
      </c>
    </row>
    <row r="33" spans="1:40" ht="22.5" customHeight="1">
      <c r="A33" s="60"/>
      <c r="B33" s="132">
        <v>21</v>
      </c>
      <c r="C33" s="264">
        <v>0.19</v>
      </c>
      <c r="D33" s="264">
        <v>0.19</v>
      </c>
      <c r="E33" s="264">
        <v>0.19</v>
      </c>
      <c r="F33" s="264">
        <v>0.19</v>
      </c>
      <c r="G33" s="264">
        <v>0.19</v>
      </c>
      <c r="H33" s="264">
        <v>0.19</v>
      </c>
      <c r="I33" s="264">
        <v>0.19</v>
      </c>
      <c r="J33" s="264">
        <v>0.19</v>
      </c>
      <c r="K33" s="264">
        <v>0.2</v>
      </c>
      <c r="L33" s="264">
        <v>0.21</v>
      </c>
      <c r="M33" s="264">
        <v>0.22</v>
      </c>
      <c r="N33" s="264">
        <v>0.23</v>
      </c>
      <c r="O33" s="264">
        <v>0.25</v>
      </c>
      <c r="P33" s="264">
        <v>0.28000000000000003</v>
      </c>
      <c r="Q33" s="264">
        <v>0.32</v>
      </c>
      <c r="R33" s="264">
        <v>0.36</v>
      </c>
      <c r="S33" s="264">
        <v>0.4</v>
      </c>
      <c r="T33" s="264">
        <v>0.44</v>
      </c>
      <c r="U33" s="264">
        <v>0.48</v>
      </c>
      <c r="V33" s="264">
        <v>0.53</v>
      </c>
      <c r="W33" s="264">
        <v>0.56000000000000005</v>
      </c>
      <c r="X33" s="264">
        <v>0.59</v>
      </c>
      <c r="Y33" s="264">
        <v>0.61</v>
      </c>
      <c r="Z33" s="264">
        <v>0.63</v>
      </c>
      <c r="AA33" s="57">
        <f t="shared" si="0"/>
        <v>0.32624999999999998</v>
      </c>
      <c r="AB33" s="58">
        <f>IF(AA33=" "," ",IF('c-form'!AE15="",AA33,AA33+'c-form'!AE15))</f>
        <v>337.92625000000004</v>
      </c>
      <c r="AC33" s="58">
        <f>IF(AA33=" "," ",IF('c-form'!AE15="",AM33,AM33+'c-form'!AE15))</f>
        <v>338.23</v>
      </c>
      <c r="AD33" s="150">
        <f t="shared" ref="AD33:AD41" si="7">IF(AB33=" "," ",MATCH(AM33,C33:Z33,0))</f>
        <v>24</v>
      </c>
      <c r="AE33" s="58">
        <f>IF(AA33=" "," ",IF('c-form'!AE15="",AN33,AN33+'c-form'!AE15))</f>
        <v>337.79</v>
      </c>
      <c r="AF33" s="150">
        <f t="shared" ref="AF33:AF41" si="8">IF(AD33=" "," ",MATCH(AN33,C33:Z33,0))</f>
        <v>1</v>
      </c>
      <c r="AM33">
        <f t="shared" si="2"/>
        <v>0.63</v>
      </c>
      <c r="AN33" s="54">
        <f t="shared" si="4"/>
        <v>0.19</v>
      </c>
    </row>
    <row r="34" spans="1:40" ht="22.5" customHeight="1">
      <c r="A34" s="60"/>
      <c r="B34" s="132">
        <v>22</v>
      </c>
      <c r="C34" s="264">
        <v>0.64</v>
      </c>
      <c r="D34" s="264">
        <v>0.65</v>
      </c>
      <c r="E34" s="264">
        <v>0.66</v>
      </c>
      <c r="F34" s="264">
        <v>0.67</v>
      </c>
      <c r="G34" s="264">
        <v>0.67</v>
      </c>
      <c r="H34" s="264">
        <v>0.68</v>
      </c>
      <c r="I34" s="264">
        <v>0.68</v>
      </c>
      <c r="J34" s="264">
        <v>0.69</v>
      </c>
      <c r="K34" s="264">
        <v>0.69</v>
      </c>
      <c r="L34" s="264">
        <v>0.7</v>
      </c>
      <c r="M34" s="264">
        <v>0.7</v>
      </c>
      <c r="N34" s="264">
        <v>0.7</v>
      </c>
      <c r="O34" s="264">
        <v>0.7</v>
      </c>
      <c r="P34" s="264">
        <v>0.7</v>
      </c>
      <c r="Q34" s="264">
        <v>0.7</v>
      </c>
      <c r="R34" s="264">
        <v>0.7</v>
      </c>
      <c r="S34" s="264">
        <v>0.7</v>
      </c>
      <c r="T34" s="264">
        <v>0.69</v>
      </c>
      <c r="U34" s="264">
        <v>0.69</v>
      </c>
      <c r="V34" s="264">
        <v>0.69</v>
      </c>
      <c r="W34" s="264">
        <v>0.68</v>
      </c>
      <c r="X34" s="264">
        <v>0.68</v>
      </c>
      <c r="Y34" s="264">
        <v>0.67</v>
      </c>
      <c r="Z34" s="264">
        <v>0.67</v>
      </c>
      <c r="AA34" s="57">
        <f t="shared" si="0"/>
        <v>0.68333333333333313</v>
      </c>
      <c r="AB34" s="58">
        <f>IF(AA34=" "," ",IF('c-form'!AE15="",AA34,AA34+'c-form'!AE15))</f>
        <v>338.28333333333336</v>
      </c>
      <c r="AC34" s="58">
        <f>IF(AA34=" "," ",IF('c-form'!AE15="",AM34,AM34+'c-form'!AE15))</f>
        <v>338.3</v>
      </c>
      <c r="AD34" s="150">
        <f t="shared" si="7"/>
        <v>10</v>
      </c>
      <c r="AE34" s="58">
        <f>IF(AA34=" "," ",IF('c-form'!AE15="",AN34,AN34+'c-form'!AE15))</f>
        <v>338.24</v>
      </c>
      <c r="AF34" s="150">
        <f t="shared" si="8"/>
        <v>1</v>
      </c>
      <c r="AM34">
        <f t="shared" si="2"/>
        <v>0.7</v>
      </c>
      <c r="AN34" s="54">
        <f t="shared" si="4"/>
        <v>0.64</v>
      </c>
    </row>
    <row r="35" spans="1:40" ht="22.5" customHeight="1">
      <c r="A35" s="60"/>
      <c r="B35" s="132">
        <v>23</v>
      </c>
      <c r="C35" s="264">
        <v>0.66</v>
      </c>
      <c r="D35" s="264">
        <v>0.66</v>
      </c>
      <c r="E35" s="264">
        <v>0.65</v>
      </c>
      <c r="F35" s="264">
        <v>0.65</v>
      </c>
      <c r="G35" s="264">
        <v>0.64</v>
      </c>
      <c r="H35" s="264">
        <v>0.64</v>
      </c>
      <c r="I35" s="264">
        <v>0.64</v>
      </c>
      <c r="J35" s="264">
        <v>0.64</v>
      </c>
      <c r="K35" s="264">
        <v>0.64</v>
      </c>
      <c r="L35" s="264">
        <v>0.64</v>
      </c>
      <c r="M35" s="264">
        <v>0.64</v>
      </c>
      <c r="N35" s="264">
        <v>0.64</v>
      </c>
      <c r="O35" s="264">
        <v>0.64</v>
      </c>
      <c r="P35" s="264">
        <v>0.64</v>
      </c>
      <c r="Q35" s="264">
        <v>0.64</v>
      </c>
      <c r="R35" s="264">
        <v>0.64</v>
      </c>
      <c r="S35" s="264">
        <v>0.64</v>
      </c>
      <c r="T35" s="264">
        <v>0.64</v>
      </c>
      <c r="U35" s="264">
        <v>0.64</v>
      </c>
      <c r="V35" s="264">
        <v>0.64</v>
      </c>
      <c r="W35" s="264">
        <v>0.64</v>
      </c>
      <c r="X35" s="264">
        <v>0.64</v>
      </c>
      <c r="Y35" s="264">
        <v>0.64</v>
      </c>
      <c r="Z35" s="264">
        <v>0.64</v>
      </c>
      <c r="AA35" s="57">
        <f t="shared" si="0"/>
        <v>0.64250000000000018</v>
      </c>
      <c r="AB35" s="58">
        <f>IF(AA35=" "," ",IF('c-form'!AE15="",AA35,AA35+'c-form'!AE15))</f>
        <v>338.24250000000001</v>
      </c>
      <c r="AC35" s="58">
        <f>IF(AA35=" "," ",IF('c-form'!AE15="",AM35,AM35+'c-form'!AE15))</f>
        <v>338.26000000000005</v>
      </c>
      <c r="AD35" s="150">
        <f t="shared" si="7"/>
        <v>1</v>
      </c>
      <c r="AE35" s="58">
        <f>IF(AA35=" "," ",IF('c-form'!AE15="",AN35,AN35+'c-form'!AE15))</f>
        <v>338.24</v>
      </c>
      <c r="AF35" s="150">
        <f t="shared" si="8"/>
        <v>5</v>
      </c>
      <c r="AM35">
        <f t="shared" si="2"/>
        <v>0.66</v>
      </c>
      <c r="AN35" s="54">
        <f t="shared" si="4"/>
        <v>0.64</v>
      </c>
    </row>
    <row r="36" spans="1:40" ht="22.5" customHeight="1">
      <c r="A36" s="60"/>
      <c r="B36" s="132">
        <v>24</v>
      </c>
      <c r="C36" s="264">
        <v>0.63</v>
      </c>
      <c r="D36" s="264">
        <v>0.63</v>
      </c>
      <c r="E36" s="264">
        <v>0.63</v>
      </c>
      <c r="F36" s="264">
        <v>0.63</v>
      </c>
      <c r="G36" s="264">
        <v>0.63</v>
      </c>
      <c r="H36" s="264">
        <v>0.63</v>
      </c>
      <c r="I36" s="264">
        <v>0.61</v>
      </c>
      <c r="J36" s="264">
        <v>0.59</v>
      </c>
      <c r="K36" s="264">
        <v>0.57999999999999996</v>
      </c>
      <c r="L36" s="264">
        <v>0.56999999999999995</v>
      </c>
      <c r="M36" s="264">
        <v>0.56000000000000005</v>
      </c>
      <c r="N36" s="264">
        <v>0.56000000000000005</v>
      </c>
      <c r="O36" s="264">
        <v>0.56000000000000005</v>
      </c>
      <c r="P36" s="264">
        <v>0.56000000000000005</v>
      </c>
      <c r="Q36" s="264">
        <v>0.56999999999999995</v>
      </c>
      <c r="R36" s="264">
        <v>0.57999999999999996</v>
      </c>
      <c r="S36" s="264">
        <v>0.59</v>
      </c>
      <c r="T36" s="264">
        <v>0.59</v>
      </c>
      <c r="U36" s="264">
        <v>0.59</v>
      </c>
      <c r="V36" s="264">
        <v>0.59</v>
      </c>
      <c r="W36" s="264">
        <v>0.59</v>
      </c>
      <c r="X36" s="264">
        <v>0.59</v>
      </c>
      <c r="Y36" s="264">
        <v>0.57999999999999996</v>
      </c>
      <c r="Z36" s="264">
        <v>0.57999999999999996</v>
      </c>
      <c r="AA36" s="57">
        <f t="shared" si="0"/>
        <v>0.59250000000000003</v>
      </c>
      <c r="AB36" s="58">
        <f>IF(AA36=" "," ",IF('c-form'!AE15="",AA36,AA36+'c-form'!AE15))</f>
        <v>338.1925</v>
      </c>
      <c r="AC36" s="58">
        <f>IF(AA36=" "," ",IF('c-form'!AE15="",AM36,AM36+'c-form'!AE15))</f>
        <v>338.23</v>
      </c>
      <c r="AD36" s="150">
        <f t="shared" si="7"/>
        <v>1</v>
      </c>
      <c r="AE36" s="58">
        <f>IF(AA36=" "," ",IF('c-form'!AE15="",AN36,AN36+'c-form'!AE15))</f>
        <v>338.16</v>
      </c>
      <c r="AF36" s="150">
        <f t="shared" si="8"/>
        <v>11</v>
      </c>
      <c r="AM36">
        <f t="shared" si="2"/>
        <v>0.63</v>
      </c>
      <c r="AN36" s="54">
        <f t="shared" si="4"/>
        <v>0.56000000000000005</v>
      </c>
    </row>
    <row r="37" spans="1:40" ht="22.5" customHeight="1">
      <c r="A37" s="60"/>
      <c r="B37" s="132">
        <v>25</v>
      </c>
      <c r="C37" s="264">
        <v>0.57999999999999996</v>
      </c>
      <c r="D37" s="264">
        <v>0.57999999999999996</v>
      </c>
      <c r="E37" s="264">
        <v>0.57999999999999996</v>
      </c>
      <c r="F37" s="264">
        <v>0.56999999999999995</v>
      </c>
      <c r="G37" s="264">
        <v>0.56999999999999995</v>
      </c>
      <c r="H37" s="264">
        <v>0.56000000000000005</v>
      </c>
      <c r="I37" s="264">
        <v>0.55000000000000004</v>
      </c>
      <c r="J37" s="264">
        <v>0.54</v>
      </c>
      <c r="K37" s="264">
        <v>0.53</v>
      </c>
      <c r="L37" s="264">
        <v>0.51</v>
      </c>
      <c r="M37" s="264">
        <v>0.49</v>
      </c>
      <c r="N37" s="264">
        <v>0.47</v>
      </c>
      <c r="O37" s="264">
        <v>0.45</v>
      </c>
      <c r="P37" s="264">
        <v>0.43</v>
      </c>
      <c r="Q37" s="264">
        <v>0.41</v>
      </c>
      <c r="R37" s="264">
        <v>0.39</v>
      </c>
      <c r="S37" s="264">
        <v>0.38</v>
      </c>
      <c r="T37" s="264">
        <v>0.37</v>
      </c>
      <c r="U37" s="264">
        <v>0.35</v>
      </c>
      <c r="V37" s="264">
        <v>0.33</v>
      </c>
      <c r="W37" s="264">
        <v>0.3</v>
      </c>
      <c r="X37" s="264">
        <v>0.28000000000000003</v>
      </c>
      <c r="Y37" s="264">
        <v>0.26</v>
      </c>
      <c r="Z37" s="264">
        <v>0.25</v>
      </c>
      <c r="AA37" s="57">
        <f t="shared" si="0"/>
        <v>0.44708333333333328</v>
      </c>
      <c r="AB37" s="58">
        <f>IF(AA37=" "," ",IF('c-form'!AE15="",AA37,AA37+'c-form'!AE15))</f>
        <v>338.04708333333338</v>
      </c>
      <c r="AC37" s="58">
        <f>IF(AA37=" "," ",IF('c-form'!AE15="",AM37,AM37+'c-form'!AE15))</f>
        <v>338.18</v>
      </c>
      <c r="AD37" s="150">
        <f t="shared" si="7"/>
        <v>1</v>
      </c>
      <c r="AE37" s="58">
        <f>IF(AA37=" "," ",IF('c-form'!AE15="",AN37,AN37+'c-form'!AE15))</f>
        <v>337.85</v>
      </c>
      <c r="AF37" s="150">
        <f t="shared" si="8"/>
        <v>24</v>
      </c>
      <c r="AM37">
        <f t="shared" si="2"/>
        <v>0.57999999999999996</v>
      </c>
      <c r="AN37" s="54">
        <f t="shared" si="4"/>
        <v>0.25</v>
      </c>
    </row>
    <row r="38" spans="1:40" ht="22.5" customHeight="1">
      <c r="A38" s="60"/>
      <c r="B38" s="132">
        <v>26</v>
      </c>
      <c r="C38" s="264">
        <v>0.24</v>
      </c>
      <c r="D38" s="264">
        <v>0.23</v>
      </c>
      <c r="E38" s="264">
        <v>0.22</v>
      </c>
      <c r="F38" s="264">
        <v>0.21</v>
      </c>
      <c r="G38" s="264">
        <v>0.21</v>
      </c>
      <c r="H38" s="264">
        <v>0.2</v>
      </c>
      <c r="I38" s="264">
        <v>0.2</v>
      </c>
      <c r="J38" s="264">
        <v>0.2</v>
      </c>
      <c r="K38" s="264">
        <v>0.2</v>
      </c>
      <c r="L38" s="264">
        <v>0.2</v>
      </c>
      <c r="M38" s="264">
        <v>0.2</v>
      </c>
      <c r="N38" s="264">
        <v>0.2</v>
      </c>
      <c r="O38" s="264">
        <v>0.2</v>
      </c>
      <c r="P38" s="264">
        <v>0.2</v>
      </c>
      <c r="Q38" s="264">
        <v>0.2</v>
      </c>
      <c r="R38" s="264">
        <v>0.2</v>
      </c>
      <c r="S38" s="264">
        <v>0.2</v>
      </c>
      <c r="T38" s="264">
        <v>0.2</v>
      </c>
      <c r="U38" s="264">
        <v>0.2</v>
      </c>
      <c r="V38" s="264">
        <v>0.2</v>
      </c>
      <c r="W38" s="264">
        <v>0.2</v>
      </c>
      <c r="X38" s="264">
        <v>0.2</v>
      </c>
      <c r="Y38" s="264">
        <v>0.2</v>
      </c>
      <c r="Z38" s="264">
        <v>0.2</v>
      </c>
      <c r="AA38" s="57">
        <f t="shared" si="0"/>
        <v>0.20458333333333342</v>
      </c>
      <c r="AB38" s="58">
        <f>IF(AA38=" "," ",IF('c-form'!AE15="",AA38,AA38+'c-form'!AE15))</f>
        <v>337.80458333333337</v>
      </c>
      <c r="AC38" s="58">
        <f>IF(AA38=" "," ",IF('c-form'!AE15="",AM38,AM38+'c-form'!AE15))</f>
        <v>337.84000000000003</v>
      </c>
      <c r="AD38" s="150">
        <f t="shared" si="7"/>
        <v>1</v>
      </c>
      <c r="AE38" s="58">
        <f>IF(AA38=" "," ",IF('c-form'!AE15="",AN38,AN38+'c-form'!AE15))</f>
        <v>337.8</v>
      </c>
      <c r="AF38" s="150">
        <f t="shared" si="8"/>
        <v>6</v>
      </c>
      <c r="AM38">
        <f t="shared" si="2"/>
        <v>0.24</v>
      </c>
      <c r="AN38" s="54">
        <f t="shared" si="4"/>
        <v>0.2</v>
      </c>
    </row>
    <row r="39" spans="1:40" ht="22.5" customHeight="1">
      <c r="A39" s="60"/>
      <c r="B39" s="132">
        <v>27</v>
      </c>
      <c r="C39" s="264">
        <v>0.2</v>
      </c>
      <c r="D39" s="264">
        <v>0.2</v>
      </c>
      <c r="E39" s="264">
        <v>0.2</v>
      </c>
      <c r="F39" s="264">
        <v>0.2</v>
      </c>
      <c r="G39" s="264">
        <v>0.2</v>
      </c>
      <c r="H39" s="264">
        <v>0.2</v>
      </c>
      <c r="I39" s="264">
        <v>0.2</v>
      </c>
      <c r="J39" s="264">
        <v>0.2</v>
      </c>
      <c r="K39" s="264">
        <v>0.2</v>
      </c>
      <c r="L39" s="264">
        <v>0.2</v>
      </c>
      <c r="M39" s="264">
        <v>0.2</v>
      </c>
      <c r="N39" s="264">
        <v>0.2</v>
      </c>
      <c r="O39" s="264">
        <v>0.2</v>
      </c>
      <c r="P39" s="264">
        <v>0.2</v>
      </c>
      <c r="Q39" s="264">
        <v>0.2</v>
      </c>
      <c r="R39" s="264">
        <v>0.2</v>
      </c>
      <c r="S39" s="264">
        <v>0.2</v>
      </c>
      <c r="T39" s="264">
        <v>0.2</v>
      </c>
      <c r="U39" s="264">
        <v>0.2</v>
      </c>
      <c r="V39" s="264">
        <v>0.2</v>
      </c>
      <c r="W39" s="264">
        <v>0.2</v>
      </c>
      <c r="X39" s="264">
        <v>0.2</v>
      </c>
      <c r="Y39" s="264">
        <v>0.2</v>
      </c>
      <c r="Z39" s="264">
        <v>0.2</v>
      </c>
      <c r="AA39" s="57">
        <f t="shared" si="0"/>
        <v>0.20000000000000007</v>
      </c>
      <c r="AB39" s="58">
        <f>IF(AA39=" "," ",IF('c-form'!AE15="",AA39,AA39+'c-form'!AE15))</f>
        <v>337.8</v>
      </c>
      <c r="AC39" s="58">
        <f>IF(AA39=" "," ",IF('c-form'!AE15="",AM39,AM39+'c-form'!AE15))</f>
        <v>337.8</v>
      </c>
      <c r="AD39" s="150">
        <f t="shared" si="7"/>
        <v>1</v>
      </c>
      <c r="AE39" s="58">
        <f>IF(AA39=" "," ",IF('c-form'!AE15="",AN39,AN39+'c-form'!AE15))</f>
        <v>337.8</v>
      </c>
      <c r="AF39" s="150">
        <f t="shared" si="8"/>
        <v>1</v>
      </c>
      <c r="AM39">
        <f>IF(AB39=" "," ",MAX(C39:Z39))</f>
        <v>0.2</v>
      </c>
      <c r="AN39" s="54">
        <f t="shared" si="4"/>
        <v>0.2</v>
      </c>
    </row>
    <row r="40" spans="1:40" ht="22.5" customHeight="1">
      <c r="A40" s="60"/>
      <c r="B40" s="132">
        <v>28</v>
      </c>
      <c r="C40" s="264">
        <v>0.19</v>
      </c>
      <c r="D40" s="264">
        <v>0.19</v>
      </c>
      <c r="E40" s="264">
        <v>0.19</v>
      </c>
      <c r="F40" s="264">
        <v>0.19</v>
      </c>
      <c r="G40" s="264">
        <v>0.19</v>
      </c>
      <c r="H40" s="264">
        <v>0.19</v>
      </c>
      <c r="I40" s="264">
        <v>0.2</v>
      </c>
      <c r="J40" s="264">
        <v>0.21</v>
      </c>
      <c r="K40" s="264">
        <v>0.22</v>
      </c>
      <c r="L40" s="264">
        <v>0.24</v>
      </c>
      <c r="M40" s="264">
        <v>0.26</v>
      </c>
      <c r="N40" s="264">
        <v>0.28999999999999998</v>
      </c>
      <c r="O40" s="264">
        <v>0.32</v>
      </c>
      <c r="P40" s="264">
        <v>0.35</v>
      </c>
      <c r="Q40" s="264">
        <v>0.38</v>
      </c>
      <c r="R40" s="264">
        <v>0.41</v>
      </c>
      <c r="S40" s="264">
        <v>0.44</v>
      </c>
      <c r="T40" s="264">
        <v>0.48</v>
      </c>
      <c r="U40" s="264">
        <v>0.51</v>
      </c>
      <c r="V40" s="264">
        <v>0.53</v>
      </c>
      <c r="W40" s="264">
        <v>0.56000000000000005</v>
      </c>
      <c r="X40" s="264">
        <v>0.57999999999999996</v>
      </c>
      <c r="Y40" s="264">
        <v>0.6</v>
      </c>
      <c r="Z40" s="264">
        <v>0.62</v>
      </c>
      <c r="AA40" s="57">
        <f t="shared" si="0"/>
        <v>0.34749999999999992</v>
      </c>
      <c r="AB40" s="58">
        <f>IF(AA40=" "," ",IF('c-form'!AE15="",AA40,AA40+'c-form'!AE15))</f>
        <v>337.94750000000005</v>
      </c>
      <c r="AC40" s="58">
        <f>IF(AA40=" "," ",IF('c-form'!AE15="",AM40,AM40+'c-form'!AE15))</f>
        <v>338.22</v>
      </c>
      <c r="AD40" s="150">
        <f t="shared" si="7"/>
        <v>24</v>
      </c>
      <c r="AE40" s="58">
        <f>IF(AA40=" "," ",IF('c-form'!AE15="",AN40,AN40+'c-form'!AE15))</f>
        <v>337.79</v>
      </c>
      <c r="AF40" s="150">
        <f t="shared" si="8"/>
        <v>1</v>
      </c>
      <c r="AM40">
        <f t="shared" si="2"/>
        <v>0.62</v>
      </c>
      <c r="AN40" s="54">
        <f t="shared" si="4"/>
        <v>0.19</v>
      </c>
    </row>
    <row r="41" spans="1:40" ht="22.5" customHeight="1">
      <c r="A41" s="60"/>
      <c r="B41" s="132">
        <v>29</v>
      </c>
      <c r="C41" s="264">
        <v>0.63</v>
      </c>
      <c r="D41" s="264">
        <v>0.64</v>
      </c>
      <c r="E41" s="264">
        <v>0.65</v>
      </c>
      <c r="F41" s="264">
        <v>0.66</v>
      </c>
      <c r="G41" s="264">
        <v>0.68</v>
      </c>
      <c r="H41" s="264">
        <v>0.69</v>
      </c>
      <c r="I41" s="264">
        <v>0.69</v>
      </c>
      <c r="J41" s="264">
        <v>0.7</v>
      </c>
      <c r="K41" s="264">
        <v>0.7</v>
      </c>
      <c r="L41" s="264">
        <v>0.71</v>
      </c>
      <c r="M41" s="264">
        <v>0.71</v>
      </c>
      <c r="N41" s="264">
        <v>0.71</v>
      </c>
      <c r="O41" s="264">
        <v>0.7</v>
      </c>
      <c r="P41" s="264">
        <v>0.7</v>
      </c>
      <c r="Q41" s="264">
        <v>0.7</v>
      </c>
      <c r="R41" s="264">
        <v>0.7</v>
      </c>
      <c r="S41" s="264">
        <v>0.7</v>
      </c>
      <c r="T41" s="264">
        <v>0.7</v>
      </c>
      <c r="U41" s="264">
        <v>0.69</v>
      </c>
      <c r="V41" s="264">
        <v>0.69</v>
      </c>
      <c r="W41" s="264">
        <v>0.68</v>
      </c>
      <c r="X41" s="264">
        <v>0.68</v>
      </c>
      <c r="Y41" s="264">
        <v>0.67</v>
      </c>
      <c r="Z41" s="264">
        <v>0.67</v>
      </c>
      <c r="AA41" s="57">
        <f t="shared" si="0"/>
        <v>0.68541666666666645</v>
      </c>
      <c r="AB41" s="58">
        <f>IF(AA41=" "," ",IF('c-form'!AE15="",AA41,AA41+'c-form'!AE15))</f>
        <v>338.28541666666666</v>
      </c>
      <c r="AC41" s="58">
        <f>IF(AA41=" "," ",IF('c-form'!AE15="",AM41,AM41+'c-form'!AE15))</f>
        <v>338.31</v>
      </c>
      <c r="AD41" s="150">
        <f t="shared" si="7"/>
        <v>10</v>
      </c>
      <c r="AE41" s="58">
        <f>IF(AA41=" "," ",IF('c-form'!AE15="",AN41,AN41+'c-form'!AE15))</f>
        <v>338.23</v>
      </c>
      <c r="AF41" s="150">
        <f t="shared" si="8"/>
        <v>1</v>
      </c>
      <c r="AM41">
        <f>IF(AB41=" "," ",MAX(C41:Z41))</f>
        <v>0.71</v>
      </c>
      <c r="AN41" s="54">
        <f t="shared" si="4"/>
        <v>0.63</v>
      </c>
    </row>
    <row r="42" spans="1:40" ht="22.5" customHeight="1">
      <c r="A42" s="60"/>
      <c r="B42" s="132">
        <v>30</v>
      </c>
      <c r="C42" s="264">
        <v>0.66</v>
      </c>
      <c r="D42" s="264">
        <v>0.66</v>
      </c>
      <c r="E42" s="264">
        <v>0.65</v>
      </c>
      <c r="F42" s="264">
        <v>0.65</v>
      </c>
      <c r="G42" s="264">
        <v>0.65</v>
      </c>
      <c r="H42" s="264">
        <v>0.64</v>
      </c>
      <c r="I42" s="264">
        <v>0.64</v>
      </c>
      <c r="J42" s="264">
        <v>0.64</v>
      </c>
      <c r="K42" s="264">
        <v>0.64</v>
      </c>
      <c r="L42" s="264">
        <v>0.64</v>
      </c>
      <c r="M42" s="264">
        <v>0.64</v>
      </c>
      <c r="N42" s="264">
        <v>0.64</v>
      </c>
      <c r="O42" s="264">
        <v>0.63</v>
      </c>
      <c r="P42" s="264">
        <v>0.63</v>
      </c>
      <c r="Q42" s="264">
        <v>0.63</v>
      </c>
      <c r="R42" s="264">
        <v>0.63</v>
      </c>
      <c r="S42" s="264">
        <v>0.63</v>
      </c>
      <c r="T42" s="264">
        <v>0.63</v>
      </c>
      <c r="U42" s="264">
        <v>0.63</v>
      </c>
      <c r="V42" s="264">
        <v>0.63</v>
      </c>
      <c r="W42" s="264">
        <v>0.63</v>
      </c>
      <c r="X42" s="264">
        <v>0.63</v>
      </c>
      <c r="Y42" s="264">
        <v>0.63</v>
      </c>
      <c r="Z42" s="264">
        <v>0.63</v>
      </c>
      <c r="AA42" s="57">
        <f>IF(ISERROR(AVERAGE(C42:Z42))," ",AVERAGE(C42:Z42))</f>
        <v>0.63791666666666702</v>
      </c>
      <c r="AB42" s="58">
        <f>IF(AA42=" "," ",IF('c-form'!AE15="",AA42,AA42+'c-form'!AE15))</f>
        <v>338.23791666666671</v>
      </c>
      <c r="AC42" s="58">
        <f>IF(AM42=" "," ",IF('c-form'!AE15="",AA42,AM42+'c-form'!AE15))</f>
        <v>338.26000000000005</v>
      </c>
      <c r="AD42" s="150">
        <f>IF(AB42=" "," ",MATCH(AM42,C42:Z42,0))</f>
        <v>1</v>
      </c>
      <c r="AE42" s="58">
        <f>IF(AN42=" "," ",IF('c-form'!AE15="",AA42,AN42+'c-form'!AE15))</f>
        <v>338.23</v>
      </c>
      <c r="AF42" s="150">
        <f>IF(AD42=" "," ",MATCH(AN42,C42:Z42,0))</f>
        <v>13</v>
      </c>
      <c r="AM42">
        <f t="shared" si="2"/>
        <v>0.66</v>
      </c>
      <c r="AN42" s="54">
        <f t="shared" si="4"/>
        <v>0.63</v>
      </c>
    </row>
    <row r="43" spans="1:40" ht="24" customHeight="1">
      <c r="A43" s="60"/>
      <c r="B43" s="132">
        <v>31</v>
      </c>
      <c r="C43" s="264">
        <v>0.62</v>
      </c>
      <c r="D43" s="264">
        <v>0.62</v>
      </c>
      <c r="E43" s="264">
        <v>0.62</v>
      </c>
      <c r="F43" s="264">
        <v>0.62</v>
      </c>
      <c r="G43" s="264">
        <v>0.62</v>
      </c>
      <c r="H43" s="264">
        <v>0.62</v>
      </c>
      <c r="I43" s="264">
        <v>0.61</v>
      </c>
      <c r="J43" s="264">
        <v>0.61</v>
      </c>
      <c r="K43" s="264">
        <v>0.61</v>
      </c>
      <c r="L43" s="264">
        <v>0.61</v>
      </c>
      <c r="M43" s="264">
        <v>0.61</v>
      </c>
      <c r="N43" s="264">
        <v>0.61</v>
      </c>
      <c r="O43" s="264">
        <v>0.6</v>
      </c>
      <c r="P43" s="264">
        <v>0.6</v>
      </c>
      <c r="Q43" s="264">
        <v>0.6</v>
      </c>
      <c r="R43" s="264">
        <v>0.6</v>
      </c>
      <c r="S43" s="264">
        <v>0.6</v>
      </c>
      <c r="T43" s="264">
        <v>0.6</v>
      </c>
      <c r="U43" s="264">
        <v>0.59</v>
      </c>
      <c r="V43" s="264">
        <v>0.59</v>
      </c>
      <c r="W43" s="264">
        <v>0.59</v>
      </c>
      <c r="X43" s="264">
        <v>0.59</v>
      </c>
      <c r="Y43" s="264">
        <v>0.59</v>
      </c>
      <c r="Z43" s="264">
        <v>0.59</v>
      </c>
      <c r="AA43" s="57">
        <f>IF(ISERR(AVERAGE(C43:Z43))," ",AVERAGE(C43:Z43))</f>
        <v>0.60499999999999998</v>
      </c>
      <c r="AB43" s="58">
        <f>IF(AA43=" "," ",IF('c-form'!AE15="",AA43,AA43+'c-form'!AE15))</f>
        <v>338.20500000000004</v>
      </c>
      <c r="AC43" s="58">
        <f>IF(AM43=" "," ",IF('c-form'!AE15="",AA43,AM43+'c-form'!AE15))</f>
        <v>338.22</v>
      </c>
      <c r="AD43" s="150">
        <f>IF(AB43=" "," ",MATCH(AM43,C43:Z43,0))</f>
        <v>1</v>
      </c>
      <c r="AE43" s="58">
        <f>IF(AN43=" "," ",IF('c-form'!AE15="",AA43,AN43+'c-form'!AE15))</f>
        <v>338.19</v>
      </c>
      <c r="AF43" s="150">
        <f>IF(AD43=" "," ",MATCH(AN43,C43:Z43,0))</f>
        <v>19</v>
      </c>
      <c r="AM43">
        <f t="shared" si="2"/>
        <v>0.62</v>
      </c>
      <c r="AN43" s="54">
        <f t="shared" si="4"/>
        <v>0.59</v>
      </c>
    </row>
    <row r="44" spans="1:40" s="60" customFormat="1" ht="9.75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</row>
    <row r="45" spans="1:40" s="80" customFormat="1" ht="23.25" customHeight="1">
      <c r="B45" s="331" t="s">
        <v>68</v>
      </c>
      <c r="C45" s="331"/>
      <c r="D45" s="331"/>
      <c r="E45" s="332">
        <f>IF(COUNT(AC11:AC43)=0," ",MAX(AC11:AC43))</f>
        <v>338.31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17</v>
      </c>
      <c r="M45" s="69" t="s">
        <v>289</v>
      </c>
      <c r="N45" s="200" t="s">
        <v>288</v>
      </c>
      <c r="O45" s="202">
        <f>IF(COUNT(AC11:AC43)=0," ",INDEX(AD11:AD43,AM45))</f>
        <v>1</v>
      </c>
      <c r="P45" s="331" t="s">
        <v>72</v>
      </c>
      <c r="Q45" s="331"/>
      <c r="R45" s="331"/>
      <c r="S45" s="336">
        <f>IF(COUNT(AC11:AC43)=0," ",AVERAGE(AB11:AB43))</f>
        <v>338.07548387096779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18</v>
      </c>
      <c r="AN45" s="83"/>
    </row>
    <row r="46" spans="1:40" s="80" customFormat="1" ht="20.100000000000001" customHeight="1">
      <c r="B46" s="331" t="s">
        <v>69</v>
      </c>
      <c r="C46" s="331"/>
      <c r="D46" s="331"/>
      <c r="E46" s="332">
        <f>IF(COUNT(AC11:AC43)=0," ",MIN(AE11:AE43))</f>
        <v>337.79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21</v>
      </c>
      <c r="M46" s="69" t="s">
        <v>289</v>
      </c>
      <c r="N46" s="200" t="s">
        <v>288</v>
      </c>
      <c r="O46" s="202">
        <f>IF(COUNT(AC11:AC43)=0," ",INDEX(AF11:AF43,AM46))</f>
        <v>1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80" t="s">
        <v>74</v>
      </c>
      <c r="AB46" s="84"/>
      <c r="AC46" s="84"/>
      <c r="AD46" s="84"/>
      <c r="AE46" s="84"/>
      <c r="AF46" s="84"/>
      <c r="AM46" s="80">
        <f>MATCH(E46,AE11:AE43,0)</f>
        <v>23</v>
      </c>
    </row>
    <row r="47" spans="1:40" ht="20.100000000000001" customHeight="1"/>
    <row r="48" spans="1:40" ht="20.100000000000001" customHeight="1">
      <c r="E48" s="62"/>
      <c r="F48" s="56"/>
    </row>
    <row r="49" ht="20.100000000000001" customHeight="1"/>
  </sheetData>
  <sheetProtection password="D965" sheet="1" objects="1" scenarios="1"/>
  <mergeCells count="33">
    <mergeCell ref="B3:D3"/>
    <mergeCell ref="L7:O7"/>
    <mergeCell ref="AD1:AE1"/>
    <mergeCell ref="B2:D2"/>
    <mergeCell ref="E2:AC2"/>
    <mergeCell ref="G5:H5"/>
    <mergeCell ref="J5:N5"/>
    <mergeCell ref="P5:S5"/>
    <mergeCell ref="U5:W5"/>
    <mergeCell ref="Y5:Z5"/>
    <mergeCell ref="AD9:AF9"/>
    <mergeCell ref="P45:R45"/>
    <mergeCell ref="S45:T45"/>
    <mergeCell ref="B9:B10"/>
    <mergeCell ref="C9:Z9"/>
    <mergeCell ref="AA9:AA10"/>
    <mergeCell ref="AB9:AC9"/>
    <mergeCell ref="B46:D46"/>
    <mergeCell ref="E46:F46"/>
    <mergeCell ref="B45:D45"/>
    <mergeCell ref="E45:F45"/>
    <mergeCell ref="P46:Q46"/>
    <mergeCell ref="AE4:AG4"/>
    <mergeCell ref="AE7:AG7"/>
    <mergeCell ref="AC7:AD7"/>
    <mergeCell ref="C5:E5"/>
    <mergeCell ref="P7:R7"/>
    <mergeCell ref="S7:V7"/>
    <mergeCell ref="W7:X7"/>
    <mergeCell ref="B7:C7"/>
    <mergeCell ref="D7:E7"/>
    <mergeCell ref="G7:H7"/>
    <mergeCell ref="AA5:AC5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5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N47"/>
  <sheetViews>
    <sheetView showGridLines="0" zoomScaleNormal="100" workbookViewId="0">
      <pane xSplit="2" ySplit="10" topLeftCell="G26" activePane="bottomRight" state="frozen"/>
      <selection pane="topRight" activeCell="C1" sqref="C1"/>
      <selection pane="bottomLeft" activeCell="A11" sqref="A11"/>
      <selection pane="bottomRight" activeCell="T35" sqref="T35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7.28515625" customWidth="1"/>
    <col min="33" max="33" width="4.42578125" customWidth="1"/>
    <col min="34" max="35" width="9.140625" hidden="1" customWidth="1"/>
    <col min="36" max="36" width="8.140625" hidden="1" customWidth="1"/>
    <col min="37" max="37" width="0.5703125" hidden="1" customWidth="1"/>
    <col min="38" max="38" width="0" hidden="1" customWidth="1"/>
    <col min="39" max="39" width="8.5703125" hidden="1" customWidth="1"/>
    <col min="40" max="40" width="9.5703125" hidden="1" customWidth="1"/>
  </cols>
  <sheetData>
    <row r="1" spans="1:40" ht="9" customHeight="1">
      <c r="AD1" s="344" t="s">
        <v>108</v>
      </c>
      <c r="AE1" s="345"/>
    </row>
    <row r="2" spans="1:40" s="88" customFormat="1" ht="19.5" customHeight="1">
      <c r="B2" s="354" t="s">
        <v>105</v>
      </c>
      <c r="C2" s="354"/>
      <c r="D2" s="354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s="88" customFormat="1" ht="19.5" customHeight="1">
      <c r="B3" s="89" t="s">
        <v>106</v>
      </c>
      <c r="C3" s="89"/>
      <c r="D3" s="89"/>
    </row>
    <row r="4" spans="1:40" s="88" customFormat="1" ht="18" customHeight="1">
      <c r="F4" s="90"/>
      <c r="AA4" s="161"/>
      <c r="AB4" s="161"/>
      <c r="AC4" s="161"/>
      <c r="AD4" s="159" t="s">
        <v>123</v>
      </c>
      <c r="AE4" s="315"/>
      <c r="AF4" s="315"/>
      <c r="AG4" s="353"/>
    </row>
    <row r="5" spans="1:40" s="74" customFormat="1" ht="22.5" customHeight="1">
      <c r="B5" s="75" t="s">
        <v>109</v>
      </c>
      <c r="D5" s="327" t="str">
        <f>IF(ISBLANK(rsteam),"",rsteam)</f>
        <v>Nam  Ping</v>
      </c>
      <c r="E5" s="322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</row>
    <row r="6" spans="1:40" s="74" customFormat="1" ht="12.75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0" s="74" customFormat="1" ht="21.75" customHeight="1">
      <c r="B7" s="324" t="s">
        <v>116</v>
      </c>
      <c r="C7" s="324"/>
      <c r="D7" s="325" t="s">
        <v>64</v>
      </c>
      <c r="E7" s="326"/>
      <c r="F7" s="77" t="s">
        <v>117</v>
      </c>
      <c r="G7" s="327">
        <f>IF('c-form'!C7="","",('c-form'!C7+543)+1)</f>
        <v>2557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</row>
    <row r="8" spans="1:40" s="88" customFormat="1" ht="15.75" customHeight="1">
      <c r="AA8" s="161"/>
      <c r="AB8" s="161"/>
      <c r="AC8" s="161"/>
      <c r="AD8" s="161"/>
      <c r="AE8" s="161"/>
      <c r="AF8" s="161"/>
    </row>
    <row r="9" spans="1:40" s="52" customFormat="1" ht="30.75" customHeight="1">
      <c r="A9" s="55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0" s="52" customFormat="1" ht="21" customHeight="1">
      <c r="A10" s="55"/>
      <c r="B10" s="338"/>
      <c r="C10" s="61">
        <v>1</v>
      </c>
      <c r="D10" s="61">
        <v>2</v>
      </c>
      <c r="E10" s="61">
        <v>3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  <c r="M10" s="61">
        <v>11</v>
      </c>
      <c r="N10" s="61">
        <v>12</v>
      </c>
      <c r="O10" s="61">
        <v>13</v>
      </c>
      <c r="P10" s="61">
        <v>14</v>
      </c>
      <c r="Q10" s="61">
        <v>15</v>
      </c>
      <c r="R10" s="61">
        <v>16</v>
      </c>
      <c r="S10" s="61">
        <v>17</v>
      </c>
      <c r="T10" s="61">
        <v>18</v>
      </c>
      <c r="U10" s="61">
        <v>19</v>
      </c>
      <c r="V10" s="61">
        <v>20</v>
      </c>
      <c r="W10" s="61">
        <v>21</v>
      </c>
      <c r="X10" s="61">
        <v>22</v>
      </c>
      <c r="Y10" s="61">
        <v>23</v>
      </c>
      <c r="Z10" s="61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60"/>
      <c r="B11" s="132">
        <v>1</v>
      </c>
      <c r="C11" s="264">
        <v>0.6</v>
      </c>
      <c r="D11" s="264">
        <v>0.62</v>
      </c>
      <c r="E11" s="264">
        <v>0.64</v>
      </c>
      <c r="F11" s="264">
        <v>0.68</v>
      </c>
      <c r="G11" s="264">
        <v>0.69</v>
      </c>
      <c r="H11" s="264">
        <v>0.7</v>
      </c>
      <c r="I11" s="264">
        <v>0.71</v>
      </c>
      <c r="J11" s="264">
        <v>0.71</v>
      </c>
      <c r="K11" s="264">
        <v>0.72</v>
      </c>
      <c r="L11" s="264">
        <v>0.72</v>
      </c>
      <c r="M11" s="264">
        <v>0.72</v>
      </c>
      <c r="N11" s="264">
        <v>0.72</v>
      </c>
      <c r="O11" s="264">
        <v>0.73</v>
      </c>
      <c r="P11" s="264">
        <v>0.73</v>
      </c>
      <c r="Q11" s="264">
        <v>0.73</v>
      </c>
      <c r="R11" s="264">
        <v>0.73</v>
      </c>
      <c r="S11" s="264">
        <v>0.73</v>
      </c>
      <c r="T11" s="264">
        <v>0.73</v>
      </c>
      <c r="U11" s="264">
        <v>0.73</v>
      </c>
      <c r="V11" s="264">
        <v>0.72</v>
      </c>
      <c r="W11" s="264">
        <v>0.72</v>
      </c>
      <c r="X11" s="264">
        <v>0.72</v>
      </c>
      <c r="Y11" s="264">
        <v>0.72</v>
      </c>
      <c r="Z11" s="264">
        <v>0.71</v>
      </c>
      <c r="AA11" s="57">
        <f t="shared" ref="AA11:AA41" si="0">IF(ISERROR(AVERAGE(C11:Z11))," ",AVERAGE(C11:Z11))</f>
        <v>0.7054166666666668</v>
      </c>
      <c r="AB11" s="58">
        <f>IF(AA11=" "," ",IF('c-form'!AE15="",AA11,AA11+'c-form'!AE15))</f>
        <v>338.3054166666667</v>
      </c>
      <c r="AC11" s="58">
        <f>IF(AA11=" "," ",IF('c-form'!AE15="",AM11,AM11+'c-form'!AE15))</f>
        <v>338.33000000000004</v>
      </c>
      <c r="AD11" s="150">
        <f>IF(AB11=" "," ",MATCH(AM11,C11:Z11,0))</f>
        <v>13</v>
      </c>
      <c r="AE11" s="58">
        <f>IF(AA11=" "," ",IF('c-form'!AE15="",AN11,AN11+'c-form'!AE15))</f>
        <v>338.20000000000005</v>
      </c>
      <c r="AF11" s="150">
        <f t="shared" ref="AF11:AF20" si="1">IF(AD11=" "," ",MATCH(AN11,C11:Z11,0))</f>
        <v>1</v>
      </c>
      <c r="AG11" s="63"/>
      <c r="AM11">
        <f>IF(AB11=" "," ",MAX(C11:Z11))</f>
        <v>0.73</v>
      </c>
      <c r="AN11" s="54">
        <f>IF(AB11=" "," ",MIN(C11:Z11))</f>
        <v>0.6</v>
      </c>
    </row>
    <row r="12" spans="1:40" ht="22.5" customHeight="1">
      <c r="A12" s="60"/>
      <c r="B12" s="132">
        <v>2</v>
      </c>
      <c r="C12" s="264">
        <v>0.71</v>
      </c>
      <c r="D12" s="264">
        <v>0.71</v>
      </c>
      <c r="E12" s="264">
        <v>0.7</v>
      </c>
      <c r="F12" s="264">
        <v>0.7</v>
      </c>
      <c r="G12" s="264">
        <v>0.7</v>
      </c>
      <c r="H12" s="264">
        <v>0.69</v>
      </c>
      <c r="I12" s="264">
        <v>0.68</v>
      </c>
      <c r="J12" s="264">
        <v>0.68</v>
      </c>
      <c r="K12" s="264">
        <v>0.67</v>
      </c>
      <c r="L12" s="264">
        <v>0.67</v>
      </c>
      <c r="M12" s="264">
        <v>0.66</v>
      </c>
      <c r="N12" s="264">
        <v>0.66</v>
      </c>
      <c r="O12" s="264">
        <v>0.65</v>
      </c>
      <c r="P12" s="264">
        <v>0.64</v>
      </c>
      <c r="Q12" s="264">
        <v>0.63</v>
      </c>
      <c r="R12" s="264">
        <v>0.62</v>
      </c>
      <c r="S12" s="264">
        <v>0.61</v>
      </c>
      <c r="T12" s="264">
        <v>0.6</v>
      </c>
      <c r="U12" s="264">
        <v>0.59</v>
      </c>
      <c r="V12" s="264">
        <v>0.57999999999999996</v>
      </c>
      <c r="W12" s="264">
        <v>0.56000000000000005</v>
      </c>
      <c r="X12" s="264">
        <v>0.55000000000000004</v>
      </c>
      <c r="Y12" s="264">
        <v>0.53</v>
      </c>
      <c r="Z12" s="264">
        <v>0.51</v>
      </c>
      <c r="AA12" s="57">
        <f t="shared" si="0"/>
        <v>0.63750000000000007</v>
      </c>
      <c r="AB12" s="58">
        <f>IF(AA12=" "," ",IF('c-form'!AE15="",AA12,AA12+'c-form'!AE15))</f>
        <v>338.23750000000001</v>
      </c>
      <c r="AC12" s="58">
        <f>IF(AA12=" "," ",IF('c-form'!AE15="",AM12,AM12+'c-form'!AE15))</f>
        <v>338.31</v>
      </c>
      <c r="AD12" s="150">
        <f>IF(AB12=" "," ",MATCH(AM12,C12:Z12,0))</f>
        <v>1</v>
      </c>
      <c r="AE12" s="58">
        <f>IF(AA12=" "," ",IF('c-form'!AE15="",AN12,AN12+'c-form'!AE15))</f>
        <v>338.11</v>
      </c>
      <c r="AF12" s="150">
        <f t="shared" si="1"/>
        <v>24</v>
      </c>
      <c r="AG12" s="63"/>
      <c r="AM12">
        <f t="shared" ref="AM12:AM43" si="2">IF(AB12=" "," ",MAX(C12:Z12))</f>
        <v>0.71</v>
      </c>
      <c r="AN12" s="54">
        <f>IF(AB12=" "," ",MIN(C12:Z12))</f>
        <v>0.51</v>
      </c>
    </row>
    <row r="13" spans="1:40" ht="22.5" customHeight="1">
      <c r="A13" s="60"/>
      <c r="B13" s="132">
        <v>3</v>
      </c>
      <c r="C13" s="264">
        <v>0.49</v>
      </c>
      <c r="D13" s="264">
        <v>0.48</v>
      </c>
      <c r="E13" s="264">
        <v>0.46</v>
      </c>
      <c r="F13" s="264">
        <v>0.44</v>
      </c>
      <c r="G13" s="264">
        <v>0.43</v>
      </c>
      <c r="H13" s="264">
        <v>0.41</v>
      </c>
      <c r="I13" s="264">
        <v>0.4</v>
      </c>
      <c r="J13" s="264">
        <v>0.39</v>
      </c>
      <c r="K13" s="264">
        <v>0.38</v>
      </c>
      <c r="L13" s="264">
        <v>0.37</v>
      </c>
      <c r="M13" s="264">
        <v>0.36</v>
      </c>
      <c r="N13" s="264">
        <v>0.35</v>
      </c>
      <c r="O13" s="264">
        <v>0.34</v>
      </c>
      <c r="P13" s="264">
        <v>0.34</v>
      </c>
      <c r="Q13" s="264">
        <v>0.34</v>
      </c>
      <c r="R13" s="264">
        <v>0.34</v>
      </c>
      <c r="S13" s="264">
        <v>0.34</v>
      </c>
      <c r="T13" s="264">
        <v>0.35</v>
      </c>
      <c r="U13" s="264">
        <v>0.35</v>
      </c>
      <c r="V13" s="264">
        <v>0.36</v>
      </c>
      <c r="W13" s="264">
        <v>0.36</v>
      </c>
      <c r="X13" s="264">
        <v>0.37</v>
      </c>
      <c r="Y13" s="264">
        <v>0.38</v>
      </c>
      <c r="Z13" s="264">
        <v>0.39</v>
      </c>
      <c r="AA13" s="57">
        <f t="shared" si="0"/>
        <v>0.3841666666666666</v>
      </c>
      <c r="AB13" s="58">
        <f>IF(AA13=" "," ",IF('c-form'!AE15="",AA13,AA13+'c-form'!AE15))</f>
        <v>337.98416666666668</v>
      </c>
      <c r="AC13" s="58">
        <f>IF(AA13=" "," ",IF('c-form'!AE15="",AM13,AM13+'c-form'!AE15))</f>
        <v>338.09000000000003</v>
      </c>
      <c r="AD13" s="150">
        <f t="shared" ref="AD13:AD20" si="3">IF(AB13=" "," ",MATCH(AM13,C13:Z13,0))</f>
        <v>1</v>
      </c>
      <c r="AE13" s="58">
        <f>IF(AA13=" "," ",IF('c-form'!AE15="",AN13,AN13+'c-form'!AE15))</f>
        <v>337.94</v>
      </c>
      <c r="AF13" s="150">
        <f t="shared" si="1"/>
        <v>13</v>
      </c>
      <c r="AG13" s="63"/>
      <c r="AM13">
        <f t="shared" si="2"/>
        <v>0.49</v>
      </c>
      <c r="AN13" s="54">
        <f t="shared" ref="AN13:AN43" si="4">IF(AB13=" "," ",MIN(C13:Z13))</f>
        <v>0.34</v>
      </c>
    </row>
    <row r="14" spans="1:40" ht="22.5" customHeight="1">
      <c r="A14" s="60"/>
      <c r="B14" s="132">
        <v>4</v>
      </c>
      <c r="C14" s="264">
        <v>0.4</v>
      </c>
      <c r="D14" s="264">
        <v>0.41</v>
      </c>
      <c r="E14" s="264">
        <v>0.42</v>
      </c>
      <c r="F14" s="264">
        <v>0.43</v>
      </c>
      <c r="G14" s="264">
        <v>0.44</v>
      </c>
      <c r="H14" s="264">
        <v>0.45</v>
      </c>
      <c r="I14" s="264">
        <v>0.46</v>
      </c>
      <c r="J14" s="264">
        <v>0.47</v>
      </c>
      <c r="K14" s="264">
        <v>0.47</v>
      </c>
      <c r="L14" s="264">
        <v>0.48</v>
      </c>
      <c r="M14" s="264">
        <v>0.48</v>
      </c>
      <c r="N14" s="264">
        <v>0.49</v>
      </c>
      <c r="O14" s="264">
        <v>0.49</v>
      </c>
      <c r="P14" s="264">
        <v>0.49</v>
      </c>
      <c r="Q14" s="264">
        <v>0.48</v>
      </c>
      <c r="R14" s="264">
        <v>0.47</v>
      </c>
      <c r="S14" s="264">
        <v>0.46</v>
      </c>
      <c r="T14" s="264">
        <v>0.45</v>
      </c>
      <c r="U14" s="264">
        <v>0.44</v>
      </c>
      <c r="V14" s="264">
        <v>0.43</v>
      </c>
      <c r="W14" s="264">
        <v>0.42</v>
      </c>
      <c r="X14" s="264">
        <v>0.41</v>
      </c>
      <c r="Y14" s="264">
        <v>0.4</v>
      </c>
      <c r="Z14" s="264">
        <v>0.39</v>
      </c>
      <c r="AA14" s="57">
        <f t="shared" si="0"/>
        <v>0.44708333333333333</v>
      </c>
      <c r="AB14" s="58">
        <f>IF(AA14=" "," ",IF('c-form'!AE15="",AA14,AA14+'c-form'!AE15))</f>
        <v>338.04708333333338</v>
      </c>
      <c r="AC14" s="58">
        <f>IF(AA14=" "," ",IF('c-form'!AE15="",AM14,AM14+'c-form'!AE15))</f>
        <v>338.09000000000003</v>
      </c>
      <c r="AD14" s="150">
        <f t="shared" si="3"/>
        <v>12</v>
      </c>
      <c r="AE14" s="58">
        <f>IF(AA14=" "," ",IF('c-form'!AE15="",AN14,AN14+'c-form'!AE15))</f>
        <v>337.99</v>
      </c>
      <c r="AF14" s="150">
        <f t="shared" si="1"/>
        <v>24</v>
      </c>
      <c r="AG14" s="63"/>
      <c r="AM14">
        <f t="shared" si="2"/>
        <v>0.49</v>
      </c>
      <c r="AN14" s="54">
        <f t="shared" si="4"/>
        <v>0.39</v>
      </c>
    </row>
    <row r="15" spans="1:40" ht="22.5" customHeight="1">
      <c r="A15" s="60"/>
      <c r="B15" s="132">
        <v>5</v>
      </c>
      <c r="C15" s="264">
        <v>0.38</v>
      </c>
      <c r="D15" s="264">
        <v>0.36</v>
      </c>
      <c r="E15" s="264">
        <v>0.35</v>
      </c>
      <c r="F15" s="264">
        <v>0.34</v>
      </c>
      <c r="G15" s="264">
        <v>0.33</v>
      </c>
      <c r="H15" s="264">
        <v>0.32</v>
      </c>
      <c r="I15" s="264">
        <v>0.32</v>
      </c>
      <c r="J15" s="264">
        <v>0.32</v>
      </c>
      <c r="K15" s="264">
        <v>0.32</v>
      </c>
      <c r="L15" s="264">
        <v>0.32</v>
      </c>
      <c r="M15" s="264">
        <v>0.32</v>
      </c>
      <c r="N15" s="264">
        <v>0.32</v>
      </c>
      <c r="O15" s="264">
        <v>0.32</v>
      </c>
      <c r="P15" s="264">
        <v>0.32</v>
      </c>
      <c r="Q15" s="264">
        <v>0.32</v>
      </c>
      <c r="R15" s="264">
        <v>0.32</v>
      </c>
      <c r="S15" s="264">
        <v>0.32</v>
      </c>
      <c r="T15" s="264">
        <v>0.32</v>
      </c>
      <c r="U15" s="264">
        <v>0.32</v>
      </c>
      <c r="V15" s="264">
        <v>0.32</v>
      </c>
      <c r="W15" s="264">
        <v>0.32</v>
      </c>
      <c r="X15" s="264">
        <v>0.32</v>
      </c>
      <c r="Y15" s="264">
        <v>0.32</v>
      </c>
      <c r="Z15" s="264">
        <v>0.32</v>
      </c>
      <c r="AA15" s="57">
        <f t="shared" si="0"/>
        <v>0.32666666666666677</v>
      </c>
      <c r="AB15" s="58">
        <f>IF(AA15=" "," ",IF('c-form'!AE15="",AA15,AA15+'c-form'!AE15))</f>
        <v>337.92666666666668</v>
      </c>
      <c r="AC15" s="58">
        <f>IF(AA15=" "," ",IF('c-form'!AE15="",AM15,AM15+'c-form'!AE15))</f>
        <v>337.98</v>
      </c>
      <c r="AD15" s="150">
        <f t="shared" si="3"/>
        <v>1</v>
      </c>
      <c r="AE15" s="58">
        <f>IF(AA15=" "," ",IF('c-form'!AE15="",AN15,AN15+'c-form'!AE15))</f>
        <v>337.92</v>
      </c>
      <c r="AF15" s="150">
        <f t="shared" si="1"/>
        <v>6</v>
      </c>
      <c r="AG15" s="63"/>
      <c r="AM15">
        <f t="shared" si="2"/>
        <v>0.38</v>
      </c>
      <c r="AN15" s="54">
        <f t="shared" si="4"/>
        <v>0.32</v>
      </c>
    </row>
    <row r="16" spans="1:40" ht="22.5" customHeight="1">
      <c r="A16" s="60"/>
      <c r="B16" s="132">
        <v>6</v>
      </c>
      <c r="C16" s="264">
        <v>0.32</v>
      </c>
      <c r="D16" s="264">
        <v>0.32</v>
      </c>
      <c r="E16" s="264">
        <v>0.32</v>
      </c>
      <c r="F16" s="264">
        <v>0.32</v>
      </c>
      <c r="G16" s="264">
        <v>0.32</v>
      </c>
      <c r="H16" s="264">
        <v>0.32</v>
      </c>
      <c r="I16" s="264">
        <v>0.32</v>
      </c>
      <c r="J16" s="264">
        <v>0.32</v>
      </c>
      <c r="K16" s="264">
        <v>0.32</v>
      </c>
      <c r="L16" s="264">
        <v>0.32</v>
      </c>
      <c r="M16" s="264">
        <v>0.32</v>
      </c>
      <c r="N16" s="264">
        <v>0.32</v>
      </c>
      <c r="O16" s="264">
        <v>0.31</v>
      </c>
      <c r="P16" s="264">
        <v>0.31</v>
      </c>
      <c r="Q16" s="264">
        <v>0.31</v>
      </c>
      <c r="R16" s="264">
        <v>0.31</v>
      </c>
      <c r="S16" s="264">
        <v>0.31</v>
      </c>
      <c r="T16" s="264">
        <v>0.31</v>
      </c>
      <c r="U16" s="264">
        <v>0.31</v>
      </c>
      <c r="V16" s="264">
        <v>0.31</v>
      </c>
      <c r="W16" s="264">
        <v>0.31</v>
      </c>
      <c r="X16" s="264">
        <v>0.31</v>
      </c>
      <c r="Y16" s="264">
        <v>0.31</v>
      </c>
      <c r="Z16" s="264">
        <v>0.31</v>
      </c>
      <c r="AA16" s="57">
        <f t="shared" si="0"/>
        <v>0.31499999999999978</v>
      </c>
      <c r="AB16" s="58">
        <f>IF(AA16=" "," ",IF('c-form'!AE15="",AA16,AA16+'c-form'!AE15))</f>
        <v>337.91500000000002</v>
      </c>
      <c r="AC16" s="58">
        <f>IF(AA16=" "," ",IF('c-form'!AE15="",AM16,AM16+'c-form'!AE15))</f>
        <v>337.92</v>
      </c>
      <c r="AD16" s="150">
        <f t="shared" si="3"/>
        <v>1</v>
      </c>
      <c r="AE16" s="58">
        <f>IF(AA16=" "," ",IF('c-form'!AE15="",AN16,AN16+'c-form'!AE15))</f>
        <v>337.91</v>
      </c>
      <c r="AF16" s="150">
        <f t="shared" si="1"/>
        <v>13</v>
      </c>
      <c r="AG16" s="63"/>
      <c r="AM16">
        <f t="shared" si="2"/>
        <v>0.32</v>
      </c>
      <c r="AN16" s="54">
        <f t="shared" si="4"/>
        <v>0.31</v>
      </c>
    </row>
    <row r="17" spans="1:40" ht="22.5" customHeight="1">
      <c r="A17" s="60"/>
      <c r="B17" s="132">
        <v>7</v>
      </c>
      <c r="C17" s="264">
        <v>0.3</v>
      </c>
      <c r="D17" s="264">
        <v>0.3</v>
      </c>
      <c r="E17" s="264">
        <v>0.3</v>
      </c>
      <c r="F17" s="264">
        <v>0.3</v>
      </c>
      <c r="G17" s="264">
        <v>0.3</v>
      </c>
      <c r="H17" s="264">
        <v>0.3</v>
      </c>
      <c r="I17" s="264">
        <v>0.31</v>
      </c>
      <c r="J17" s="264">
        <v>0.32</v>
      </c>
      <c r="K17" s="264">
        <v>0.34</v>
      </c>
      <c r="L17" s="264">
        <v>0.35</v>
      </c>
      <c r="M17" s="264">
        <v>0.36</v>
      </c>
      <c r="N17" s="264">
        <v>0.37</v>
      </c>
      <c r="O17" s="264">
        <v>0.41</v>
      </c>
      <c r="P17" s="264">
        <v>0.43</v>
      </c>
      <c r="Q17" s="264">
        <v>0.45</v>
      </c>
      <c r="R17" s="264">
        <v>0.47</v>
      </c>
      <c r="S17" s="264">
        <v>0.48</v>
      </c>
      <c r="T17" s="264">
        <v>0.49</v>
      </c>
      <c r="U17" s="264">
        <v>0.51</v>
      </c>
      <c r="V17" s="264">
        <v>0.53</v>
      </c>
      <c r="W17" s="264">
        <v>0.55000000000000004</v>
      </c>
      <c r="X17" s="264">
        <v>0.56999999999999995</v>
      </c>
      <c r="Y17" s="264">
        <v>0.59</v>
      </c>
      <c r="Z17" s="264">
        <v>0.61</v>
      </c>
      <c r="AA17" s="57">
        <f t="shared" si="0"/>
        <v>0.41416666666666663</v>
      </c>
      <c r="AB17" s="58">
        <f>IF(AA17=" "," ",IF('c-form'!AE15="",AA17,AA17+'c-form'!AE15))</f>
        <v>338.01416666666671</v>
      </c>
      <c r="AC17" s="58">
        <f>IF(AA17=" "," ",IF('c-form'!AE15="",AM17,AM17+'c-form'!AE15))</f>
        <v>338.21000000000004</v>
      </c>
      <c r="AD17" s="150">
        <f t="shared" si="3"/>
        <v>24</v>
      </c>
      <c r="AE17" s="58">
        <f>IF(AA17=" "," ",IF('c-form'!AE15="",AN17,AN17+'c-form'!AE15))</f>
        <v>337.90000000000003</v>
      </c>
      <c r="AF17" s="150">
        <f t="shared" si="1"/>
        <v>1</v>
      </c>
      <c r="AG17" s="63"/>
      <c r="AM17">
        <f t="shared" si="2"/>
        <v>0.61</v>
      </c>
      <c r="AN17" s="54">
        <f t="shared" si="4"/>
        <v>0.3</v>
      </c>
    </row>
    <row r="18" spans="1:40" ht="22.5" customHeight="1">
      <c r="A18" s="60"/>
      <c r="B18" s="132">
        <v>8</v>
      </c>
      <c r="C18" s="264">
        <v>0.62</v>
      </c>
      <c r="D18" s="264">
        <v>0.63</v>
      </c>
      <c r="E18" s="264">
        <v>0.64</v>
      </c>
      <c r="F18" s="264">
        <v>0.65</v>
      </c>
      <c r="G18" s="264">
        <v>0.66</v>
      </c>
      <c r="H18" s="264">
        <v>0.67</v>
      </c>
      <c r="I18" s="264">
        <v>0.67</v>
      </c>
      <c r="J18" s="264">
        <v>0.67</v>
      </c>
      <c r="K18" s="264">
        <v>0.67</v>
      </c>
      <c r="L18" s="264">
        <v>0.67</v>
      </c>
      <c r="M18" s="264">
        <v>0.67</v>
      </c>
      <c r="N18" s="264">
        <v>0.67</v>
      </c>
      <c r="O18" s="264">
        <v>0.67</v>
      </c>
      <c r="P18" s="264">
        <v>0.67</v>
      </c>
      <c r="Q18" s="264">
        <v>0.67</v>
      </c>
      <c r="R18" s="264">
        <v>0.67</v>
      </c>
      <c r="S18" s="264">
        <v>0.67</v>
      </c>
      <c r="T18" s="264">
        <v>0.67</v>
      </c>
      <c r="U18" s="264">
        <v>0.67</v>
      </c>
      <c r="V18" s="264">
        <v>0.67</v>
      </c>
      <c r="W18" s="264">
        <v>0.67</v>
      </c>
      <c r="X18" s="264">
        <v>0.67</v>
      </c>
      <c r="Y18" s="264">
        <v>0.67</v>
      </c>
      <c r="Z18" s="264">
        <v>0.67</v>
      </c>
      <c r="AA18" s="57">
        <f t="shared" si="0"/>
        <v>0.66374999999999995</v>
      </c>
      <c r="AB18" s="58">
        <f>IF(AA18=" "," ",IF('c-form'!AE15="",AA18,AA18+'c-form'!AE15))</f>
        <v>338.26375000000002</v>
      </c>
      <c r="AC18" s="58">
        <f>IF(AA18=" "," ",IF('c-form'!AE15="",AM18,AM18+'c-form'!AE15))</f>
        <v>338.27000000000004</v>
      </c>
      <c r="AD18" s="150">
        <f t="shared" si="3"/>
        <v>6</v>
      </c>
      <c r="AE18" s="58">
        <f>IF(AA18=" "," ",IF('c-form'!AE15="",AN18,AN18+'c-form'!AE15))</f>
        <v>338.22</v>
      </c>
      <c r="AF18" s="150">
        <f t="shared" si="1"/>
        <v>1</v>
      </c>
      <c r="AG18" s="63"/>
      <c r="AM18">
        <f t="shared" si="2"/>
        <v>0.67</v>
      </c>
      <c r="AN18" s="54">
        <f t="shared" si="4"/>
        <v>0.62</v>
      </c>
    </row>
    <row r="19" spans="1:40" ht="22.5" customHeight="1">
      <c r="A19" s="60"/>
      <c r="B19" s="132">
        <v>9</v>
      </c>
      <c r="C19" s="264">
        <v>0.67</v>
      </c>
      <c r="D19" s="264">
        <v>0.67</v>
      </c>
      <c r="E19" s="264">
        <v>0.67</v>
      </c>
      <c r="F19" s="264">
        <v>0.67</v>
      </c>
      <c r="G19" s="264">
        <v>0.67</v>
      </c>
      <c r="H19" s="264">
        <v>0.67</v>
      </c>
      <c r="I19" s="264">
        <v>0.67</v>
      </c>
      <c r="J19" s="264">
        <v>0.67</v>
      </c>
      <c r="K19" s="264">
        <v>0.67</v>
      </c>
      <c r="L19" s="264">
        <v>0.67</v>
      </c>
      <c r="M19" s="264">
        <v>0.67</v>
      </c>
      <c r="N19" s="264">
        <v>0.67</v>
      </c>
      <c r="O19" s="264">
        <v>0.67</v>
      </c>
      <c r="P19" s="264">
        <v>0.67</v>
      </c>
      <c r="Q19" s="264">
        <v>0.67</v>
      </c>
      <c r="R19" s="264">
        <v>0.67</v>
      </c>
      <c r="S19" s="264">
        <v>0.67</v>
      </c>
      <c r="T19" s="264">
        <v>0.67</v>
      </c>
      <c r="U19" s="264">
        <v>0.67</v>
      </c>
      <c r="V19" s="264">
        <v>0.67</v>
      </c>
      <c r="W19" s="264">
        <v>0.67</v>
      </c>
      <c r="X19" s="264">
        <v>0.67</v>
      </c>
      <c r="Y19" s="264">
        <v>0.67</v>
      </c>
      <c r="Z19" s="264">
        <v>0.67</v>
      </c>
      <c r="AA19" s="57">
        <f t="shared" si="0"/>
        <v>0.67</v>
      </c>
      <c r="AB19" s="58">
        <f>IF(AA19=" "," ",IF('c-form'!AE15="",AA19,AA19+'c-form'!AE15))</f>
        <v>338.27000000000004</v>
      </c>
      <c r="AC19" s="58">
        <f>IF(AA19=" "," ",IF('c-form'!AE15="",AM19,AM19+'c-form'!AE15))</f>
        <v>338.27000000000004</v>
      </c>
      <c r="AD19" s="150">
        <f t="shared" si="3"/>
        <v>1</v>
      </c>
      <c r="AE19" s="58">
        <f>IF(AA19=" "," ",IF('c-form'!AE15="",AN19,AN19+'c-form'!AE15))</f>
        <v>338.27000000000004</v>
      </c>
      <c r="AF19" s="150">
        <f t="shared" si="1"/>
        <v>1</v>
      </c>
      <c r="AG19" s="63"/>
      <c r="AM19">
        <f t="shared" si="2"/>
        <v>0.67</v>
      </c>
      <c r="AN19" s="54">
        <f t="shared" si="4"/>
        <v>0.67</v>
      </c>
    </row>
    <row r="20" spans="1:40" ht="22.5" customHeight="1">
      <c r="A20" s="60"/>
      <c r="B20" s="132">
        <v>10</v>
      </c>
      <c r="C20" s="264">
        <v>0.67</v>
      </c>
      <c r="D20" s="264">
        <v>0.67</v>
      </c>
      <c r="E20" s="264">
        <v>0.67</v>
      </c>
      <c r="F20" s="264">
        <v>0.67</v>
      </c>
      <c r="G20" s="264">
        <v>0.67</v>
      </c>
      <c r="H20" s="264">
        <v>0.67</v>
      </c>
      <c r="I20" s="264">
        <v>0.67</v>
      </c>
      <c r="J20" s="264">
        <v>0.66</v>
      </c>
      <c r="K20" s="264">
        <v>0.65</v>
      </c>
      <c r="L20" s="264">
        <v>0.64</v>
      </c>
      <c r="M20" s="264">
        <v>0.63</v>
      </c>
      <c r="N20" s="264">
        <v>0.62</v>
      </c>
      <c r="O20" s="264">
        <v>0.61</v>
      </c>
      <c r="P20" s="264">
        <v>0.59</v>
      </c>
      <c r="Q20" s="264">
        <v>0.56999999999999995</v>
      </c>
      <c r="R20" s="264">
        <v>0.54</v>
      </c>
      <c r="S20" s="264">
        <v>0.51</v>
      </c>
      <c r="T20" s="264">
        <v>0.49</v>
      </c>
      <c r="U20" s="264">
        <v>0.45</v>
      </c>
      <c r="V20" s="264">
        <v>0.42</v>
      </c>
      <c r="W20" s="264">
        <v>0.41</v>
      </c>
      <c r="X20" s="264">
        <v>0.39</v>
      </c>
      <c r="Y20" s="264">
        <v>0.37</v>
      </c>
      <c r="Z20" s="264">
        <v>0.36</v>
      </c>
      <c r="AA20" s="57">
        <f t="shared" si="0"/>
        <v>0.56666666666666654</v>
      </c>
      <c r="AB20" s="58">
        <f>IF(AA20=" "," ",IF('c-form'!AE15="",AA20,AA20+'c-form'!AE15))</f>
        <v>338.16666666666669</v>
      </c>
      <c r="AC20" s="58">
        <f>IF(AA20=" "," ",IF('c-form'!AE15="",AM20,AM20+'c-form'!AE15))</f>
        <v>338.27000000000004</v>
      </c>
      <c r="AD20" s="150">
        <f t="shared" si="3"/>
        <v>1</v>
      </c>
      <c r="AE20" s="58">
        <f>IF(AA20=" "," ",IF('c-form'!AE15="",AN20,AN20+'c-form'!AE15))</f>
        <v>337.96000000000004</v>
      </c>
      <c r="AF20" s="150">
        <f t="shared" si="1"/>
        <v>24</v>
      </c>
      <c r="AG20" s="63"/>
      <c r="AM20">
        <f t="shared" si="2"/>
        <v>0.67</v>
      </c>
      <c r="AN20" s="54">
        <f t="shared" si="4"/>
        <v>0.36</v>
      </c>
    </row>
    <row r="21" spans="1:40" ht="22.5" customHeight="1">
      <c r="A21" s="60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9"/>
      <c r="AC21" s="139"/>
      <c r="AD21" s="151"/>
      <c r="AE21" s="139"/>
      <c r="AF21" s="151"/>
      <c r="AG21" s="63"/>
      <c r="AM21">
        <f>IF(AB21=" "," ",MAX(C21:Z21))</f>
        <v>0</v>
      </c>
      <c r="AN21" s="54">
        <f t="shared" si="4"/>
        <v>0</v>
      </c>
    </row>
    <row r="22" spans="1:40" ht="22.5" customHeight="1">
      <c r="A22" s="60"/>
      <c r="B22" s="132">
        <v>11</v>
      </c>
      <c r="C22" s="264">
        <v>0.35</v>
      </c>
      <c r="D22" s="264">
        <v>0.34</v>
      </c>
      <c r="E22" s="264">
        <v>0.33</v>
      </c>
      <c r="F22" s="264">
        <v>0.32</v>
      </c>
      <c r="G22" s="264">
        <v>0.31</v>
      </c>
      <c r="H22" s="264">
        <v>0.3</v>
      </c>
      <c r="I22" s="264">
        <v>0.3</v>
      </c>
      <c r="J22" s="264">
        <v>0.3</v>
      </c>
      <c r="K22" s="264">
        <v>0.3</v>
      </c>
      <c r="L22" s="264">
        <v>0.3</v>
      </c>
      <c r="M22" s="264">
        <v>0.3</v>
      </c>
      <c r="N22" s="264">
        <v>0.3</v>
      </c>
      <c r="O22" s="264">
        <v>0.28999999999999998</v>
      </c>
      <c r="P22" s="264">
        <v>0.28999999999999998</v>
      </c>
      <c r="Q22" s="264">
        <v>0.28999999999999998</v>
      </c>
      <c r="R22" s="264">
        <v>0.28999999999999998</v>
      </c>
      <c r="S22" s="264">
        <v>0.28999999999999998</v>
      </c>
      <c r="T22" s="264">
        <v>0.28999999999999998</v>
      </c>
      <c r="U22" s="264">
        <v>0.28999999999999998</v>
      </c>
      <c r="V22" s="264">
        <v>0.28999999999999998</v>
      </c>
      <c r="W22" s="264">
        <v>0.28999999999999998</v>
      </c>
      <c r="X22" s="264">
        <v>0.28999999999999998</v>
      </c>
      <c r="Y22" s="264">
        <v>0.28999999999999998</v>
      </c>
      <c r="Z22" s="264">
        <v>0.28999999999999998</v>
      </c>
      <c r="AA22" s="57">
        <f t="shared" si="0"/>
        <v>0.30124999999999996</v>
      </c>
      <c r="AB22" s="58">
        <f>IF(AA22=" "," ",IF('c-form'!AE15="",AA22,AA22+'c-form'!AE15))</f>
        <v>337.90125</v>
      </c>
      <c r="AC22" s="58">
        <f>IF(AA22=" "," ",IF('c-form'!AE15="",AM22,AM22+'c-form'!AE15))</f>
        <v>337.95000000000005</v>
      </c>
      <c r="AD22" s="150">
        <f t="shared" ref="AD22:AD31" si="5">IF(AB22=" "," ",MATCH(AM22,C22:Z22,0))</f>
        <v>1</v>
      </c>
      <c r="AE22" s="58">
        <f>IF(AA22=" "," ",IF('c-form'!AE15="",AN22,AN22+'c-form'!AE15))</f>
        <v>337.89000000000004</v>
      </c>
      <c r="AF22" s="150">
        <f t="shared" ref="AF22:AF31" si="6">IF(AD22=" "," ",MATCH(AN22,C22:Z22,0))</f>
        <v>13</v>
      </c>
      <c r="AG22" s="63"/>
      <c r="AM22">
        <f t="shared" si="2"/>
        <v>0.35</v>
      </c>
      <c r="AN22" s="54">
        <f t="shared" si="4"/>
        <v>0.28999999999999998</v>
      </c>
    </row>
    <row r="23" spans="1:40" ht="22.5" customHeight="1">
      <c r="A23" s="60"/>
      <c r="B23" s="132">
        <v>12</v>
      </c>
      <c r="C23" s="264">
        <v>0.28999999999999998</v>
      </c>
      <c r="D23" s="264">
        <v>0.28999999999999998</v>
      </c>
      <c r="E23" s="264">
        <v>0.28999999999999998</v>
      </c>
      <c r="F23" s="264">
        <v>0.28999999999999998</v>
      </c>
      <c r="G23" s="264">
        <v>0.28999999999999998</v>
      </c>
      <c r="H23" s="264">
        <v>0.28999999999999998</v>
      </c>
      <c r="I23" s="264">
        <v>0.28999999999999998</v>
      </c>
      <c r="J23" s="264">
        <v>0.28999999999999998</v>
      </c>
      <c r="K23" s="264">
        <v>0.28999999999999998</v>
      </c>
      <c r="L23" s="264">
        <v>0.28999999999999998</v>
      </c>
      <c r="M23" s="264">
        <v>0.28999999999999998</v>
      </c>
      <c r="N23" s="264">
        <v>0.28999999999999998</v>
      </c>
      <c r="O23" s="264">
        <v>0.28999999999999998</v>
      </c>
      <c r="P23" s="264">
        <v>0.28999999999999998</v>
      </c>
      <c r="Q23" s="264">
        <v>0.28999999999999998</v>
      </c>
      <c r="R23" s="264">
        <v>0.28999999999999998</v>
      </c>
      <c r="S23" s="264">
        <v>0.28999999999999998</v>
      </c>
      <c r="T23" s="264">
        <v>0.28999999999999998</v>
      </c>
      <c r="U23" s="264">
        <v>0.28999999999999998</v>
      </c>
      <c r="V23" s="264">
        <v>0.28999999999999998</v>
      </c>
      <c r="W23" s="264">
        <v>0.28999999999999998</v>
      </c>
      <c r="X23" s="264">
        <v>0.28999999999999998</v>
      </c>
      <c r="Y23" s="264">
        <v>0.28999999999999998</v>
      </c>
      <c r="Z23" s="264">
        <v>0.28999999999999998</v>
      </c>
      <c r="AA23" s="57">
        <f t="shared" si="0"/>
        <v>0.28999999999999998</v>
      </c>
      <c r="AB23" s="58">
        <f>IF(AA23=" "," ",IF('c-form'!AE15="",AA23,AA23+'c-form'!AE15))</f>
        <v>337.89000000000004</v>
      </c>
      <c r="AC23" s="58">
        <f>IF(AA23=" "," ",IF('c-form'!AE15="",AM23,AM23+'c-form'!AE15))</f>
        <v>337.89000000000004</v>
      </c>
      <c r="AD23" s="150">
        <f t="shared" si="5"/>
        <v>1</v>
      </c>
      <c r="AE23" s="58">
        <f>IF(AA23=" "," ",IF('c-form'!AE15="",AN23,AN23+'c-form'!AE15))</f>
        <v>337.89000000000004</v>
      </c>
      <c r="AF23" s="150">
        <f t="shared" si="6"/>
        <v>1</v>
      </c>
      <c r="AG23" s="63"/>
      <c r="AM23">
        <f t="shared" si="2"/>
        <v>0.28999999999999998</v>
      </c>
      <c r="AN23" s="54">
        <f t="shared" si="4"/>
        <v>0.28999999999999998</v>
      </c>
    </row>
    <row r="24" spans="1:40" ht="22.5" customHeight="1">
      <c r="A24" s="60"/>
      <c r="B24" s="132">
        <v>13</v>
      </c>
      <c r="C24" s="264">
        <v>0.3</v>
      </c>
      <c r="D24" s="264">
        <v>0.3</v>
      </c>
      <c r="E24" s="264">
        <v>0.3</v>
      </c>
      <c r="F24" s="264">
        <v>0.3</v>
      </c>
      <c r="G24" s="264">
        <v>0.3</v>
      </c>
      <c r="H24" s="264">
        <v>0.3</v>
      </c>
      <c r="I24" s="264">
        <v>0.3</v>
      </c>
      <c r="J24" s="264">
        <v>0.3</v>
      </c>
      <c r="K24" s="264">
        <v>0.3</v>
      </c>
      <c r="L24" s="264">
        <v>0.3</v>
      </c>
      <c r="M24" s="264">
        <v>0.3</v>
      </c>
      <c r="N24" s="264">
        <v>0.3</v>
      </c>
      <c r="O24" s="264">
        <v>0.3</v>
      </c>
      <c r="P24" s="264">
        <v>0.3</v>
      </c>
      <c r="Q24" s="264">
        <v>0.3</v>
      </c>
      <c r="R24" s="264">
        <v>0.3</v>
      </c>
      <c r="S24" s="264">
        <v>0.3</v>
      </c>
      <c r="T24" s="264">
        <v>0.3</v>
      </c>
      <c r="U24" s="264">
        <v>0.3</v>
      </c>
      <c r="V24" s="264">
        <v>0.3</v>
      </c>
      <c r="W24" s="264">
        <v>0.3</v>
      </c>
      <c r="X24" s="264">
        <v>0.3</v>
      </c>
      <c r="Y24" s="264">
        <v>0.3</v>
      </c>
      <c r="Z24" s="264">
        <v>0.3</v>
      </c>
      <c r="AA24" s="57">
        <f t="shared" si="0"/>
        <v>0.29999999999999988</v>
      </c>
      <c r="AB24" s="58">
        <f>IF(AA24=" "," ",IF('c-form'!AE15="",AA24,AA24+'c-form'!AE15))</f>
        <v>337.90000000000003</v>
      </c>
      <c r="AC24" s="58">
        <f>IF(AA24=" "," ",IF('c-form'!AE15="",AM24,AM24+'c-form'!AE15))</f>
        <v>337.90000000000003</v>
      </c>
      <c r="AD24" s="150">
        <f t="shared" si="5"/>
        <v>1</v>
      </c>
      <c r="AE24" s="58">
        <f>IF(AA24=" "," ",IF('c-form'!AE15="",AN24,AN24+'c-form'!AE15))</f>
        <v>337.90000000000003</v>
      </c>
      <c r="AF24" s="150">
        <f t="shared" si="6"/>
        <v>1</v>
      </c>
      <c r="AG24" s="63"/>
      <c r="AM24">
        <f t="shared" si="2"/>
        <v>0.3</v>
      </c>
      <c r="AN24" s="54">
        <f t="shared" si="4"/>
        <v>0.3</v>
      </c>
    </row>
    <row r="25" spans="1:40" ht="22.5" customHeight="1">
      <c r="A25" s="60"/>
      <c r="B25" s="132">
        <v>14</v>
      </c>
      <c r="C25" s="264">
        <v>0.28999999999999998</v>
      </c>
      <c r="D25" s="264">
        <v>0.28999999999999998</v>
      </c>
      <c r="E25" s="264">
        <v>0.28999999999999998</v>
      </c>
      <c r="F25" s="264">
        <v>0.28999999999999998</v>
      </c>
      <c r="G25" s="264">
        <v>0.28999999999999998</v>
      </c>
      <c r="H25" s="264">
        <v>0.28999999999999998</v>
      </c>
      <c r="I25" s="264">
        <v>0.3</v>
      </c>
      <c r="J25" s="264">
        <v>0.3</v>
      </c>
      <c r="K25" s="264">
        <v>0.31</v>
      </c>
      <c r="L25" s="264">
        <v>0.32</v>
      </c>
      <c r="M25" s="264">
        <v>0.33</v>
      </c>
      <c r="N25" s="264">
        <v>0.34</v>
      </c>
      <c r="O25" s="264">
        <v>0.35</v>
      </c>
      <c r="P25" s="264">
        <v>0.37</v>
      </c>
      <c r="Q25" s="264">
        <v>0.38</v>
      </c>
      <c r="R25" s="264">
        <v>0.39</v>
      </c>
      <c r="S25" s="264">
        <v>0.41</v>
      </c>
      <c r="T25" s="264">
        <v>0.43</v>
      </c>
      <c r="U25" s="264">
        <v>0.45</v>
      </c>
      <c r="V25" s="264">
        <v>0.47</v>
      </c>
      <c r="W25" s="264">
        <v>0.49</v>
      </c>
      <c r="X25" s="264">
        <v>0.51</v>
      </c>
      <c r="Y25" s="264">
        <v>0.53</v>
      </c>
      <c r="Z25" s="264">
        <v>0.55000000000000004</v>
      </c>
      <c r="AA25" s="57">
        <f t="shared" si="0"/>
        <v>0.37374999999999997</v>
      </c>
      <c r="AB25" s="58">
        <f>IF(AA25=" "," ",IF('c-form'!AE15="",AA25,AA25+'c-form'!AE15))</f>
        <v>337.97375</v>
      </c>
      <c r="AC25" s="58">
        <f>IF(AA25=" "," ",IF('c-form'!AE15="",AM25,AM25+'c-form'!AE15))</f>
        <v>338.15000000000003</v>
      </c>
      <c r="AD25" s="150">
        <f t="shared" si="5"/>
        <v>24</v>
      </c>
      <c r="AE25" s="58">
        <f>IF(AA25=" "," ",IF('c-form'!AE15="",AN25,AN25+'c-form'!AE15))</f>
        <v>337.89000000000004</v>
      </c>
      <c r="AF25" s="150">
        <f t="shared" si="6"/>
        <v>1</v>
      </c>
      <c r="AG25" s="63"/>
      <c r="AM25">
        <f t="shared" si="2"/>
        <v>0.55000000000000004</v>
      </c>
      <c r="AN25" s="54">
        <f t="shared" si="4"/>
        <v>0.28999999999999998</v>
      </c>
    </row>
    <row r="26" spans="1:40" ht="22.5" customHeight="1">
      <c r="A26" s="60"/>
      <c r="B26" s="132">
        <v>15</v>
      </c>
      <c r="C26" s="264">
        <v>0.56999999999999995</v>
      </c>
      <c r="D26" s="264">
        <v>0.59</v>
      </c>
      <c r="E26" s="264">
        <v>0.62</v>
      </c>
      <c r="F26" s="264">
        <v>0.64</v>
      </c>
      <c r="G26" s="264">
        <v>0.65</v>
      </c>
      <c r="H26" s="264">
        <v>0.67</v>
      </c>
      <c r="I26" s="264">
        <v>0.68</v>
      </c>
      <c r="J26" s="264">
        <v>0.7</v>
      </c>
      <c r="K26" s="264">
        <v>0.71</v>
      </c>
      <c r="L26" s="264">
        <v>0.72</v>
      </c>
      <c r="M26" s="264">
        <v>0.73</v>
      </c>
      <c r="N26" s="264">
        <v>0.74</v>
      </c>
      <c r="O26" s="264">
        <v>0.75</v>
      </c>
      <c r="P26" s="264">
        <v>0.76</v>
      </c>
      <c r="Q26" s="264">
        <v>0.77</v>
      </c>
      <c r="R26" s="264">
        <v>0.78</v>
      </c>
      <c r="S26" s="264">
        <v>0.79</v>
      </c>
      <c r="T26" s="264">
        <v>0.79</v>
      </c>
      <c r="U26" s="264">
        <v>0.8</v>
      </c>
      <c r="V26" s="264">
        <v>0.8</v>
      </c>
      <c r="W26" s="264">
        <v>0.8</v>
      </c>
      <c r="X26" s="264">
        <v>0.81</v>
      </c>
      <c r="Y26" s="264">
        <v>0.81</v>
      </c>
      <c r="Z26" s="264">
        <v>0.81</v>
      </c>
      <c r="AA26" s="57">
        <f t="shared" si="0"/>
        <v>0.7287499999999999</v>
      </c>
      <c r="AB26" s="58">
        <f>IF(AA26=" "," ",IF('c-form'!AE15="",AA26,AA26+'c-form'!AE15))</f>
        <v>338.32875000000001</v>
      </c>
      <c r="AC26" s="58">
        <f>IF(AA26=" "," ",IF('c-form'!AE15="",AM26,AM26+'c-form'!AE15))</f>
        <v>338.41</v>
      </c>
      <c r="AD26" s="150">
        <f t="shared" si="5"/>
        <v>22</v>
      </c>
      <c r="AE26" s="58">
        <f>IF(AA26=" "," ",IF('c-form'!AE15="",AN26,AN26+'c-form'!AE15))</f>
        <v>338.17</v>
      </c>
      <c r="AF26" s="150">
        <f t="shared" si="6"/>
        <v>1</v>
      </c>
      <c r="AG26" s="63"/>
      <c r="AM26">
        <f t="shared" si="2"/>
        <v>0.81</v>
      </c>
      <c r="AN26" s="54">
        <f t="shared" si="4"/>
        <v>0.56999999999999995</v>
      </c>
    </row>
    <row r="27" spans="1:40" ht="22.5" customHeight="1">
      <c r="A27" s="60"/>
      <c r="B27" s="132">
        <v>16</v>
      </c>
      <c r="C27" s="264">
        <v>0.82</v>
      </c>
      <c r="D27" s="264">
        <v>0.82</v>
      </c>
      <c r="E27" s="264">
        <v>0.82</v>
      </c>
      <c r="F27" s="264">
        <v>0.83</v>
      </c>
      <c r="G27" s="264">
        <v>0.83</v>
      </c>
      <c r="H27" s="264">
        <v>0.83</v>
      </c>
      <c r="I27" s="264">
        <v>0.83</v>
      </c>
      <c r="J27" s="264">
        <v>0.83</v>
      </c>
      <c r="K27" s="264">
        <v>0.84</v>
      </c>
      <c r="L27" s="264">
        <v>0.84</v>
      </c>
      <c r="M27" s="264">
        <v>0.84</v>
      </c>
      <c r="N27" s="264">
        <v>0.84</v>
      </c>
      <c r="O27" s="264">
        <v>0.85</v>
      </c>
      <c r="P27" s="264">
        <v>0.85</v>
      </c>
      <c r="Q27" s="264">
        <v>0.85</v>
      </c>
      <c r="R27" s="264">
        <v>0.85</v>
      </c>
      <c r="S27" s="264">
        <v>0.85</v>
      </c>
      <c r="T27" s="264">
        <v>0.85</v>
      </c>
      <c r="U27" s="264">
        <v>0.84</v>
      </c>
      <c r="V27" s="264">
        <v>0.84</v>
      </c>
      <c r="W27" s="264">
        <v>0.84</v>
      </c>
      <c r="X27" s="264">
        <v>0.84</v>
      </c>
      <c r="Y27" s="264">
        <v>0.84</v>
      </c>
      <c r="Z27" s="264">
        <v>0.84</v>
      </c>
      <c r="AA27" s="57">
        <f t="shared" si="0"/>
        <v>0.83791666666666664</v>
      </c>
      <c r="AB27" s="58">
        <f>IF(AA27=" "," ",IF('c-form'!AE15="",AA27,AA27+'c-form'!AE15))</f>
        <v>338.43791666666669</v>
      </c>
      <c r="AC27" s="58">
        <f>IF(AA27=" "," ",IF('c-form'!AE15="",AM27,AM27+'c-form'!AE15))</f>
        <v>338.45000000000005</v>
      </c>
      <c r="AD27" s="150">
        <f t="shared" si="5"/>
        <v>13</v>
      </c>
      <c r="AE27" s="58">
        <f>IF(AA27=" "," ",IF('c-form'!AE15="",AN27,AN27+'c-form'!AE15))</f>
        <v>338.42</v>
      </c>
      <c r="AF27" s="150">
        <f t="shared" si="6"/>
        <v>1</v>
      </c>
      <c r="AG27" s="63"/>
      <c r="AM27">
        <f t="shared" si="2"/>
        <v>0.85</v>
      </c>
      <c r="AN27" s="54">
        <f t="shared" si="4"/>
        <v>0.82</v>
      </c>
    </row>
    <row r="28" spans="1:40" ht="22.5" customHeight="1">
      <c r="A28" s="60"/>
      <c r="B28" s="132">
        <v>17</v>
      </c>
      <c r="C28" s="264">
        <v>0.83</v>
      </c>
      <c r="D28" s="264">
        <v>0.83</v>
      </c>
      <c r="E28" s="264">
        <v>0.83</v>
      </c>
      <c r="F28" s="264">
        <v>0.83</v>
      </c>
      <c r="G28" s="264">
        <v>0.82</v>
      </c>
      <c r="H28" s="264">
        <v>0.82</v>
      </c>
      <c r="I28" s="264">
        <v>0.81</v>
      </c>
      <c r="J28" s="264">
        <v>0.81</v>
      </c>
      <c r="K28" s="264">
        <v>0.8</v>
      </c>
      <c r="L28" s="264">
        <v>0.78</v>
      </c>
      <c r="M28" s="264">
        <v>0.76</v>
      </c>
      <c r="N28" s="264">
        <v>0.75</v>
      </c>
      <c r="O28" s="264">
        <v>0.73</v>
      </c>
      <c r="P28" s="264">
        <v>0.71</v>
      </c>
      <c r="Q28" s="264">
        <v>0.68</v>
      </c>
      <c r="R28" s="264">
        <v>0.65</v>
      </c>
      <c r="S28" s="264">
        <v>0.63</v>
      </c>
      <c r="T28" s="264">
        <v>0.6</v>
      </c>
      <c r="U28" s="264">
        <v>0.56000000000000005</v>
      </c>
      <c r="V28" s="264">
        <v>0.53</v>
      </c>
      <c r="W28" s="264">
        <v>0.5</v>
      </c>
      <c r="X28" s="264">
        <v>0.47</v>
      </c>
      <c r="Y28" s="264">
        <v>0.43</v>
      </c>
      <c r="Z28" s="264">
        <v>0.41</v>
      </c>
      <c r="AA28" s="57">
        <f t="shared" si="0"/>
        <v>0.69041666666666668</v>
      </c>
      <c r="AB28" s="58">
        <f>IF(AA28=" "," ",IF('c-form'!AE15="",AA28,AA28+'c-form'!AE15))</f>
        <v>338.29041666666672</v>
      </c>
      <c r="AC28" s="58">
        <f>IF(AA28=" "," ",IF('c-form'!AE15="",AM28,AM28+'c-form'!AE15))</f>
        <v>338.43</v>
      </c>
      <c r="AD28" s="150">
        <f t="shared" si="5"/>
        <v>1</v>
      </c>
      <c r="AE28" s="58">
        <f>IF(AA28=" "," ",IF('c-form'!AE15="",AN28,AN28+'c-form'!AE15))</f>
        <v>338.01000000000005</v>
      </c>
      <c r="AF28" s="150">
        <f t="shared" si="6"/>
        <v>24</v>
      </c>
      <c r="AG28" s="63"/>
      <c r="AM28">
        <f t="shared" si="2"/>
        <v>0.83</v>
      </c>
      <c r="AN28" s="54">
        <f t="shared" si="4"/>
        <v>0.41</v>
      </c>
    </row>
    <row r="29" spans="1:40" ht="22.5" customHeight="1">
      <c r="A29" s="60"/>
      <c r="B29" s="132">
        <v>18</v>
      </c>
      <c r="C29" s="264">
        <v>0.38</v>
      </c>
      <c r="D29" s="264">
        <v>0.35</v>
      </c>
      <c r="E29" s="264">
        <v>0.33</v>
      </c>
      <c r="F29" s="264">
        <v>0.31</v>
      </c>
      <c r="G29" s="264">
        <v>0.28999999999999998</v>
      </c>
      <c r="H29" s="264">
        <v>0.27</v>
      </c>
      <c r="I29" s="264">
        <v>0.27</v>
      </c>
      <c r="J29" s="264">
        <v>0.27</v>
      </c>
      <c r="K29" s="264">
        <v>0.27</v>
      </c>
      <c r="L29" s="264">
        <v>0.27</v>
      </c>
      <c r="M29" s="264">
        <v>0.27</v>
      </c>
      <c r="N29" s="264">
        <v>0.27</v>
      </c>
      <c r="O29" s="264">
        <v>0.27</v>
      </c>
      <c r="P29" s="264">
        <v>0.27</v>
      </c>
      <c r="Q29" s="264">
        <v>0.27</v>
      </c>
      <c r="R29" s="264">
        <v>0.27</v>
      </c>
      <c r="S29" s="264">
        <v>0.27</v>
      </c>
      <c r="T29" s="264">
        <v>0.27</v>
      </c>
      <c r="U29" s="264">
        <v>0.27</v>
      </c>
      <c r="V29" s="264">
        <v>0.27</v>
      </c>
      <c r="W29" s="264">
        <v>0.27</v>
      </c>
      <c r="X29" s="264">
        <v>0.27</v>
      </c>
      <c r="Y29" s="264">
        <v>0.27</v>
      </c>
      <c r="Z29" s="264">
        <v>0.27</v>
      </c>
      <c r="AA29" s="57">
        <f t="shared" si="0"/>
        <v>0.28291666666666648</v>
      </c>
      <c r="AB29" s="58">
        <f>IF(AA29=" "," ",IF('c-form'!AE15="",AA29,AA29+'c-form'!AE15))</f>
        <v>337.88291666666669</v>
      </c>
      <c r="AC29" s="58">
        <f>IF(AA29=" "," ",IF('c-form'!AE15="",AM29,AM29+'c-form'!AE15))</f>
        <v>337.98</v>
      </c>
      <c r="AD29" s="150">
        <f t="shared" si="5"/>
        <v>1</v>
      </c>
      <c r="AE29" s="58">
        <f>IF(AA29=" "," ",IF('c-form'!AE15="",AN29,AN29+'c-form'!AE15))</f>
        <v>337.87</v>
      </c>
      <c r="AF29" s="150">
        <f t="shared" si="6"/>
        <v>6</v>
      </c>
      <c r="AG29" s="63"/>
      <c r="AM29">
        <f>IF(AB29=" "," ",MAX(C29:Z29))</f>
        <v>0.38</v>
      </c>
      <c r="AN29" s="54">
        <f t="shared" si="4"/>
        <v>0.27</v>
      </c>
    </row>
    <row r="30" spans="1:40" ht="22.5" customHeight="1">
      <c r="A30" s="60"/>
      <c r="B30" s="132">
        <v>19</v>
      </c>
      <c r="C30" s="264">
        <v>0.27</v>
      </c>
      <c r="D30" s="264">
        <v>0.27</v>
      </c>
      <c r="E30" s="264">
        <v>0.27</v>
      </c>
      <c r="F30" s="264">
        <v>0.27</v>
      </c>
      <c r="G30" s="264">
        <v>0.27</v>
      </c>
      <c r="H30" s="264">
        <v>0.27</v>
      </c>
      <c r="I30" s="264">
        <v>0.27</v>
      </c>
      <c r="J30" s="264">
        <v>0.27</v>
      </c>
      <c r="K30" s="264">
        <v>0.27</v>
      </c>
      <c r="L30" s="264">
        <v>0.27</v>
      </c>
      <c r="M30" s="264">
        <v>0.27</v>
      </c>
      <c r="N30" s="264">
        <v>0.27</v>
      </c>
      <c r="O30" s="264">
        <v>0.27</v>
      </c>
      <c r="P30" s="264">
        <v>0.27</v>
      </c>
      <c r="Q30" s="264">
        <v>0.27</v>
      </c>
      <c r="R30" s="264">
        <v>0.27</v>
      </c>
      <c r="S30" s="264">
        <v>0.27</v>
      </c>
      <c r="T30" s="264">
        <v>0.27</v>
      </c>
      <c r="U30" s="264">
        <v>0.27</v>
      </c>
      <c r="V30" s="264">
        <v>0.27</v>
      </c>
      <c r="W30" s="264">
        <v>0.27</v>
      </c>
      <c r="X30" s="264">
        <v>0.27</v>
      </c>
      <c r="Y30" s="264">
        <v>0.27</v>
      </c>
      <c r="Z30" s="264">
        <v>0.27</v>
      </c>
      <c r="AA30" s="57">
        <f t="shared" si="0"/>
        <v>0.26999999999999985</v>
      </c>
      <c r="AB30" s="58">
        <f>IF(AA30=" "," ",IF('c-form'!AE15="",AA30,AA30+'c-form'!AE15))</f>
        <v>337.87</v>
      </c>
      <c r="AC30" s="58">
        <f>IF(AA30=" "," ",IF('c-form'!AE15="",AM30,AM30+'c-form'!AE15))</f>
        <v>337.87</v>
      </c>
      <c r="AD30" s="150">
        <f t="shared" si="5"/>
        <v>1</v>
      </c>
      <c r="AE30" s="58">
        <f>IF(AA30=" "," ",IF('c-form'!AE15="",AN30,AN30+'c-form'!AE15))</f>
        <v>337.87</v>
      </c>
      <c r="AF30" s="150">
        <f t="shared" si="6"/>
        <v>1</v>
      </c>
      <c r="AG30" s="63"/>
      <c r="AM30">
        <f t="shared" si="2"/>
        <v>0.27</v>
      </c>
      <c r="AN30" s="54">
        <f t="shared" si="4"/>
        <v>0.27</v>
      </c>
    </row>
    <row r="31" spans="1:40" ht="22.5" customHeight="1">
      <c r="A31" s="60"/>
      <c r="B31" s="132">
        <v>20</v>
      </c>
      <c r="C31" s="264">
        <v>0.28000000000000003</v>
      </c>
      <c r="D31" s="264">
        <v>0.28000000000000003</v>
      </c>
      <c r="E31" s="264">
        <v>0.28000000000000003</v>
      </c>
      <c r="F31" s="264">
        <v>0.28000000000000003</v>
      </c>
      <c r="G31" s="264">
        <v>0.28000000000000003</v>
      </c>
      <c r="H31" s="264">
        <v>0.28000000000000003</v>
      </c>
      <c r="I31" s="264">
        <v>0.28000000000000003</v>
      </c>
      <c r="J31" s="264">
        <v>0.28000000000000003</v>
      </c>
      <c r="K31" s="264">
        <v>0.28000000000000003</v>
      </c>
      <c r="L31" s="264">
        <v>0.28000000000000003</v>
      </c>
      <c r="M31" s="264">
        <v>0.28000000000000003</v>
      </c>
      <c r="N31" s="264">
        <v>0.28000000000000003</v>
      </c>
      <c r="O31" s="264">
        <v>0.27</v>
      </c>
      <c r="P31" s="264">
        <v>0.27</v>
      </c>
      <c r="Q31" s="264">
        <v>0.27</v>
      </c>
      <c r="R31" s="264">
        <v>0.27</v>
      </c>
      <c r="S31" s="264">
        <v>0.27</v>
      </c>
      <c r="T31" s="264">
        <v>0.27</v>
      </c>
      <c r="U31" s="264">
        <v>0.27</v>
      </c>
      <c r="V31" s="264">
        <v>0.27</v>
      </c>
      <c r="W31" s="264">
        <v>0.27</v>
      </c>
      <c r="X31" s="264">
        <v>0.27</v>
      </c>
      <c r="Y31" s="264">
        <v>0.27</v>
      </c>
      <c r="Z31" s="264">
        <v>0.27</v>
      </c>
      <c r="AA31" s="57">
        <f t="shared" si="0"/>
        <v>0.27499999999999991</v>
      </c>
      <c r="AB31" s="58">
        <f>IF(AA31=" "," ",IF('c-form'!AE15="",AA31,AA31+'c-form'!AE15))</f>
        <v>337.875</v>
      </c>
      <c r="AC31" s="58">
        <f>IF(AA31=" "," ",IF('c-form'!AE15="",AM31,AM31+'c-form'!AE15))</f>
        <v>337.88</v>
      </c>
      <c r="AD31" s="150">
        <f t="shared" si="5"/>
        <v>1</v>
      </c>
      <c r="AE31" s="58">
        <f>IF(AA31=" "," ",IF('c-form'!AE15="",AN31,AN31+'c-form'!AE15))</f>
        <v>337.87</v>
      </c>
      <c r="AF31" s="150">
        <f t="shared" si="6"/>
        <v>13</v>
      </c>
      <c r="AG31" s="63"/>
      <c r="AM31">
        <f t="shared" si="2"/>
        <v>0.28000000000000003</v>
      </c>
      <c r="AN31" s="54">
        <f t="shared" si="4"/>
        <v>0.27</v>
      </c>
    </row>
    <row r="32" spans="1:40" ht="22.5" customHeight="1">
      <c r="A32" s="60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39"/>
      <c r="AF32" s="151"/>
      <c r="AG32" s="63"/>
      <c r="AM32">
        <f t="shared" si="2"/>
        <v>0</v>
      </c>
      <c r="AN32" s="54">
        <f t="shared" si="4"/>
        <v>0</v>
      </c>
    </row>
    <row r="33" spans="1:40" ht="22.5" customHeight="1">
      <c r="A33" s="60"/>
      <c r="B33" s="132">
        <v>21</v>
      </c>
      <c r="C33" s="264">
        <v>0.26</v>
      </c>
      <c r="D33" s="264">
        <v>0.26</v>
      </c>
      <c r="E33" s="264">
        <v>0.26</v>
      </c>
      <c r="F33" s="264">
        <v>0.26</v>
      </c>
      <c r="G33" s="264">
        <v>0.26</v>
      </c>
      <c r="H33" s="264">
        <v>0.26</v>
      </c>
      <c r="I33" s="264">
        <v>0.27</v>
      </c>
      <c r="J33" s="264">
        <v>0.27</v>
      </c>
      <c r="K33" s="264">
        <v>0.28000000000000003</v>
      </c>
      <c r="L33" s="264">
        <v>0.28999999999999998</v>
      </c>
      <c r="M33" s="264">
        <v>0.3</v>
      </c>
      <c r="N33" s="264">
        <v>0.31</v>
      </c>
      <c r="O33" s="264">
        <v>0.33</v>
      </c>
      <c r="P33" s="264">
        <v>0.35</v>
      </c>
      <c r="Q33" s="264">
        <v>0.37</v>
      </c>
      <c r="R33" s="264">
        <v>0.39</v>
      </c>
      <c r="S33" s="264">
        <v>0.41</v>
      </c>
      <c r="T33" s="264">
        <v>0.43</v>
      </c>
      <c r="U33" s="264">
        <v>0.46</v>
      </c>
      <c r="V33" s="264">
        <v>0.49</v>
      </c>
      <c r="W33" s="264">
        <v>0.51</v>
      </c>
      <c r="X33" s="264">
        <v>0.53</v>
      </c>
      <c r="Y33" s="264">
        <v>0.56000000000000005</v>
      </c>
      <c r="Z33" s="264">
        <v>0.59</v>
      </c>
      <c r="AA33" s="57">
        <f t="shared" si="0"/>
        <v>0.36249999999999999</v>
      </c>
      <c r="AB33" s="58">
        <f>IF(AA33=" "," ",IF('c-form'!AE15="",AA33,AA33+'c-form'!AE15))</f>
        <v>337.96250000000003</v>
      </c>
      <c r="AC33" s="58">
        <f>IF(AA33=" "," ",IF('c-form'!AE15="",AM33,AM33+'c-form'!AE15))</f>
        <v>338.19</v>
      </c>
      <c r="AD33" s="150">
        <f t="shared" ref="AD33:AD41" si="7">IF(AB33=" "," ",MATCH(AM33,C33:Z33,0))</f>
        <v>24</v>
      </c>
      <c r="AE33" s="58">
        <f>IF(AA33=" "," ",IF('c-form'!AE15="",AN33,AN33+'c-form'!AE15))</f>
        <v>337.86</v>
      </c>
      <c r="AF33" s="150">
        <f t="shared" ref="AF33:AF41" si="8">IF(AD33=" "," ",MATCH(AN33,C33:Z33,0))</f>
        <v>1</v>
      </c>
      <c r="AG33" s="63"/>
      <c r="AM33">
        <f t="shared" si="2"/>
        <v>0.59</v>
      </c>
      <c r="AN33" s="54">
        <f t="shared" si="4"/>
        <v>0.26</v>
      </c>
    </row>
    <row r="34" spans="1:40" ht="22.5" customHeight="1">
      <c r="A34" s="60"/>
      <c r="B34" s="132">
        <v>22</v>
      </c>
      <c r="C34" s="264">
        <v>0.61</v>
      </c>
      <c r="D34" s="264">
        <v>0.63</v>
      </c>
      <c r="E34" s="264">
        <v>0.65</v>
      </c>
      <c r="F34" s="264">
        <v>0.67</v>
      </c>
      <c r="G34" s="264">
        <v>0.68</v>
      </c>
      <c r="H34" s="264">
        <v>0.69</v>
      </c>
      <c r="I34" s="264">
        <v>0.7</v>
      </c>
      <c r="J34" s="264">
        <v>0.71</v>
      </c>
      <c r="K34" s="264">
        <v>0.71</v>
      </c>
      <c r="L34" s="264">
        <v>0.71</v>
      </c>
      <c r="M34" s="264">
        <v>0.71</v>
      </c>
      <c r="N34" s="264">
        <v>0.7</v>
      </c>
      <c r="O34" s="264">
        <v>0.7</v>
      </c>
      <c r="P34" s="264">
        <v>0.69</v>
      </c>
      <c r="Q34" s="264">
        <v>0.68</v>
      </c>
      <c r="R34" s="264">
        <v>0.67</v>
      </c>
      <c r="S34" s="264">
        <v>0.66</v>
      </c>
      <c r="T34" s="264">
        <v>0.65</v>
      </c>
      <c r="U34" s="264">
        <v>0.63</v>
      </c>
      <c r="V34" s="264">
        <v>0.61</v>
      </c>
      <c r="W34" s="264">
        <v>0.59</v>
      </c>
      <c r="X34" s="264">
        <v>0.57999999999999996</v>
      </c>
      <c r="Y34" s="264">
        <v>0.56000000000000005</v>
      </c>
      <c r="Z34" s="264">
        <v>0.54</v>
      </c>
      <c r="AA34" s="57">
        <f t="shared" si="0"/>
        <v>0.65541666666666665</v>
      </c>
      <c r="AB34" s="58">
        <f>IF(AA34=" "," ",IF('c-form'!AE15="",AA34,AA34+'c-form'!AE15))</f>
        <v>338.25541666666669</v>
      </c>
      <c r="AC34" s="58">
        <f>IF(AA34=" "," ",IF('c-form'!AE15="",AM34,AM34+'c-form'!AE15))</f>
        <v>338.31</v>
      </c>
      <c r="AD34" s="150">
        <f t="shared" si="7"/>
        <v>8</v>
      </c>
      <c r="AE34" s="58">
        <f>IF(AA34=" "," ",IF('c-form'!AE15="",AN34,AN34+'c-form'!AE15))</f>
        <v>338.14000000000004</v>
      </c>
      <c r="AF34" s="150">
        <f t="shared" si="8"/>
        <v>24</v>
      </c>
      <c r="AG34" s="63"/>
      <c r="AM34">
        <f t="shared" si="2"/>
        <v>0.71</v>
      </c>
      <c r="AN34" s="54">
        <f t="shared" si="4"/>
        <v>0.54</v>
      </c>
    </row>
    <row r="35" spans="1:40" ht="22.5" customHeight="1">
      <c r="A35" s="60"/>
      <c r="B35" s="132">
        <v>23</v>
      </c>
      <c r="C35" s="264">
        <v>0.53</v>
      </c>
      <c r="D35" s="264">
        <v>0.52</v>
      </c>
      <c r="E35" s="264">
        <v>0.51</v>
      </c>
      <c r="F35" s="264">
        <v>0.5</v>
      </c>
      <c r="G35" s="264">
        <v>0.49</v>
      </c>
      <c r="H35" s="264">
        <v>0.48</v>
      </c>
      <c r="I35" s="264">
        <v>0.47</v>
      </c>
      <c r="J35" s="264">
        <v>0.46</v>
      </c>
      <c r="K35" s="264">
        <v>0.45</v>
      </c>
      <c r="L35" s="264">
        <v>0.44</v>
      </c>
      <c r="M35" s="264">
        <v>0.43</v>
      </c>
      <c r="N35" s="264">
        <v>0.43</v>
      </c>
      <c r="O35" s="264">
        <v>0.43</v>
      </c>
      <c r="P35" s="264">
        <v>0.44</v>
      </c>
      <c r="Q35" s="264">
        <v>0.45</v>
      </c>
      <c r="R35" s="264">
        <v>0.46</v>
      </c>
      <c r="S35" s="264">
        <v>0.47</v>
      </c>
      <c r="T35" s="264">
        <v>0.49</v>
      </c>
      <c r="U35" s="264">
        <v>0.52</v>
      </c>
      <c r="V35" s="264">
        <v>0.54</v>
      </c>
      <c r="W35" s="264">
        <v>0.56000000000000005</v>
      </c>
      <c r="X35" s="264">
        <v>0.59</v>
      </c>
      <c r="Y35" s="264">
        <v>0.61</v>
      </c>
      <c r="Z35" s="264">
        <v>0.63</v>
      </c>
      <c r="AA35" s="57">
        <f t="shared" si="0"/>
        <v>0.49583333333333329</v>
      </c>
      <c r="AB35" s="58">
        <f>IF(AA35=" "," ",IF('c-form'!AE15="",AA35,AA35+'c-form'!AE15))</f>
        <v>338.09583333333336</v>
      </c>
      <c r="AC35" s="58">
        <f>IF(AA35=" "," ",IF('c-form'!AE15="",AM35,AM35+'c-form'!AE15))</f>
        <v>338.23</v>
      </c>
      <c r="AD35" s="150">
        <f t="shared" si="7"/>
        <v>24</v>
      </c>
      <c r="AE35" s="58">
        <f>IF(AA35=" "," ",IF('c-form'!AE15="",AN35,AN35+'c-form'!AE15))</f>
        <v>338.03000000000003</v>
      </c>
      <c r="AF35" s="150">
        <f t="shared" si="8"/>
        <v>11</v>
      </c>
      <c r="AG35" s="63"/>
      <c r="AM35">
        <f t="shared" si="2"/>
        <v>0.63</v>
      </c>
      <c r="AN35" s="54">
        <f t="shared" si="4"/>
        <v>0.43</v>
      </c>
    </row>
    <row r="36" spans="1:40" ht="22.5" customHeight="1">
      <c r="A36" s="60"/>
      <c r="B36" s="132">
        <v>24</v>
      </c>
      <c r="C36" s="264">
        <v>0.64</v>
      </c>
      <c r="D36" s="264">
        <v>0.65</v>
      </c>
      <c r="E36" s="264">
        <v>0.66</v>
      </c>
      <c r="F36" s="264">
        <v>0.67</v>
      </c>
      <c r="G36" s="264">
        <v>0.67</v>
      </c>
      <c r="H36" s="264">
        <v>0.68</v>
      </c>
      <c r="I36" s="264">
        <v>0.68</v>
      </c>
      <c r="J36" s="264">
        <v>0.68</v>
      </c>
      <c r="K36" s="264">
        <v>0.67</v>
      </c>
      <c r="L36" s="264">
        <v>0.65</v>
      </c>
      <c r="M36" s="264">
        <v>0.63</v>
      </c>
      <c r="N36" s="264">
        <v>0.61</v>
      </c>
      <c r="O36" s="264">
        <v>0.59</v>
      </c>
      <c r="P36" s="264">
        <v>0.56999999999999995</v>
      </c>
      <c r="Q36" s="264">
        <v>0.54</v>
      </c>
      <c r="R36" s="264">
        <v>0.51</v>
      </c>
      <c r="S36" s="264">
        <v>0.49</v>
      </c>
      <c r="T36" s="264">
        <v>0.46</v>
      </c>
      <c r="U36" s="264">
        <v>0.43</v>
      </c>
      <c r="V36" s="264">
        <v>0.41</v>
      </c>
      <c r="W36" s="264">
        <v>0.39</v>
      </c>
      <c r="X36" s="264">
        <v>0.36</v>
      </c>
      <c r="Y36" s="264">
        <v>0.34</v>
      </c>
      <c r="Z36" s="264">
        <v>0.33</v>
      </c>
      <c r="AA36" s="57">
        <f t="shared" si="0"/>
        <v>0.55458333333333332</v>
      </c>
      <c r="AB36" s="58">
        <f>IF(AA36=" "," ",IF('c-form'!AE15="",AA36,AA36+'c-form'!AE15))</f>
        <v>338.15458333333333</v>
      </c>
      <c r="AC36" s="58">
        <f>IF(AA36=" "," ",IF('c-form'!AE15="",AM36,AM36+'c-form'!AE15))</f>
        <v>338.28000000000003</v>
      </c>
      <c r="AD36" s="150">
        <f t="shared" si="7"/>
        <v>6</v>
      </c>
      <c r="AE36" s="58">
        <f>IF(AA36=" "," ",IF('c-form'!AE15="",AN36,AN36+'c-form'!AE15))</f>
        <v>337.93</v>
      </c>
      <c r="AF36" s="150">
        <f t="shared" si="8"/>
        <v>24</v>
      </c>
      <c r="AG36" s="63"/>
      <c r="AM36">
        <f t="shared" si="2"/>
        <v>0.68</v>
      </c>
      <c r="AN36" s="54">
        <f t="shared" si="4"/>
        <v>0.33</v>
      </c>
    </row>
    <row r="37" spans="1:40" ht="22.5" customHeight="1">
      <c r="A37" s="60"/>
      <c r="B37" s="132">
        <v>25</v>
      </c>
      <c r="C37" s="264">
        <v>0.31</v>
      </c>
      <c r="D37" s="264">
        <v>0.3</v>
      </c>
      <c r="E37" s="264">
        <v>0.28999999999999998</v>
      </c>
      <c r="F37" s="264">
        <v>0.28000000000000003</v>
      </c>
      <c r="G37" s="264">
        <v>0.27</v>
      </c>
      <c r="H37" s="264">
        <v>0.26</v>
      </c>
      <c r="I37" s="264">
        <v>0.26</v>
      </c>
      <c r="J37" s="264">
        <v>0.26</v>
      </c>
      <c r="K37" s="264">
        <v>0.26</v>
      </c>
      <c r="L37" s="264">
        <v>0.26</v>
      </c>
      <c r="M37" s="264">
        <v>0.26</v>
      </c>
      <c r="N37" s="264">
        <v>0.26</v>
      </c>
      <c r="O37" s="264">
        <v>0.26</v>
      </c>
      <c r="P37" s="264">
        <v>0.26</v>
      </c>
      <c r="Q37" s="264">
        <v>0.26</v>
      </c>
      <c r="R37" s="264">
        <v>0.26</v>
      </c>
      <c r="S37" s="264">
        <v>0.26</v>
      </c>
      <c r="T37" s="264">
        <v>0.26</v>
      </c>
      <c r="U37" s="264">
        <v>0.26</v>
      </c>
      <c r="V37" s="264">
        <v>0.26</v>
      </c>
      <c r="W37" s="264">
        <v>0.26</v>
      </c>
      <c r="X37" s="264">
        <v>0.26</v>
      </c>
      <c r="Y37" s="264">
        <v>0.26</v>
      </c>
      <c r="Z37" s="264">
        <v>0.26</v>
      </c>
      <c r="AA37" s="57">
        <f t="shared" si="0"/>
        <v>0.26624999999999988</v>
      </c>
      <c r="AB37" s="58">
        <f>IF(AA37=" "," ",IF('c-form'!AE15="",AA37,AA37+'c-form'!AE15))</f>
        <v>337.86625000000004</v>
      </c>
      <c r="AC37" s="58">
        <f>IF(AA37=" "," ",IF('c-form'!AE15="",AM37,AM37+'c-form'!AE15))</f>
        <v>337.91</v>
      </c>
      <c r="AD37" s="150">
        <f t="shared" si="7"/>
        <v>1</v>
      </c>
      <c r="AE37" s="58">
        <f>IF(AA37=" "," ",IF('c-form'!AE15="",AN37,AN37+'c-form'!AE15))</f>
        <v>337.86</v>
      </c>
      <c r="AF37" s="150">
        <f t="shared" si="8"/>
        <v>6</v>
      </c>
      <c r="AG37" s="63"/>
      <c r="AM37">
        <f t="shared" si="2"/>
        <v>0.31</v>
      </c>
      <c r="AN37" s="54">
        <f t="shared" si="4"/>
        <v>0.26</v>
      </c>
    </row>
    <row r="38" spans="1:40" ht="22.5" customHeight="1">
      <c r="A38" s="60"/>
      <c r="B38" s="132">
        <v>26</v>
      </c>
      <c r="C38" s="264">
        <v>0.25</v>
      </c>
      <c r="D38" s="264">
        <v>0.25</v>
      </c>
      <c r="E38" s="264">
        <v>0.25</v>
      </c>
      <c r="F38" s="264">
        <v>0.25</v>
      </c>
      <c r="G38" s="264">
        <v>0.25</v>
      </c>
      <c r="H38" s="264">
        <v>0.25</v>
      </c>
      <c r="I38" s="264">
        <v>0.25</v>
      </c>
      <c r="J38" s="264">
        <v>0.25</v>
      </c>
      <c r="K38" s="264">
        <v>0.25</v>
      </c>
      <c r="L38" s="264">
        <v>0.25</v>
      </c>
      <c r="M38" s="264">
        <v>0.25</v>
      </c>
      <c r="N38" s="264">
        <v>0.25</v>
      </c>
      <c r="O38" s="264">
        <v>0.25</v>
      </c>
      <c r="P38" s="264">
        <v>0.25</v>
      </c>
      <c r="Q38" s="264">
        <v>0.25</v>
      </c>
      <c r="R38" s="264">
        <v>0.25</v>
      </c>
      <c r="S38" s="264">
        <v>0.25</v>
      </c>
      <c r="T38" s="264">
        <v>0.25</v>
      </c>
      <c r="U38" s="264">
        <v>0.25</v>
      </c>
      <c r="V38" s="264">
        <v>0.25</v>
      </c>
      <c r="W38" s="264">
        <v>0.25</v>
      </c>
      <c r="X38" s="264">
        <v>0.25</v>
      </c>
      <c r="Y38" s="264">
        <v>0.25</v>
      </c>
      <c r="Z38" s="264">
        <v>0.25</v>
      </c>
      <c r="AA38" s="57">
        <f t="shared" si="0"/>
        <v>0.25</v>
      </c>
      <c r="AB38" s="58">
        <f>IF(AA38=" "," ",IF('c-form'!AE15="",AA38,AA38+'c-form'!AE15))</f>
        <v>337.85</v>
      </c>
      <c r="AC38" s="58">
        <f>IF(AA38=" "," ",IF('c-form'!AE15="",AM38,AM38+'c-form'!AE15))</f>
        <v>337.85</v>
      </c>
      <c r="AD38" s="150">
        <f t="shared" si="7"/>
        <v>1</v>
      </c>
      <c r="AE38" s="58">
        <f>IF(AA38=" "," ",IF('c-form'!AE15="",AN38,AN38+'c-form'!AE15))</f>
        <v>337.85</v>
      </c>
      <c r="AF38" s="150">
        <f t="shared" si="8"/>
        <v>1</v>
      </c>
      <c r="AG38" s="63"/>
      <c r="AM38">
        <f t="shared" si="2"/>
        <v>0.25</v>
      </c>
      <c r="AN38" s="54">
        <f t="shared" si="4"/>
        <v>0.25</v>
      </c>
    </row>
    <row r="39" spans="1:40" ht="22.5" customHeight="1">
      <c r="A39" s="60"/>
      <c r="B39" s="132">
        <v>27</v>
      </c>
      <c r="C39" s="264">
        <v>0.25</v>
      </c>
      <c r="D39" s="264">
        <v>0.25</v>
      </c>
      <c r="E39" s="264">
        <v>0.25</v>
      </c>
      <c r="F39" s="264">
        <v>0.25</v>
      </c>
      <c r="G39" s="264">
        <v>0.25</v>
      </c>
      <c r="H39" s="264">
        <v>0.25</v>
      </c>
      <c r="I39" s="264">
        <v>0.25</v>
      </c>
      <c r="J39" s="264">
        <v>0.25</v>
      </c>
      <c r="K39" s="264">
        <v>0.25</v>
      </c>
      <c r="L39" s="264">
        <v>0.25</v>
      </c>
      <c r="M39" s="264">
        <v>0.25</v>
      </c>
      <c r="N39" s="264">
        <v>0.25</v>
      </c>
      <c r="O39" s="264">
        <v>0.25</v>
      </c>
      <c r="P39" s="264">
        <v>0.25</v>
      </c>
      <c r="Q39" s="264">
        <v>0.25</v>
      </c>
      <c r="R39" s="264">
        <v>0.25</v>
      </c>
      <c r="S39" s="264">
        <v>0.25</v>
      </c>
      <c r="T39" s="264">
        <v>0.25</v>
      </c>
      <c r="U39" s="264">
        <v>0.25</v>
      </c>
      <c r="V39" s="264">
        <v>0.25</v>
      </c>
      <c r="W39" s="264">
        <v>0.25</v>
      </c>
      <c r="X39" s="264">
        <v>0.25</v>
      </c>
      <c r="Y39" s="264">
        <v>0.25</v>
      </c>
      <c r="Z39" s="264">
        <v>0.25</v>
      </c>
      <c r="AA39" s="57">
        <f t="shared" si="0"/>
        <v>0.25</v>
      </c>
      <c r="AB39" s="58">
        <f>IF(AA39=" "," ",IF('c-form'!AE15="",AA39,AA39+'c-form'!AE15))</f>
        <v>337.85</v>
      </c>
      <c r="AC39" s="58">
        <f>IF(AA39=" "," ",IF('c-form'!AE15="",AM39,AM39+'c-form'!AE15))</f>
        <v>337.85</v>
      </c>
      <c r="AD39" s="150">
        <f t="shared" si="7"/>
        <v>1</v>
      </c>
      <c r="AE39" s="58">
        <f>IF(AA39=" "," ",IF('c-form'!AE15="",AN39,AN39+'c-form'!AE15))</f>
        <v>337.85</v>
      </c>
      <c r="AF39" s="150">
        <f t="shared" si="8"/>
        <v>1</v>
      </c>
      <c r="AG39" s="63"/>
      <c r="AM39">
        <f>IF(AB39=" "," ",MAX(C39:Z39))</f>
        <v>0.25</v>
      </c>
      <c r="AN39" s="54">
        <f t="shared" si="4"/>
        <v>0.25</v>
      </c>
    </row>
    <row r="40" spans="1:40" ht="22.5" customHeight="1">
      <c r="A40" s="60"/>
      <c r="B40" s="132">
        <v>28</v>
      </c>
      <c r="C40" s="264">
        <v>0.25</v>
      </c>
      <c r="D40" s="264">
        <v>0.25</v>
      </c>
      <c r="E40" s="264">
        <v>0.25</v>
      </c>
      <c r="F40" s="264">
        <v>0.25</v>
      </c>
      <c r="G40" s="264">
        <v>0.25</v>
      </c>
      <c r="H40" s="264">
        <v>0.25</v>
      </c>
      <c r="I40" s="264">
        <v>0.26</v>
      </c>
      <c r="J40" s="264">
        <v>0.27</v>
      </c>
      <c r="K40" s="264">
        <v>0.27</v>
      </c>
      <c r="L40" s="264">
        <v>0.28000000000000003</v>
      </c>
      <c r="M40" s="264">
        <v>0.28999999999999998</v>
      </c>
      <c r="N40" s="264">
        <v>0.3</v>
      </c>
      <c r="O40" s="264">
        <v>0.32</v>
      </c>
      <c r="P40" s="264">
        <v>0.35</v>
      </c>
      <c r="Q40" s="264">
        <v>0.37</v>
      </c>
      <c r="R40" s="264">
        <v>0.39</v>
      </c>
      <c r="S40" s="264">
        <v>0.41</v>
      </c>
      <c r="T40" s="264">
        <v>0.44</v>
      </c>
      <c r="U40" s="264">
        <v>0.46</v>
      </c>
      <c r="V40" s="264">
        <v>0.49</v>
      </c>
      <c r="W40" s="264">
        <v>0.51</v>
      </c>
      <c r="X40" s="264">
        <v>0.53</v>
      </c>
      <c r="Y40" s="264">
        <v>0.55000000000000004</v>
      </c>
      <c r="Z40" s="264">
        <v>0.56999999999999995</v>
      </c>
      <c r="AA40" s="57">
        <f t="shared" si="0"/>
        <v>0.35666666666666669</v>
      </c>
      <c r="AB40" s="58">
        <f>IF(AA40=" "," ",IF('c-form'!AE15="",AA40,AA40+'c-form'!AE15))</f>
        <v>337.95666666666671</v>
      </c>
      <c r="AC40" s="58">
        <f>IF(AA40=" "," ",IF('c-form'!AE15="",AM40,AM40+'c-form'!AE15))</f>
        <v>338.17</v>
      </c>
      <c r="AD40" s="150">
        <f t="shared" si="7"/>
        <v>24</v>
      </c>
      <c r="AE40" s="58">
        <f>IF(AA40=" "," ",IF('c-form'!AE15="",AN40,AN40+'c-form'!AE15))</f>
        <v>337.85</v>
      </c>
      <c r="AF40" s="150">
        <f t="shared" si="8"/>
        <v>1</v>
      </c>
      <c r="AG40" s="63"/>
      <c r="AM40">
        <f t="shared" si="2"/>
        <v>0.56999999999999995</v>
      </c>
      <c r="AN40" s="54">
        <f t="shared" si="4"/>
        <v>0.25</v>
      </c>
    </row>
    <row r="41" spans="1:40" ht="22.5" customHeight="1">
      <c r="A41" s="60"/>
      <c r="B41" s="132">
        <v>29</v>
      </c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57" t="str">
        <f t="shared" si="0"/>
        <v xml:space="preserve"> </v>
      </c>
      <c r="AB41" s="58" t="str">
        <f>IF(AA41=" "," ",IF('c-form'!AE15="",AA41,AA41+'c-form'!AE15))</f>
        <v xml:space="preserve"> </v>
      </c>
      <c r="AC41" s="58" t="str">
        <f>IF(AA41=" "," ",IF('c-form'!AE15="",AM41,AM41+'c-form'!AE15))</f>
        <v xml:space="preserve"> </v>
      </c>
      <c r="AD41" s="150" t="str">
        <f t="shared" si="7"/>
        <v xml:space="preserve"> </v>
      </c>
      <c r="AE41" s="58" t="str">
        <f>IF(AA41=" "," ",IF('c-form'!AE15="",AN41,AN41+'c-form'!AE15))</f>
        <v xml:space="preserve"> </v>
      </c>
      <c r="AF41" s="150" t="str">
        <f t="shared" si="8"/>
        <v xml:space="preserve"> </v>
      </c>
      <c r="AG41" s="63"/>
      <c r="AM41" t="str">
        <f>IF(AB41=" "," ",MAX(C41:Z41))</f>
        <v xml:space="preserve"> </v>
      </c>
      <c r="AN41" s="54" t="str">
        <f t="shared" si="4"/>
        <v xml:space="preserve"> </v>
      </c>
    </row>
    <row r="42" spans="1:40" ht="22.5" customHeight="1">
      <c r="A42" s="60"/>
      <c r="B42" s="132">
        <v>30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57" t="str">
        <f>IF(ISERROR(AVERAGE(C42:Z42))," ",AVERAGE(C42:Z42))</f>
        <v xml:space="preserve"> </v>
      </c>
      <c r="AB42" s="58" t="str">
        <f>IF(AA42=" "," ",IF('c-form'!AE15="",AA42,AA42+'c-form'!AE15))</f>
        <v xml:space="preserve"> </v>
      </c>
      <c r="AC42" s="58" t="str">
        <f>IF(AM42=" "," ",IF('c-form'!AE15="",AA42,AM42+'c-form'!AE15))</f>
        <v xml:space="preserve"> </v>
      </c>
      <c r="AD42" s="150" t="str">
        <f>IF(AB42=" "," ",MATCH(AM42,C42:Z42,0))</f>
        <v xml:space="preserve"> </v>
      </c>
      <c r="AE42" s="58" t="str">
        <f>IF(AN42=" "," ",IF('c-form'!AE15="",AA42,AN42+'c-form'!AE15))</f>
        <v xml:space="preserve"> </v>
      </c>
      <c r="AF42" s="150" t="str">
        <f>IF(AD42=" "," ",MATCH(AN42,C42:Z42,0))</f>
        <v xml:space="preserve"> </v>
      </c>
      <c r="AG42" s="63"/>
      <c r="AM42" t="str">
        <f t="shared" si="2"/>
        <v xml:space="preserve"> </v>
      </c>
      <c r="AN42" s="54" t="str">
        <f t="shared" si="4"/>
        <v xml:space="preserve"> </v>
      </c>
    </row>
    <row r="43" spans="1:40" ht="24" customHeight="1">
      <c r="A43" s="60"/>
      <c r="B43" s="132">
        <v>31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57" t="str">
        <f>IF(ISERR(AVERAGE(C43:Z43))," ",AVERAGE(C43:Z43))</f>
        <v xml:space="preserve"> </v>
      </c>
      <c r="AB43" s="58" t="str">
        <f>IF(AA43=" "," ",IF('c-form'!AE15="",AA43,AA43+'c-form'!AE15))</f>
        <v xml:space="preserve"> </v>
      </c>
      <c r="AC43" s="58" t="str">
        <f>IF(AM43=" "," ",IF('c-form'!AE15="",AA43,AM43+'c-form'!AE15))</f>
        <v xml:space="preserve"> </v>
      </c>
      <c r="AD43" s="150" t="str">
        <f>IF(AB43=" "," ",MATCH(AM43,C43:Z43,0))</f>
        <v xml:space="preserve"> </v>
      </c>
      <c r="AE43" s="58" t="str">
        <f>IF(AN43=" "," ",IF('c-form'!AE15="",AA43,AN43+'c-form'!AE15))</f>
        <v xml:space="preserve"> </v>
      </c>
      <c r="AF43" s="150" t="str">
        <f>IF(AD43=" "," ",MATCH(AN43,C43:Z43,0))</f>
        <v xml:space="preserve"> </v>
      </c>
      <c r="AG43" s="63"/>
      <c r="AM43" t="str">
        <f t="shared" si="2"/>
        <v xml:space="preserve"> </v>
      </c>
      <c r="AN43" s="54" t="str">
        <f t="shared" si="4"/>
        <v xml:space="preserve"> </v>
      </c>
    </row>
    <row r="44" spans="1:40" s="60" customFormat="1" ht="6.75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</row>
    <row r="45" spans="1:40" s="80" customFormat="1" ht="18" customHeight="1">
      <c r="B45" s="331" t="s">
        <v>68</v>
      </c>
      <c r="C45" s="331"/>
      <c r="D45" s="331"/>
      <c r="E45" s="332">
        <f>IF(COUNT(AC11:AC43)=0," ",MAX(AC11:AC43))</f>
        <v>338.45000000000005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16</v>
      </c>
      <c r="M45" s="352" t="s">
        <v>291</v>
      </c>
      <c r="N45" s="282"/>
      <c r="O45" s="202">
        <f>IF(COUNT(AC11:AC43)=0," ",INDEX(AD11:AD43,AM45))</f>
        <v>13</v>
      </c>
      <c r="P45" s="331" t="s">
        <v>72</v>
      </c>
      <c r="Q45" s="331"/>
      <c r="R45" s="331"/>
      <c r="S45" s="336">
        <f>IF(COUNT(AC11:AC43)=0," ",AVERAGE(AB11:AB43))</f>
        <v>338.05255952380952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17</v>
      </c>
      <c r="AN45" s="83"/>
    </row>
    <row r="46" spans="1:40" s="80" customFormat="1" ht="20.100000000000001" customHeight="1">
      <c r="B46" s="331" t="s">
        <v>69</v>
      </c>
      <c r="C46" s="331"/>
      <c r="D46" s="331"/>
      <c r="E46" s="332">
        <f>IF(COUNT(AC11:AC43)=0," ",MIN(AE11:AE43))</f>
        <v>337.85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26</v>
      </c>
      <c r="M46" s="352" t="s">
        <v>291</v>
      </c>
      <c r="N46" s="282"/>
      <c r="O46" s="202">
        <f>IF(COUNT(AC11:AC43)=0," ",INDEX(AF11:AF43,AM46))</f>
        <v>1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80" t="s">
        <v>74</v>
      </c>
      <c r="AB46" s="84"/>
      <c r="AC46" s="84"/>
      <c r="AD46" s="84"/>
      <c r="AE46" s="84"/>
      <c r="AF46" s="84"/>
      <c r="AM46" s="80">
        <f>MATCH(E46,AE11:AE43,0)</f>
        <v>28</v>
      </c>
    </row>
    <row r="47" spans="1:40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</row>
  </sheetData>
  <mergeCells count="34">
    <mergeCell ref="AE4:AG4"/>
    <mergeCell ref="AE7:AG7"/>
    <mergeCell ref="AD1:AE1"/>
    <mergeCell ref="B2:D2"/>
    <mergeCell ref="E2:AC2"/>
    <mergeCell ref="D5:E5"/>
    <mergeCell ref="G5:H5"/>
    <mergeCell ref="J5:N5"/>
    <mergeCell ref="P5:S5"/>
    <mergeCell ref="U5:W5"/>
    <mergeCell ref="Y5:Z5"/>
    <mergeCell ref="AA5:AC5"/>
    <mergeCell ref="P7:R7"/>
    <mergeCell ref="S7:V7"/>
    <mergeCell ref="W7:X7"/>
    <mergeCell ref="AC7:AD7"/>
    <mergeCell ref="B7:C7"/>
    <mergeCell ref="D7:E7"/>
    <mergeCell ref="G7:H7"/>
    <mergeCell ref="L7:O7"/>
    <mergeCell ref="S45:T45"/>
    <mergeCell ref="M45:N45"/>
    <mergeCell ref="B9:B10"/>
    <mergeCell ref="C9:Z9"/>
    <mergeCell ref="AB9:AC9"/>
    <mergeCell ref="AD9:AF9"/>
    <mergeCell ref="B46:D46"/>
    <mergeCell ref="E46:F46"/>
    <mergeCell ref="P46:Q46"/>
    <mergeCell ref="AA9:AA10"/>
    <mergeCell ref="M46:N46"/>
    <mergeCell ref="B45:D45"/>
    <mergeCell ref="E45:F45"/>
    <mergeCell ref="P45:R45"/>
  </mergeCells>
  <phoneticPr fontId="0" type="noConversion"/>
  <pageMargins left="0.55118110236220474" right="0.19685039370078741" top="0.39370078740157483" bottom="0.19685039370078741" header="0.31496062992125984" footer="0.11811023622047245"/>
  <pageSetup paperSize="9" scale="55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N49"/>
  <sheetViews>
    <sheetView showGridLines="0" zoomScaleNormal="100" workbookViewId="0">
      <pane xSplit="2" ySplit="10" topLeftCell="F26" activePane="bottomRight" state="frozen"/>
      <selection pane="topRight" activeCell="C1" sqref="C1"/>
      <selection pane="bottomLeft" activeCell="A11" sqref="A11"/>
      <selection pane="bottomRight" activeCell="S36" sqref="S36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7.28515625" customWidth="1"/>
    <col min="33" max="33" width="0" hidden="1" customWidth="1"/>
    <col min="35" max="38" width="0" hidden="1" customWidth="1"/>
    <col min="39" max="39" width="8.5703125" hidden="1" customWidth="1"/>
    <col min="40" max="40" width="9.5703125" hidden="1" customWidth="1"/>
    <col min="41" max="41" width="0" hidden="1" customWidth="1"/>
  </cols>
  <sheetData>
    <row r="1" spans="1:40" s="88" customFormat="1" ht="9" customHeight="1">
      <c r="AD1" s="359" t="s">
        <v>108</v>
      </c>
      <c r="AE1" s="349"/>
    </row>
    <row r="2" spans="1:40" s="88" customFormat="1" ht="18.75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s="88" customFormat="1" ht="18" customHeight="1">
      <c r="B3" s="73" t="s">
        <v>106</v>
      </c>
      <c r="C3" s="73"/>
      <c r="D3" s="73"/>
    </row>
    <row r="4" spans="1:40" s="88" customFormat="1" ht="24">
      <c r="F4" s="90"/>
      <c r="AA4" s="161"/>
      <c r="AB4" s="161"/>
      <c r="AC4" s="161"/>
      <c r="AD4" s="159" t="s">
        <v>123</v>
      </c>
      <c r="AE4" s="315"/>
      <c r="AF4" s="315"/>
      <c r="AG4" s="353"/>
      <c r="AH4" s="353"/>
    </row>
    <row r="5" spans="1:40" s="74" customFormat="1" ht="18" customHeight="1">
      <c r="B5" s="75" t="s">
        <v>109</v>
      </c>
      <c r="C5" s="318" t="str">
        <f>IF(ISBLANK(rsteam),"",rsteam)</f>
        <v>Nam  Ping</v>
      </c>
      <c r="D5" s="311"/>
      <c r="E5" s="311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</row>
    <row r="6" spans="1:40" s="74" customFormat="1" ht="10.5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0" s="74" customFormat="1" ht="24">
      <c r="B7" s="324" t="s">
        <v>116</v>
      </c>
      <c r="C7" s="324"/>
      <c r="D7" s="325" t="s">
        <v>63</v>
      </c>
      <c r="E7" s="326"/>
      <c r="F7" s="77" t="s">
        <v>117</v>
      </c>
      <c r="G7" s="327">
        <f>IF('c-form'!C7="","",('c-form'!C7+543)+1)</f>
        <v>2557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  <c r="AH7" s="316"/>
    </row>
    <row r="8" spans="1:40" ht="15.75" customHeight="1">
      <c r="AA8" s="9"/>
      <c r="AB8" s="9"/>
      <c r="AC8" s="9"/>
      <c r="AD8" s="9"/>
      <c r="AE8" s="9"/>
      <c r="AF8" s="9"/>
    </row>
    <row r="9" spans="1:40" s="52" customFormat="1" ht="30.75" customHeight="1">
      <c r="A9" s="55"/>
      <c r="B9" s="341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5" t="str">
        <f>'c-form'!AF15</f>
        <v>MSL.</v>
      </c>
      <c r="AE9" s="356"/>
      <c r="AF9" s="357"/>
    </row>
    <row r="10" spans="1:40" s="52" customFormat="1" ht="21" customHeight="1">
      <c r="A10" s="55"/>
      <c r="B10" s="358"/>
      <c r="C10" s="61">
        <v>1</v>
      </c>
      <c r="D10" s="61">
        <v>2</v>
      </c>
      <c r="E10" s="61">
        <v>3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  <c r="M10" s="61">
        <v>11</v>
      </c>
      <c r="N10" s="61">
        <v>12</v>
      </c>
      <c r="O10" s="61">
        <v>13</v>
      </c>
      <c r="P10" s="61">
        <v>14</v>
      </c>
      <c r="Q10" s="61">
        <v>15</v>
      </c>
      <c r="R10" s="61">
        <v>16</v>
      </c>
      <c r="S10" s="61">
        <v>17</v>
      </c>
      <c r="T10" s="61">
        <v>18</v>
      </c>
      <c r="U10" s="61">
        <v>19</v>
      </c>
      <c r="V10" s="61">
        <v>20</v>
      </c>
      <c r="W10" s="61">
        <v>21</v>
      </c>
      <c r="X10" s="61">
        <v>22</v>
      </c>
      <c r="Y10" s="61">
        <v>23</v>
      </c>
      <c r="Z10" s="61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60"/>
      <c r="B11" s="132">
        <v>1</v>
      </c>
      <c r="C11" s="264">
        <v>0.44</v>
      </c>
      <c r="D11" s="264">
        <v>0.44</v>
      </c>
      <c r="E11" s="264">
        <v>0.44</v>
      </c>
      <c r="F11" s="264">
        <v>0.44</v>
      </c>
      <c r="G11" s="264">
        <v>0.44</v>
      </c>
      <c r="H11" s="264">
        <v>0.44</v>
      </c>
      <c r="I11" s="264">
        <v>0.44</v>
      </c>
      <c r="J11" s="264">
        <v>0.44</v>
      </c>
      <c r="K11" s="264">
        <v>0.44</v>
      </c>
      <c r="L11" s="264">
        <v>0.44</v>
      </c>
      <c r="M11" s="264">
        <v>0.44</v>
      </c>
      <c r="N11" s="264">
        <v>0.44</v>
      </c>
      <c r="O11" s="264">
        <v>0.44</v>
      </c>
      <c r="P11" s="264">
        <v>0.44</v>
      </c>
      <c r="Q11" s="264">
        <v>0.44</v>
      </c>
      <c r="R11" s="264">
        <v>0.44</v>
      </c>
      <c r="S11" s="264">
        <v>0.44</v>
      </c>
      <c r="T11" s="264">
        <v>0.44</v>
      </c>
      <c r="U11" s="264">
        <v>0.44</v>
      </c>
      <c r="V11" s="264">
        <v>0.44</v>
      </c>
      <c r="W11" s="264">
        <v>0.44</v>
      </c>
      <c r="X11" s="264">
        <v>0.44</v>
      </c>
      <c r="Y11" s="264">
        <v>0.44</v>
      </c>
      <c r="Z11" s="264">
        <v>0.44</v>
      </c>
      <c r="AA11" s="57">
        <f t="shared" ref="AA11:AA41" si="0">IF(ISERROR(AVERAGE(C11:Z11))," ",AVERAGE(C11:Z11))</f>
        <v>0.44</v>
      </c>
      <c r="AB11" s="58">
        <f>IF(AA11=" "," ",IF('c-form'!AE15="",AA11,AA11+'c-form'!AE15))</f>
        <v>338.04</v>
      </c>
      <c r="AC11" s="58">
        <f>IF(AA11=" "," ",IF('c-form'!AE15="",AM11,AM11+'c-form'!AE15))</f>
        <v>338.04</v>
      </c>
      <c r="AD11" s="150">
        <f>IF(AB11=" "," ",MATCH(AM11,C11:Z11,0))</f>
        <v>1</v>
      </c>
      <c r="AE11" s="58">
        <f>IF(AA11=" "," ",IF('c-form'!AE15="",AN11,AN11+'c-form'!AE15))</f>
        <v>338.04</v>
      </c>
      <c r="AF11" s="150">
        <f t="shared" ref="AF11:AF20" si="1">IF(AD11=" "," ",MATCH(AN11,C11:Z11,0))</f>
        <v>1</v>
      </c>
      <c r="AM11">
        <f>IF(AB11=" "," ",MAX(C11:Z11))</f>
        <v>0.44</v>
      </c>
      <c r="AN11" s="54">
        <f>IF(AB11=" "," ",MIN(C11:Z11))</f>
        <v>0.44</v>
      </c>
    </row>
    <row r="12" spans="1:40" ht="22.5" customHeight="1">
      <c r="A12" s="60"/>
      <c r="B12" s="132">
        <v>2</v>
      </c>
      <c r="C12" s="264">
        <v>0.43</v>
      </c>
      <c r="D12" s="264">
        <v>0.43</v>
      </c>
      <c r="E12" s="264">
        <v>0.43</v>
      </c>
      <c r="F12" s="264">
        <v>0.43</v>
      </c>
      <c r="G12" s="264">
        <v>0.43</v>
      </c>
      <c r="H12" s="264">
        <v>0.43</v>
      </c>
      <c r="I12" s="264">
        <v>0.43</v>
      </c>
      <c r="J12" s="264">
        <v>0.43</v>
      </c>
      <c r="K12" s="264">
        <v>0.43</v>
      </c>
      <c r="L12" s="264">
        <v>0.43</v>
      </c>
      <c r="M12" s="264">
        <v>0.43</v>
      </c>
      <c r="N12" s="264">
        <v>0.43</v>
      </c>
      <c r="O12" s="264">
        <v>0.43</v>
      </c>
      <c r="P12" s="264">
        <v>0.43</v>
      </c>
      <c r="Q12" s="264">
        <v>0.43</v>
      </c>
      <c r="R12" s="264">
        <v>0.43</v>
      </c>
      <c r="S12" s="264">
        <v>0.43</v>
      </c>
      <c r="T12" s="264">
        <v>0.43</v>
      </c>
      <c r="U12" s="264">
        <v>0.43</v>
      </c>
      <c r="V12" s="264">
        <v>0.43</v>
      </c>
      <c r="W12" s="264">
        <v>0.43</v>
      </c>
      <c r="X12" s="264">
        <v>0.43</v>
      </c>
      <c r="Y12" s="264">
        <v>0.43</v>
      </c>
      <c r="Z12" s="264">
        <v>0.43</v>
      </c>
      <c r="AA12" s="57">
        <f t="shared" si="0"/>
        <v>0.42999999999999988</v>
      </c>
      <c r="AB12" s="58">
        <f>IF(AA12=" "," ",IF('c-form'!AE15="",AA12,AA12+'c-form'!AE15))</f>
        <v>338.03000000000003</v>
      </c>
      <c r="AC12" s="58">
        <f>IF(AA12=" "," ",IF('c-form'!AE15="",AM12,AM12+'c-form'!AE15))</f>
        <v>338.03000000000003</v>
      </c>
      <c r="AD12" s="150">
        <f>IF(AB12=" "," ",MATCH(AM12,C12:Z12,0))</f>
        <v>1</v>
      </c>
      <c r="AE12" s="58">
        <f>IF(AA12=" "," ",IF('c-form'!AE15="",AN12,AN12+'c-form'!AE15))</f>
        <v>338.03000000000003</v>
      </c>
      <c r="AF12" s="150">
        <f t="shared" si="1"/>
        <v>1</v>
      </c>
      <c r="AM12">
        <f t="shared" ref="AM12:AM43" si="2">IF(AB12=" "," ",MAX(C12:Z12))</f>
        <v>0.43</v>
      </c>
      <c r="AN12" s="54">
        <f>IF(AB12=" "," ",MIN(C12:Z12))</f>
        <v>0.43</v>
      </c>
    </row>
    <row r="13" spans="1:40" ht="22.5" customHeight="1">
      <c r="A13" s="60"/>
      <c r="B13" s="132">
        <v>3</v>
      </c>
      <c r="C13" s="264">
        <v>0.43</v>
      </c>
      <c r="D13" s="264">
        <v>0.43</v>
      </c>
      <c r="E13" s="264">
        <v>0.43</v>
      </c>
      <c r="F13" s="264">
        <v>0.43</v>
      </c>
      <c r="G13" s="264">
        <v>0.43</v>
      </c>
      <c r="H13" s="264">
        <v>0.43</v>
      </c>
      <c r="I13" s="264">
        <v>0.43</v>
      </c>
      <c r="J13" s="264">
        <v>0.43</v>
      </c>
      <c r="K13" s="264">
        <v>0.43</v>
      </c>
      <c r="L13" s="264">
        <v>0.43</v>
      </c>
      <c r="M13" s="264">
        <v>0.43</v>
      </c>
      <c r="N13" s="264">
        <v>0.43</v>
      </c>
      <c r="O13" s="264">
        <v>0.43</v>
      </c>
      <c r="P13" s="264">
        <v>0.43</v>
      </c>
      <c r="Q13" s="264">
        <v>0.43</v>
      </c>
      <c r="R13" s="264">
        <v>0.43</v>
      </c>
      <c r="S13" s="264">
        <v>0.43</v>
      </c>
      <c r="T13" s="264">
        <v>0.43</v>
      </c>
      <c r="U13" s="264">
        <v>0.43</v>
      </c>
      <c r="V13" s="264">
        <v>0.43</v>
      </c>
      <c r="W13" s="264">
        <v>0.43</v>
      </c>
      <c r="X13" s="264">
        <v>0.43</v>
      </c>
      <c r="Y13" s="264">
        <v>0.43</v>
      </c>
      <c r="Z13" s="264">
        <v>0.43</v>
      </c>
      <c r="AA13" s="57">
        <f t="shared" si="0"/>
        <v>0.42999999999999988</v>
      </c>
      <c r="AB13" s="58">
        <f>IF(AA13=" "," ",IF('c-form'!AE15="",AA13,AA13+'c-form'!AE15))</f>
        <v>338.03000000000003</v>
      </c>
      <c r="AC13" s="58">
        <f>IF(AA13=" "," ",IF('c-form'!AE15="",AM13,AM13+'c-form'!AE15))</f>
        <v>338.03000000000003</v>
      </c>
      <c r="AD13" s="150">
        <f t="shared" ref="AD13:AD20" si="3">IF(AB13=" "," ",MATCH(AM13,C13:Z13,0))</f>
        <v>1</v>
      </c>
      <c r="AE13" s="58">
        <f>IF(AA13=" "," ",IF('c-form'!AE15="",AN13,AN13+'c-form'!AE15))</f>
        <v>338.03000000000003</v>
      </c>
      <c r="AF13" s="150">
        <f t="shared" si="1"/>
        <v>1</v>
      </c>
      <c r="AM13">
        <f t="shared" si="2"/>
        <v>0.43</v>
      </c>
      <c r="AN13" s="54">
        <f t="shared" ref="AN13:AN43" si="4">IF(AB13=" "," ",MIN(C13:Z13))</f>
        <v>0.43</v>
      </c>
    </row>
    <row r="14" spans="1:40" ht="22.5" customHeight="1">
      <c r="A14" s="60"/>
      <c r="B14" s="132">
        <v>4</v>
      </c>
      <c r="C14" s="264">
        <v>0.43</v>
      </c>
      <c r="D14" s="264">
        <v>0.43</v>
      </c>
      <c r="E14" s="264">
        <v>0.43</v>
      </c>
      <c r="F14" s="264">
        <v>0.43</v>
      </c>
      <c r="G14" s="264">
        <v>0.43</v>
      </c>
      <c r="H14" s="264">
        <v>0.43</v>
      </c>
      <c r="I14" s="264">
        <v>0.43</v>
      </c>
      <c r="J14" s="264">
        <v>0.43</v>
      </c>
      <c r="K14" s="264">
        <v>0.43</v>
      </c>
      <c r="L14" s="264">
        <v>0.43</v>
      </c>
      <c r="M14" s="264">
        <v>0.43</v>
      </c>
      <c r="N14" s="264">
        <v>0.43</v>
      </c>
      <c r="O14" s="264">
        <v>0.43</v>
      </c>
      <c r="P14" s="264">
        <v>0.43</v>
      </c>
      <c r="Q14" s="264">
        <v>0.43</v>
      </c>
      <c r="R14" s="264">
        <v>0.43</v>
      </c>
      <c r="S14" s="264">
        <v>0.43</v>
      </c>
      <c r="T14" s="264">
        <v>0.43</v>
      </c>
      <c r="U14" s="264">
        <v>0.43</v>
      </c>
      <c r="V14" s="264">
        <v>0.43</v>
      </c>
      <c r="W14" s="264">
        <v>0.43</v>
      </c>
      <c r="X14" s="264">
        <v>0.43</v>
      </c>
      <c r="Y14" s="264">
        <v>0.43</v>
      </c>
      <c r="Z14" s="264">
        <v>0.43</v>
      </c>
      <c r="AA14" s="57">
        <f t="shared" si="0"/>
        <v>0.42999999999999988</v>
      </c>
      <c r="AB14" s="58">
        <f>IF(AA14=" "," ",IF('c-form'!AE15="",AA14,AA14+'c-form'!AE15))</f>
        <v>338.03000000000003</v>
      </c>
      <c r="AC14" s="58">
        <f>IF(AA14=" "," ",IF('c-form'!AE15="",AM14,AM14+'c-form'!AE15))</f>
        <v>338.03000000000003</v>
      </c>
      <c r="AD14" s="150">
        <f t="shared" si="3"/>
        <v>1</v>
      </c>
      <c r="AE14" s="58">
        <f>IF(AA14=" "," ",IF('c-form'!AE15="",AN14,AN14+'c-form'!AE15))</f>
        <v>338.03000000000003</v>
      </c>
      <c r="AF14" s="150">
        <f t="shared" si="1"/>
        <v>1</v>
      </c>
      <c r="AM14">
        <f t="shared" si="2"/>
        <v>0.43</v>
      </c>
      <c r="AN14" s="54">
        <f t="shared" si="4"/>
        <v>0.43</v>
      </c>
    </row>
    <row r="15" spans="1:40" ht="22.5" customHeight="1">
      <c r="A15" s="60"/>
      <c r="B15" s="132">
        <v>5</v>
      </c>
      <c r="C15" s="264">
        <v>0.43</v>
      </c>
      <c r="D15" s="264">
        <v>0.43</v>
      </c>
      <c r="E15" s="264">
        <v>0.43</v>
      </c>
      <c r="F15" s="264">
        <v>0.43</v>
      </c>
      <c r="G15" s="264">
        <v>0.43</v>
      </c>
      <c r="H15" s="264">
        <v>0.43</v>
      </c>
      <c r="I15" s="264">
        <v>0.43</v>
      </c>
      <c r="J15" s="264">
        <v>0.43</v>
      </c>
      <c r="K15" s="264">
        <v>0.43</v>
      </c>
      <c r="L15" s="264">
        <v>0.43</v>
      </c>
      <c r="M15" s="264">
        <v>0.43</v>
      </c>
      <c r="N15" s="264">
        <v>0.43</v>
      </c>
      <c r="O15" s="264">
        <v>0.43</v>
      </c>
      <c r="P15" s="264">
        <v>0.43</v>
      </c>
      <c r="Q15" s="264">
        <v>0.43</v>
      </c>
      <c r="R15" s="264">
        <v>0.43</v>
      </c>
      <c r="S15" s="264">
        <v>0.43</v>
      </c>
      <c r="T15" s="264">
        <v>0.43</v>
      </c>
      <c r="U15" s="264">
        <v>0.43</v>
      </c>
      <c r="V15" s="264">
        <v>0.43</v>
      </c>
      <c r="W15" s="264">
        <v>0.43</v>
      </c>
      <c r="X15" s="264">
        <v>0.43</v>
      </c>
      <c r="Y15" s="264">
        <v>0.43</v>
      </c>
      <c r="Z15" s="264">
        <v>0.43</v>
      </c>
      <c r="AA15" s="57">
        <f t="shared" si="0"/>
        <v>0.42999999999999988</v>
      </c>
      <c r="AB15" s="58">
        <f>IF(AA15=" "," ",IF('c-form'!AE15="",AA15,AA15+'c-form'!AE15))</f>
        <v>338.03000000000003</v>
      </c>
      <c r="AC15" s="58">
        <f>IF(AA15=" "," ",IF('c-form'!AE15="",AM15,AM15+'c-form'!AE15))</f>
        <v>338.03000000000003</v>
      </c>
      <c r="AD15" s="150">
        <f t="shared" si="3"/>
        <v>1</v>
      </c>
      <c r="AE15" s="58">
        <f>IF(AA15=" "," ",IF('c-form'!AE15="",AN15,AN15+'c-form'!AE15))</f>
        <v>338.03000000000003</v>
      </c>
      <c r="AF15" s="150">
        <f t="shared" si="1"/>
        <v>1</v>
      </c>
      <c r="AM15">
        <f t="shared" si="2"/>
        <v>0.43</v>
      </c>
      <c r="AN15" s="54">
        <f t="shared" si="4"/>
        <v>0.43</v>
      </c>
    </row>
    <row r="16" spans="1:40" ht="22.5" customHeight="1">
      <c r="A16" s="60"/>
      <c r="B16" s="132">
        <v>6</v>
      </c>
      <c r="C16" s="264">
        <v>0.42</v>
      </c>
      <c r="D16" s="264">
        <v>0.42</v>
      </c>
      <c r="E16" s="264">
        <v>0.42</v>
      </c>
      <c r="F16" s="264">
        <v>0.42</v>
      </c>
      <c r="G16" s="264">
        <v>0.42</v>
      </c>
      <c r="H16" s="264">
        <v>0.42</v>
      </c>
      <c r="I16" s="264">
        <v>0.41</v>
      </c>
      <c r="J16" s="264">
        <v>0.41</v>
      </c>
      <c r="K16" s="264">
        <v>0.41</v>
      </c>
      <c r="L16" s="264">
        <v>0.41</v>
      </c>
      <c r="M16" s="264">
        <v>0.41</v>
      </c>
      <c r="N16" s="264">
        <v>0.41</v>
      </c>
      <c r="O16" s="264">
        <v>0.41</v>
      </c>
      <c r="P16" s="264">
        <v>0.41</v>
      </c>
      <c r="Q16" s="264">
        <v>0.41</v>
      </c>
      <c r="R16" s="264">
        <v>0.41</v>
      </c>
      <c r="S16" s="264">
        <v>0.41</v>
      </c>
      <c r="T16" s="264">
        <v>0.41</v>
      </c>
      <c r="U16" s="264">
        <v>0.41</v>
      </c>
      <c r="V16" s="264">
        <v>0.41</v>
      </c>
      <c r="W16" s="264">
        <v>0.41</v>
      </c>
      <c r="X16" s="264">
        <v>0.41</v>
      </c>
      <c r="Y16" s="264">
        <v>0.41</v>
      </c>
      <c r="Z16" s="264">
        <v>0.41</v>
      </c>
      <c r="AA16" s="57">
        <f t="shared" si="0"/>
        <v>0.41250000000000009</v>
      </c>
      <c r="AB16" s="58">
        <f>IF(AA16=" "," ",IF('c-form'!AE15="",AA16,AA16+'c-form'!AE15))</f>
        <v>338.01250000000005</v>
      </c>
      <c r="AC16" s="58">
        <f>IF(AA16=" "," ",IF('c-form'!AE15="",AM16,AM16+'c-form'!AE15))</f>
        <v>338.02000000000004</v>
      </c>
      <c r="AD16" s="150">
        <f t="shared" si="3"/>
        <v>1</v>
      </c>
      <c r="AE16" s="58">
        <f>IF(AA16=" "," ",IF('c-form'!AE15="",AN16,AN16+'c-form'!AE15))</f>
        <v>338.01000000000005</v>
      </c>
      <c r="AF16" s="150">
        <f t="shared" si="1"/>
        <v>7</v>
      </c>
      <c r="AM16">
        <f t="shared" si="2"/>
        <v>0.42</v>
      </c>
      <c r="AN16" s="54">
        <f t="shared" si="4"/>
        <v>0.41</v>
      </c>
    </row>
    <row r="17" spans="1:40" ht="22.5" customHeight="1">
      <c r="A17" s="60"/>
      <c r="B17" s="132">
        <v>7</v>
      </c>
      <c r="C17" s="264">
        <v>0.42</v>
      </c>
      <c r="D17" s="264">
        <v>0.42</v>
      </c>
      <c r="E17" s="264">
        <v>0.42</v>
      </c>
      <c r="F17" s="264">
        <v>0.42</v>
      </c>
      <c r="G17" s="264">
        <v>0.42</v>
      </c>
      <c r="H17" s="264">
        <v>0.42</v>
      </c>
      <c r="I17" s="264">
        <v>0.42</v>
      </c>
      <c r="J17" s="264">
        <v>0.42</v>
      </c>
      <c r="K17" s="264">
        <v>0.42</v>
      </c>
      <c r="L17" s="264">
        <v>0.42</v>
      </c>
      <c r="M17" s="264">
        <v>0.42</v>
      </c>
      <c r="N17" s="264">
        <v>0.42</v>
      </c>
      <c r="O17" s="264">
        <v>0.42</v>
      </c>
      <c r="P17" s="264">
        <v>0.42</v>
      </c>
      <c r="Q17" s="264">
        <v>0.42</v>
      </c>
      <c r="R17" s="264">
        <v>0.42</v>
      </c>
      <c r="S17" s="264">
        <v>0.42</v>
      </c>
      <c r="T17" s="264">
        <v>0.42</v>
      </c>
      <c r="U17" s="264">
        <v>0.42</v>
      </c>
      <c r="V17" s="264">
        <v>0.42</v>
      </c>
      <c r="W17" s="264">
        <v>0.42</v>
      </c>
      <c r="X17" s="264">
        <v>0.42</v>
      </c>
      <c r="Y17" s="264">
        <v>0.42</v>
      </c>
      <c r="Z17" s="264">
        <v>0.42</v>
      </c>
      <c r="AA17" s="57">
        <f t="shared" si="0"/>
        <v>0.42</v>
      </c>
      <c r="AB17" s="58">
        <f>IF(AA17=" "," ",IF('c-form'!AE15="",AA17,AA17+'c-form'!AE15))</f>
        <v>338.02000000000004</v>
      </c>
      <c r="AC17" s="58">
        <f>IF(AA17=" "," ",IF('c-form'!AE15="",AM17,AM17+'c-form'!AE15))</f>
        <v>338.02000000000004</v>
      </c>
      <c r="AD17" s="150">
        <f t="shared" si="3"/>
        <v>1</v>
      </c>
      <c r="AE17" s="58">
        <f>IF(AA17=" "," ",IF('c-form'!AE15="",AN17,AN17+'c-form'!AE15))</f>
        <v>338.02000000000004</v>
      </c>
      <c r="AF17" s="150">
        <f t="shared" si="1"/>
        <v>1</v>
      </c>
      <c r="AM17">
        <f t="shared" si="2"/>
        <v>0.42</v>
      </c>
      <c r="AN17" s="54">
        <f t="shared" si="4"/>
        <v>0.42</v>
      </c>
    </row>
    <row r="18" spans="1:40" ht="22.5" customHeight="1">
      <c r="A18" s="60"/>
      <c r="B18" s="132">
        <v>8</v>
      </c>
      <c r="C18" s="264">
        <v>0.42</v>
      </c>
      <c r="D18" s="264">
        <v>0.42</v>
      </c>
      <c r="E18" s="264">
        <v>0.42</v>
      </c>
      <c r="F18" s="264">
        <v>0.42</v>
      </c>
      <c r="G18" s="264">
        <v>0.42</v>
      </c>
      <c r="H18" s="264">
        <v>0.42</v>
      </c>
      <c r="I18" s="264">
        <v>0.42</v>
      </c>
      <c r="J18" s="264">
        <v>0.42</v>
      </c>
      <c r="K18" s="264">
        <v>0.42</v>
      </c>
      <c r="L18" s="264">
        <v>0.42</v>
      </c>
      <c r="M18" s="264">
        <v>0.42</v>
      </c>
      <c r="N18" s="264">
        <v>0.42</v>
      </c>
      <c r="O18" s="264">
        <v>0.42</v>
      </c>
      <c r="P18" s="264">
        <v>0.42</v>
      </c>
      <c r="Q18" s="264">
        <v>0.42</v>
      </c>
      <c r="R18" s="264">
        <v>0.42</v>
      </c>
      <c r="S18" s="264">
        <v>0.42</v>
      </c>
      <c r="T18" s="264">
        <v>0.42</v>
      </c>
      <c r="U18" s="264">
        <v>0.42</v>
      </c>
      <c r="V18" s="264">
        <v>0.42</v>
      </c>
      <c r="W18" s="264">
        <v>0.42</v>
      </c>
      <c r="X18" s="264">
        <v>0.42</v>
      </c>
      <c r="Y18" s="264">
        <v>0.42</v>
      </c>
      <c r="Z18" s="264">
        <v>0.42</v>
      </c>
      <c r="AA18" s="57">
        <f t="shared" si="0"/>
        <v>0.42</v>
      </c>
      <c r="AB18" s="58">
        <f>IF(AA18=" "," ",IF('c-form'!AE15="",AA18,AA18+'c-form'!AE15))</f>
        <v>338.02000000000004</v>
      </c>
      <c r="AC18" s="58">
        <f>IF(AA18=" "," ",IF('c-form'!AE15="",AM18,AM18+'c-form'!AE15))</f>
        <v>338.02000000000004</v>
      </c>
      <c r="AD18" s="150">
        <f t="shared" si="3"/>
        <v>1</v>
      </c>
      <c r="AE18" s="58">
        <f>IF(AA18=" "," ",IF('c-form'!AE15="",AN18,AN18+'c-form'!AE15))</f>
        <v>338.02000000000004</v>
      </c>
      <c r="AF18" s="150">
        <f t="shared" si="1"/>
        <v>1</v>
      </c>
      <c r="AM18">
        <f t="shared" si="2"/>
        <v>0.42</v>
      </c>
      <c r="AN18" s="54">
        <f t="shared" si="4"/>
        <v>0.42</v>
      </c>
    </row>
    <row r="19" spans="1:40" ht="22.5" customHeight="1">
      <c r="A19" s="60"/>
      <c r="B19" s="132">
        <v>9</v>
      </c>
      <c r="C19" s="264">
        <v>0.41</v>
      </c>
      <c r="D19" s="264">
        <v>0.41</v>
      </c>
      <c r="E19" s="264">
        <v>0.41</v>
      </c>
      <c r="F19" s="264">
        <v>0.41</v>
      </c>
      <c r="G19" s="264">
        <v>0.41</v>
      </c>
      <c r="H19" s="264">
        <v>0.41</v>
      </c>
      <c r="I19" s="264">
        <v>0.41</v>
      </c>
      <c r="J19" s="264">
        <v>0.41</v>
      </c>
      <c r="K19" s="264">
        <v>0.41</v>
      </c>
      <c r="L19" s="264">
        <v>0.41</v>
      </c>
      <c r="M19" s="264">
        <v>0.41</v>
      </c>
      <c r="N19" s="264">
        <v>0.41</v>
      </c>
      <c r="O19" s="264">
        <v>0.41</v>
      </c>
      <c r="P19" s="264">
        <v>0.41</v>
      </c>
      <c r="Q19" s="264">
        <v>0.41</v>
      </c>
      <c r="R19" s="264">
        <v>0.41</v>
      </c>
      <c r="S19" s="264">
        <v>0.41</v>
      </c>
      <c r="T19" s="264">
        <v>0.41</v>
      </c>
      <c r="U19" s="264">
        <v>0.41</v>
      </c>
      <c r="V19" s="264">
        <v>0.41</v>
      </c>
      <c r="W19" s="264">
        <v>0.41</v>
      </c>
      <c r="X19" s="264">
        <v>0.41</v>
      </c>
      <c r="Y19" s="264">
        <v>0.41</v>
      </c>
      <c r="Z19" s="264">
        <v>0.41</v>
      </c>
      <c r="AA19" s="57">
        <f t="shared" si="0"/>
        <v>0.41000000000000009</v>
      </c>
      <c r="AB19" s="58">
        <f>IF(AA19=" "," ",IF('c-form'!AE15="",AA19,AA19+'c-form'!AE15))</f>
        <v>338.01000000000005</v>
      </c>
      <c r="AC19" s="58">
        <f>IF(AA19=" "," ",IF('c-form'!AE15="",AM19,AM19+'c-form'!AE15))</f>
        <v>338.01000000000005</v>
      </c>
      <c r="AD19" s="150">
        <f t="shared" si="3"/>
        <v>1</v>
      </c>
      <c r="AE19" s="58">
        <f>IF(AA19=" "," ",IF('c-form'!AE15="",AN19,AN19+'c-form'!AE15))</f>
        <v>338.01000000000005</v>
      </c>
      <c r="AF19" s="150">
        <f t="shared" si="1"/>
        <v>1</v>
      </c>
      <c r="AM19">
        <f t="shared" si="2"/>
        <v>0.41</v>
      </c>
      <c r="AN19" s="54">
        <f t="shared" si="4"/>
        <v>0.41</v>
      </c>
    </row>
    <row r="20" spans="1:40" ht="22.5" customHeight="1">
      <c r="A20" s="60"/>
      <c r="B20" s="132">
        <v>10</v>
      </c>
      <c r="C20" s="264">
        <v>0.41</v>
      </c>
      <c r="D20" s="264">
        <v>0.41</v>
      </c>
      <c r="E20" s="264">
        <v>0.41</v>
      </c>
      <c r="F20" s="264">
        <v>0.41</v>
      </c>
      <c r="G20" s="264">
        <v>0.41</v>
      </c>
      <c r="H20" s="264">
        <v>0.41</v>
      </c>
      <c r="I20" s="264">
        <v>0.41</v>
      </c>
      <c r="J20" s="264">
        <v>0.41</v>
      </c>
      <c r="K20" s="264">
        <v>0.41</v>
      </c>
      <c r="L20" s="264">
        <v>0.41</v>
      </c>
      <c r="M20" s="264">
        <v>0.41</v>
      </c>
      <c r="N20" s="264">
        <v>0.41</v>
      </c>
      <c r="O20" s="264">
        <v>0.41</v>
      </c>
      <c r="P20" s="264">
        <v>0.41</v>
      </c>
      <c r="Q20" s="264">
        <v>0.41</v>
      </c>
      <c r="R20" s="264">
        <v>0.41</v>
      </c>
      <c r="S20" s="264">
        <v>0.41</v>
      </c>
      <c r="T20" s="264">
        <v>0.41</v>
      </c>
      <c r="U20" s="264">
        <v>0.41</v>
      </c>
      <c r="V20" s="264">
        <v>0.41</v>
      </c>
      <c r="W20" s="264">
        <v>0.41</v>
      </c>
      <c r="X20" s="264">
        <v>0.41</v>
      </c>
      <c r="Y20" s="264">
        <v>0.41</v>
      </c>
      <c r="Z20" s="264">
        <v>0.41</v>
      </c>
      <c r="AA20" s="57">
        <f t="shared" si="0"/>
        <v>0.41000000000000009</v>
      </c>
      <c r="AB20" s="58">
        <f>IF(AA20=" "," ",IF('c-form'!AE15="",AA20,AA20+'c-form'!AE15))</f>
        <v>338.01000000000005</v>
      </c>
      <c r="AC20" s="58">
        <f>IF(AA20=" "," ",IF('c-form'!AE15="",AM20,AM20+'c-form'!AE15))</f>
        <v>338.01000000000005</v>
      </c>
      <c r="AD20" s="150">
        <f t="shared" si="3"/>
        <v>1</v>
      </c>
      <c r="AE20" s="58">
        <f>IF(AA20=" "," ",IF('c-form'!AE15="",AN20,AN20+'c-form'!AE15))</f>
        <v>338.01000000000005</v>
      </c>
      <c r="AF20" s="150">
        <f t="shared" si="1"/>
        <v>1</v>
      </c>
      <c r="AM20">
        <f t="shared" si="2"/>
        <v>0.41</v>
      </c>
      <c r="AN20" s="54">
        <f t="shared" si="4"/>
        <v>0.41</v>
      </c>
    </row>
    <row r="21" spans="1:40" ht="22.5" customHeight="1">
      <c r="A21" s="60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9"/>
      <c r="AC21" s="139"/>
      <c r="AD21" s="151"/>
      <c r="AE21" s="139"/>
      <c r="AF21" s="151"/>
      <c r="AM21">
        <f>IF(AB21=" "," ",MAX(C21:Z21))</f>
        <v>0</v>
      </c>
      <c r="AN21" s="54">
        <f t="shared" si="4"/>
        <v>0</v>
      </c>
    </row>
    <row r="22" spans="1:40" ht="22.5" customHeight="1">
      <c r="A22" s="60"/>
      <c r="B22" s="132">
        <v>11</v>
      </c>
      <c r="C22" s="264">
        <v>0.4</v>
      </c>
      <c r="D22" s="264">
        <v>0.4</v>
      </c>
      <c r="E22" s="264">
        <v>0.4</v>
      </c>
      <c r="F22" s="264">
        <v>0.4</v>
      </c>
      <c r="G22" s="264">
        <v>0.4</v>
      </c>
      <c r="H22" s="264">
        <v>0.4</v>
      </c>
      <c r="I22" s="264">
        <v>0.4</v>
      </c>
      <c r="J22" s="264">
        <v>0.4</v>
      </c>
      <c r="K22" s="264">
        <v>0.4</v>
      </c>
      <c r="L22" s="264">
        <v>0.4</v>
      </c>
      <c r="M22" s="264">
        <v>0.4</v>
      </c>
      <c r="N22" s="264">
        <v>0.4</v>
      </c>
      <c r="O22" s="264">
        <v>0.4</v>
      </c>
      <c r="P22" s="264">
        <v>0.4</v>
      </c>
      <c r="Q22" s="264">
        <v>0.4</v>
      </c>
      <c r="R22" s="264">
        <v>0.4</v>
      </c>
      <c r="S22" s="264">
        <v>0.4</v>
      </c>
      <c r="T22" s="264">
        <v>0.4</v>
      </c>
      <c r="U22" s="264">
        <v>0.4</v>
      </c>
      <c r="V22" s="264">
        <v>0.4</v>
      </c>
      <c r="W22" s="264">
        <v>0.4</v>
      </c>
      <c r="X22" s="264">
        <v>0.4</v>
      </c>
      <c r="Y22" s="264">
        <v>0.4</v>
      </c>
      <c r="Z22" s="264">
        <v>0.4</v>
      </c>
      <c r="AA22" s="57">
        <f t="shared" si="0"/>
        <v>0.40000000000000013</v>
      </c>
      <c r="AB22" s="58">
        <f>IF(AA22=" "," ",IF('c-form'!AE15="",AA22,AA22+'c-form'!AE15))</f>
        <v>338</v>
      </c>
      <c r="AC22" s="58">
        <f>IF(AA22=" "," ",IF('c-form'!AE15="",AM22,AM22+'c-form'!AE15))</f>
        <v>338</v>
      </c>
      <c r="AD22" s="150">
        <f t="shared" ref="AD22:AD31" si="5">IF(AB22=" "," ",MATCH(AM22,C22:Z22,0))</f>
        <v>1</v>
      </c>
      <c r="AE22" s="58">
        <f>IF(AA22=" "," ",IF('c-form'!AE15="",AN22,AN22+'c-form'!AE15))</f>
        <v>338</v>
      </c>
      <c r="AF22" s="150">
        <f t="shared" ref="AF22:AF31" si="6">IF(AD22=" "," ",MATCH(AN22,C22:Z22,0))</f>
        <v>1</v>
      </c>
      <c r="AG22" s="59" t="e">
        <f t="shared" ref="AG22:AG31" si="7">IF(AE22=" "," ",MATCH(AO22,D22:AA22,0))</f>
        <v>#N/A</v>
      </c>
      <c r="AM22">
        <f t="shared" si="2"/>
        <v>0.4</v>
      </c>
      <c r="AN22" s="54">
        <f t="shared" si="4"/>
        <v>0.4</v>
      </c>
    </row>
    <row r="23" spans="1:40" ht="22.5" customHeight="1">
      <c r="A23" s="60"/>
      <c r="B23" s="132">
        <v>12</v>
      </c>
      <c r="C23" s="264">
        <v>0.4</v>
      </c>
      <c r="D23" s="264">
        <v>0.4</v>
      </c>
      <c r="E23" s="264">
        <v>0.4</v>
      </c>
      <c r="F23" s="264">
        <v>0.4</v>
      </c>
      <c r="G23" s="264">
        <v>0.4</v>
      </c>
      <c r="H23" s="264">
        <v>0.4</v>
      </c>
      <c r="I23" s="264">
        <v>0.4</v>
      </c>
      <c r="J23" s="264">
        <v>0.4</v>
      </c>
      <c r="K23" s="264">
        <v>0.4</v>
      </c>
      <c r="L23" s="264">
        <v>0.4</v>
      </c>
      <c r="M23" s="264">
        <v>0.4</v>
      </c>
      <c r="N23" s="264">
        <v>0.4</v>
      </c>
      <c r="O23" s="264">
        <v>0.4</v>
      </c>
      <c r="P23" s="264">
        <v>0.4</v>
      </c>
      <c r="Q23" s="264">
        <v>0.4</v>
      </c>
      <c r="R23" s="264">
        <v>0.4</v>
      </c>
      <c r="S23" s="264">
        <v>0.4</v>
      </c>
      <c r="T23" s="264">
        <v>0.4</v>
      </c>
      <c r="U23" s="264">
        <v>0.4</v>
      </c>
      <c r="V23" s="264">
        <v>0.4</v>
      </c>
      <c r="W23" s="264">
        <v>0.4</v>
      </c>
      <c r="X23" s="264">
        <v>0.4</v>
      </c>
      <c r="Y23" s="264">
        <v>0.4</v>
      </c>
      <c r="Z23" s="264">
        <v>0.4</v>
      </c>
      <c r="AA23" s="57">
        <f t="shared" si="0"/>
        <v>0.40000000000000013</v>
      </c>
      <c r="AB23" s="58">
        <f>IF(AA23=" "," ",IF('c-form'!AE15="",AA23,AA23+'c-form'!AE15))</f>
        <v>338</v>
      </c>
      <c r="AC23" s="58">
        <f>IF(AA23=" "," ",IF('c-form'!AE15="",AM23,AM23+'c-form'!AE15))</f>
        <v>338</v>
      </c>
      <c r="AD23" s="150">
        <f t="shared" si="5"/>
        <v>1</v>
      </c>
      <c r="AE23" s="58">
        <f>IF(AA23=" "," ",IF('c-form'!AE15="",AN23,AN23+'c-form'!AE15))</f>
        <v>338</v>
      </c>
      <c r="AF23" s="150">
        <f t="shared" si="6"/>
        <v>1</v>
      </c>
      <c r="AG23" s="59" t="e">
        <f t="shared" si="7"/>
        <v>#N/A</v>
      </c>
      <c r="AM23">
        <f t="shared" si="2"/>
        <v>0.4</v>
      </c>
      <c r="AN23" s="54">
        <f t="shared" si="4"/>
        <v>0.4</v>
      </c>
    </row>
    <row r="24" spans="1:40" ht="22.5" customHeight="1">
      <c r="A24" s="60"/>
      <c r="B24" s="132">
        <v>13</v>
      </c>
      <c r="C24" s="264">
        <v>0.4</v>
      </c>
      <c r="D24" s="264">
        <v>0.4</v>
      </c>
      <c r="E24" s="264">
        <v>0.4</v>
      </c>
      <c r="F24" s="264">
        <v>0.4</v>
      </c>
      <c r="G24" s="264">
        <v>0.4</v>
      </c>
      <c r="H24" s="264">
        <v>0.4</v>
      </c>
      <c r="I24" s="264">
        <v>0.4</v>
      </c>
      <c r="J24" s="264">
        <v>0.4</v>
      </c>
      <c r="K24" s="264">
        <v>0.4</v>
      </c>
      <c r="L24" s="264">
        <v>0.4</v>
      </c>
      <c r="M24" s="264">
        <v>0.4</v>
      </c>
      <c r="N24" s="264">
        <v>0.39</v>
      </c>
      <c r="O24" s="264">
        <v>0.39</v>
      </c>
      <c r="P24" s="264">
        <v>0.39</v>
      </c>
      <c r="Q24" s="264">
        <v>0.39</v>
      </c>
      <c r="R24" s="264">
        <v>0.39</v>
      </c>
      <c r="S24" s="264">
        <v>0.39</v>
      </c>
      <c r="T24" s="264">
        <v>0.39</v>
      </c>
      <c r="U24" s="264">
        <v>0.39</v>
      </c>
      <c r="V24" s="264">
        <v>0.39</v>
      </c>
      <c r="W24" s="264">
        <v>0.39</v>
      </c>
      <c r="X24" s="264">
        <v>0.39</v>
      </c>
      <c r="Y24" s="264">
        <v>0.39</v>
      </c>
      <c r="Z24" s="264">
        <v>0.39</v>
      </c>
      <c r="AA24" s="57">
        <f t="shared" si="0"/>
        <v>0.39458333333333329</v>
      </c>
      <c r="AB24" s="58">
        <f>IF(AA24=" "," ",IF('c-form'!AE15="",AA24,AA24+'c-form'!AE15))</f>
        <v>337.99458333333337</v>
      </c>
      <c r="AC24" s="58">
        <f>IF(AA24=" "," ",IF('c-form'!AE15="",AM24,AM24+'c-form'!AE15))</f>
        <v>338</v>
      </c>
      <c r="AD24" s="150">
        <f t="shared" si="5"/>
        <v>1</v>
      </c>
      <c r="AE24" s="58">
        <f>IF(AA24=" "," ",IF('c-form'!AE15="",AN24,AN24+'c-form'!AE15))</f>
        <v>337.99</v>
      </c>
      <c r="AF24" s="150">
        <f t="shared" si="6"/>
        <v>12</v>
      </c>
      <c r="AG24" s="59" t="e">
        <f t="shared" si="7"/>
        <v>#N/A</v>
      </c>
      <c r="AM24">
        <f t="shared" si="2"/>
        <v>0.4</v>
      </c>
      <c r="AN24" s="54">
        <f t="shared" si="4"/>
        <v>0.39</v>
      </c>
    </row>
    <row r="25" spans="1:40" ht="22.5" customHeight="1">
      <c r="A25" s="60"/>
      <c r="B25" s="132">
        <v>14</v>
      </c>
      <c r="C25" s="264">
        <v>0.4</v>
      </c>
      <c r="D25" s="264">
        <v>0.4</v>
      </c>
      <c r="E25" s="264">
        <v>0.4</v>
      </c>
      <c r="F25" s="264">
        <v>0.4</v>
      </c>
      <c r="G25" s="264">
        <v>0.4</v>
      </c>
      <c r="H25" s="264">
        <v>0.4</v>
      </c>
      <c r="I25" s="264">
        <v>0.4</v>
      </c>
      <c r="J25" s="264">
        <v>0.4</v>
      </c>
      <c r="K25" s="264">
        <v>0.4</v>
      </c>
      <c r="L25" s="264">
        <v>0.4</v>
      </c>
      <c r="M25" s="264">
        <v>0.4</v>
      </c>
      <c r="N25" s="264">
        <v>0.4</v>
      </c>
      <c r="O25" s="264">
        <v>0.4</v>
      </c>
      <c r="P25" s="264">
        <v>0.4</v>
      </c>
      <c r="Q25" s="264">
        <v>0.4</v>
      </c>
      <c r="R25" s="264">
        <v>0.4</v>
      </c>
      <c r="S25" s="264">
        <v>0.4</v>
      </c>
      <c r="T25" s="264">
        <v>0.4</v>
      </c>
      <c r="U25" s="264">
        <v>0.4</v>
      </c>
      <c r="V25" s="264">
        <v>0.4</v>
      </c>
      <c r="W25" s="264">
        <v>0.4</v>
      </c>
      <c r="X25" s="264">
        <v>0.4</v>
      </c>
      <c r="Y25" s="264">
        <v>0.4</v>
      </c>
      <c r="Z25" s="264">
        <v>0.4</v>
      </c>
      <c r="AA25" s="57">
        <f t="shared" si="0"/>
        <v>0.40000000000000013</v>
      </c>
      <c r="AB25" s="58">
        <f>IF(AA25=" "," ",IF('c-form'!AE15="",AA25,AA25+'c-form'!AE15))</f>
        <v>338</v>
      </c>
      <c r="AC25" s="58">
        <f>IF(AA25=" "," ",IF('c-form'!AE15="",AM25,AM25+'c-form'!AE15))</f>
        <v>338</v>
      </c>
      <c r="AD25" s="150">
        <f t="shared" si="5"/>
        <v>1</v>
      </c>
      <c r="AE25" s="58">
        <f>IF(AA25=" "," ",IF('c-form'!AE15="",AN25,AN25+'c-form'!AE15))</f>
        <v>338</v>
      </c>
      <c r="AF25" s="150">
        <f t="shared" si="6"/>
        <v>1</v>
      </c>
      <c r="AG25" s="59" t="e">
        <f t="shared" si="7"/>
        <v>#N/A</v>
      </c>
      <c r="AM25">
        <f t="shared" si="2"/>
        <v>0.4</v>
      </c>
      <c r="AN25" s="54">
        <f t="shared" si="4"/>
        <v>0.4</v>
      </c>
    </row>
    <row r="26" spans="1:40" ht="22.5" customHeight="1">
      <c r="A26" s="60"/>
      <c r="B26" s="132">
        <v>15</v>
      </c>
      <c r="C26" s="264">
        <v>0.4</v>
      </c>
      <c r="D26" s="264">
        <v>0.4</v>
      </c>
      <c r="E26" s="264">
        <v>0.4</v>
      </c>
      <c r="F26" s="264">
        <v>0.4</v>
      </c>
      <c r="G26" s="264">
        <v>0.4</v>
      </c>
      <c r="H26" s="264">
        <v>0.4</v>
      </c>
      <c r="I26" s="264">
        <v>0.4</v>
      </c>
      <c r="J26" s="264">
        <v>0.4</v>
      </c>
      <c r="K26" s="264">
        <v>0.4</v>
      </c>
      <c r="L26" s="264">
        <v>0.4</v>
      </c>
      <c r="M26" s="264">
        <v>0.4</v>
      </c>
      <c r="N26" s="264">
        <v>0.4</v>
      </c>
      <c r="O26" s="264">
        <v>0.4</v>
      </c>
      <c r="P26" s="264">
        <v>0.4</v>
      </c>
      <c r="Q26" s="264">
        <v>0.4</v>
      </c>
      <c r="R26" s="264">
        <v>0.4</v>
      </c>
      <c r="S26" s="264">
        <v>0.4</v>
      </c>
      <c r="T26" s="264">
        <v>0.4</v>
      </c>
      <c r="U26" s="264">
        <v>0.4</v>
      </c>
      <c r="V26" s="264">
        <v>0.4</v>
      </c>
      <c r="W26" s="264">
        <v>0.4</v>
      </c>
      <c r="X26" s="264">
        <v>0.4</v>
      </c>
      <c r="Y26" s="264">
        <v>0.4</v>
      </c>
      <c r="Z26" s="264">
        <v>0.4</v>
      </c>
      <c r="AA26" s="57">
        <f t="shared" si="0"/>
        <v>0.40000000000000013</v>
      </c>
      <c r="AB26" s="58">
        <f>IF(AA26=" "," ",IF('c-form'!AE15="",AA26,AA26+'c-form'!AE15))</f>
        <v>338</v>
      </c>
      <c r="AC26" s="58">
        <f>IF(AA26=" "," ",IF('c-form'!AE15="",AM26,AM26+'c-form'!AE15))</f>
        <v>338</v>
      </c>
      <c r="AD26" s="150">
        <f t="shared" si="5"/>
        <v>1</v>
      </c>
      <c r="AE26" s="58">
        <f>IF(AA26=" "," ",IF('c-form'!AE15="",AN26,AN26+'c-form'!AE15))</f>
        <v>338</v>
      </c>
      <c r="AF26" s="150">
        <f t="shared" si="6"/>
        <v>1</v>
      </c>
      <c r="AG26" s="59" t="e">
        <f t="shared" si="7"/>
        <v>#N/A</v>
      </c>
      <c r="AM26">
        <f t="shared" si="2"/>
        <v>0.4</v>
      </c>
      <c r="AN26" s="54">
        <f t="shared" si="4"/>
        <v>0.4</v>
      </c>
    </row>
    <row r="27" spans="1:40" ht="22.5" customHeight="1">
      <c r="A27" s="60"/>
      <c r="B27" s="132">
        <v>16</v>
      </c>
      <c r="C27" s="264">
        <v>0.4</v>
      </c>
      <c r="D27" s="264">
        <v>0.4</v>
      </c>
      <c r="E27" s="264">
        <v>0.4</v>
      </c>
      <c r="F27" s="264">
        <v>0.4</v>
      </c>
      <c r="G27" s="264">
        <v>0.4</v>
      </c>
      <c r="H27" s="264">
        <v>0.4</v>
      </c>
      <c r="I27" s="264">
        <v>0.4</v>
      </c>
      <c r="J27" s="264">
        <v>0.4</v>
      </c>
      <c r="K27" s="264">
        <v>0.4</v>
      </c>
      <c r="L27" s="264">
        <v>0.4</v>
      </c>
      <c r="M27" s="264">
        <v>0.4</v>
      </c>
      <c r="N27" s="264">
        <v>0.4</v>
      </c>
      <c r="O27" s="264">
        <v>0.4</v>
      </c>
      <c r="P27" s="264">
        <v>0.4</v>
      </c>
      <c r="Q27" s="264">
        <v>0.4</v>
      </c>
      <c r="R27" s="264">
        <v>0.4</v>
      </c>
      <c r="S27" s="264">
        <v>0.4</v>
      </c>
      <c r="T27" s="264">
        <v>0.4</v>
      </c>
      <c r="U27" s="264">
        <v>0.4</v>
      </c>
      <c r="V27" s="264">
        <v>0.4</v>
      </c>
      <c r="W27" s="264">
        <v>0.4</v>
      </c>
      <c r="X27" s="264">
        <v>0.4</v>
      </c>
      <c r="Y27" s="264">
        <v>0.4</v>
      </c>
      <c r="Z27" s="264">
        <v>0.4</v>
      </c>
      <c r="AA27" s="57">
        <f t="shared" si="0"/>
        <v>0.40000000000000013</v>
      </c>
      <c r="AB27" s="58">
        <f>IF(AA27=" "," ",IF('c-form'!AE15="",AA27,AA27+'c-form'!AE15))</f>
        <v>338</v>
      </c>
      <c r="AC27" s="58">
        <f>IF(AA27=" "," ",IF('c-form'!AE15="",AM27,AM27+'c-form'!AE15))</f>
        <v>338</v>
      </c>
      <c r="AD27" s="150">
        <f t="shared" si="5"/>
        <v>1</v>
      </c>
      <c r="AE27" s="58">
        <f>IF(AA27=" "," ",IF('c-form'!AE15="",AN27,AN27+'c-form'!AE15))</f>
        <v>338</v>
      </c>
      <c r="AF27" s="150">
        <f t="shared" si="6"/>
        <v>1</v>
      </c>
      <c r="AG27" s="59" t="e">
        <f t="shared" si="7"/>
        <v>#N/A</v>
      </c>
      <c r="AM27">
        <f t="shared" si="2"/>
        <v>0.4</v>
      </c>
      <c r="AN27" s="54">
        <f t="shared" si="4"/>
        <v>0.4</v>
      </c>
    </row>
    <row r="28" spans="1:40" ht="22.5" customHeight="1">
      <c r="A28" s="60"/>
      <c r="B28" s="132">
        <v>17</v>
      </c>
      <c r="C28" s="264">
        <v>0.39</v>
      </c>
      <c r="D28" s="264">
        <v>0.39</v>
      </c>
      <c r="E28" s="264">
        <v>0.39</v>
      </c>
      <c r="F28" s="264">
        <v>0.39</v>
      </c>
      <c r="G28" s="264">
        <v>0.39</v>
      </c>
      <c r="H28" s="264">
        <v>0.39</v>
      </c>
      <c r="I28" s="264">
        <v>0.4</v>
      </c>
      <c r="J28" s="264">
        <v>0.4</v>
      </c>
      <c r="K28" s="264">
        <v>0.41</v>
      </c>
      <c r="L28" s="264">
        <v>0.41</v>
      </c>
      <c r="M28" s="264">
        <v>0.42</v>
      </c>
      <c r="N28" s="264">
        <v>0.43</v>
      </c>
      <c r="O28" s="264">
        <v>0.45</v>
      </c>
      <c r="P28" s="264">
        <v>0.46</v>
      </c>
      <c r="Q28" s="264">
        <v>0.47</v>
      </c>
      <c r="R28" s="264">
        <v>0.49</v>
      </c>
      <c r="S28" s="264">
        <v>0.51</v>
      </c>
      <c r="T28" s="264">
        <v>0.53</v>
      </c>
      <c r="U28" s="264">
        <v>0.55000000000000004</v>
      </c>
      <c r="V28" s="264">
        <v>0.56999999999999995</v>
      </c>
      <c r="W28" s="264">
        <v>0.59</v>
      </c>
      <c r="X28" s="264">
        <v>0.61</v>
      </c>
      <c r="Y28" s="264">
        <v>0.63</v>
      </c>
      <c r="Z28" s="264">
        <v>0.64</v>
      </c>
      <c r="AA28" s="57">
        <f t="shared" si="0"/>
        <v>0.47125000000000011</v>
      </c>
      <c r="AB28" s="58">
        <f>IF(AA28=" "," ",IF('c-form'!AE15="",AA28,AA28+'c-form'!AE15))</f>
        <v>338.07125000000002</v>
      </c>
      <c r="AC28" s="58">
        <f>IF(AA28=" "," ",IF('c-form'!AE15="",AM28,AM28+'c-form'!AE15))</f>
        <v>338.24</v>
      </c>
      <c r="AD28" s="150">
        <f t="shared" si="5"/>
        <v>24</v>
      </c>
      <c r="AE28" s="58">
        <f>IF(AA28=" "," ",IF('c-form'!AE15="",AN28,AN28+'c-form'!AE15))</f>
        <v>337.99</v>
      </c>
      <c r="AF28" s="150">
        <f t="shared" si="6"/>
        <v>1</v>
      </c>
      <c r="AG28" s="59" t="e">
        <f t="shared" si="7"/>
        <v>#N/A</v>
      </c>
      <c r="AM28">
        <f t="shared" si="2"/>
        <v>0.64</v>
      </c>
      <c r="AN28" s="54">
        <f t="shared" si="4"/>
        <v>0.39</v>
      </c>
    </row>
    <row r="29" spans="1:40" ht="22.5" customHeight="1">
      <c r="A29" s="60"/>
      <c r="B29" s="132">
        <v>18</v>
      </c>
      <c r="C29" s="264">
        <v>0.66</v>
      </c>
      <c r="D29" s="264">
        <v>0.68</v>
      </c>
      <c r="E29" s="264">
        <v>0.7</v>
      </c>
      <c r="F29" s="264">
        <v>0.71</v>
      </c>
      <c r="G29" s="264">
        <v>0.71</v>
      </c>
      <c r="H29" s="264">
        <v>0.72</v>
      </c>
      <c r="I29" s="264">
        <v>0.72</v>
      </c>
      <c r="J29" s="264">
        <v>0.72</v>
      </c>
      <c r="K29" s="264">
        <v>0.72</v>
      </c>
      <c r="L29" s="264">
        <v>0.72</v>
      </c>
      <c r="M29" s="264">
        <v>0.72</v>
      </c>
      <c r="N29" s="264">
        <v>0.72</v>
      </c>
      <c r="O29" s="264">
        <v>0.72</v>
      </c>
      <c r="P29" s="264">
        <v>0.72</v>
      </c>
      <c r="Q29" s="264">
        <v>0.72</v>
      </c>
      <c r="R29" s="264">
        <v>0.72</v>
      </c>
      <c r="S29" s="264">
        <v>0.72</v>
      </c>
      <c r="T29" s="264">
        <v>0.72</v>
      </c>
      <c r="U29" s="264">
        <v>0.72</v>
      </c>
      <c r="V29" s="264">
        <v>0.72</v>
      </c>
      <c r="W29" s="264">
        <v>0.72</v>
      </c>
      <c r="X29" s="264">
        <v>0.72</v>
      </c>
      <c r="Y29" s="264">
        <v>0.72</v>
      </c>
      <c r="Z29" s="264">
        <v>0.72</v>
      </c>
      <c r="AA29" s="57">
        <f t="shared" si="0"/>
        <v>0.71416666666666684</v>
      </c>
      <c r="AB29" s="58">
        <f>IF(AA29=" "," ",IF('c-form'!AE15="",AA29,AA29+'c-form'!AE15))</f>
        <v>338.31416666666667</v>
      </c>
      <c r="AC29" s="58">
        <f>IF(AA29=" "," ",IF('c-form'!AE15="",AM29,AM29+'c-form'!AE15))</f>
        <v>338.32000000000005</v>
      </c>
      <c r="AD29" s="150">
        <f t="shared" si="5"/>
        <v>6</v>
      </c>
      <c r="AE29" s="58">
        <f>IF(AA29=" "," ",IF('c-form'!AE15="",AN29,AN29+'c-form'!AE15))</f>
        <v>338.26000000000005</v>
      </c>
      <c r="AF29" s="150">
        <f t="shared" si="6"/>
        <v>1</v>
      </c>
      <c r="AG29" s="59" t="e">
        <f t="shared" si="7"/>
        <v>#N/A</v>
      </c>
      <c r="AM29">
        <f>IF(AB29=" "," ",MAX(C29:Z29))</f>
        <v>0.72</v>
      </c>
      <c r="AN29" s="54">
        <f t="shared" si="4"/>
        <v>0.66</v>
      </c>
    </row>
    <row r="30" spans="1:40" ht="22.5" customHeight="1">
      <c r="A30" s="60"/>
      <c r="B30" s="132">
        <v>19</v>
      </c>
      <c r="C30" s="264">
        <v>0.72</v>
      </c>
      <c r="D30" s="264">
        <v>0.72</v>
      </c>
      <c r="E30" s="264">
        <v>0.72</v>
      </c>
      <c r="F30" s="264">
        <v>0.72</v>
      </c>
      <c r="G30" s="264">
        <v>0.72</v>
      </c>
      <c r="H30" s="264">
        <v>0.72</v>
      </c>
      <c r="I30" s="264">
        <v>0.72</v>
      </c>
      <c r="J30" s="264">
        <v>0.72</v>
      </c>
      <c r="K30" s="264">
        <v>0.72</v>
      </c>
      <c r="L30" s="264">
        <v>0.72</v>
      </c>
      <c r="M30" s="264">
        <v>0.72</v>
      </c>
      <c r="N30" s="264">
        <v>0.72</v>
      </c>
      <c r="O30" s="264">
        <v>0.73</v>
      </c>
      <c r="P30" s="264">
        <v>0.73</v>
      </c>
      <c r="Q30" s="264">
        <v>0.73</v>
      </c>
      <c r="R30" s="264">
        <v>0.73</v>
      </c>
      <c r="S30" s="264">
        <v>0.73</v>
      </c>
      <c r="T30" s="264">
        <v>0.73</v>
      </c>
      <c r="U30" s="264">
        <v>0.74</v>
      </c>
      <c r="V30" s="264">
        <v>0.74</v>
      </c>
      <c r="W30" s="264">
        <v>0.74</v>
      </c>
      <c r="X30" s="264">
        <v>0.74</v>
      </c>
      <c r="Y30" s="264">
        <v>0.74</v>
      </c>
      <c r="Z30" s="264">
        <v>0.74</v>
      </c>
      <c r="AA30" s="57">
        <f t="shared" si="0"/>
        <v>0.72750000000000004</v>
      </c>
      <c r="AB30" s="58">
        <f>IF(AA30=" "," ",IF('c-form'!AE15="",AA30,AA30+'c-form'!AE15))</f>
        <v>338.32750000000004</v>
      </c>
      <c r="AC30" s="58">
        <f>IF(AA30=" "," ",IF('c-form'!AE15="",AM30,AM30+'c-form'!AE15))</f>
        <v>338.34000000000003</v>
      </c>
      <c r="AD30" s="150">
        <f t="shared" si="5"/>
        <v>19</v>
      </c>
      <c r="AE30" s="58">
        <f>IF(AA30=" "," ",IF('c-form'!AE15="",AN30,AN30+'c-form'!AE15))</f>
        <v>338.32000000000005</v>
      </c>
      <c r="AF30" s="150">
        <f t="shared" si="6"/>
        <v>1</v>
      </c>
      <c r="AG30" s="59" t="e">
        <f t="shared" si="7"/>
        <v>#N/A</v>
      </c>
      <c r="AM30">
        <f t="shared" si="2"/>
        <v>0.74</v>
      </c>
      <c r="AN30" s="54">
        <f t="shared" si="4"/>
        <v>0.72</v>
      </c>
    </row>
    <row r="31" spans="1:40" ht="22.5" customHeight="1">
      <c r="A31" s="60"/>
      <c r="B31" s="132">
        <v>20</v>
      </c>
      <c r="C31" s="264">
        <v>0.74</v>
      </c>
      <c r="D31" s="264">
        <v>0.74</v>
      </c>
      <c r="E31" s="264">
        <v>0.74</v>
      </c>
      <c r="F31" s="264">
        <v>0.74</v>
      </c>
      <c r="G31" s="264">
        <v>0.74</v>
      </c>
      <c r="H31" s="264">
        <v>0.74</v>
      </c>
      <c r="I31" s="264">
        <v>0.74</v>
      </c>
      <c r="J31" s="264">
        <v>0.74</v>
      </c>
      <c r="K31" s="264">
        <v>0.73</v>
      </c>
      <c r="L31" s="264">
        <v>0.72</v>
      </c>
      <c r="M31" s="264">
        <v>0.71</v>
      </c>
      <c r="N31" s="264">
        <v>0.69</v>
      </c>
      <c r="O31" s="264">
        <v>0.67</v>
      </c>
      <c r="P31" s="264">
        <v>0.66</v>
      </c>
      <c r="Q31" s="264">
        <v>0.64</v>
      </c>
      <c r="R31" s="264">
        <v>0.62</v>
      </c>
      <c r="S31" s="264">
        <v>0.59</v>
      </c>
      <c r="T31" s="264">
        <v>0.56999999999999995</v>
      </c>
      <c r="U31" s="264">
        <v>0.54</v>
      </c>
      <c r="V31" s="264">
        <v>0.51</v>
      </c>
      <c r="W31" s="264">
        <v>0.49</v>
      </c>
      <c r="X31" s="264">
        <v>0.47</v>
      </c>
      <c r="Y31" s="264">
        <v>0.45</v>
      </c>
      <c r="Z31" s="264">
        <v>0.44</v>
      </c>
      <c r="AA31" s="57">
        <f t="shared" si="0"/>
        <v>0.64249999999999996</v>
      </c>
      <c r="AB31" s="58">
        <f>IF(AA31=" "," ",IF('c-form'!AE15="",AA31,AA31+'c-form'!AE15))</f>
        <v>338.24250000000001</v>
      </c>
      <c r="AC31" s="58">
        <f>IF(AA31=" "," ",IF('c-form'!AE15="",AM31,AM31+'c-form'!AE15))</f>
        <v>338.34000000000003</v>
      </c>
      <c r="AD31" s="150">
        <f t="shared" si="5"/>
        <v>1</v>
      </c>
      <c r="AE31" s="58">
        <f>IF(AA31=" "," ",IF('c-form'!AE15="",AN31,AN31+'c-form'!AE15))</f>
        <v>338.04</v>
      </c>
      <c r="AF31" s="150">
        <f t="shared" si="6"/>
        <v>24</v>
      </c>
      <c r="AG31" s="59" t="e">
        <f t="shared" si="7"/>
        <v>#N/A</v>
      </c>
      <c r="AM31">
        <f t="shared" si="2"/>
        <v>0.74</v>
      </c>
      <c r="AN31" s="54">
        <f t="shared" si="4"/>
        <v>0.44</v>
      </c>
    </row>
    <row r="32" spans="1:40" ht="22.5" customHeight="1">
      <c r="A32" s="60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39"/>
      <c r="AF32" s="151"/>
      <c r="AM32">
        <f t="shared" si="2"/>
        <v>0</v>
      </c>
      <c r="AN32" s="54">
        <f t="shared" si="4"/>
        <v>0</v>
      </c>
    </row>
    <row r="33" spans="1:40" ht="22.5" customHeight="1">
      <c r="A33" s="60"/>
      <c r="B33" s="132">
        <v>21</v>
      </c>
      <c r="C33" s="264">
        <v>0.42</v>
      </c>
      <c r="D33" s="264">
        <v>0.41</v>
      </c>
      <c r="E33" s="264">
        <v>0.39</v>
      </c>
      <c r="F33" s="264">
        <v>0.38</v>
      </c>
      <c r="G33" s="264">
        <v>0.37</v>
      </c>
      <c r="H33" s="264">
        <v>0.36</v>
      </c>
      <c r="I33" s="264">
        <v>0.36</v>
      </c>
      <c r="J33" s="264">
        <v>0.36</v>
      </c>
      <c r="K33" s="264">
        <v>0.36</v>
      </c>
      <c r="L33" s="264">
        <v>0.36</v>
      </c>
      <c r="M33" s="264">
        <v>0.36</v>
      </c>
      <c r="N33" s="264">
        <v>0.36</v>
      </c>
      <c r="O33" s="264">
        <v>0.36</v>
      </c>
      <c r="P33" s="264">
        <v>0.36</v>
      </c>
      <c r="Q33" s="264">
        <v>0.36</v>
      </c>
      <c r="R33" s="264">
        <v>0.36</v>
      </c>
      <c r="S33" s="264">
        <v>0.36</v>
      </c>
      <c r="T33" s="264">
        <v>0.36</v>
      </c>
      <c r="U33" s="264">
        <v>0.36</v>
      </c>
      <c r="V33" s="264">
        <v>0.36</v>
      </c>
      <c r="W33" s="264">
        <v>0.36</v>
      </c>
      <c r="X33" s="264">
        <v>0.36</v>
      </c>
      <c r="Y33" s="264">
        <v>0.36</v>
      </c>
      <c r="Z33" s="264">
        <v>0.36</v>
      </c>
      <c r="AA33" s="57">
        <f t="shared" si="0"/>
        <v>0.36708333333333343</v>
      </c>
      <c r="AB33" s="58">
        <f>IF(AA33=" "," ",IF('c-form'!AE15="",AA33,AA33+'c-form'!AE15))</f>
        <v>337.96708333333333</v>
      </c>
      <c r="AC33" s="58">
        <f>IF(AA33=" "," ",IF('c-form'!AE15="",AM33,AM33+'c-form'!AE15))</f>
        <v>338.02000000000004</v>
      </c>
      <c r="AD33" s="150">
        <f t="shared" ref="AD33:AD41" si="8">IF(AB33=" "," ",MATCH(AM33,C33:Z33,0))</f>
        <v>1</v>
      </c>
      <c r="AE33" s="58">
        <f>IF(AA33=" "," ",IF('c-form'!AE15="",AN33,AN33+'c-form'!AE15))</f>
        <v>337.96000000000004</v>
      </c>
      <c r="AF33" s="150">
        <f t="shared" ref="AF33:AF41" si="9">IF(AD33=" "," ",MATCH(AN33,C33:Z33,0))</f>
        <v>6</v>
      </c>
      <c r="AM33">
        <f t="shared" si="2"/>
        <v>0.42</v>
      </c>
      <c r="AN33" s="54">
        <f t="shared" si="4"/>
        <v>0.36</v>
      </c>
    </row>
    <row r="34" spans="1:40" ht="22.5" customHeight="1">
      <c r="A34" s="60"/>
      <c r="B34" s="132">
        <v>22</v>
      </c>
      <c r="C34" s="264">
        <v>0.36</v>
      </c>
      <c r="D34" s="264">
        <v>0.36</v>
      </c>
      <c r="E34" s="264">
        <v>0.36</v>
      </c>
      <c r="F34" s="264">
        <v>0.36</v>
      </c>
      <c r="G34" s="264">
        <v>0.36</v>
      </c>
      <c r="H34" s="264">
        <v>0.36</v>
      </c>
      <c r="I34" s="264">
        <v>0.36</v>
      </c>
      <c r="J34" s="264">
        <v>0.36</v>
      </c>
      <c r="K34" s="264">
        <v>0.36</v>
      </c>
      <c r="L34" s="264">
        <v>0.36</v>
      </c>
      <c r="M34" s="264">
        <v>0.36</v>
      </c>
      <c r="N34" s="264">
        <v>0.36</v>
      </c>
      <c r="O34" s="264">
        <v>0.36</v>
      </c>
      <c r="P34" s="264">
        <v>0.36</v>
      </c>
      <c r="Q34" s="264">
        <v>0.36</v>
      </c>
      <c r="R34" s="264">
        <v>0.36</v>
      </c>
      <c r="S34" s="264">
        <v>0.36</v>
      </c>
      <c r="T34" s="264">
        <v>0.36</v>
      </c>
      <c r="U34" s="264">
        <v>0.36</v>
      </c>
      <c r="V34" s="264">
        <v>0.36</v>
      </c>
      <c r="W34" s="264">
        <v>0.36</v>
      </c>
      <c r="X34" s="264">
        <v>0.36</v>
      </c>
      <c r="Y34" s="264">
        <v>0.36</v>
      </c>
      <c r="Z34" s="264">
        <v>0.36</v>
      </c>
      <c r="AA34" s="57">
        <f t="shared" si="0"/>
        <v>0.3600000000000001</v>
      </c>
      <c r="AB34" s="58">
        <f>IF(AA34=" "," ",IF('c-form'!AE15="",AA34,AA34+'c-form'!AE15))</f>
        <v>337.96000000000004</v>
      </c>
      <c r="AC34" s="58">
        <f>IF(AA34=" "," ",IF('c-form'!AE15="",AM34,AM34+'c-form'!AE15))</f>
        <v>337.96000000000004</v>
      </c>
      <c r="AD34" s="150">
        <f t="shared" si="8"/>
        <v>1</v>
      </c>
      <c r="AE34" s="58">
        <f>IF(AA34=" "," ",IF('c-form'!AE15="",AN34,AN34+'c-form'!AE15))</f>
        <v>337.96000000000004</v>
      </c>
      <c r="AF34" s="150">
        <f t="shared" si="9"/>
        <v>1</v>
      </c>
      <c r="AM34">
        <f t="shared" si="2"/>
        <v>0.36</v>
      </c>
      <c r="AN34" s="54">
        <f t="shared" si="4"/>
        <v>0.36</v>
      </c>
    </row>
    <row r="35" spans="1:40" ht="22.5" customHeight="1">
      <c r="A35" s="60"/>
      <c r="B35" s="132">
        <v>23</v>
      </c>
      <c r="C35" s="264">
        <v>0.36</v>
      </c>
      <c r="D35" s="264">
        <v>0.36</v>
      </c>
      <c r="E35" s="264">
        <v>0.36</v>
      </c>
      <c r="F35" s="264">
        <v>0.36</v>
      </c>
      <c r="G35" s="264">
        <v>0.36</v>
      </c>
      <c r="H35" s="264">
        <v>0.36</v>
      </c>
      <c r="I35" s="264">
        <v>0.36</v>
      </c>
      <c r="J35" s="264">
        <v>0.36</v>
      </c>
      <c r="K35" s="264">
        <v>0.36</v>
      </c>
      <c r="L35" s="264">
        <v>0.36</v>
      </c>
      <c r="M35" s="264">
        <v>0.36</v>
      </c>
      <c r="N35" s="264">
        <v>0.36</v>
      </c>
      <c r="O35" s="264">
        <v>0.36</v>
      </c>
      <c r="P35" s="264">
        <v>0.36</v>
      </c>
      <c r="Q35" s="264">
        <v>0.36</v>
      </c>
      <c r="R35" s="264">
        <v>0.36</v>
      </c>
      <c r="S35" s="264">
        <v>0.36</v>
      </c>
      <c r="T35" s="264">
        <v>0.36</v>
      </c>
      <c r="U35" s="264">
        <v>0.36</v>
      </c>
      <c r="V35" s="264">
        <v>0.36</v>
      </c>
      <c r="W35" s="264">
        <v>0.36</v>
      </c>
      <c r="X35" s="264">
        <v>0.36</v>
      </c>
      <c r="Y35" s="264">
        <v>0.36</v>
      </c>
      <c r="Z35" s="264">
        <v>0.36</v>
      </c>
      <c r="AA35" s="57">
        <f t="shared" si="0"/>
        <v>0.3600000000000001</v>
      </c>
      <c r="AB35" s="58">
        <f>IF(AA35=" "," ",IF('c-form'!AE15="",AA35,AA35+'c-form'!AE15))</f>
        <v>337.96000000000004</v>
      </c>
      <c r="AC35" s="58">
        <f>IF(AA35=" "," ",IF('c-form'!AE15="",AM35,AM35+'c-form'!AE15))</f>
        <v>337.96000000000004</v>
      </c>
      <c r="AD35" s="150">
        <f t="shared" si="8"/>
        <v>1</v>
      </c>
      <c r="AE35" s="58">
        <f>IF(AA35=" "," ",IF('c-form'!AE15="",AN35,AN35+'c-form'!AE15))</f>
        <v>337.96000000000004</v>
      </c>
      <c r="AF35" s="150">
        <f t="shared" si="9"/>
        <v>1</v>
      </c>
      <c r="AM35">
        <f t="shared" si="2"/>
        <v>0.36</v>
      </c>
      <c r="AN35" s="54">
        <f t="shared" si="4"/>
        <v>0.36</v>
      </c>
    </row>
    <row r="36" spans="1:40" ht="22.5" customHeight="1">
      <c r="A36" s="60"/>
      <c r="B36" s="132">
        <v>24</v>
      </c>
      <c r="C36" s="264">
        <v>0.36</v>
      </c>
      <c r="D36" s="264">
        <v>0.36</v>
      </c>
      <c r="E36" s="264">
        <v>0.36</v>
      </c>
      <c r="F36" s="264">
        <v>0.36</v>
      </c>
      <c r="G36" s="264">
        <v>0.36</v>
      </c>
      <c r="H36" s="264">
        <v>0.36</v>
      </c>
      <c r="I36" s="264">
        <v>0.36</v>
      </c>
      <c r="J36" s="264">
        <v>0.37</v>
      </c>
      <c r="K36" s="264">
        <v>0.37</v>
      </c>
      <c r="L36" s="264">
        <v>0.37</v>
      </c>
      <c r="M36" s="264">
        <v>0.37</v>
      </c>
      <c r="N36" s="264">
        <v>0.37</v>
      </c>
      <c r="O36" s="264">
        <v>0.37</v>
      </c>
      <c r="P36" s="264">
        <v>0.37</v>
      </c>
      <c r="Q36" s="264">
        <v>0.37</v>
      </c>
      <c r="R36" s="264">
        <v>0.38</v>
      </c>
      <c r="S36" s="264">
        <v>0.39</v>
      </c>
      <c r="T36" s="264">
        <v>0.4</v>
      </c>
      <c r="U36" s="264">
        <v>0.42</v>
      </c>
      <c r="V36" s="264">
        <v>0.44</v>
      </c>
      <c r="W36" s="264">
        <v>0.46</v>
      </c>
      <c r="X36" s="264">
        <v>0.48</v>
      </c>
      <c r="Y36" s="264">
        <v>0.5</v>
      </c>
      <c r="Z36" s="264">
        <v>0.53</v>
      </c>
      <c r="AA36" s="57">
        <f t="shared" si="0"/>
        <v>0.39500000000000002</v>
      </c>
      <c r="AB36" s="58">
        <f>IF(AA36=" "," ",IF('c-form'!AE15="",AA36,AA36+'c-form'!AE15))</f>
        <v>337.995</v>
      </c>
      <c r="AC36" s="58">
        <f>IF(AA36=" "," ",IF('c-form'!AE15="",AM36,AM36+'c-form'!AE15))</f>
        <v>338.13</v>
      </c>
      <c r="AD36" s="150">
        <f t="shared" si="8"/>
        <v>24</v>
      </c>
      <c r="AE36" s="58">
        <f>IF(AA36=" "," ",IF('c-form'!AE15="",AN36,AN36+'c-form'!AE15))</f>
        <v>337.96000000000004</v>
      </c>
      <c r="AF36" s="150">
        <f t="shared" si="9"/>
        <v>1</v>
      </c>
      <c r="AM36">
        <f t="shared" si="2"/>
        <v>0.53</v>
      </c>
      <c r="AN36" s="54">
        <f t="shared" si="4"/>
        <v>0.36</v>
      </c>
    </row>
    <row r="37" spans="1:40" ht="22.5" customHeight="1">
      <c r="A37" s="60"/>
      <c r="B37" s="132">
        <v>25</v>
      </c>
      <c r="C37" s="264">
        <v>0.57999999999999996</v>
      </c>
      <c r="D37" s="264">
        <v>0.61</v>
      </c>
      <c r="E37" s="264">
        <v>0.64</v>
      </c>
      <c r="F37" s="264">
        <v>0.67</v>
      </c>
      <c r="G37" s="264">
        <v>0.7</v>
      </c>
      <c r="H37" s="264">
        <v>0.72</v>
      </c>
      <c r="I37" s="264">
        <v>0.72</v>
      </c>
      <c r="J37" s="264">
        <v>0.72</v>
      </c>
      <c r="K37" s="264">
        <v>0.72</v>
      </c>
      <c r="L37" s="264">
        <v>0.72</v>
      </c>
      <c r="M37" s="264">
        <v>0.72</v>
      </c>
      <c r="N37" s="264">
        <v>0.73</v>
      </c>
      <c r="O37" s="264">
        <v>0.73</v>
      </c>
      <c r="P37" s="264">
        <v>0.73</v>
      </c>
      <c r="Q37" s="264">
        <v>0.73</v>
      </c>
      <c r="R37" s="264">
        <v>0.73</v>
      </c>
      <c r="S37" s="264">
        <v>0.73</v>
      </c>
      <c r="T37" s="264">
        <v>0.73</v>
      </c>
      <c r="U37" s="264">
        <v>0.73</v>
      </c>
      <c r="V37" s="264">
        <v>0.73</v>
      </c>
      <c r="W37" s="264">
        <v>0.73</v>
      </c>
      <c r="X37" s="264">
        <v>0.73</v>
      </c>
      <c r="Y37" s="264">
        <v>0.73</v>
      </c>
      <c r="Z37" s="264">
        <v>0.73</v>
      </c>
      <c r="AA37" s="57">
        <f t="shared" si="0"/>
        <v>0.7087500000000001</v>
      </c>
      <c r="AB37" s="58">
        <f>IF(AA37=" "," ",IF('c-form'!AE15="",AA37,AA37+'c-form'!AE15))</f>
        <v>338.30875000000003</v>
      </c>
      <c r="AC37" s="58">
        <f>IF(AA37=" "," ",IF('c-form'!AE15="",AM37,AM37+'c-form'!AE15))</f>
        <v>338.33000000000004</v>
      </c>
      <c r="AD37" s="150">
        <f t="shared" si="8"/>
        <v>12</v>
      </c>
      <c r="AE37" s="58">
        <f>IF(AA37=" "," ",IF('c-form'!AE15="",AN37,AN37+'c-form'!AE15))</f>
        <v>338.18</v>
      </c>
      <c r="AF37" s="150">
        <f t="shared" si="9"/>
        <v>1</v>
      </c>
      <c r="AM37">
        <f t="shared" si="2"/>
        <v>0.73</v>
      </c>
      <c r="AN37" s="54">
        <f t="shared" si="4"/>
        <v>0.57999999999999996</v>
      </c>
    </row>
    <row r="38" spans="1:40" ht="22.5" customHeight="1">
      <c r="A38" s="60"/>
      <c r="B38" s="132">
        <v>26</v>
      </c>
      <c r="C38" s="264">
        <v>0.72</v>
      </c>
      <c r="D38" s="264">
        <v>0.72</v>
      </c>
      <c r="E38" s="264">
        <v>0.72</v>
      </c>
      <c r="F38" s="264">
        <v>0.72</v>
      </c>
      <c r="G38" s="264">
        <v>0.72</v>
      </c>
      <c r="H38" s="264">
        <v>0.72</v>
      </c>
      <c r="I38" s="264">
        <v>0.72</v>
      </c>
      <c r="J38" s="264">
        <v>0.72</v>
      </c>
      <c r="K38" s="264">
        <v>0.72</v>
      </c>
      <c r="L38" s="264">
        <v>0.72</v>
      </c>
      <c r="M38" s="264">
        <v>0.72</v>
      </c>
      <c r="N38" s="264">
        <v>0.72</v>
      </c>
      <c r="O38" s="264">
        <v>0.71</v>
      </c>
      <c r="P38" s="264">
        <v>0.71</v>
      </c>
      <c r="Q38" s="264">
        <v>0.71</v>
      </c>
      <c r="R38" s="264">
        <v>0.71</v>
      </c>
      <c r="S38" s="264">
        <v>0.71</v>
      </c>
      <c r="T38" s="264">
        <v>0.71</v>
      </c>
      <c r="U38" s="264">
        <v>0.71</v>
      </c>
      <c r="V38" s="264">
        <v>0.71</v>
      </c>
      <c r="W38" s="264">
        <v>0.71</v>
      </c>
      <c r="X38" s="264">
        <v>0.71</v>
      </c>
      <c r="Y38" s="264">
        <v>0.71</v>
      </c>
      <c r="Z38" s="264">
        <v>0.71</v>
      </c>
      <c r="AA38" s="57">
        <f t="shared" si="0"/>
        <v>0.7150000000000003</v>
      </c>
      <c r="AB38" s="58">
        <f>IF(AA38=" "," ",IF('c-form'!AE15="",AA38,AA38+'c-form'!AE15))</f>
        <v>338.315</v>
      </c>
      <c r="AC38" s="58">
        <f>IF(AA38=" "," ",IF('c-form'!AE15="",AM38,AM38+'c-form'!AE15))</f>
        <v>338.32000000000005</v>
      </c>
      <c r="AD38" s="150">
        <f t="shared" si="8"/>
        <v>1</v>
      </c>
      <c r="AE38" s="58">
        <f>IF(AA38=" "," ",IF('c-form'!AE15="",AN38,AN38+'c-form'!AE15))</f>
        <v>338.31</v>
      </c>
      <c r="AF38" s="150">
        <f t="shared" si="9"/>
        <v>13</v>
      </c>
      <c r="AM38">
        <f t="shared" si="2"/>
        <v>0.72</v>
      </c>
      <c r="AN38" s="54">
        <f t="shared" si="4"/>
        <v>0.71</v>
      </c>
    </row>
    <row r="39" spans="1:40" ht="22.5" customHeight="1">
      <c r="A39" s="60"/>
      <c r="B39" s="132">
        <v>27</v>
      </c>
      <c r="C39" s="264">
        <v>0.7</v>
      </c>
      <c r="D39" s="264">
        <v>0.7</v>
      </c>
      <c r="E39" s="264">
        <v>0.7</v>
      </c>
      <c r="F39" s="264">
        <v>0.7</v>
      </c>
      <c r="G39" s="264">
        <v>0.7</v>
      </c>
      <c r="H39" s="264">
        <v>0.7</v>
      </c>
      <c r="I39" s="264">
        <v>0.7</v>
      </c>
      <c r="J39" s="264">
        <v>0.69</v>
      </c>
      <c r="K39" s="264">
        <v>0.68</v>
      </c>
      <c r="L39" s="264">
        <v>0.67</v>
      </c>
      <c r="M39" s="264">
        <v>0.66</v>
      </c>
      <c r="N39" s="264">
        <v>0.65</v>
      </c>
      <c r="O39" s="264">
        <v>0.64</v>
      </c>
      <c r="P39" s="264">
        <v>0.62</v>
      </c>
      <c r="Q39" s="264">
        <v>0.6</v>
      </c>
      <c r="R39" s="264">
        <v>0.57999999999999996</v>
      </c>
      <c r="S39" s="264">
        <v>0.55000000000000004</v>
      </c>
      <c r="T39" s="264">
        <v>0.52</v>
      </c>
      <c r="U39" s="264">
        <v>0.5</v>
      </c>
      <c r="V39" s="264">
        <v>0.48</v>
      </c>
      <c r="W39" s="264">
        <v>0.46</v>
      </c>
      <c r="X39" s="264">
        <v>0.44</v>
      </c>
      <c r="Y39" s="264">
        <v>0.42</v>
      </c>
      <c r="Z39" s="264">
        <v>0.4</v>
      </c>
      <c r="AA39" s="57">
        <f t="shared" si="0"/>
        <v>0.60250000000000004</v>
      </c>
      <c r="AB39" s="58">
        <f>IF(AA39=" "," ",IF('c-form'!AE15="",AA39,AA39+'c-form'!AE15))</f>
        <v>338.20250000000004</v>
      </c>
      <c r="AC39" s="58">
        <f>IF(AA39=" "," ",IF('c-form'!AE15="",AM39,AM39+'c-form'!AE15))</f>
        <v>338.3</v>
      </c>
      <c r="AD39" s="150">
        <f t="shared" si="8"/>
        <v>1</v>
      </c>
      <c r="AE39" s="58">
        <f>IF(AA39=" "," ",IF('c-form'!AE15="",AN39,AN39+'c-form'!AE15))</f>
        <v>338</v>
      </c>
      <c r="AF39" s="150">
        <f t="shared" si="9"/>
        <v>24</v>
      </c>
      <c r="AM39">
        <f>IF(AB39=" "," ",MAX(C39:Z39))</f>
        <v>0.7</v>
      </c>
      <c r="AN39" s="54">
        <f t="shared" si="4"/>
        <v>0.4</v>
      </c>
    </row>
    <row r="40" spans="1:40" ht="22.5" customHeight="1">
      <c r="A40" s="60"/>
      <c r="B40" s="132">
        <v>28</v>
      </c>
      <c r="C40" s="264">
        <v>0.39</v>
      </c>
      <c r="D40" s="264">
        <v>0.38</v>
      </c>
      <c r="E40" s="264">
        <v>0.37</v>
      </c>
      <c r="F40" s="264">
        <v>0.36</v>
      </c>
      <c r="G40" s="264">
        <v>0.35</v>
      </c>
      <c r="H40" s="264">
        <v>0.34</v>
      </c>
      <c r="I40" s="264">
        <v>0.34</v>
      </c>
      <c r="J40" s="264">
        <v>0.34</v>
      </c>
      <c r="K40" s="264">
        <v>0.34</v>
      </c>
      <c r="L40" s="264">
        <v>0.34</v>
      </c>
      <c r="M40" s="264">
        <v>0.34</v>
      </c>
      <c r="N40" s="264">
        <v>0.34</v>
      </c>
      <c r="O40" s="264">
        <v>0.33</v>
      </c>
      <c r="P40" s="264">
        <v>0.33</v>
      </c>
      <c r="Q40" s="264">
        <v>0.33</v>
      </c>
      <c r="R40" s="264">
        <v>0.33</v>
      </c>
      <c r="S40" s="264">
        <v>0.33</v>
      </c>
      <c r="T40" s="264">
        <v>0.33</v>
      </c>
      <c r="U40" s="264">
        <v>0.33</v>
      </c>
      <c r="V40" s="264">
        <v>0.33</v>
      </c>
      <c r="W40" s="264">
        <v>0.33</v>
      </c>
      <c r="X40" s="264">
        <v>0.33</v>
      </c>
      <c r="Y40" s="264">
        <v>0.33</v>
      </c>
      <c r="Z40" s="264">
        <v>0.33</v>
      </c>
      <c r="AA40" s="57">
        <f t="shared" si="0"/>
        <v>0.34125</v>
      </c>
      <c r="AB40" s="58">
        <f>IF(AA40=" "," ",IF('c-form'!AE15="",AA40,AA40+'c-form'!AE15))</f>
        <v>337.94125000000003</v>
      </c>
      <c r="AC40" s="58">
        <f>IF(AA40=" "," ",IF('c-form'!AE15="",AM40,AM40+'c-form'!AE15))</f>
        <v>337.99</v>
      </c>
      <c r="AD40" s="150">
        <f t="shared" si="8"/>
        <v>1</v>
      </c>
      <c r="AE40" s="58">
        <f>IF(AA40=" "," ",IF('c-form'!AE15="",AN40,AN40+'c-form'!AE15))</f>
        <v>337.93</v>
      </c>
      <c r="AF40" s="150">
        <f t="shared" si="9"/>
        <v>13</v>
      </c>
      <c r="AM40">
        <f t="shared" si="2"/>
        <v>0.39</v>
      </c>
      <c r="AN40" s="54">
        <f t="shared" si="4"/>
        <v>0.33</v>
      </c>
    </row>
    <row r="41" spans="1:40" ht="22.5" customHeight="1">
      <c r="A41" s="60"/>
      <c r="B41" s="132">
        <v>29</v>
      </c>
      <c r="C41" s="264">
        <v>0.32</v>
      </c>
      <c r="D41" s="264">
        <v>0.32</v>
      </c>
      <c r="E41" s="264">
        <v>0.32</v>
      </c>
      <c r="F41" s="264">
        <v>0.32</v>
      </c>
      <c r="G41" s="264">
        <v>0.32</v>
      </c>
      <c r="H41" s="264">
        <v>0.32</v>
      </c>
      <c r="I41" s="264">
        <v>0.32</v>
      </c>
      <c r="J41" s="264">
        <v>0.32</v>
      </c>
      <c r="K41" s="264">
        <v>0.32</v>
      </c>
      <c r="L41" s="264">
        <v>0.32</v>
      </c>
      <c r="M41" s="264">
        <v>0.32</v>
      </c>
      <c r="N41" s="264">
        <v>0.32</v>
      </c>
      <c r="O41" s="264">
        <v>0.32</v>
      </c>
      <c r="P41" s="264">
        <v>0.32</v>
      </c>
      <c r="Q41" s="264">
        <v>0.32</v>
      </c>
      <c r="R41" s="264">
        <v>0.32</v>
      </c>
      <c r="S41" s="264">
        <v>0.32</v>
      </c>
      <c r="T41" s="264">
        <v>0.32</v>
      </c>
      <c r="U41" s="264">
        <v>0.32</v>
      </c>
      <c r="V41" s="264">
        <v>0.32</v>
      </c>
      <c r="W41" s="264">
        <v>0.32</v>
      </c>
      <c r="X41" s="264">
        <v>0.32</v>
      </c>
      <c r="Y41" s="264">
        <v>0.32</v>
      </c>
      <c r="Z41" s="264">
        <v>0.32</v>
      </c>
      <c r="AA41" s="57">
        <f t="shared" si="0"/>
        <v>0.32000000000000012</v>
      </c>
      <c r="AB41" s="58">
        <f>IF(AA41=" "," ",IF('c-form'!AE15="",AA41,AA41+'c-form'!AE15))</f>
        <v>337.92</v>
      </c>
      <c r="AC41" s="58">
        <f>IF(AA41=" "," ",IF('c-form'!AE15="",AM41,AM41+'c-form'!AE15))</f>
        <v>337.92</v>
      </c>
      <c r="AD41" s="150">
        <f t="shared" si="8"/>
        <v>1</v>
      </c>
      <c r="AE41" s="58">
        <f>IF(AA41=" "," ",IF('c-form'!AE15="",AN41,AN41+'c-form'!AE15))</f>
        <v>337.92</v>
      </c>
      <c r="AF41" s="150">
        <f t="shared" si="9"/>
        <v>1</v>
      </c>
      <c r="AM41">
        <f>IF(AB41=" "," ",MAX(C41:Z41))</f>
        <v>0.32</v>
      </c>
      <c r="AN41" s="54">
        <f t="shared" si="4"/>
        <v>0.32</v>
      </c>
    </row>
    <row r="42" spans="1:40" ht="22.5" customHeight="1">
      <c r="A42" s="60"/>
      <c r="B42" s="132">
        <v>30</v>
      </c>
      <c r="C42" s="264">
        <v>0.33</v>
      </c>
      <c r="D42" s="264">
        <v>0.33</v>
      </c>
      <c r="E42" s="264">
        <v>0.33</v>
      </c>
      <c r="F42" s="264">
        <v>0.33</v>
      </c>
      <c r="G42" s="264">
        <v>0.33</v>
      </c>
      <c r="H42" s="264">
        <v>0.33</v>
      </c>
      <c r="I42" s="264">
        <v>0.33</v>
      </c>
      <c r="J42" s="264">
        <v>0.33</v>
      </c>
      <c r="K42" s="264">
        <v>0.33</v>
      </c>
      <c r="L42" s="264">
        <v>0.33</v>
      </c>
      <c r="M42" s="264">
        <v>0.33</v>
      </c>
      <c r="N42" s="264">
        <v>0.33</v>
      </c>
      <c r="O42" s="264">
        <v>0.33</v>
      </c>
      <c r="P42" s="264">
        <v>0.33</v>
      </c>
      <c r="Q42" s="264">
        <v>0.33</v>
      </c>
      <c r="R42" s="264">
        <v>0.33</v>
      </c>
      <c r="S42" s="264">
        <v>0.33</v>
      </c>
      <c r="T42" s="264">
        <v>0.33</v>
      </c>
      <c r="U42" s="264">
        <v>0.33</v>
      </c>
      <c r="V42" s="264">
        <v>0.33</v>
      </c>
      <c r="W42" s="264">
        <v>0.33</v>
      </c>
      <c r="X42" s="264">
        <v>0.33</v>
      </c>
      <c r="Y42" s="264">
        <v>0.33</v>
      </c>
      <c r="Z42" s="264">
        <v>0.33</v>
      </c>
      <c r="AA42" s="57">
        <f>IF(ISERROR(AVERAGE(C42:Z42))," ",AVERAGE(C42:Z42))</f>
        <v>0.33</v>
      </c>
      <c r="AB42" s="58">
        <f>IF(AA42=" "," ",IF('c-form'!AE15="",AA42,AA42+'c-form'!AE15))</f>
        <v>337.93</v>
      </c>
      <c r="AC42" s="58">
        <f>IF(AM42=" "," ",IF('c-form'!AE15="",AA42,AM42+'c-form'!AE15))</f>
        <v>337.93</v>
      </c>
      <c r="AD42" s="150">
        <f>IF(AB42=" "," ",MATCH(AM42,C42:Z42,0))</f>
        <v>1</v>
      </c>
      <c r="AE42" s="58">
        <f>IF(AN42=" "," ",IF('c-form'!AE15="",AA42,AN42+'c-form'!AE15))</f>
        <v>337.93</v>
      </c>
      <c r="AF42" s="150">
        <f>IF(AD42=" "," ",MATCH(AN42,C42:Z42,0))</f>
        <v>1</v>
      </c>
      <c r="AM42">
        <f t="shared" si="2"/>
        <v>0.33</v>
      </c>
      <c r="AN42" s="54">
        <f t="shared" si="4"/>
        <v>0.33</v>
      </c>
    </row>
    <row r="43" spans="1:40" ht="24" customHeight="1">
      <c r="A43" s="60"/>
      <c r="B43" s="132">
        <v>31</v>
      </c>
      <c r="C43" s="264">
        <v>0.33</v>
      </c>
      <c r="D43" s="264">
        <v>0.33</v>
      </c>
      <c r="E43" s="264">
        <v>0.33</v>
      </c>
      <c r="F43" s="264">
        <v>0.33</v>
      </c>
      <c r="G43" s="264">
        <v>0.33</v>
      </c>
      <c r="H43" s="264">
        <v>0.33</v>
      </c>
      <c r="I43" s="264">
        <v>0.34</v>
      </c>
      <c r="J43" s="264">
        <v>0.34</v>
      </c>
      <c r="K43" s="264">
        <v>0.35</v>
      </c>
      <c r="L43" s="264">
        <v>0.36</v>
      </c>
      <c r="M43" s="264">
        <v>0.37</v>
      </c>
      <c r="N43" s="264">
        <v>0.38</v>
      </c>
      <c r="O43" s="264">
        <v>0.39</v>
      </c>
      <c r="P43" s="264">
        <v>0.4</v>
      </c>
      <c r="Q43" s="264">
        <v>0.41</v>
      </c>
      <c r="R43" s="264">
        <v>0.42</v>
      </c>
      <c r="S43" s="264">
        <v>0.44</v>
      </c>
      <c r="T43" s="264">
        <v>0.46</v>
      </c>
      <c r="U43" s="264">
        <v>0.48</v>
      </c>
      <c r="V43" s="264">
        <v>0.5</v>
      </c>
      <c r="W43" s="264">
        <v>0.52</v>
      </c>
      <c r="X43" s="264">
        <v>0.54</v>
      </c>
      <c r="Y43" s="264">
        <v>0.56000000000000005</v>
      </c>
      <c r="Z43" s="264">
        <v>0.57999999999999996</v>
      </c>
      <c r="AA43" s="57">
        <f>IF(ISERR(AVERAGE(C43:Z43))," ",AVERAGE(C43:Z43))</f>
        <v>0.40916666666666668</v>
      </c>
      <c r="AB43" s="58">
        <f>IF(AA43=" "," ",IF('c-form'!AE15="",AA43,AA43+'c-form'!AE15))</f>
        <v>338.00916666666672</v>
      </c>
      <c r="AC43" s="58">
        <f>IF(AM43=" "," ",IF('c-form'!AE15="",AA43,AM43+'c-form'!AE15))</f>
        <v>338.18</v>
      </c>
      <c r="AD43" s="150">
        <f>IF(AB43=" "," ",MATCH(AM43,C43:Z43,0))</f>
        <v>24</v>
      </c>
      <c r="AE43" s="58">
        <f>IF(AN43=" "," ",IF('c-form'!AE15="",AA43,AN43+'c-form'!AE15))</f>
        <v>337.93</v>
      </c>
      <c r="AF43" s="150">
        <f>IF(AD43=" "," ",MATCH(AN43,C43:Z43,0))</f>
        <v>1</v>
      </c>
      <c r="AM43">
        <f t="shared" si="2"/>
        <v>0.57999999999999996</v>
      </c>
      <c r="AN43" s="54">
        <f t="shared" si="4"/>
        <v>0.33</v>
      </c>
    </row>
    <row r="44" spans="1:40" s="60" customFormat="1" ht="10.5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</row>
    <row r="45" spans="1:40" s="80" customFormat="1" ht="23.25" customHeight="1">
      <c r="B45" s="331" t="s">
        <v>68</v>
      </c>
      <c r="C45" s="331"/>
      <c r="D45" s="331"/>
      <c r="E45" s="332">
        <f>IF(COUNT(AC11:AC43)=0," ",MAX(AC11:AC43))</f>
        <v>338.34000000000003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19</v>
      </c>
      <c r="M45" s="352" t="s">
        <v>292</v>
      </c>
      <c r="N45" s="282"/>
      <c r="O45" s="202">
        <f>IF(COUNT(AC11:AC43)=0," ",INDEX(AD11:AD43,AM45))</f>
        <v>19</v>
      </c>
      <c r="P45" s="331" t="s">
        <v>72</v>
      </c>
      <c r="Q45" s="331"/>
      <c r="R45" s="331"/>
      <c r="S45" s="336">
        <f>IF(COUNT(AC11:AC43)=0," ",AVERAGE(AB11:AB43))</f>
        <v>338.05455645161294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20</v>
      </c>
      <c r="AN45" s="83"/>
    </row>
    <row r="46" spans="1:40" s="80" customFormat="1" ht="20.100000000000001" customHeight="1">
      <c r="B46" s="331" t="s">
        <v>69</v>
      </c>
      <c r="C46" s="331"/>
      <c r="D46" s="331"/>
      <c r="E46" s="332">
        <f>IF(COUNT(AC11:AC43)=0," ",MIN(AE11:AE43))</f>
        <v>337.92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29</v>
      </c>
      <c r="M46" s="352" t="s">
        <v>292</v>
      </c>
      <c r="N46" s="282"/>
      <c r="O46" s="202">
        <f>IF(COUNT(AC11:AC43)=0," ",INDEX(AF11:AF43,AM46))</f>
        <v>1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80" t="s">
        <v>74</v>
      </c>
      <c r="AB46" s="84"/>
      <c r="AC46" s="84"/>
      <c r="AD46" s="84"/>
      <c r="AE46" s="84"/>
      <c r="AF46" s="84"/>
      <c r="AM46" s="80">
        <f>MATCH(E46,AE11:AE43,0)</f>
        <v>31</v>
      </c>
    </row>
    <row r="47" spans="1:40" ht="20.100000000000001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40" ht="20.100000000000001" customHeight="1">
      <c r="B48" s="63"/>
      <c r="C48" s="63"/>
      <c r="D48" s="63"/>
      <c r="E48" s="62"/>
      <c r="F48" s="56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</row>
    <row r="49" ht="20.100000000000001" customHeight="1"/>
  </sheetData>
  <sheetProtection password="D965" sheet="1" objects="1" scenarios="1"/>
  <mergeCells count="34">
    <mergeCell ref="AE4:AH4"/>
    <mergeCell ref="AE7:AH7"/>
    <mergeCell ref="C5:E5"/>
    <mergeCell ref="AD1:AE1"/>
    <mergeCell ref="B2:D2"/>
    <mergeCell ref="E2:AC2"/>
    <mergeCell ref="G5:H5"/>
    <mergeCell ref="J5:N5"/>
    <mergeCell ref="P5:S5"/>
    <mergeCell ref="U5:W5"/>
    <mergeCell ref="Y5:Z5"/>
    <mergeCell ref="AA5:AC5"/>
    <mergeCell ref="P7:R7"/>
    <mergeCell ref="S7:V7"/>
    <mergeCell ref="W7:X7"/>
    <mergeCell ref="AC7:AD7"/>
    <mergeCell ref="B7:C7"/>
    <mergeCell ref="D7:E7"/>
    <mergeCell ref="G7:H7"/>
    <mergeCell ref="L7:O7"/>
    <mergeCell ref="S45:T45"/>
    <mergeCell ref="M45:N45"/>
    <mergeCell ref="B9:B10"/>
    <mergeCell ref="C9:Z9"/>
    <mergeCell ref="AB9:AC9"/>
    <mergeCell ref="AD9:AF9"/>
    <mergeCell ref="B46:D46"/>
    <mergeCell ref="E46:F46"/>
    <mergeCell ref="P46:Q46"/>
    <mergeCell ref="AA9:AA10"/>
    <mergeCell ref="M46:N46"/>
    <mergeCell ref="B45:D45"/>
    <mergeCell ref="E45:F45"/>
    <mergeCell ref="P45:R45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5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N49"/>
  <sheetViews>
    <sheetView showGridLines="0" zoomScaleNormal="100" workbookViewId="0">
      <pane xSplit="2" ySplit="10" topLeftCell="G29" activePane="bottomRight" state="frozen"/>
      <selection pane="topRight" activeCell="C1" sqref="C1"/>
      <selection pane="bottomLeft" activeCell="A11" sqref="A11"/>
      <selection pane="bottomRight" activeCell="Q41" sqref="Q41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7.28515625" customWidth="1"/>
    <col min="34" max="38" width="0" hidden="1" customWidth="1"/>
    <col min="39" max="39" width="8.5703125" hidden="1" customWidth="1"/>
    <col min="40" max="40" width="9.5703125" hidden="1" customWidth="1"/>
  </cols>
  <sheetData>
    <row r="1" spans="1:40" s="85" customFormat="1" ht="9" customHeight="1">
      <c r="AD1" s="344" t="s">
        <v>108</v>
      </c>
      <c r="AE1" s="345"/>
    </row>
    <row r="2" spans="1:40" s="85" customFormat="1" ht="21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s="85" customFormat="1" ht="18" customHeight="1">
      <c r="B3" s="73" t="s">
        <v>106</v>
      </c>
      <c r="C3" s="73"/>
      <c r="D3" s="73"/>
      <c r="AA3" s="158"/>
      <c r="AB3" s="158"/>
      <c r="AC3" s="158"/>
      <c r="AD3" s="158"/>
      <c r="AE3" s="158"/>
      <c r="AF3" s="158"/>
    </row>
    <row r="4" spans="1:40" s="85" customFormat="1" ht="24">
      <c r="F4" s="86"/>
      <c r="AA4" s="158"/>
      <c r="AB4" s="158"/>
      <c r="AC4" s="158"/>
      <c r="AD4" s="159" t="s">
        <v>123</v>
      </c>
      <c r="AE4" s="315"/>
      <c r="AF4" s="315"/>
      <c r="AG4" s="353"/>
    </row>
    <row r="5" spans="1:40" s="74" customFormat="1" ht="18.75" customHeight="1">
      <c r="B5" s="75" t="s">
        <v>109</v>
      </c>
      <c r="C5" s="318" t="str">
        <f>IF(ISBLANK(rsteam),"",rsteam)</f>
        <v>Nam  Ping</v>
      </c>
      <c r="D5" s="311"/>
      <c r="E5" s="311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</row>
    <row r="6" spans="1:40" s="74" customFormat="1" ht="11.25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0" s="74" customFormat="1" ht="20.25" customHeight="1">
      <c r="B7" s="324" t="s">
        <v>116</v>
      </c>
      <c r="C7" s="324"/>
      <c r="D7" s="325" t="s">
        <v>62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</row>
    <row r="8" spans="1:40" s="85" customFormat="1" ht="15.75" customHeight="1">
      <c r="AA8" s="158"/>
      <c r="AB8" s="158"/>
      <c r="AC8" s="158"/>
      <c r="AD8" s="158"/>
      <c r="AE8" s="158"/>
      <c r="AF8" s="158"/>
    </row>
    <row r="9" spans="1:40" s="52" customFormat="1" ht="30.75" customHeight="1">
      <c r="A9" s="55"/>
      <c r="B9" s="337" t="s">
        <v>127</v>
      </c>
      <c r="C9" s="362" t="s">
        <v>129</v>
      </c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3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0" s="52" customFormat="1" ht="21" customHeight="1">
      <c r="A10" s="55"/>
      <c r="B10" s="338"/>
      <c r="C10" s="61">
        <v>1</v>
      </c>
      <c r="D10" s="61">
        <v>2</v>
      </c>
      <c r="E10" s="61">
        <v>3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  <c r="M10" s="61">
        <v>11</v>
      </c>
      <c r="N10" s="61">
        <v>12</v>
      </c>
      <c r="O10" s="61">
        <v>13</v>
      </c>
      <c r="P10" s="61">
        <v>14</v>
      </c>
      <c r="Q10" s="61">
        <v>15</v>
      </c>
      <c r="R10" s="61">
        <v>16</v>
      </c>
      <c r="S10" s="61">
        <v>17</v>
      </c>
      <c r="T10" s="61">
        <v>18</v>
      </c>
      <c r="U10" s="61">
        <v>19</v>
      </c>
      <c r="V10" s="61">
        <v>20</v>
      </c>
      <c r="W10" s="61">
        <v>21</v>
      </c>
      <c r="X10" s="61">
        <v>22</v>
      </c>
      <c r="Y10" s="61">
        <v>23</v>
      </c>
      <c r="Z10" s="61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225"/>
      <c r="B11" s="132">
        <v>1</v>
      </c>
      <c r="C11" s="264">
        <v>0.56000000000000005</v>
      </c>
      <c r="D11" s="264">
        <v>0.56000000000000005</v>
      </c>
      <c r="E11" s="264">
        <v>0.56000000000000005</v>
      </c>
      <c r="F11" s="264">
        <v>0.56000000000000005</v>
      </c>
      <c r="G11" s="264">
        <v>0.56000000000000005</v>
      </c>
      <c r="H11" s="264">
        <v>0.56000000000000005</v>
      </c>
      <c r="I11" s="264">
        <v>0.56000000000000005</v>
      </c>
      <c r="J11" s="264">
        <v>0.56000000000000005</v>
      </c>
      <c r="K11" s="264">
        <v>0.56000000000000005</v>
      </c>
      <c r="L11" s="264">
        <v>0.56000000000000005</v>
      </c>
      <c r="M11" s="264">
        <v>0.56000000000000005</v>
      </c>
      <c r="N11" s="264">
        <v>0.56000000000000005</v>
      </c>
      <c r="O11" s="264">
        <v>0.56000000000000005</v>
      </c>
      <c r="P11" s="264">
        <v>0.56000000000000005</v>
      </c>
      <c r="Q11" s="264">
        <v>0.56000000000000005</v>
      </c>
      <c r="R11" s="264">
        <v>0.56000000000000005</v>
      </c>
      <c r="S11" s="264">
        <v>0.56000000000000005</v>
      </c>
      <c r="T11" s="264">
        <v>0.56000000000000005</v>
      </c>
      <c r="U11" s="264">
        <v>0.56000000000000005</v>
      </c>
      <c r="V11" s="264">
        <v>0.56000000000000005</v>
      </c>
      <c r="W11" s="264">
        <v>0.56000000000000005</v>
      </c>
      <c r="X11" s="264">
        <v>0.56000000000000005</v>
      </c>
      <c r="Y11" s="264">
        <v>0.56000000000000005</v>
      </c>
      <c r="Z11" s="264">
        <v>0.56000000000000005</v>
      </c>
      <c r="AA11" s="57">
        <f t="shared" ref="AA11:AA41" si="0">IF(ISERROR(AVERAGE(C11:Z11))," ",AVERAGE(C11:Z11))</f>
        <v>0.56000000000000039</v>
      </c>
      <c r="AB11" s="58">
        <f>IF(AA11=" "," ",IF('c-form'!AE15="",AA11,AA11+'c-form'!AE15))</f>
        <v>338.16</v>
      </c>
      <c r="AC11" s="58">
        <f>IF(AA11=" "," ",IF('c-form'!AE15="",AM11,AM11+'c-form'!AE15))</f>
        <v>338.16</v>
      </c>
      <c r="AD11" s="150">
        <f>IF(AB11=" "," ",MATCH(AM11,C11:Z11,0))</f>
        <v>1</v>
      </c>
      <c r="AE11" s="58">
        <f>IF(AA11=" "," ",IF('c-form'!AE15="",AN11,AN11+'c-form'!AE15))</f>
        <v>338.16</v>
      </c>
      <c r="AF11" s="150">
        <f t="shared" ref="AF11:AF20" si="1">IF(AD11=" "," ",MATCH(AN11,C11:Z11,0))</f>
        <v>1</v>
      </c>
      <c r="AG11" s="63"/>
      <c r="AM11">
        <f>IF(AB11=" "," ",MAX(C11:Z11))</f>
        <v>0.56000000000000005</v>
      </c>
      <c r="AN11" s="54">
        <f>IF(AB11=" "," ",MIN(C11:Z11))</f>
        <v>0.56000000000000005</v>
      </c>
    </row>
    <row r="12" spans="1:40" ht="22.5" customHeight="1">
      <c r="A12" s="225"/>
      <c r="B12" s="132">
        <v>2</v>
      </c>
      <c r="C12" s="264">
        <v>0.54</v>
      </c>
      <c r="D12" s="264">
        <v>0.54</v>
      </c>
      <c r="E12" s="264">
        <v>0.54</v>
      </c>
      <c r="F12" s="264">
        <v>0.54</v>
      </c>
      <c r="G12" s="264">
        <v>0.54</v>
      </c>
      <c r="H12" s="264">
        <v>0.54</v>
      </c>
      <c r="I12" s="264">
        <v>0.54</v>
      </c>
      <c r="J12" s="264">
        <v>0.54</v>
      </c>
      <c r="K12" s="264">
        <v>0.54</v>
      </c>
      <c r="L12" s="264">
        <v>0.54</v>
      </c>
      <c r="M12" s="264">
        <v>0.54</v>
      </c>
      <c r="N12" s="264">
        <v>0.54</v>
      </c>
      <c r="O12" s="264">
        <v>0.54</v>
      </c>
      <c r="P12" s="264">
        <v>0.54</v>
      </c>
      <c r="Q12" s="264">
        <v>0.54</v>
      </c>
      <c r="R12" s="264">
        <v>0.54</v>
      </c>
      <c r="S12" s="264">
        <v>0.54</v>
      </c>
      <c r="T12" s="264">
        <v>0.54</v>
      </c>
      <c r="U12" s="264">
        <v>0.54</v>
      </c>
      <c r="V12" s="264">
        <v>0.54</v>
      </c>
      <c r="W12" s="264">
        <v>0.54</v>
      </c>
      <c r="X12" s="264">
        <v>0.54</v>
      </c>
      <c r="Y12" s="264">
        <v>0.54</v>
      </c>
      <c r="Z12" s="264">
        <v>0.54</v>
      </c>
      <c r="AA12" s="57">
        <f t="shared" si="0"/>
        <v>0.5399999999999997</v>
      </c>
      <c r="AB12" s="58">
        <f>IF(AA12=" "," ",IF('c-form'!AE15="",AA12,AA12+'c-form'!AE15))</f>
        <v>338.14000000000004</v>
      </c>
      <c r="AC12" s="58">
        <f>IF(AA12=" "," ",IF('c-form'!AE15="",AM12,AM12+'c-form'!AE15))</f>
        <v>338.14000000000004</v>
      </c>
      <c r="AD12" s="150">
        <f>IF(AB12=" "," ",MATCH(AM12,C12:Z12,0))</f>
        <v>1</v>
      </c>
      <c r="AE12" s="58">
        <f>IF(AA12=" "," ",IF('c-form'!AE15="",AN12,AN12+'c-form'!AE15))</f>
        <v>338.14000000000004</v>
      </c>
      <c r="AF12" s="150">
        <f t="shared" si="1"/>
        <v>1</v>
      </c>
      <c r="AG12" s="63"/>
      <c r="AM12">
        <f t="shared" ref="AM12:AM43" si="2">IF(AB12=" "," ",MAX(C12:Z12))</f>
        <v>0.54</v>
      </c>
      <c r="AN12" s="54">
        <f>IF(AB12=" "," ",MIN(C12:Z12))</f>
        <v>0.54</v>
      </c>
    </row>
    <row r="13" spans="1:40" ht="22.5" customHeight="1">
      <c r="A13" s="225"/>
      <c r="B13" s="132">
        <v>3</v>
      </c>
      <c r="C13" s="264">
        <v>0.54</v>
      </c>
      <c r="D13" s="264">
        <v>0.54</v>
      </c>
      <c r="E13" s="264">
        <v>0.54</v>
      </c>
      <c r="F13" s="264">
        <v>0.54</v>
      </c>
      <c r="G13" s="264">
        <v>0.54</v>
      </c>
      <c r="H13" s="264">
        <v>0.54</v>
      </c>
      <c r="I13" s="264">
        <v>0.54</v>
      </c>
      <c r="J13" s="264">
        <v>0.54</v>
      </c>
      <c r="K13" s="264">
        <v>0.54</v>
      </c>
      <c r="L13" s="264">
        <v>0.54</v>
      </c>
      <c r="M13" s="264">
        <v>0.54</v>
      </c>
      <c r="N13" s="264">
        <v>0.54</v>
      </c>
      <c r="O13" s="264">
        <v>0.54</v>
      </c>
      <c r="P13" s="264">
        <v>0.54</v>
      </c>
      <c r="Q13" s="264">
        <v>0.54</v>
      </c>
      <c r="R13" s="264">
        <v>0.54</v>
      </c>
      <c r="S13" s="264">
        <v>0.54</v>
      </c>
      <c r="T13" s="264">
        <v>0.54</v>
      </c>
      <c r="U13" s="264">
        <v>0.54</v>
      </c>
      <c r="V13" s="264">
        <v>0.54</v>
      </c>
      <c r="W13" s="264">
        <v>0.54</v>
      </c>
      <c r="X13" s="264">
        <v>0.54</v>
      </c>
      <c r="Y13" s="264">
        <v>0.54</v>
      </c>
      <c r="Z13" s="264">
        <v>0.54</v>
      </c>
      <c r="AA13" s="57">
        <f t="shared" si="0"/>
        <v>0.5399999999999997</v>
      </c>
      <c r="AB13" s="58">
        <f>IF(AA13=" "," ",IF('c-form'!AE15="",AA13,AA13+'c-form'!AE15))</f>
        <v>338.14000000000004</v>
      </c>
      <c r="AC13" s="58">
        <f>IF(AA13=" "," ",IF('c-form'!AE15="",AM13,AM13+'c-form'!AE15))</f>
        <v>338.14000000000004</v>
      </c>
      <c r="AD13" s="150">
        <f t="shared" ref="AD13:AD20" si="3">IF(AB13=" "," ",MATCH(AM13,C13:Z13,0))</f>
        <v>1</v>
      </c>
      <c r="AE13" s="58">
        <f>IF(AA13=" "," ",IF('c-form'!AE15="",AN13,AN13+'c-form'!AE15))</f>
        <v>338.14000000000004</v>
      </c>
      <c r="AF13" s="150">
        <f t="shared" si="1"/>
        <v>1</v>
      </c>
      <c r="AG13" s="63"/>
      <c r="AM13">
        <f t="shared" si="2"/>
        <v>0.54</v>
      </c>
      <c r="AN13" s="54">
        <f t="shared" ref="AN13:AN43" si="4">IF(AB13=" "," ",MIN(C13:Z13))</f>
        <v>0.54</v>
      </c>
    </row>
    <row r="14" spans="1:40" ht="22.5" customHeight="1">
      <c r="A14" s="225"/>
      <c r="B14" s="132">
        <v>4</v>
      </c>
      <c r="C14" s="264">
        <v>0.53</v>
      </c>
      <c r="D14" s="264">
        <v>0.53</v>
      </c>
      <c r="E14" s="264">
        <v>0.53</v>
      </c>
      <c r="F14" s="264">
        <v>0.53</v>
      </c>
      <c r="G14" s="264">
        <v>0.53</v>
      </c>
      <c r="H14" s="264">
        <v>0.53</v>
      </c>
      <c r="I14" s="264">
        <v>0.53</v>
      </c>
      <c r="J14" s="264">
        <v>0.53</v>
      </c>
      <c r="K14" s="264">
        <v>0.53</v>
      </c>
      <c r="L14" s="264">
        <v>0.53</v>
      </c>
      <c r="M14" s="264">
        <v>0.53</v>
      </c>
      <c r="N14" s="264">
        <v>0.54</v>
      </c>
      <c r="O14" s="264">
        <v>0.54</v>
      </c>
      <c r="P14" s="264">
        <v>0.54</v>
      </c>
      <c r="Q14" s="264">
        <v>0.54</v>
      </c>
      <c r="R14" s="264">
        <v>0.54</v>
      </c>
      <c r="S14" s="264">
        <v>0.54</v>
      </c>
      <c r="T14" s="264">
        <v>0.54</v>
      </c>
      <c r="U14" s="264">
        <v>0.53</v>
      </c>
      <c r="V14" s="264">
        <v>0.53</v>
      </c>
      <c r="W14" s="264">
        <v>0.53</v>
      </c>
      <c r="X14" s="264">
        <v>0.53</v>
      </c>
      <c r="Y14" s="264">
        <v>0.53</v>
      </c>
      <c r="Z14" s="264">
        <v>0.53</v>
      </c>
      <c r="AA14" s="57">
        <f t="shared" si="0"/>
        <v>0.53291666666666648</v>
      </c>
      <c r="AB14" s="58">
        <f>IF(AA14=" "," ",IF('c-form'!AE15="",AA14,AA14+'c-form'!AE15))</f>
        <v>338.13291666666669</v>
      </c>
      <c r="AC14" s="58">
        <f>IF(AA14=" "," ",IF('c-form'!AE15="",AM14,AM14+'c-form'!AE15))</f>
        <v>338.14000000000004</v>
      </c>
      <c r="AD14" s="150">
        <f t="shared" si="3"/>
        <v>12</v>
      </c>
      <c r="AE14" s="58">
        <f>IF(AA14=" "," ",IF('c-form'!AE15="",AN14,AN14+'c-form'!AE15))</f>
        <v>338.13</v>
      </c>
      <c r="AF14" s="150">
        <f t="shared" si="1"/>
        <v>1</v>
      </c>
      <c r="AG14" s="63"/>
      <c r="AM14">
        <f t="shared" si="2"/>
        <v>0.54</v>
      </c>
      <c r="AN14" s="54">
        <f t="shared" si="4"/>
        <v>0.53</v>
      </c>
    </row>
    <row r="15" spans="1:40" ht="22.5" customHeight="1">
      <c r="A15" s="225"/>
      <c r="B15" s="132">
        <v>5</v>
      </c>
      <c r="C15" s="264">
        <v>0.52</v>
      </c>
      <c r="D15" s="264">
        <v>0.52</v>
      </c>
      <c r="E15" s="264">
        <v>0.52</v>
      </c>
      <c r="F15" s="264">
        <v>0.52</v>
      </c>
      <c r="G15" s="264">
        <v>0.52</v>
      </c>
      <c r="H15" s="264">
        <v>0.52</v>
      </c>
      <c r="I15" s="264">
        <v>0.52</v>
      </c>
      <c r="J15" s="264">
        <v>0.52</v>
      </c>
      <c r="K15" s="264">
        <v>0.52</v>
      </c>
      <c r="L15" s="264">
        <v>0.52</v>
      </c>
      <c r="M15" s="264">
        <v>0.52</v>
      </c>
      <c r="N15" s="264">
        <v>0.52</v>
      </c>
      <c r="O15" s="264">
        <v>0.52</v>
      </c>
      <c r="P15" s="264">
        <v>0.52</v>
      </c>
      <c r="Q15" s="264">
        <v>0.52</v>
      </c>
      <c r="R15" s="264">
        <v>0.52</v>
      </c>
      <c r="S15" s="264">
        <v>0.52</v>
      </c>
      <c r="T15" s="264">
        <v>0.52</v>
      </c>
      <c r="U15" s="264">
        <v>0.52</v>
      </c>
      <c r="V15" s="264">
        <v>0.52</v>
      </c>
      <c r="W15" s="264">
        <v>0.52</v>
      </c>
      <c r="X15" s="264">
        <v>0.52</v>
      </c>
      <c r="Y15" s="264">
        <v>0.52</v>
      </c>
      <c r="Z15" s="264">
        <v>0.52</v>
      </c>
      <c r="AA15" s="57">
        <f t="shared" si="0"/>
        <v>0.51999999999999968</v>
      </c>
      <c r="AB15" s="58">
        <f>IF(AA15=" "," ",IF('c-form'!AE15="",AA15,AA15+'c-form'!AE15))</f>
        <v>338.12</v>
      </c>
      <c r="AC15" s="58">
        <f>IF(AA15=" "," ",IF('c-form'!AE15="",AM15,AM15+'c-form'!AE15))</f>
        <v>338.12</v>
      </c>
      <c r="AD15" s="150">
        <f t="shared" si="3"/>
        <v>1</v>
      </c>
      <c r="AE15" s="58">
        <f>IF(AA15=" "," ",IF('c-form'!AE15="",AN15,AN15+'c-form'!AE15))</f>
        <v>338.12</v>
      </c>
      <c r="AF15" s="150">
        <f t="shared" si="1"/>
        <v>1</v>
      </c>
      <c r="AG15" s="63"/>
      <c r="AM15">
        <f t="shared" si="2"/>
        <v>0.52</v>
      </c>
      <c r="AN15" s="54">
        <f t="shared" si="4"/>
        <v>0.52</v>
      </c>
    </row>
    <row r="16" spans="1:40" ht="22.5" customHeight="1">
      <c r="A16" s="225"/>
      <c r="B16" s="132">
        <v>6</v>
      </c>
      <c r="C16" s="264">
        <v>0.51</v>
      </c>
      <c r="D16" s="264">
        <v>0.51</v>
      </c>
      <c r="E16" s="264">
        <v>0.51</v>
      </c>
      <c r="F16" s="264">
        <v>0.51</v>
      </c>
      <c r="G16" s="264">
        <v>0.51</v>
      </c>
      <c r="H16" s="264">
        <v>0.51</v>
      </c>
      <c r="I16" s="264">
        <v>0.51</v>
      </c>
      <c r="J16" s="264">
        <v>0.51</v>
      </c>
      <c r="K16" s="264">
        <v>0.51</v>
      </c>
      <c r="L16" s="264">
        <v>0.51</v>
      </c>
      <c r="M16" s="264">
        <v>0.51</v>
      </c>
      <c r="N16" s="264">
        <v>0.51</v>
      </c>
      <c r="O16" s="264">
        <v>0.51</v>
      </c>
      <c r="P16" s="264">
        <v>0.51</v>
      </c>
      <c r="Q16" s="264">
        <v>0.51</v>
      </c>
      <c r="R16" s="264">
        <v>0.51</v>
      </c>
      <c r="S16" s="264">
        <v>0.51</v>
      </c>
      <c r="T16" s="264">
        <v>0.51</v>
      </c>
      <c r="U16" s="264">
        <v>0.51</v>
      </c>
      <c r="V16" s="264">
        <v>0.51</v>
      </c>
      <c r="W16" s="264">
        <v>0.51</v>
      </c>
      <c r="X16" s="264">
        <v>0.51</v>
      </c>
      <c r="Y16" s="264">
        <v>0.51</v>
      </c>
      <c r="Z16" s="264">
        <v>0.51</v>
      </c>
      <c r="AA16" s="57">
        <f t="shared" si="0"/>
        <v>0.5099999999999999</v>
      </c>
      <c r="AB16" s="58">
        <f>IF(AA16=" "," ",IF('c-form'!AE15="",AA16,AA16+'c-form'!AE15))</f>
        <v>338.11</v>
      </c>
      <c r="AC16" s="58">
        <f>IF(AA16=" "," ",IF('c-form'!AE15="",AM16,AM16+'c-form'!AE15))</f>
        <v>338.11</v>
      </c>
      <c r="AD16" s="150">
        <f t="shared" si="3"/>
        <v>1</v>
      </c>
      <c r="AE16" s="58">
        <f>IF(AA16=" "," ",IF('c-form'!AE15="",AN16,AN16+'c-form'!AE15))</f>
        <v>338.11</v>
      </c>
      <c r="AF16" s="150">
        <f t="shared" si="1"/>
        <v>1</v>
      </c>
      <c r="AG16" s="63"/>
      <c r="AM16">
        <f t="shared" si="2"/>
        <v>0.51</v>
      </c>
      <c r="AN16" s="54">
        <f t="shared" si="4"/>
        <v>0.51</v>
      </c>
    </row>
    <row r="17" spans="1:40" ht="22.5" customHeight="1">
      <c r="A17" s="225"/>
      <c r="B17" s="132">
        <v>7</v>
      </c>
      <c r="C17" s="264">
        <v>0.5</v>
      </c>
      <c r="D17" s="264">
        <v>0.5</v>
      </c>
      <c r="E17" s="264">
        <v>0.5</v>
      </c>
      <c r="F17" s="264">
        <v>0.5</v>
      </c>
      <c r="G17" s="264">
        <v>0.5</v>
      </c>
      <c r="H17" s="264">
        <v>0.5</v>
      </c>
      <c r="I17" s="264">
        <v>0.5</v>
      </c>
      <c r="J17" s="264">
        <v>0.5</v>
      </c>
      <c r="K17" s="264">
        <v>0.5</v>
      </c>
      <c r="L17" s="264">
        <v>0.5</v>
      </c>
      <c r="M17" s="264">
        <v>0.5</v>
      </c>
      <c r="N17" s="264">
        <v>0.5</v>
      </c>
      <c r="O17" s="264">
        <v>0.5</v>
      </c>
      <c r="P17" s="264">
        <v>0.5</v>
      </c>
      <c r="Q17" s="264">
        <v>0.5</v>
      </c>
      <c r="R17" s="264">
        <v>0.5</v>
      </c>
      <c r="S17" s="264">
        <v>0.5</v>
      </c>
      <c r="T17" s="264">
        <v>0.5</v>
      </c>
      <c r="U17" s="264">
        <v>0.5</v>
      </c>
      <c r="V17" s="264">
        <v>0.5</v>
      </c>
      <c r="W17" s="264">
        <v>0.5</v>
      </c>
      <c r="X17" s="264">
        <v>0.5</v>
      </c>
      <c r="Y17" s="264">
        <v>0.5</v>
      </c>
      <c r="Z17" s="264">
        <v>0.5</v>
      </c>
      <c r="AA17" s="57">
        <f t="shared" si="0"/>
        <v>0.5</v>
      </c>
      <c r="AB17" s="58">
        <f>IF(AA17=" "," ",IF('c-form'!AE15="",AA17,AA17+'c-form'!AE15))</f>
        <v>338.1</v>
      </c>
      <c r="AC17" s="58">
        <f>IF(AA17=" "," ",IF('c-form'!AE15="",AM17,AM17+'c-form'!AE15))</f>
        <v>338.1</v>
      </c>
      <c r="AD17" s="150">
        <f t="shared" si="3"/>
        <v>1</v>
      </c>
      <c r="AE17" s="58">
        <f>IF(AA17=" "," ",IF('c-form'!AE15="",AN17,AN17+'c-form'!AE15))</f>
        <v>338.1</v>
      </c>
      <c r="AF17" s="150">
        <f t="shared" si="1"/>
        <v>1</v>
      </c>
      <c r="AG17" s="63"/>
      <c r="AM17">
        <f t="shared" si="2"/>
        <v>0.5</v>
      </c>
      <c r="AN17" s="54">
        <f t="shared" si="4"/>
        <v>0.5</v>
      </c>
    </row>
    <row r="18" spans="1:40" ht="22.5" customHeight="1">
      <c r="A18" s="225"/>
      <c r="B18" s="132">
        <v>8</v>
      </c>
      <c r="C18" s="264">
        <v>0.5</v>
      </c>
      <c r="D18" s="264">
        <v>0.5</v>
      </c>
      <c r="E18" s="264">
        <v>0.5</v>
      </c>
      <c r="F18" s="264">
        <v>0.5</v>
      </c>
      <c r="G18" s="264">
        <v>0.5</v>
      </c>
      <c r="H18" s="264">
        <v>0.5</v>
      </c>
      <c r="I18" s="264">
        <v>0.5</v>
      </c>
      <c r="J18" s="264">
        <v>0.5</v>
      </c>
      <c r="K18" s="264">
        <v>0.5</v>
      </c>
      <c r="L18" s="264">
        <v>0.5</v>
      </c>
      <c r="M18" s="264">
        <v>0.5</v>
      </c>
      <c r="N18" s="264">
        <v>0.5</v>
      </c>
      <c r="O18" s="264">
        <v>0.5</v>
      </c>
      <c r="P18" s="264">
        <v>0.5</v>
      </c>
      <c r="Q18" s="264">
        <v>0.5</v>
      </c>
      <c r="R18" s="264">
        <v>0.5</v>
      </c>
      <c r="S18" s="264">
        <v>0.5</v>
      </c>
      <c r="T18" s="264">
        <v>0.5</v>
      </c>
      <c r="U18" s="264">
        <v>0.5</v>
      </c>
      <c r="V18" s="264">
        <v>0.5</v>
      </c>
      <c r="W18" s="264">
        <v>0.5</v>
      </c>
      <c r="X18" s="264">
        <v>0.5</v>
      </c>
      <c r="Y18" s="264">
        <v>0.5</v>
      </c>
      <c r="Z18" s="264">
        <v>0.5</v>
      </c>
      <c r="AA18" s="57">
        <f t="shared" si="0"/>
        <v>0.5</v>
      </c>
      <c r="AB18" s="58">
        <f>IF(AA18=" "," ",IF('c-form'!AE15="",AA18,AA18+'c-form'!AE15))</f>
        <v>338.1</v>
      </c>
      <c r="AC18" s="58">
        <f>IF(AA18=" "," ",IF('c-form'!AE15="",AM18,AM18+'c-form'!AE15))</f>
        <v>338.1</v>
      </c>
      <c r="AD18" s="150">
        <f t="shared" si="3"/>
        <v>1</v>
      </c>
      <c r="AE18" s="58">
        <f>IF(AA18=" "," ",IF('c-form'!AE15="",AN18,AN18+'c-form'!AE15))</f>
        <v>338.1</v>
      </c>
      <c r="AF18" s="150">
        <f t="shared" si="1"/>
        <v>1</v>
      </c>
      <c r="AG18" s="63"/>
      <c r="AM18">
        <f t="shared" si="2"/>
        <v>0.5</v>
      </c>
      <c r="AN18" s="54">
        <f t="shared" si="4"/>
        <v>0.5</v>
      </c>
    </row>
    <row r="19" spans="1:40" ht="22.5" customHeight="1">
      <c r="A19" s="225"/>
      <c r="B19" s="132">
        <v>9</v>
      </c>
      <c r="C19" s="264">
        <v>0.49</v>
      </c>
      <c r="D19" s="264">
        <v>0.49</v>
      </c>
      <c r="E19" s="264">
        <v>0.49</v>
      </c>
      <c r="F19" s="264">
        <v>0.49</v>
      </c>
      <c r="G19" s="264">
        <v>0.49</v>
      </c>
      <c r="H19" s="264">
        <v>0.49</v>
      </c>
      <c r="I19" s="264">
        <v>0.49</v>
      </c>
      <c r="J19" s="264">
        <v>0.49</v>
      </c>
      <c r="K19" s="264">
        <v>0.49</v>
      </c>
      <c r="L19" s="264">
        <v>0.49</v>
      </c>
      <c r="M19" s="264">
        <v>0.49</v>
      </c>
      <c r="N19" s="264">
        <v>0.49</v>
      </c>
      <c r="O19" s="264">
        <v>0.49</v>
      </c>
      <c r="P19" s="264">
        <v>0.49</v>
      </c>
      <c r="Q19" s="264">
        <v>0.49</v>
      </c>
      <c r="R19" s="264">
        <v>0.49</v>
      </c>
      <c r="S19" s="264">
        <v>0.49</v>
      </c>
      <c r="T19" s="264">
        <v>0.49</v>
      </c>
      <c r="U19" s="264">
        <v>0.49</v>
      </c>
      <c r="V19" s="264">
        <v>0.49</v>
      </c>
      <c r="W19" s="264">
        <v>0.49</v>
      </c>
      <c r="X19" s="264">
        <v>0.49</v>
      </c>
      <c r="Y19" s="264">
        <v>0.49</v>
      </c>
      <c r="Z19" s="264">
        <v>0.49</v>
      </c>
      <c r="AA19" s="57">
        <f t="shared" si="0"/>
        <v>0.49000000000000016</v>
      </c>
      <c r="AB19" s="58">
        <f>IF(AA19=" "," ",IF('c-form'!AE15="",AA19,AA19+'c-form'!AE15))</f>
        <v>338.09000000000003</v>
      </c>
      <c r="AC19" s="58">
        <f>IF(AA19=" "," ",IF('c-form'!AE15="",AM19,AM19+'c-form'!AE15))</f>
        <v>338.09000000000003</v>
      </c>
      <c r="AD19" s="150">
        <f t="shared" si="3"/>
        <v>1</v>
      </c>
      <c r="AE19" s="58">
        <f>IF(AA19=" "," ",IF('c-form'!AE15="",AN19,AN19+'c-form'!AE15))</f>
        <v>338.09000000000003</v>
      </c>
      <c r="AF19" s="150">
        <f t="shared" si="1"/>
        <v>1</v>
      </c>
      <c r="AG19" s="63"/>
      <c r="AM19">
        <f t="shared" si="2"/>
        <v>0.49</v>
      </c>
      <c r="AN19" s="54">
        <f t="shared" si="4"/>
        <v>0.49</v>
      </c>
    </row>
    <row r="20" spans="1:40" ht="22.5" customHeight="1">
      <c r="A20" s="225"/>
      <c r="B20" s="132">
        <v>10</v>
      </c>
      <c r="C20" s="264">
        <v>0.48</v>
      </c>
      <c r="D20" s="264">
        <v>0.48</v>
      </c>
      <c r="E20" s="264">
        <v>0.48</v>
      </c>
      <c r="F20" s="264">
        <v>0.48</v>
      </c>
      <c r="G20" s="264">
        <v>0.48</v>
      </c>
      <c r="H20" s="264">
        <v>0.48</v>
      </c>
      <c r="I20" s="264">
        <v>0.48</v>
      </c>
      <c r="J20" s="264">
        <v>0.48</v>
      </c>
      <c r="K20" s="264">
        <v>0.48</v>
      </c>
      <c r="L20" s="264">
        <v>0.48</v>
      </c>
      <c r="M20" s="264">
        <v>0.48</v>
      </c>
      <c r="N20" s="264">
        <v>0.48</v>
      </c>
      <c r="O20" s="264">
        <v>0.48</v>
      </c>
      <c r="P20" s="264">
        <v>0.48</v>
      </c>
      <c r="Q20" s="264">
        <v>0.48</v>
      </c>
      <c r="R20" s="264">
        <v>0.48</v>
      </c>
      <c r="S20" s="264">
        <v>0.48</v>
      </c>
      <c r="T20" s="264">
        <v>0.48</v>
      </c>
      <c r="U20" s="264">
        <v>0.48</v>
      </c>
      <c r="V20" s="264">
        <v>0.48</v>
      </c>
      <c r="W20" s="264">
        <v>0.48</v>
      </c>
      <c r="X20" s="264">
        <v>0.48</v>
      </c>
      <c r="Y20" s="264">
        <v>0.48</v>
      </c>
      <c r="Z20" s="264">
        <v>0.48</v>
      </c>
      <c r="AA20" s="57">
        <f t="shared" si="0"/>
        <v>0.48000000000000026</v>
      </c>
      <c r="AB20" s="58">
        <f>IF(AA20=" "," ",IF('c-form'!AE15="",AA20,AA20+'c-form'!AE15))</f>
        <v>338.08000000000004</v>
      </c>
      <c r="AC20" s="58">
        <f>IF(AA20=" "," ",IF('c-form'!AE15="",AM20,AM20+'c-form'!AE15))</f>
        <v>338.08000000000004</v>
      </c>
      <c r="AD20" s="150">
        <f t="shared" si="3"/>
        <v>1</v>
      </c>
      <c r="AE20" s="58">
        <f>IF(AA20=" "," ",IF('c-form'!AE15="",AN20,AN20+'c-form'!AE15))</f>
        <v>338.08000000000004</v>
      </c>
      <c r="AF20" s="150">
        <f t="shared" si="1"/>
        <v>1</v>
      </c>
      <c r="AG20" s="63"/>
      <c r="AM20">
        <f t="shared" si="2"/>
        <v>0.48</v>
      </c>
      <c r="AN20" s="54">
        <f t="shared" si="4"/>
        <v>0.48</v>
      </c>
    </row>
    <row r="21" spans="1:40" ht="22.5" customHeight="1">
      <c r="A21" s="225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9"/>
      <c r="AC21" s="139"/>
      <c r="AD21" s="151"/>
      <c r="AE21" s="139"/>
      <c r="AF21" s="151"/>
      <c r="AG21" s="63"/>
      <c r="AM21">
        <f>IF(AB21=" "," ",MAX(C21:Z21))</f>
        <v>0</v>
      </c>
      <c r="AN21" s="54">
        <f t="shared" si="4"/>
        <v>0</v>
      </c>
    </row>
    <row r="22" spans="1:40" ht="22.5" customHeight="1">
      <c r="A22" s="225"/>
      <c r="B22" s="132">
        <v>11</v>
      </c>
      <c r="C22" s="264">
        <v>0.48</v>
      </c>
      <c r="D22" s="264">
        <v>0.48</v>
      </c>
      <c r="E22" s="264">
        <v>0.48</v>
      </c>
      <c r="F22" s="264">
        <v>0.48</v>
      </c>
      <c r="G22" s="264">
        <v>0.48</v>
      </c>
      <c r="H22" s="264">
        <v>0.48</v>
      </c>
      <c r="I22" s="264">
        <v>0.48</v>
      </c>
      <c r="J22" s="264">
        <v>0.48</v>
      </c>
      <c r="K22" s="264">
        <v>0.48</v>
      </c>
      <c r="L22" s="264">
        <v>0.48</v>
      </c>
      <c r="M22" s="264">
        <v>0.48</v>
      </c>
      <c r="N22" s="264">
        <v>0.48</v>
      </c>
      <c r="O22" s="264">
        <v>0.48</v>
      </c>
      <c r="P22" s="264">
        <v>0.48</v>
      </c>
      <c r="Q22" s="264">
        <v>0.48</v>
      </c>
      <c r="R22" s="264">
        <v>0.48</v>
      </c>
      <c r="S22" s="264">
        <v>0.48</v>
      </c>
      <c r="T22" s="264">
        <v>0.48</v>
      </c>
      <c r="U22" s="264">
        <v>0.48</v>
      </c>
      <c r="V22" s="264">
        <v>0.48</v>
      </c>
      <c r="W22" s="264">
        <v>0.48</v>
      </c>
      <c r="X22" s="264">
        <v>0.48</v>
      </c>
      <c r="Y22" s="264">
        <v>0.48</v>
      </c>
      <c r="Z22" s="264">
        <v>0.48</v>
      </c>
      <c r="AA22" s="57">
        <f t="shared" si="0"/>
        <v>0.48000000000000026</v>
      </c>
      <c r="AB22" s="58">
        <f>IF(AA22=" "," ",IF('c-form'!AE15="",AA22,AA22+'c-form'!AE15))</f>
        <v>338.08000000000004</v>
      </c>
      <c r="AC22" s="58">
        <f>IF(AA22=" "," ",IF('c-form'!AE15="",AM22,AM22+'c-form'!AE15))</f>
        <v>338.08000000000004</v>
      </c>
      <c r="AD22" s="150">
        <f t="shared" ref="AD22:AD31" si="5">IF(AB22=" "," ",MATCH(AM22,C22:Z22,0))</f>
        <v>1</v>
      </c>
      <c r="AE22" s="58">
        <f>IF(AA22=" "," ",IF('c-form'!AE15="",AN22,AN22+'c-form'!AE15))</f>
        <v>338.08000000000004</v>
      </c>
      <c r="AF22" s="150">
        <f t="shared" ref="AF22:AF31" si="6">IF(AD22=" "," ",MATCH(AN22,C22:Z22,0))</f>
        <v>1</v>
      </c>
      <c r="AG22" s="63"/>
      <c r="AM22">
        <f t="shared" si="2"/>
        <v>0.48</v>
      </c>
      <c r="AN22" s="54">
        <f t="shared" si="4"/>
        <v>0.48</v>
      </c>
    </row>
    <row r="23" spans="1:40" ht="22.5" customHeight="1">
      <c r="A23" s="225"/>
      <c r="B23" s="132">
        <v>12</v>
      </c>
      <c r="C23" s="264">
        <v>0.49</v>
      </c>
      <c r="D23" s="264">
        <v>0.49</v>
      </c>
      <c r="E23" s="264">
        <v>0.49</v>
      </c>
      <c r="F23" s="264">
        <v>0.49</v>
      </c>
      <c r="G23" s="264">
        <v>0.49</v>
      </c>
      <c r="H23" s="264">
        <v>0.49</v>
      </c>
      <c r="I23" s="264">
        <v>0.49</v>
      </c>
      <c r="J23" s="264">
        <v>0.49</v>
      </c>
      <c r="K23" s="264">
        <v>0.49</v>
      </c>
      <c r="L23" s="264">
        <v>0.49</v>
      </c>
      <c r="M23" s="264">
        <v>0.49</v>
      </c>
      <c r="N23" s="264">
        <v>0.49</v>
      </c>
      <c r="O23" s="264">
        <v>0.49</v>
      </c>
      <c r="P23" s="264">
        <v>0.49</v>
      </c>
      <c r="Q23" s="264">
        <v>0.49</v>
      </c>
      <c r="R23" s="264">
        <v>0.49</v>
      </c>
      <c r="S23" s="264">
        <v>0.49</v>
      </c>
      <c r="T23" s="264">
        <v>0.49</v>
      </c>
      <c r="U23" s="264">
        <v>0.49</v>
      </c>
      <c r="V23" s="264">
        <v>0.49</v>
      </c>
      <c r="W23" s="264">
        <v>0.49</v>
      </c>
      <c r="X23" s="264">
        <v>0.49</v>
      </c>
      <c r="Y23" s="264">
        <v>0.49</v>
      </c>
      <c r="Z23" s="264">
        <v>0.49</v>
      </c>
      <c r="AA23" s="57">
        <f t="shared" si="0"/>
        <v>0.49000000000000016</v>
      </c>
      <c r="AB23" s="58">
        <f>IF(AA23=" "," ",IF('c-form'!AE15="",AA23,AA23+'c-form'!AE15))</f>
        <v>338.09000000000003</v>
      </c>
      <c r="AC23" s="58">
        <f>IF(AA23=" "," ",IF('c-form'!AE15="",AM23,AM23+'c-form'!AE15))</f>
        <v>338.09000000000003</v>
      </c>
      <c r="AD23" s="150">
        <f t="shared" si="5"/>
        <v>1</v>
      </c>
      <c r="AE23" s="58">
        <f>IF(AA23=" "," ",IF('c-form'!AE15="",AN23,AN23+'c-form'!AE15))</f>
        <v>338.09000000000003</v>
      </c>
      <c r="AF23" s="150">
        <f t="shared" si="6"/>
        <v>1</v>
      </c>
      <c r="AG23" s="63"/>
      <c r="AM23">
        <f t="shared" si="2"/>
        <v>0.49</v>
      </c>
      <c r="AN23" s="54">
        <f t="shared" si="4"/>
        <v>0.49</v>
      </c>
    </row>
    <row r="24" spans="1:40" ht="22.5" customHeight="1">
      <c r="A24" s="225"/>
      <c r="B24" s="132">
        <v>13</v>
      </c>
      <c r="C24" s="264">
        <v>0.49</v>
      </c>
      <c r="D24" s="264">
        <v>0.49</v>
      </c>
      <c r="E24" s="264">
        <v>0.49</v>
      </c>
      <c r="F24" s="264">
        <v>0.49</v>
      </c>
      <c r="G24" s="264">
        <v>0.49</v>
      </c>
      <c r="H24" s="264">
        <v>0.49</v>
      </c>
      <c r="I24" s="264">
        <v>0.49</v>
      </c>
      <c r="J24" s="264">
        <v>0.5</v>
      </c>
      <c r="K24" s="264">
        <v>0.5</v>
      </c>
      <c r="L24" s="264">
        <v>0.5</v>
      </c>
      <c r="M24" s="264">
        <v>0.51</v>
      </c>
      <c r="N24" s="264">
        <v>0.51</v>
      </c>
      <c r="O24" s="264">
        <v>0.51</v>
      </c>
      <c r="P24" s="264">
        <v>0.52</v>
      </c>
      <c r="Q24" s="264">
        <v>0.52</v>
      </c>
      <c r="R24" s="264">
        <v>0.53</v>
      </c>
      <c r="S24" s="264">
        <v>0.53</v>
      </c>
      <c r="T24" s="264">
        <v>0.54</v>
      </c>
      <c r="U24" s="264">
        <v>0.55000000000000004</v>
      </c>
      <c r="V24" s="264">
        <v>0.56000000000000005</v>
      </c>
      <c r="W24" s="264">
        <v>0.56999999999999995</v>
      </c>
      <c r="X24" s="264">
        <v>0.57999999999999996</v>
      </c>
      <c r="Y24" s="264">
        <v>0.59</v>
      </c>
      <c r="Z24" s="264">
        <v>0.6</v>
      </c>
      <c r="AA24" s="57">
        <f t="shared" si="0"/>
        <v>0.52291666666666659</v>
      </c>
      <c r="AB24" s="58">
        <f>IF(AA24=" "," ",IF('c-form'!AE15="",AA24,AA24+'c-form'!AE15))</f>
        <v>338.1229166666667</v>
      </c>
      <c r="AC24" s="58">
        <f>IF(AA24=" "," ",IF('c-form'!AE15="",AM24,AM24+'c-form'!AE15))</f>
        <v>338.20000000000005</v>
      </c>
      <c r="AD24" s="150">
        <f t="shared" si="5"/>
        <v>24</v>
      </c>
      <c r="AE24" s="58">
        <f>IF(AA24=" "," ",IF('c-form'!AE15="",AN24,AN24+'c-form'!AE15))</f>
        <v>338.09000000000003</v>
      </c>
      <c r="AF24" s="150">
        <f t="shared" si="6"/>
        <v>1</v>
      </c>
      <c r="AG24" s="63"/>
      <c r="AM24">
        <f t="shared" si="2"/>
        <v>0.6</v>
      </c>
      <c r="AN24" s="54">
        <f t="shared" si="4"/>
        <v>0.49</v>
      </c>
    </row>
    <row r="25" spans="1:40" ht="22.5" customHeight="1">
      <c r="A25" s="225"/>
      <c r="B25" s="132">
        <v>14</v>
      </c>
      <c r="C25" s="264">
        <v>0.62</v>
      </c>
      <c r="D25" s="264">
        <v>0.63</v>
      </c>
      <c r="E25" s="264">
        <v>0.64</v>
      </c>
      <c r="F25" s="264">
        <v>0.65</v>
      </c>
      <c r="G25" s="264">
        <v>0.66</v>
      </c>
      <c r="H25" s="264">
        <v>0.67</v>
      </c>
      <c r="I25" s="264">
        <v>0.69</v>
      </c>
      <c r="J25" s="264">
        <v>0.7</v>
      </c>
      <c r="K25" s="264">
        <v>0.71</v>
      </c>
      <c r="L25" s="264">
        <v>0.72</v>
      </c>
      <c r="M25" s="264">
        <v>0.73</v>
      </c>
      <c r="N25" s="264">
        <v>0.74</v>
      </c>
      <c r="O25" s="264">
        <v>0.75</v>
      </c>
      <c r="P25" s="264">
        <v>0.76</v>
      </c>
      <c r="Q25" s="264">
        <v>0.77</v>
      </c>
      <c r="R25" s="264">
        <v>0.78</v>
      </c>
      <c r="S25" s="264">
        <v>0.79</v>
      </c>
      <c r="T25" s="264">
        <v>0.8</v>
      </c>
      <c r="U25" s="264">
        <v>0.81</v>
      </c>
      <c r="V25" s="264">
        <v>0.81</v>
      </c>
      <c r="W25" s="264">
        <v>0.82</v>
      </c>
      <c r="X25" s="264">
        <v>0.82</v>
      </c>
      <c r="Y25" s="264">
        <v>0.83</v>
      </c>
      <c r="Z25" s="264">
        <v>0.83</v>
      </c>
      <c r="AA25" s="57">
        <f t="shared" si="0"/>
        <v>0.73874999999999991</v>
      </c>
      <c r="AB25" s="58">
        <f>IF(AA25=" "," ",IF('c-form'!AE15="",AA25,AA25+'c-form'!AE15))</f>
        <v>338.33875</v>
      </c>
      <c r="AC25" s="58">
        <f>IF(AA25=" "," ",IF('c-form'!AE15="",AM25,AM25+'c-form'!AE15))</f>
        <v>338.43</v>
      </c>
      <c r="AD25" s="150">
        <f t="shared" si="5"/>
        <v>23</v>
      </c>
      <c r="AE25" s="58">
        <f>IF(AA25=" "," ",IF('c-form'!AE15="",AN25,AN25+'c-form'!AE15))</f>
        <v>338.22</v>
      </c>
      <c r="AF25" s="150">
        <f t="shared" si="6"/>
        <v>1</v>
      </c>
      <c r="AG25" s="63"/>
      <c r="AM25">
        <f t="shared" si="2"/>
        <v>0.83</v>
      </c>
      <c r="AN25" s="54">
        <f t="shared" si="4"/>
        <v>0.62</v>
      </c>
    </row>
    <row r="26" spans="1:40" ht="22.5" customHeight="1">
      <c r="A26" s="225"/>
      <c r="B26" s="132">
        <v>15</v>
      </c>
      <c r="C26" s="264">
        <v>0.84</v>
      </c>
      <c r="D26" s="264">
        <v>0.84</v>
      </c>
      <c r="E26" s="264">
        <v>0.85</v>
      </c>
      <c r="F26" s="264">
        <v>0.85</v>
      </c>
      <c r="G26" s="264">
        <v>0.86</v>
      </c>
      <c r="H26" s="264">
        <v>0.87</v>
      </c>
      <c r="I26" s="264">
        <v>0.88</v>
      </c>
      <c r="J26" s="264">
        <v>0.89</v>
      </c>
      <c r="K26" s="264">
        <v>0.9</v>
      </c>
      <c r="L26" s="264">
        <v>0.91</v>
      </c>
      <c r="M26" s="264">
        <v>0.92</v>
      </c>
      <c r="N26" s="264">
        <v>0.93</v>
      </c>
      <c r="O26" s="264">
        <v>0.94</v>
      </c>
      <c r="P26" s="264">
        <v>0.95</v>
      </c>
      <c r="Q26" s="264">
        <v>0.96</v>
      </c>
      <c r="R26" s="264">
        <v>0.98</v>
      </c>
      <c r="S26" s="264">
        <v>1</v>
      </c>
      <c r="T26" s="264">
        <v>1.01</v>
      </c>
      <c r="U26" s="264">
        <v>1.02</v>
      </c>
      <c r="V26" s="264">
        <v>1.03</v>
      </c>
      <c r="W26" s="264">
        <v>1.04</v>
      </c>
      <c r="X26" s="264">
        <v>1.05</v>
      </c>
      <c r="Y26" s="264">
        <v>1.05</v>
      </c>
      <c r="Z26" s="264">
        <v>1.05</v>
      </c>
      <c r="AA26" s="57">
        <f t="shared" si="0"/>
        <v>0.9425</v>
      </c>
      <c r="AB26" s="58">
        <f>IF(AA26=" "," ",IF('c-form'!AE15="",AA26,AA26+'c-form'!AE15))</f>
        <v>338.54250000000002</v>
      </c>
      <c r="AC26" s="58">
        <f>IF(AA26=" "," ",IF('c-form'!AE15="",AM26,AM26+'c-form'!AE15))</f>
        <v>338.65000000000003</v>
      </c>
      <c r="AD26" s="150">
        <f t="shared" si="5"/>
        <v>22</v>
      </c>
      <c r="AE26" s="58">
        <f>IF(AA26=" "," ",IF('c-form'!AE15="",AN26,AN26+'c-form'!AE15))</f>
        <v>338.44</v>
      </c>
      <c r="AF26" s="150">
        <f t="shared" si="6"/>
        <v>1</v>
      </c>
      <c r="AG26" s="63"/>
      <c r="AM26">
        <f t="shared" si="2"/>
        <v>1.05</v>
      </c>
      <c r="AN26" s="54">
        <f t="shared" si="4"/>
        <v>0.84</v>
      </c>
    </row>
    <row r="27" spans="1:40" ht="22.5" customHeight="1">
      <c r="A27" s="225"/>
      <c r="B27" s="132">
        <v>16</v>
      </c>
      <c r="C27" s="264">
        <v>1.05</v>
      </c>
      <c r="D27" s="264">
        <v>1.04</v>
      </c>
      <c r="E27" s="264">
        <v>1.03</v>
      </c>
      <c r="F27" s="264">
        <v>1.02</v>
      </c>
      <c r="G27" s="264">
        <v>1.01</v>
      </c>
      <c r="H27" s="264">
        <v>1</v>
      </c>
      <c r="I27" s="264">
        <v>0.98</v>
      </c>
      <c r="J27" s="264">
        <v>0.97</v>
      </c>
      <c r="K27" s="264">
        <v>0.96</v>
      </c>
      <c r="L27" s="264">
        <v>0.94</v>
      </c>
      <c r="M27" s="264">
        <v>0.93</v>
      </c>
      <c r="N27" s="264">
        <v>0.91</v>
      </c>
      <c r="O27" s="264">
        <v>0.9</v>
      </c>
      <c r="P27" s="264">
        <v>0.89</v>
      </c>
      <c r="Q27" s="264">
        <v>0.87</v>
      </c>
      <c r="R27" s="264">
        <v>0.85</v>
      </c>
      <c r="S27" s="264">
        <v>0.84</v>
      </c>
      <c r="T27" s="264">
        <v>0.83</v>
      </c>
      <c r="U27" s="264">
        <v>0.82</v>
      </c>
      <c r="V27" s="264">
        <v>0.81</v>
      </c>
      <c r="W27" s="264">
        <v>0.8</v>
      </c>
      <c r="X27" s="264">
        <v>0.79</v>
      </c>
      <c r="Y27" s="264">
        <v>0.78</v>
      </c>
      <c r="Z27" s="264">
        <v>0.77</v>
      </c>
      <c r="AA27" s="57">
        <f t="shared" si="0"/>
        <v>0.90791666666666659</v>
      </c>
      <c r="AB27" s="58">
        <f>IF(AA27=" "," ",IF('c-form'!AE15="",AA27,AA27+'c-form'!AE15))</f>
        <v>338.50791666666669</v>
      </c>
      <c r="AC27" s="58">
        <f>IF(AA27=" "," ",IF('c-form'!AE15="",AM27,AM27+'c-form'!AE15))</f>
        <v>338.65000000000003</v>
      </c>
      <c r="AD27" s="150">
        <f t="shared" si="5"/>
        <v>1</v>
      </c>
      <c r="AE27" s="58">
        <f>IF(AA27=" "," ",IF('c-form'!AE15="",AN27,AN27+'c-form'!AE15))</f>
        <v>338.37</v>
      </c>
      <c r="AF27" s="150">
        <f t="shared" si="6"/>
        <v>24</v>
      </c>
      <c r="AG27" s="63"/>
      <c r="AM27">
        <f t="shared" si="2"/>
        <v>1.05</v>
      </c>
      <c r="AN27" s="54">
        <f t="shared" si="4"/>
        <v>0.77</v>
      </c>
    </row>
    <row r="28" spans="1:40" ht="22.5" customHeight="1">
      <c r="A28" s="225"/>
      <c r="B28" s="132">
        <v>17</v>
      </c>
      <c r="C28" s="264">
        <v>0.76</v>
      </c>
      <c r="D28" s="264">
        <v>0.75</v>
      </c>
      <c r="E28" s="264">
        <v>0.74</v>
      </c>
      <c r="F28" s="264">
        <v>0.72</v>
      </c>
      <c r="G28" s="264">
        <v>0.71</v>
      </c>
      <c r="H28" s="264">
        <v>0.7</v>
      </c>
      <c r="I28" s="264">
        <v>0.69</v>
      </c>
      <c r="J28" s="264">
        <v>0.68</v>
      </c>
      <c r="K28" s="264">
        <v>0.67</v>
      </c>
      <c r="L28" s="264">
        <v>0.67</v>
      </c>
      <c r="M28" s="264">
        <v>0.66</v>
      </c>
      <c r="N28" s="264">
        <v>0.66</v>
      </c>
      <c r="O28" s="264">
        <v>0.65</v>
      </c>
      <c r="P28" s="264">
        <v>0.65</v>
      </c>
      <c r="Q28" s="264">
        <v>0.64</v>
      </c>
      <c r="R28" s="264">
        <v>0.64</v>
      </c>
      <c r="S28" s="264">
        <v>0.64</v>
      </c>
      <c r="T28" s="264">
        <v>0.64</v>
      </c>
      <c r="U28" s="264">
        <v>0.63</v>
      </c>
      <c r="V28" s="264">
        <v>0.63</v>
      </c>
      <c r="W28" s="264">
        <v>0.63</v>
      </c>
      <c r="X28" s="264">
        <v>0.63</v>
      </c>
      <c r="Y28" s="264">
        <v>0.62</v>
      </c>
      <c r="Z28" s="264">
        <v>0.62</v>
      </c>
      <c r="AA28" s="57">
        <f t="shared" si="0"/>
        <v>0.66791666666666683</v>
      </c>
      <c r="AB28" s="58">
        <f>IF(AA28=" "," ",IF('c-form'!AE15="",AA28,AA28+'c-form'!AE15))</f>
        <v>338.26791666666668</v>
      </c>
      <c r="AC28" s="58">
        <f>IF(AA28=" "," ",IF('c-form'!AE15="",AM28,AM28+'c-form'!AE15))</f>
        <v>338.36</v>
      </c>
      <c r="AD28" s="150">
        <f t="shared" si="5"/>
        <v>1</v>
      </c>
      <c r="AE28" s="58">
        <f>IF(AA28=" "," ",IF('c-form'!AE15="",AN28,AN28+'c-form'!AE15))</f>
        <v>338.22</v>
      </c>
      <c r="AF28" s="150">
        <f t="shared" si="6"/>
        <v>23</v>
      </c>
      <c r="AG28" s="63"/>
      <c r="AM28">
        <f t="shared" si="2"/>
        <v>0.76</v>
      </c>
      <c r="AN28" s="54">
        <f t="shared" si="4"/>
        <v>0.62</v>
      </c>
    </row>
    <row r="29" spans="1:40" ht="22.5" customHeight="1">
      <c r="A29" s="225"/>
      <c r="B29" s="132">
        <v>18</v>
      </c>
      <c r="C29" s="264">
        <v>0.62</v>
      </c>
      <c r="D29" s="264">
        <v>0.61</v>
      </c>
      <c r="E29" s="264">
        <v>0.61</v>
      </c>
      <c r="F29" s="264">
        <v>0.61</v>
      </c>
      <c r="G29" s="264">
        <v>0.62</v>
      </c>
      <c r="H29" s="264">
        <v>0.6</v>
      </c>
      <c r="I29" s="264">
        <v>0.6</v>
      </c>
      <c r="J29" s="264">
        <v>0.6</v>
      </c>
      <c r="K29" s="264">
        <v>0.6</v>
      </c>
      <c r="L29" s="264">
        <v>0.6</v>
      </c>
      <c r="M29" s="264">
        <v>0.6</v>
      </c>
      <c r="N29" s="264">
        <v>0.6</v>
      </c>
      <c r="O29" s="264">
        <v>0.59</v>
      </c>
      <c r="P29" s="264">
        <v>0.59</v>
      </c>
      <c r="Q29" s="264">
        <v>0.59</v>
      </c>
      <c r="R29" s="264">
        <v>0.59</v>
      </c>
      <c r="S29" s="264">
        <v>0.59</v>
      </c>
      <c r="T29" s="264">
        <v>0.59</v>
      </c>
      <c r="U29" s="264">
        <v>0.57999999999999996</v>
      </c>
      <c r="V29" s="264">
        <v>0.57999999999999996</v>
      </c>
      <c r="W29" s="264">
        <v>0.57999999999999996</v>
      </c>
      <c r="X29" s="264">
        <v>0.57999999999999996</v>
      </c>
      <c r="Y29" s="264">
        <v>0.57999999999999996</v>
      </c>
      <c r="Z29" s="264">
        <v>0.57999999999999996</v>
      </c>
      <c r="AA29" s="57">
        <f t="shared" si="0"/>
        <v>0.59541666666666659</v>
      </c>
      <c r="AB29" s="58">
        <f>IF(AA29=" "," ",IF('c-form'!AE15="",AA29,AA29+'c-form'!AE15))</f>
        <v>338.19541666666669</v>
      </c>
      <c r="AC29" s="58">
        <f>IF(AA29=" "," ",IF('c-form'!AE15="",AM29,AM29+'c-form'!AE15))</f>
        <v>338.22</v>
      </c>
      <c r="AD29" s="150">
        <f t="shared" si="5"/>
        <v>1</v>
      </c>
      <c r="AE29" s="58">
        <f>IF(AA29=" "," ",IF('c-form'!AE15="",AN29,AN29+'c-form'!AE15))</f>
        <v>338.18</v>
      </c>
      <c r="AF29" s="150">
        <f t="shared" si="6"/>
        <v>19</v>
      </c>
      <c r="AG29" s="63"/>
      <c r="AM29">
        <f>IF(AB29=" "," ",MAX(C29:Z29))</f>
        <v>0.62</v>
      </c>
      <c r="AN29" s="54">
        <f t="shared" si="4"/>
        <v>0.57999999999999996</v>
      </c>
    </row>
    <row r="30" spans="1:40" ht="22.5" customHeight="1">
      <c r="A30" s="225"/>
      <c r="B30" s="132">
        <v>19</v>
      </c>
      <c r="C30" s="264">
        <v>0.56999999999999995</v>
      </c>
      <c r="D30" s="264">
        <v>0.56999999999999995</v>
      </c>
      <c r="E30" s="264">
        <v>0.56999999999999995</v>
      </c>
      <c r="F30" s="264">
        <v>0.56999999999999995</v>
      </c>
      <c r="G30" s="264">
        <v>0.56999999999999995</v>
      </c>
      <c r="H30" s="264">
        <v>0.56999999999999995</v>
      </c>
      <c r="I30" s="264">
        <v>0.56999999999999995</v>
      </c>
      <c r="J30" s="264">
        <v>0.56999999999999995</v>
      </c>
      <c r="K30" s="264">
        <v>0.56999999999999995</v>
      </c>
      <c r="L30" s="264">
        <v>0.56999999999999995</v>
      </c>
      <c r="M30" s="264">
        <v>0.56999999999999995</v>
      </c>
      <c r="N30" s="264">
        <v>0.56999999999999995</v>
      </c>
      <c r="O30" s="264">
        <v>0.56999999999999995</v>
      </c>
      <c r="P30" s="264">
        <v>0.56999999999999995</v>
      </c>
      <c r="Q30" s="264">
        <v>0.56999999999999995</v>
      </c>
      <c r="R30" s="264">
        <v>0.56999999999999995</v>
      </c>
      <c r="S30" s="264">
        <v>0.56999999999999995</v>
      </c>
      <c r="T30" s="264">
        <v>0.56999999999999995</v>
      </c>
      <c r="U30" s="264">
        <v>0.56000000000000005</v>
      </c>
      <c r="V30" s="264">
        <v>0.56000000000000005</v>
      </c>
      <c r="W30" s="264">
        <v>0.56000000000000005</v>
      </c>
      <c r="X30" s="264">
        <v>0.56000000000000005</v>
      </c>
      <c r="Y30" s="264">
        <v>0.56000000000000005</v>
      </c>
      <c r="Z30" s="264">
        <v>0.56000000000000005</v>
      </c>
      <c r="AA30" s="57">
        <f t="shared" si="0"/>
        <v>0.56750000000000023</v>
      </c>
      <c r="AB30" s="58">
        <f>IF(AA30=" "," ",IF('c-form'!AE15="",AA30,AA30+'c-form'!AE15))</f>
        <v>338.16750000000002</v>
      </c>
      <c r="AC30" s="58">
        <f>IF(AA30=" "," ",IF('c-form'!AE15="",AM30,AM30+'c-form'!AE15))</f>
        <v>338.17</v>
      </c>
      <c r="AD30" s="150">
        <f t="shared" si="5"/>
        <v>1</v>
      </c>
      <c r="AE30" s="58">
        <f>IF(AA30=" "," ",IF('c-form'!AE15="",AN30,AN30+'c-form'!AE15))</f>
        <v>338.16</v>
      </c>
      <c r="AF30" s="150">
        <f t="shared" si="6"/>
        <v>19</v>
      </c>
      <c r="AG30" s="63"/>
      <c r="AM30">
        <f t="shared" si="2"/>
        <v>0.56999999999999995</v>
      </c>
      <c r="AN30" s="54">
        <f t="shared" si="4"/>
        <v>0.56000000000000005</v>
      </c>
    </row>
    <row r="31" spans="1:40" ht="22.5" customHeight="1">
      <c r="A31" s="225"/>
      <c r="B31" s="132">
        <v>20</v>
      </c>
      <c r="C31" s="264">
        <v>0.55000000000000004</v>
      </c>
      <c r="D31" s="264">
        <v>0.55000000000000004</v>
      </c>
      <c r="E31" s="264">
        <v>0.55000000000000004</v>
      </c>
      <c r="F31" s="264">
        <v>0.55000000000000004</v>
      </c>
      <c r="G31" s="264">
        <v>0.55000000000000004</v>
      </c>
      <c r="H31" s="264">
        <v>0.54</v>
      </c>
      <c r="I31" s="264">
        <v>0.54</v>
      </c>
      <c r="J31" s="264">
        <v>0.54</v>
      </c>
      <c r="K31" s="264">
        <v>0.54</v>
      </c>
      <c r="L31" s="264">
        <v>0.54</v>
      </c>
      <c r="M31" s="264">
        <v>0.54</v>
      </c>
      <c r="N31" s="264">
        <v>0.54</v>
      </c>
      <c r="O31" s="264">
        <v>0.53</v>
      </c>
      <c r="P31" s="264">
        <v>0.53</v>
      </c>
      <c r="Q31" s="264">
        <v>0.53</v>
      </c>
      <c r="R31" s="264">
        <v>0.53</v>
      </c>
      <c r="S31" s="264">
        <v>0.53</v>
      </c>
      <c r="T31" s="264">
        <v>0.53</v>
      </c>
      <c r="U31" s="264">
        <v>0.52</v>
      </c>
      <c r="V31" s="264">
        <v>0.52</v>
      </c>
      <c r="W31" s="264">
        <v>0.52</v>
      </c>
      <c r="X31" s="264">
        <v>0.52</v>
      </c>
      <c r="Y31" s="264">
        <v>0.52</v>
      </c>
      <c r="Z31" s="264">
        <v>0.52</v>
      </c>
      <c r="AA31" s="57">
        <f t="shared" si="0"/>
        <v>0.53458333333333319</v>
      </c>
      <c r="AB31" s="58">
        <f>IF(AA31=" "," ",IF('c-form'!AE15="",AA31,AA31+'c-form'!AE15))</f>
        <v>338.13458333333335</v>
      </c>
      <c r="AC31" s="58">
        <f>IF(AA31=" "," ",IF('c-form'!AE15="",AM31,AM31+'c-form'!AE15))</f>
        <v>338.15000000000003</v>
      </c>
      <c r="AD31" s="150">
        <f t="shared" si="5"/>
        <v>1</v>
      </c>
      <c r="AE31" s="58">
        <f>IF(AA31=" "," ",IF('c-form'!AE15="",AN31,AN31+'c-form'!AE15))</f>
        <v>338.12</v>
      </c>
      <c r="AF31" s="150">
        <f t="shared" si="6"/>
        <v>19</v>
      </c>
      <c r="AG31" s="63"/>
      <c r="AM31">
        <f t="shared" si="2"/>
        <v>0.55000000000000004</v>
      </c>
      <c r="AN31" s="54">
        <f t="shared" si="4"/>
        <v>0.52</v>
      </c>
    </row>
    <row r="32" spans="1:40" ht="22.5" customHeight="1">
      <c r="A32" s="225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39"/>
      <c r="AF32" s="151"/>
      <c r="AG32" s="63"/>
      <c r="AM32">
        <f t="shared" si="2"/>
        <v>0</v>
      </c>
      <c r="AN32" s="54">
        <f t="shared" si="4"/>
        <v>0</v>
      </c>
    </row>
    <row r="33" spans="1:40" ht="22.5" customHeight="1">
      <c r="A33" s="225"/>
      <c r="B33" s="132">
        <v>21</v>
      </c>
      <c r="C33" s="264">
        <v>0.51</v>
      </c>
      <c r="D33" s="264">
        <v>0.51</v>
      </c>
      <c r="E33" s="264">
        <v>0.51</v>
      </c>
      <c r="F33" s="264">
        <v>0.51</v>
      </c>
      <c r="G33" s="264">
        <v>0.51</v>
      </c>
      <c r="H33" s="264">
        <v>0.51</v>
      </c>
      <c r="I33" s="264">
        <v>0.5</v>
      </c>
      <c r="J33" s="264">
        <v>0.5</v>
      </c>
      <c r="K33" s="264">
        <v>0.5</v>
      </c>
      <c r="L33" s="264">
        <v>0.5</v>
      </c>
      <c r="M33" s="264">
        <v>0.5</v>
      </c>
      <c r="N33" s="264">
        <v>0.5</v>
      </c>
      <c r="O33" s="264">
        <v>0.49</v>
      </c>
      <c r="P33" s="264">
        <v>0.49</v>
      </c>
      <c r="Q33" s="264">
        <v>0.49</v>
      </c>
      <c r="R33" s="264">
        <v>0.49</v>
      </c>
      <c r="S33" s="264">
        <v>0.49</v>
      </c>
      <c r="T33" s="264">
        <v>0.49</v>
      </c>
      <c r="U33" s="264">
        <v>0.49</v>
      </c>
      <c r="V33" s="264">
        <v>0.49</v>
      </c>
      <c r="W33" s="264">
        <v>0.49</v>
      </c>
      <c r="X33" s="264">
        <v>0.49</v>
      </c>
      <c r="Y33" s="264">
        <v>0.49</v>
      </c>
      <c r="Z33" s="264">
        <v>0.49</v>
      </c>
      <c r="AA33" s="57">
        <f t="shared" si="0"/>
        <v>0.49750000000000005</v>
      </c>
      <c r="AB33" s="58">
        <f>IF(AA33=" "," ",IF('c-form'!AE15="",AA33,AA33+'c-form'!AE15))</f>
        <v>338.09750000000003</v>
      </c>
      <c r="AC33" s="58">
        <f>IF(AA33=" "," ",IF('c-form'!AE15="",AM33,AM33+'c-form'!AE15))</f>
        <v>338.11</v>
      </c>
      <c r="AD33" s="150">
        <f t="shared" ref="AD33:AD41" si="7">IF(AB33=" "," ",MATCH(AM33,C33:Z33,0))</f>
        <v>1</v>
      </c>
      <c r="AE33" s="58">
        <f>IF(AA33=" "," ",IF('c-form'!AE15="",AN33,AN33+'c-form'!AE15))</f>
        <v>338.09000000000003</v>
      </c>
      <c r="AF33" s="150">
        <f t="shared" ref="AF33:AF41" si="8">IF(AD33=" "," ",MATCH(AN33,C33:Z33,0))</f>
        <v>13</v>
      </c>
      <c r="AG33" s="63"/>
      <c r="AM33">
        <f t="shared" si="2"/>
        <v>0.51</v>
      </c>
      <c r="AN33" s="54">
        <f t="shared" si="4"/>
        <v>0.49</v>
      </c>
    </row>
    <row r="34" spans="1:40" ht="22.5" customHeight="1">
      <c r="A34" s="225"/>
      <c r="B34" s="132">
        <v>22</v>
      </c>
      <c r="C34" s="264">
        <v>0.48</v>
      </c>
      <c r="D34" s="264">
        <v>0.48</v>
      </c>
      <c r="E34" s="264">
        <v>0.48</v>
      </c>
      <c r="F34" s="264">
        <v>0.48</v>
      </c>
      <c r="G34" s="264">
        <v>0.48</v>
      </c>
      <c r="H34" s="264">
        <v>0.48</v>
      </c>
      <c r="I34" s="264">
        <v>0.48</v>
      </c>
      <c r="J34" s="264">
        <v>0.48</v>
      </c>
      <c r="K34" s="264">
        <v>0.48</v>
      </c>
      <c r="L34" s="264">
        <v>0.48</v>
      </c>
      <c r="M34" s="264">
        <v>0.48</v>
      </c>
      <c r="N34" s="264">
        <v>0.48</v>
      </c>
      <c r="O34" s="264">
        <v>0.48</v>
      </c>
      <c r="P34" s="264">
        <v>0.48</v>
      </c>
      <c r="Q34" s="264">
        <v>0.48</v>
      </c>
      <c r="R34" s="264">
        <v>0.48</v>
      </c>
      <c r="S34" s="264">
        <v>0.48</v>
      </c>
      <c r="T34" s="264">
        <v>0.48</v>
      </c>
      <c r="U34" s="264">
        <v>0.48</v>
      </c>
      <c r="V34" s="264">
        <v>0.48</v>
      </c>
      <c r="W34" s="264">
        <v>0.48</v>
      </c>
      <c r="X34" s="264">
        <v>0.48</v>
      </c>
      <c r="Y34" s="264">
        <v>0.48</v>
      </c>
      <c r="Z34" s="264">
        <v>0.48</v>
      </c>
      <c r="AA34" s="57">
        <f t="shared" si="0"/>
        <v>0.48000000000000026</v>
      </c>
      <c r="AB34" s="58">
        <f>IF(AA34=" "," ",IF('c-form'!AE15="",AA34,AA34+'c-form'!AE15))</f>
        <v>338.08000000000004</v>
      </c>
      <c r="AC34" s="58">
        <f>IF(AA34=" "," ",IF('c-form'!AE15="",AM34,AM34+'c-form'!AE15))</f>
        <v>338.08000000000004</v>
      </c>
      <c r="AD34" s="150">
        <f t="shared" si="7"/>
        <v>1</v>
      </c>
      <c r="AE34" s="58">
        <f>IF(AA34=" "," ",IF('c-form'!AE15="",AN34,AN34+'c-form'!AE15))</f>
        <v>338.08000000000004</v>
      </c>
      <c r="AF34" s="150">
        <f t="shared" si="8"/>
        <v>1</v>
      </c>
      <c r="AG34" s="63"/>
      <c r="AM34">
        <f t="shared" si="2"/>
        <v>0.48</v>
      </c>
      <c r="AN34" s="54">
        <f t="shared" si="4"/>
        <v>0.48</v>
      </c>
    </row>
    <row r="35" spans="1:40" ht="22.5" customHeight="1">
      <c r="A35" s="225"/>
      <c r="B35" s="132">
        <v>23</v>
      </c>
      <c r="C35" s="264">
        <v>0.47</v>
      </c>
      <c r="D35" s="264">
        <v>0.47</v>
      </c>
      <c r="E35" s="264">
        <v>0.47</v>
      </c>
      <c r="F35" s="264">
        <v>0.47</v>
      </c>
      <c r="G35" s="264">
        <v>0.47</v>
      </c>
      <c r="H35" s="264">
        <v>0.47</v>
      </c>
      <c r="I35" s="264">
        <v>0.47</v>
      </c>
      <c r="J35" s="264">
        <v>0.47</v>
      </c>
      <c r="K35" s="264">
        <v>0.47</v>
      </c>
      <c r="L35" s="264">
        <v>0.47</v>
      </c>
      <c r="M35" s="264">
        <v>0.47</v>
      </c>
      <c r="N35" s="264">
        <v>0.47</v>
      </c>
      <c r="O35" s="264">
        <v>0.46</v>
      </c>
      <c r="P35" s="264">
        <v>0.46</v>
      </c>
      <c r="Q35" s="264">
        <v>0.46</v>
      </c>
      <c r="R35" s="264">
        <v>0.46</v>
      </c>
      <c r="S35" s="264">
        <v>0.46</v>
      </c>
      <c r="T35" s="264">
        <v>0.46</v>
      </c>
      <c r="U35" s="264">
        <v>0.46</v>
      </c>
      <c r="V35" s="264">
        <v>0.46</v>
      </c>
      <c r="W35" s="264">
        <v>0.46</v>
      </c>
      <c r="X35" s="264">
        <v>0.46</v>
      </c>
      <c r="Y35" s="264">
        <v>0.46</v>
      </c>
      <c r="Z35" s="264">
        <v>0.46</v>
      </c>
      <c r="AA35" s="57">
        <f t="shared" si="0"/>
        <v>0.46500000000000014</v>
      </c>
      <c r="AB35" s="58">
        <f>IF(AA35=" "," ",IF('c-form'!AE15="",AA35,AA35+'c-form'!AE15))</f>
        <v>338.065</v>
      </c>
      <c r="AC35" s="58">
        <f>IF(AA35=" "," ",IF('c-form'!AE15="",AM35,AM35+'c-form'!AE15))</f>
        <v>338.07000000000005</v>
      </c>
      <c r="AD35" s="150">
        <f t="shared" si="7"/>
        <v>1</v>
      </c>
      <c r="AE35" s="58">
        <f>IF(AA35=" "," ",IF('c-form'!AE15="",AN35,AN35+'c-form'!AE15))</f>
        <v>338.06</v>
      </c>
      <c r="AF35" s="150">
        <f t="shared" si="8"/>
        <v>13</v>
      </c>
      <c r="AG35" s="63"/>
      <c r="AM35">
        <f t="shared" si="2"/>
        <v>0.47</v>
      </c>
      <c r="AN35" s="54">
        <f t="shared" si="4"/>
        <v>0.46</v>
      </c>
    </row>
    <row r="36" spans="1:40" ht="22.5" customHeight="1">
      <c r="A36" s="225"/>
      <c r="B36" s="132">
        <v>24</v>
      </c>
      <c r="C36" s="264">
        <v>0.45</v>
      </c>
      <c r="D36" s="264">
        <v>0.45</v>
      </c>
      <c r="E36" s="264">
        <v>0.45</v>
      </c>
      <c r="F36" s="264">
        <v>0.45</v>
      </c>
      <c r="G36" s="264">
        <v>0.45</v>
      </c>
      <c r="H36" s="264">
        <v>0.45</v>
      </c>
      <c r="I36" s="264">
        <v>0.45</v>
      </c>
      <c r="J36" s="264">
        <v>0.45</v>
      </c>
      <c r="K36" s="264">
        <v>0.45</v>
      </c>
      <c r="L36" s="264">
        <v>0.45</v>
      </c>
      <c r="M36" s="264">
        <v>0.45</v>
      </c>
      <c r="N36" s="264">
        <v>0.45</v>
      </c>
      <c r="O36" s="264">
        <v>0.45</v>
      </c>
      <c r="P36" s="264">
        <v>0.45</v>
      </c>
      <c r="Q36" s="264">
        <v>0.45</v>
      </c>
      <c r="R36" s="264">
        <v>0.45</v>
      </c>
      <c r="S36" s="264">
        <v>0.45</v>
      </c>
      <c r="T36" s="264">
        <v>0.45</v>
      </c>
      <c r="U36" s="264">
        <v>0.45</v>
      </c>
      <c r="V36" s="264">
        <v>0.45</v>
      </c>
      <c r="W36" s="264">
        <v>0.45</v>
      </c>
      <c r="X36" s="264">
        <v>0.45</v>
      </c>
      <c r="Y36" s="264">
        <v>0.45</v>
      </c>
      <c r="Z36" s="264">
        <v>0.45</v>
      </c>
      <c r="AA36" s="57">
        <f t="shared" si="0"/>
        <v>0.4499999999999999</v>
      </c>
      <c r="AB36" s="58">
        <f>IF(AA36=" "," ",IF('c-form'!AE15="",AA36,AA36+'c-form'!AE15))</f>
        <v>338.05</v>
      </c>
      <c r="AC36" s="58">
        <f>IF(AA36=" "," ",IF('c-form'!AE15="",AM36,AM36+'c-form'!AE15))</f>
        <v>338.05</v>
      </c>
      <c r="AD36" s="150">
        <f t="shared" si="7"/>
        <v>1</v>
      </c>
      <c r="AE36" s="58">
        <f>IF(AA36=" "," ",IF('c-form'!AE15="",AN36,AN36+'c-form'!AE15))</f>
        <v>338.05</v>
      </c>
      <c r="AF36" s="150">
        <f t="shared" si="8"/>
        <v>1</v>
      </c>
      <c r="AG36" s="63"/>
      <c r="AM36">
        <f t="shared" si="2"/>
        <v>0.45</v>
      </c>
      <c r="AN36" s="54">
        <f t="shared" si="4"/>
        <v>0.45</v>
      </c>
    </row>
    <row r="37" spans="1:40" ht="22.5" customHeight="1">
      <c r="A37" s="225"/>
      <c r="B37" s="132">
        <v>25</v>
      </c>
      <c r="C37" s="264">
        <v>0.45</v>
      </c>
      <c r="D37" s="264">
        <v>0.45</v>
      </c>
      <c r="E37" s="264">
        <v>0.45</v>
      </c>
      <c r="F37" s="264">
        <v>0.45</v>
      </c>
      <c r="G37" s="264">
        <v>0.45</v>
      </c>
      <c r="H37" s="264">
        <v>0.45</v>
      </c>
      <c r="I37" s="264">
        <v>0.47</v>
      </c>
      <c r="J37" s="264">
        <v>0.49</v>
      </c>
      <c r="K37" s="264">
        <v>0.51</v>
      </c>
      <c r="L37" s="264">
        <v>0.53</v>
      </c>
      <c r="M37" s="264">
        <v>0.55000000000000004</v>
      </c>
      <c r="N37" s="264">
        <v>0.56999999999999995</v>
      </c>
      <c r="O37" s="264">
        <v>0.59</v>
      </c>
      <c r="P37" s="264">
        <v>0.61</v>
      </c>
      <c r="Q37" s="264">
        <v>0.62</v>
      </c>
      <c r="R37" s="264">
        <v>0.63</v>
      </c>
      <c r="S37" s="264">
        <v>0.63</v>
      </c>
      <c r="T37" s="264">
        <v>0.63</v>
      </c>
      <c r="U37" s="264">
        <v>0.62</v>
      </c>
      <c r="V37" s="264">
        <v>0.61</v>
      </c>
      <c r="W37" s="264">
        <v>0.6</v>
      </c>
      <c r="X37" s="264">
        <v>0.59</v>
      </c>
      <c r="Y37" s="264">
        <v>0.56000000000000005</v>
      </c>
      <c r="Z37" s="264">
        <v>0.53</v>
      </c>
      <c r="AA37" s="57">
        <f t="shared" si="0"/>
        <v>0.54333333333333333</v>
      </c>
      <c r="AB37" s="58">
        <f>IF(AA37=" "," ",IF('c-form'!AE15="",AA37,AA37+'c-form'!AE15))</f>
        <v>338.14333333333337</v>
      </c>
      <c r="AC37" s="58">
        <f>IF(AA37=" "," ",IF('c-form'!AE15="",AM37,AM37+'c-form'!AE15))</f>
        <v>338.23</v>
      </c>
      <c r="AD37" s="150">
        <f t="shared" si="7"/>
        <v>16</v>
      </c>
      <c r="AE37" s="58">
        <f>IF(AA37=" "," ",IF('c-form'!AE15="",AN37,AN37+'c-form'!AE15))</f>
        <v>338.05</v>
      </c>
      <c r="AF37" s="150">
        <f t="shared" si="8"/>
        <v>1</v>
      </c>
      <c r="AG37" s="63"/>
      <c r="AM37">
        <f t="shared" si="2"/>
        <v>0.63</v>
      </c>
      <c r="AN37" s="54">
        <f t="shared" si="4"/>
        <v>0.45</v>
      </c>
    </row>
    <row r="38" spans="1:40" ht="22.5" customHeight="1">
      <c r="A38" s="225"/>
      <c r="B38" s="132">
        <v>26</v>
      </c>
      <c r="C38" s="264">
        <v>0.51</v>
      </c>
      <c r="D38" s="264">
        <v>0.49</v>
      </c>
      <c r="E38" s="264">
        <v>0.47</v>
      </c>
      <c r="F38" s="264">
        <v>0.46</v>
      </c>
      <c r="G38" s="264">
        <v>0.45</v>
      </c>
      <c r="H38" s="264">
        <v>0.44</v>
      </c>
      <c r="I38" s="264">
        <v>0.44</v>
      </c>
      <c r="J38" s="264">
        <v>0.44</v>
      </c>
      <c r="K38" s="264">
        <v>0.44</v>
      </c>
      <c r="L38" s="264">
        <v>0.44</v>
      </c>
      <c r="M38" s="264">
        <v>0.44</v>
      </c>
      <c r="N38" s="264">
        <v>0.44</v>
      </c>
      <c r="O38" s="264">
        <v>0.44</v>
      </c>
      <c r="P38" s="264">
        <v>0.44</v>
      </c>
      <c r="Q38" s="264">
        <v>0.44</v>
      </c>
      <c r="R38" s="264">
        <v>0.44</v>
      </c>
      <c r="S38" s="264">
        <v>0.44</v>
      </c>
      <c r="T38" s="264">
        <v>0.44</v>
      </c>
      <c r="U38" s="264">
        <v>0.44</v>
      </c>
      <c r="V38" s="264">
        <v>0.44</v>
      </c>
      <c r="W38" s="264">
        <v>0.44</v>
      </c>
      <c r="X38" s="264">
        <v>0.44</v>
      </c>
      <c r="Y38" s="264">
        <v>0.44</v>
      </c>
      <c r="Z38" s="264">
        <v>0.44</v>
      </c>
      <c r="AA38" s="57">
        <f t="shared" si="0"/>
        <v>0.44750000000000001</v>
      </c>
      <c r="AB38" s="58">
        <f>IF(AA38=" "," ",IF('c-form'!AE15="",AA38,AA38+'c-form'!AE15))</f>
        <v>338.04750000000001</v>
      </c>
      <c r="AC38" s="58">
        <f>IF(AA38=" "," ",IF('c-form'!AE15="",AM38,AM38+'c-form'!AE15))</f>
        <v>338.11</v>
      </c>
      <c r="AD38" s="150">
        <f t="shared" si="7"/>
        <v>1</v>
      </c>
      <c r="AE38" s="58">
        <f>IF(AA38=" "," ",IF('c-form'!AE15="",AN38,AN38+'c-form'!AE15))</f>
        <v>338.04</v>
      </c>
      <c r="AF38" s="150">
        <f t="shared" si="8"/>
        <v>6</v>
      </c>
      <c r="AG38" s="63"/>
      <c r="AM38">
        <f t="shared" si="2"/>
        <v>0.51</v>
      </c>
      <c r="AN38" s="54">
        <f t="shared" si="4"/>
        <v>0.44</v>
      </c>
    </row>
    <row r="39" spans="1:40" ht="22.5" customHeight="1">
      <c r="A39" s="225"/>
      <c r="B39" s="132">
        <v>27</v>
      </c>
      <c r="C39" s="264">
        <v>0.43</v>
      </c>
      <c r="D39" s="264">
        <v>0.43</v>
      </c>
      <c r="E39" s="264">
        <v>0.43</v>
      </c>
      <c r="F39" s="264">
        <v>0.43</v>
      </c>
      <c r="G39" s="264">
        <v>0.43</v>
      </c>
      <c r="H39" s="264">
        <v>0.43</v>
      </c>
      <c r="I39" s="264">
        <v>0.43</v>
      </c>
      <c r="J39" s="264">
        <v>0.43</v>
      </c>
      <c r="K39" s="264">
        <v>0.43</v>
      </c>
      <c r="L39" s="264">
        <v>0.43</v>
      </c>
      <c r="M39" s="264">
        <v>0.43</v>
      </c>
      <c r="N39" s="264">
        <v>0.43</v>
      </c>
      <c r="O39" s="264">
        <v>0.43</v>
      </c>
      <c r="P39" s="264">
        <v>0.43</v>
      </c>
      <c r="Q39" s="264">
        <v>0.43</v>
      </c>
      <c r="R39" s="264">
        <v>0.43</v>
      </c>
      <c r="S39" s="264">
        <v>0.43</v>
      </c>
      <c r="T39" s="264">
        <v>0.43</v>
      </c>
      <c r="U39" s="264">
        <v>0.43</v>
      </c>
      <c r="V39" s="264">
        <v>0.43</v>
      </c>
      <c r="W39" s="264">
        <v>0.43</v>
      </c>
      <c r="X39" s="264">
        <v>0.43</v>
      </c>
      <c r="Y39" s="264">
        <v>0.43</v>
      </c>
      <c r="Z39" s="264">
        <v>0.43</v>
      </c>
      <c r="AA39" s="57">
        <f t="shared" si="0"/>
        <v>0.42999999999999988</v>
      </c>
      <c r="AB39" s="58">
        <f>IF(AA39=" "," ",IF('c-form'!AE15="",AA39,AA39+'c-form'!AE15))</f>
        <v>338.03000000000003</v>
      </c>
      <c r="AC39" s="58">
        <f>IF(AA39=" "," ",IF('c-form'!AE15="",AM39,AM39+'c-form'!AE15))</f>
        <v>338.03000000000003</v>
      </c>
      <c r="AD39" s="150">
        <f t="shared" si="7"/>
        <v>1</v>
      </c>
      <c r="AE39" s="58">
        <f>IF(AA39=" "," ",IF('c-form'!AE15="",AN39,AN39+'c-form'!AE15))</f>
        <v>338.03000000000003</v>
      </c>
      <c r="AF39" s="150">
        <f t="shared" si="8"/>
        <v>1</v>
      </c>
      <c r="AG39" s="63"/>
      <c r="AM39">
        <f>IF(AB39=" "," ",MAX(C39:Z39))</f>
        <v>0.43</v>
      </c>
      <c r="AN39" s="54">
        <f t="shared" si="4"/>
        <v>0.43</v>
      </c>
    </row>
    <row r="40" spans="1:40" ht="22.5" customHeight="1">
      <c r="A40" s="225"/>
      <c r="B40" s="132">
        <v>28</v>
      </c>
      <c r="C40" s="264">
        <v>0.42</v>
      </c>
      <c r="D40" s="264">
        <v>0.42</v>
      </c>
      <c r="E40" s="264">
        <v>0.42</v>
      </c>
      <c r="F40" s="264">
        <v>0.42</v>
      </c>
      <c r="G40" s="264">
        <v>0.42</v>
      </c>
      <c r="H40" s="264">
        <v>0.42</v>
      </c>
      <c r="I40" s="264">
        <v>0.42</v>
      </c>
      <c r="J40" s="264">
        <v>0.42</v>
      </c>
      <c r="K40" s="264">
        <v>0.42</v>
      </c>
      <c r="L40" s="264">
        <v>0.42</v>
      </c>
      <c r="M40" s="264">
        <v>0.42</v>
      </c>
      <c r="N40" s="264">
        <v>0.42</v>
      </c>
      <c r="O40" s="264">
        <v>0.43</v>
      </c>
      <c r="P40" s="264">
        <v>0.43</v>
      </c>
      <c r="Q40" s="264">
        <v>0.43</v>
      </c>
      <c r="R40" s="264">
        <v>0.43</v>
      </c>
      <c r="S40" s="264">
        <v>0.43</v>
      </c>
      <c r="T40" s="264">
        <v>0.43</v>
      </c>
      <c r="U40" s="264">
        <v>0.43</v>
      </c>
      <c r="V40" s="264">
        <v>0.43</v>
      </c>
      <c r="W40" s="264">
        <v>0.43</v>
      </c>
      <c r="X40" s="264">
        <v>0.43</v>
      </c>
      <c r="Y40" s="264">
        <v>0.43</v>
      </c>
      <c r="Z40" s="264">
        <v>0.43</v>
      </c>
      <c r="AA40" s="57">
        <f t="shared" si="0"/>
        <v>0.42499999999999988</v>
      </c>
      <c r="AB40" s="58">
        <f>IF(AA40=" "," ",IF('c-form'!AE15="",AA40,AA40+'c-form'!AE15))</f>
        <v>338.02500000000003</v>
      </c>
      <c r="AC40" s="58">
        <f>IF(AA40=" "," ",IF('c-form'!AE15="",AM40,AM40+'c-form'!AE15))</f>
        <v>338.03000000000003</v>
      </c>
      <c r="AD40" s="150">
        <f t="shared" si="7"/>
        <v>13</v>
      </c>
      <c r="AE40" s="58">
        <f>IF(AA40=" "," ",IF('c-form'!AE15="",AN40,AN40+'c-form'!AE15))</f>
        <v>338.02000000000004</v>
      </c>
      <c r="AF40" s="150">
        <f t="shared" si="8"/>
        <v>1</v>
      </c>
      <c r="AG40" s="63"/>
      <c r="AM40">
        <f t="shared" si="2"/>
        <v>0.43</v>
      </c>
      <c r="AN40" s="54">
        <f t="shared" si="4"/>
        <v>0.42</v>
      </c>
    </row>
    <row r="41" spans="1:40" ht="22.5" customHeight="1">
      <c r="A41" s="225"/>
      <c r="B41" s="132">
        <v>29</v>
      </c>
      <c r="C41" s="264">
        <v>0.44</v>
      </c>
      <c r="D41" s="264">
        <v>0.44</v>
      </c>
      <c r="E41" s="264">
        <v>0.44</v>
      </c>
      <c r="F41" s="264">
        <v>0.44</v>
      </c>
      <c r="G41" s="264">
        <v>0.44</v>
      </c>
      <c r="H41" s="264">
        <v>0.44</v>
      </c>
      <c r="I41" s="264">
        <v>0.44</v>
      </c>
      <c r="J41" s="264">
        <v>0.44</v>
      </c>
      <c r="K41" s="264">
        <v>0.44</v>
      </c>
      <c r="L41" s="264">
        <v>0.44</v>
      </c>
      <c r="M41" s="264">
        <v>0.44</v>
      </c>
      <c r="N41" s="264">
        <v>0.44</v>
      </c>
      <c r="O41" s="264">
        <v>0.44</v>
      </c>
      <c r="P41" s="264">
        <v>0.44</v>
      </c>
      <c r="Q41" s="264">
        <v>0.44</v>
      </c>
      <c r="R41" s="264">
        <v>0.44</v>
      </c>
      <c r="S41" s="264">
        <v>0.44</v>
      </c>
      <c r="T41" s="264">
        <v>0.44</v>
      </c>
      <c r="U41" s="264">
        <v>0.44</v>
      </c>
      <c r="V41" s="264">
        <v>0.44</v>
      </c>
      <c r="W41" s="264">
        <v>0.44</v>
      </c>
      <c r="X41" s="264">
        <v>0.44</v>
      </c>
      <c r="Y41" s="264">
        <v>0.44</v>
      </c>
      <c r="Z41" s="264">
        <v>0.44</v>
      </c>
      <c r="AA41" s="57">
        <f t="shared" si="0"/>
        <v>0.44</v>
      </c>
      <c r="AB41" s="58">
        <f>IF(AA41=" "," ",IF('c-form'!AE15="",AA41,AA41+'c-form'!AE15))</f>
        <v>338.04</v>
      </c>
      <c r="AC41" s="58">
        <f>IF(AA41=" "," ",IF('c-form'!AE15="",AM41,AM41+'c-form'!AE15))</f>
        <v>338.04</v>
      </c>
      <c r="AD41" s="150">
        <f t="shared" si="7"/>
        <v>1</v>
      </c>
      <c r="AE41" s="58">
        <f>IF(AA41=" "," ",IF('c-form'!AE15="",AN41,AN41+'c-form'!AE15))</f>
        <v>338.04</v>
      </c>
      <c r="AF41" s="150">
        <f t="shared" si="8"/>
        <v>1</v>
      </c>
      <c r="AG41" s="63"/>
      <c r="AM41">
        <f>IF(AB41=" "," ",MAX(C41:Z41))</f>
        <v>0.44</v>
      </c>
      <c r="AN41" s="54">
        <f t="shared" si="4"/>
        <v>0.44</v>
      </c>
    </row>
    <row r="42" spans="1:40" ht="22.5" customHeight="1">
      <c r="A42" s="225"/>
      <c r="B42" s="132">
        <v>30</v>
      </c>
      <c r="C42" s="264">
        <v>0.44</v>
      </c>
      <c r="D42" s="264">
        <v>0.44</v>
      </c>
      <c r="E42" s="264">
        <v>0.44</v>
      </c>
      <c r="F42" s="264">
        <v>0.44</v>
      </c>
      <c r="G42" s="264">
        <v>0.44</v>
      </c>
      <c r="H42" s="264">
        <v>0.44</v>
      </c>
      <c r="I42" s="264">
        <v>0.44</v>
      </c>
      <c r="J42" s="264">
        <v>0.44</v>
      </c>
      <c r="K42" s="264">
        <v>0.44</v>
      </c>
      <c r="L42" s="264">
        <v>0.44</v>
      </c>
      <c r="M42" s="264">
        <v>0.44</v>
      </c>
      <c r="N42" s="264">
        <v>0.44</v>
      </c>
      <c r="O42" s="264">
        <v>0.44</v>
      </c>
      <c r="P42" s="264">
        <v>0.44</v>
      </c>
      <c r="Q42" s="264">
        <v>0.44</v>
      </c>
      <c r="R42" s="264">
        <v>0.44</v>
      </c>
      <c r="S42" s="264">
        <v>0.44</v>
      </c>
      <c r="T42" s="264">
        <v>0.44</v>
      </c>
      <c r="U42" s="264">
        <v>0.44</v>
      </c>
      <c r="V42" s="264">
        <v>0.44</v>
      </c>
      <c r="W42" s="264">
        <v>0.44</v>
      </c>
      <c r="X42" s="264">
        <v>0.44</v>
      </c>
      <c r="Y42" s="264">
        <v>0.44</v>
      </c>
      <c r="Z42" s="264">
        <v>0.44</v>
      </c>
      <c r="AA42" s="57">
        <f>IF(ISERROR(AVERAGE(C42:Z42))," ",AVERAGE(C42:Z42))</f>
        <v>0.44</v>
      </c>
      <c r="AB42" s="58">
        <f>IF(AA42=" "," ",IF('c-form'!AE15="",AA42,AA42+'c-form'!AE15))</f>
        <v>338.04</v>
      </c>
      <c r="AC42" s="58">
        <f>IF(AM42=" "," ",IF('c-form'!AE15="",AA42,AM42+'c-form'!AE15))</f>
        <v>338.04</v>
      </c>
      <c r="AD42" s="150">
        <f>IF(AB42=" "," ",MATCH(AM42,C42:Z42,0))</f>
        <v>1</v>
      </c>
      <c r="AE42" s="58">
        <f>IF(AN42=" "," ",IF('c-form'!AE15="",AA42,AN42+'c-form'!AE15))</f>
        <v>338.04</v>
      </c>
      <c r="AF42" s="150">
        <f>IF(AD42=" "," ",MATCH(AN42,C42:Z42,0))</f>
        <v>1</v>
      </c>
      <c r="AG42" s="63"/>
      <c r="AM42">
        <f t="shared" si="2"/>
        <v>0.44</v>
      </c>
      <c r="AN42" s="54">
        <f t="shared" si="4"/>
        <v>0.44</v>
      </c>
    </row>
    <row r="43" spans="1:40" ht="24.75" customHeight="1">
      <c r="A43" s="225"/>
      <c r="B43" s="132">
        <v>31</v>
      </c>
      <c r="C43" s="264">
        <v>0.44</v>
      </c>
      <c r="D43" s="264">
        <v>0.44</v>
      </c>
      <c r="E43" s="264">
        <v>0.44</v>
      </c>
      <c r="F43" s="264">
        <v>0.44</v>
      </c>
      <c r="G43" s="264">
        <v>0.44</v>
      </c>
      <c r="H43" s="264">
        <v>0.44</v>
      </c>
      <c r="I43" s="264">
        <v>0.44</v>
      </c>
      <c r="J43" s="264">
        <v>0.44</v>
      </c>
      <c r="K43" s="264">
        <v>0.44</v>
      </c>
      <c r="L43" s="264">
        <v>0.44</v>
      </c>
      <c r="M43" s="264">
        <v>0.44</v>
      </c>
      <c r="N43" s="264">
        <v>0.44</v>
      </c>
      <c r="O43" s="264">
        <v>0.44</v>
      </c>
      <c r="P43" s="264">
        <v>0.44</v>
      </c>
      <c r="Q43" s="264">
        <v>0.44</v>
      </c>
      <c r="R43" s="264">
        <v>0.44</v>
      </c>
      <c r="S43" s="264">
        <v>0.44</v>
      </c>
      <c r="T43" s="264">
        <v>0.44</v>
      </c>
      <c r="U43" s="264">
        <v>0.44</v>
      </c>
      <c r="V43" s="264">
        <v>0.44</v>
      </c>
      <c r="W43" s="264">
        <v>0.44</v>
      </c>
      <c r="X43" s="264">
        <v>0.44</v>
      </c>
      <c r="Y43" s="264">
        <v>0.44</v>
      </c>
      <c r="Z43" s="264">
        <v>0.44</v>
      </c>
      <c r="AA43" s="131">
        <f>IF(ISERR(AVERAGE(C43:Z43))," ",AVERAGE(C43:Z43))</f>
        <v>0.44</v>
      </c>
      <c r="AB43" s="58">
        <f>IF(AA43=" "," ",IF('c-form'!AE15="",AA43,AA43+'c-form'!AE15))</f>
        <v>338.04</v>
      </c>
      <c r="AC43" s="58">
        <f>IF(AM43=" "," ",IF('c-form'!AE15="",AA43,AM43+'c-form'!AE15))</f>
        <v>338.04</v>
      </c>
      <c r="AD43" s="150">
        <f>IF(AB43=" "," ",MATCH(AM43,C43:Z43,0))</f>
        <v>1</v>
      </c>
      <c r="AE43" s="58">
        <f>IF(AN43=" "," ",IF('c-form'!AE15="",AA43,AN43+'c-form'!AE15))</f>
        <v>338.04</v>
      </c>
      <c r="AF43" s="150">
        <f>IF(AD43=" "," ",MATCH(AN43,C43:Z43,0))</f>
        <v>1</v>
      </c>
      <c r="AG43" s="63"/>
      <c r="AM43">
        <f t="shared" si="2"/>
        <v>0.44</v>
      </c>
      <c r="AN43" s="54">
        <f t="shared" si="4"/>
        <v>0.44</v>
      </c>
    </row>
    <row r="44" spans="1:40" s="60" customFormat="1" ht="9.75" customHeight="1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</row>
    <row r="45" spans="1:40" s="80" customFormat="1" ht="23.25" customHeight="1">
      <c r="B45" s="331" t="s">
        <v>68</v>
      </c>
      <c r="C45" s="331"/>
      <c r="D45" s="331"/>
      <c r="E45" s="332">
        <f>IF(COUNT(AC11:AC43)=0," ",MAX(AC11:AC43))</f>
        <v>338.65000000000003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15</v>
      </c>
      <c r="M45" s="360" t="s">
        <v>290</v>
      </c>
      <c r="N45" s="361"/>
      <c r="O45" s="202">
        <f>IF(COUNT(AC11:AC43)=0," ",INDEX(AD11:AD43,AM45))</f>
        <v>22</v>
      </c>
      <c r="P45" s="331" t="s">
        <v>72</v>
      </c>
      <c r="Q45" s="331"/>
      <c r="R45" s="331"/>
      <c r="S45" s="336">
        <f>IF(COUNT(AC11:AC43)=0," ",AVERAGE(AB11:AB43))</f>
        <v>338.13802419354846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16</v>
      </c>
      <c r="AN45" s="83"/>
    </row>
    <row r="46" spans="1:40" s="80" customFormat="1" ht="20.100000000000001" customHeight="1">
      <c r="B46" s="331" t="s">
        <v>69</v>
      </c>
      <c r="C46" s="331"/>
      <c r="D46" s="331"/>
      <c r="E46" s="332">
        <f>IF(COUNT(AC11:AC43)=0," ",MIN(AE11:AE43))</f>
        <v>338.02000000000004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28</v>
      </c>
      <c r="M46" s="360" t="s">
        <v>290</v>
      </c>
      <c r="N46" s="361"/>
      <c r="O46" s="202">
        <f>IF(COUNT(AC11:AC43)=0," ",INDEX(AF11:AF43,AM46))</f>
        <v>1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80" t="s">
        <v>74</v>
      </c>
      <c r="AB46" s="84"/>
      <c r="AC46" s="84"/>
      <c r="AD46" s="84"/>
      <c r="AE46" s="84"/>
      <c r="AF46" s="84"/>
      <c r="AM46" s="80">
        <f>MATCH(E46,AE11:AE43,0)</f>
        <v>30</v>
      </c>
    </row>
    <row r="47" spans="1:40" ht="20.100000000000001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230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</row>
    <row r="48" spans="1:40" ht="20.100000000000001" customHeight="1">
      <c r="A48" s="63"/>
      <c r="B48" s="63"/>
      <c r="C48" s="63"/>
      <c r="D48" s="63"/>
      <c r="E48" s="62"/>
      <c r="F48" s="56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</row>
    <row r="49" ht="20.100000000000001" customHeight="1"/>
  </sheetData>
  <sheetProtection password="D965" sheet="1" objects="1" scenarios="1"/>
  <mergeCells count="34">
    <mergeCell ref="Y5:Z5"/>
    <mergeCell ref="AA5:AC5"/>
    <mergeCell ref="AE4:AG4"/>
    <mergeCell ref="AD1:AE1"/>
    <mergeCell ref="B2:D2"/>
    <mergeCell ref="E2:AC2"/>
    <mergeCell ref="C5:E5"/>
    <mergeCell ref="G5:H5"/>
    <mergeCell ref="J5:N5"/>
    <mergeCell ref="P5:S5"/>
    <mergeCell ref="AC7:AD7"/>
    <mergeCell ref="AE7:AG7"/>
    <mergeCell ref="AD9:AF9"/>
    <mergeCell ref="AB9:AC9"/>
    <mergeCell ref="AA9:AA10"/>
    <mergeCell ref="B46:D46"/>
    <mergeCell ref="E46:F46"/>
    <mergeCell ref="P46:Q46"/>
    <mergeCell ref="P7:R7"/>
    <mergeCell ref="M46:N46"/>
    <mergeCell ref="B9:B10"/>
    <mergeCell ref="C9:Z9"/>
    <mergeCell ref="S7:V7"/>
    <mergeCell ref="W7:X7"/>
    <mergeCell ref="B7:C7"/>
    <mergeCell ref="D7:E7"/>
    <mergeCell ref="G7:H7"/>
    <mergeCell ref="L7:O7"/>
    <mergeCell ref="B45:D45"/>
    <mergeCell ref="U5:W5"/>
    <mergeCell ref="E45:F45"/>
    <mergeCell ref="P45:R45"/>
    <mergeCell ref="S45:T45"/>
    <mergeCell ref="M45:N45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5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N49"/>
  <sheetViews>
    <sheetView showGridLines="0" showRowColHeaders="0" zoomScaleNormal="100" workbookViewId="0">
      <pane xSplit="2" ySplit="10" topLeftCell="F26" activePane="bottomRight" state="frozen"/>
      <selection pane="topRight" activeCell="C1" sqref="C1"/>
      <selection pane="bottomLeft" activeCell="A11" sqref="A11"/>
      <selection pane="bottomRight" activeCell="O37" sqref="O37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6.85546875" customWidth="1"/>
    <col min="33" max="33" width="8.42578125" customWidth="1"/>
    <col min="34" max="34" width="0.140625" customWidth="1"/>
    <col min="35" max="35" width="7.140625" hidden="1" customWidth="1"/>
    <col min="36" max="36" width="6.5703125" hidden="1" customWidth="1"/>
    <col min="37" max="37" width="5.5703125" hidden="1" customWidth="1"/>
    <col min="38" max="38" width="6.140625" hidden="1" customWidth="1"/>
    <col min="39" max="39" width="8.140625" hidden="1" customWidth="1"/>
    <col min="40" max="40" width="5.5703125" hidden="1" customWidth="1"/>
  </cols>
  <sheetData>
    <row r="1" spans="1:40" s="88" customFormat="1" ht="9" customHeight="1">
      <c r="AD1" s="359" t="s">
        <v>108</v>
      </c>
      <c r="AE1" s="349"/>
    </row>
    <row r="2" spans="1:40" s="88" customFormat="1" ht="18.75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s="88" customFormat="1" ht="18.75" customHeight="1">
      <c r="B3" s="73" t="s">
        <v>106</v>
      </c>
      <c r="C3" s="73"/>
      <c r="D3" s="73"/>
      <c r="AA3" s="161"/>
      <c r="AB3" s="161"/>
      <c r="AC3" s="161"/>
      <c r="AD3" s="161"/>
      <c r="AE3" s="161"/>
      <c r="AF3" s="161"/>
    </row>
    <row r="4" spans="1:40" s="88" customFormat="1" ht="17.25" customHeight="1">
      <c r="F4" s="90"/>
      <c r="AA4" s="161"/>
      <c r="AB4" s="161"/>
      <c r="AC4" s="161"/>
      <c r="AD4" s="159" t="s">
        <v>123</v>
      </c>
      <c r="AE4" s="315"/>
      <c r="AF4" s="315"/>
      <c r="AG4" s="353"/>
    </row>
    <row r="5" spans="1:40" s="74" customFormat="1" ht="24">
      <c r="B5" s="75" t="s">
        <v>109</v>
      </c>
      <c r="C5" s="327" t="str">
        <f>IF(ISBLANK(rsteam),"",rsteam)</f>
        <v>Nam  Ping</v>
      </c>
      <c r="D5" s="282"/>
      <c r="E5" s="282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</row>
    <row r="6" spans="1:40" s="74" customFormat="1" ht="7.5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0" s="74" customFormat="1" ht="21.75" customHeight="1">
      <c r="B7" s="324" t="s">
        <v>116</v>
      </c>
      <c r="C7" s="324"/>
      <c r="D7" s="325" t="s">
        <v>61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</row>
    <row r="8" spans="1:40" s="88" customFormat="1" ht="15.75" customHeight="1"/>
    <row r="9" spans="1:40" s="52" customFormat="1" ht="30.75" customHeight="1">
      <c r="A9" s="55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5" t="str">
        <f>'c-form'!AF15</f>
        <v>MSL.</v>
      </c>
      <c r="AE9" s="356"/>
      <c r="AF9" s="357"/>
    </row>
    <row r="10" spans="1:40" s="52" customFormat="1" ht="21" customHeight="1">
      <c r="A10" s="55"/>
      <c r="B10" s="338"/>
      <c r="C10" s="61">
        <v>1</v>
      </c>
      <c r="D10" s="61">
        <v>2</v>
      </c>
      <c r="E10" s="61">
        <v>3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  <c r="M10" s="61">
        <v>11</v>
      </c>
      <c r="N10" s="61">
        <v>12</v>
      </c>
      <c r="O10" s="61">
        <v>13</v>
      </c>
      <c r="P10" s="61">
        <v>14</v>
      </c>
      <c r="Q10" s="61">
        <v>15</v>
      </c>
      <c r="R10" s="61">
        <v>16</v>
      </c>
      <c r="S10" s="61">
        <v>17</v>
      </c>
      <c r="T10" s="61">
        <v>18</v>
      </c>
      <c r="U10" s="61">
        <v>19</v>
      </c>
      <c r="V10" s="61">
        <v>20</v>
      </c>
      <c r="W10" s="61">
        <v>21</v>
      </c>
      <c r="X10" s="61">
        <v>22</v>
      </c>
      <c r="Y10" s="61">
        <v>23</v>
      </c>
      <c r="Z10" s="61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60"/>
      <c r="B11" s="132">
        <v>1</v>
      </c>
      <c r="C11" s="264">
        <v>1.05</v>
      </c>
      <c r="D11" s="264">
        <v>1.05</v>
      </c>
      <c r="E11" s="264">
        <v>1.05</v>
      </c>
      <c r="F11" s="264">
        <v>1.04</v>
      </c>
      <c r="G11" s="264">
        <v>1.04</v>
      </c>
      <c r="H11" s="264">
        <v>1.04</v>
      </c>
      <c r="I11" s="264">
        <v>1.03</v>
      </c>
      <c r="J11" s="264">
        <v>1.03</v>
      </c>
      <c r="K11" s="264">
        <v>1.03</v>
      </c>
      <c r="L11" s="264">
        <v>1.02</v>
      </c>
      <c r="M11" s="264">
        <v>1.02</v>
      </c>
      <c r="N11" s="264">
        <v>1.02</v>
      </c>
      <c r="O11" s="264">
        <v>1.01</v>
      </c>
      <c r="P11" s="264">
        <v>1.01</v>
      </c>
      <c r="Q11" s="264">
        <v>1.01</v>
      </c>
      <c r="R11" s="264">
        <v>1</v>
      </c>
      <c r="S11" s="264">
        <v>1</v>
      </c>
      <c r="T11" s="264">
        <v>1</v>
      </c>
      <c r="U11" s="264">
        <v>1</v>
      </c>
      <c r="V11" s="264">
        <v>0.99</v>
      </c>
      <c r="W11" s="264">
        <v>0.99</v>
      </c>
      <c r="X11" s="264">
        <v>0.99</v>
      </c>
      <c r="Y11" s="264">
        <v>0.99</v>
      </c>
      <c r="Z11" s="264">
        <v>0.99</v>
      </c>
      <c r="AA11" s="57">
        <f t="shared" ref="AA11:AA41" si="0">IF(ISERROR(AVERAGE(C11:Z11))," ",AVERAGE(C11:Z11))</f>
        <v>1.0166666666666662</v>
      </c>
      <c r="AB11" s="58">
        <f>IF(AA11=" "," ",IF('c-form'!AE15="",AA11,AA11+'c-form'!AE15))</f>
        <v>338.61666666666667</v>
      </c>
      <c r="AC11" s="58">
        <f>IF(AA11=" "," ",IF('c-form'!AE15="",AM11,AM11+'c-form'!AE15))</f>
        <v>338.65000000000003</v>
      </c>
      <c r="AD11" s="150">
        <f>IF(AB11=" "," ",MATCH(AM11,C11:Z11,0))</f>
        <v>1</v>
      </c>
      <c r="AE11" s="58">
        <f>IF(AA11=" "," ",IF('c-form'!AE15="",AN11,AN11+'c-form'!AE15))</f>
        <v>338.59000000000003</v>
      </c>
      <c r="AF11" s="150">
        <f t="shared" ref="AF11:AF20" si="1">IF(AD11=" "," ",MATCH(AN11,C11:Z11,0))</f>
        <v>20</v>
      </c>
      <c r="AG11" s="63"/>
      <c r="AM11">
        <f>IF(AB11=" "," ",MAX(C11:Z11))</f>
        <v>1.05</v>
      </c>
      <c r="AN11" s="54">
        <f>IF(AB11=" "," ",MIN(C11:Z11))</f>
        <v>0.99</v>
      </c>
    </row>
    <row r="12" spans="1:40" ht="22.5" customHeight="1">
      <c r="A12" s="60"/>
      <c r="B12" s="132">
        <v>2</v>
      </c>
      <c r="C12" s="264">
        <v>0.98</v>
      </c>
      <c r="D12" s="264">
        <v>0.98</v>
      </c>
      <c r="E12" s="264">
        <v>0.98</v>
      </c>
      <c r="F12" s="264">
        <v>0.98</v>
      </c>
      <c r="G12" s="264">
        <v>0.97</v>
      </c>
      <c r="H12" s="264">
        <v>0.97</v>
      </c>
      <c r="I12" s="264">
        <v>0.97</v>
      </c>
      <c r="J12" s="264">
        <v>0.97</v>
      </c>
      <c r="K12" s="264">
        <v>0.96</v>
      </c>
      <c r="L12" s="264">
        <v>0.96</v>
      </c>
      <c r="M12" s="264">
        <v>0.96</v>
      </c>
      <c r="N12" s="264">
        <v>0.96</v>
      </c>
      <c r="O12" s="264">
        <v>0.95</v>
      </c>
      <c r="P12" s="264">
        <v>0.95</v>
      </c>
      <c r="Q12" s="264">
        <v>0.94</v>
      </c>
      <c r="R12" s="264">
        <v>0.94</v>
      </c>
      <c r="S12" s="264">
        <v>0.94</v>
      </c>
      <c r="T12" s="264">
        <v>0.93</v>
      </c>
      <c r="U12" s="264">
        <v>0.93</v>
      </c>
      <c r="V12" s="264">
        <v>0.93</v>
      </c>
      <c r="W12" s="264">
        <v>0.92</v>
      </c>
      <c r="X12" s="264">
        <v>0.92</v>
      </c>
      <c r="Y12" s="264">
        <v>0.92</v>
      </c>
      <c r="Z12" s="264">
        <v>0.92</v>
      </c>
      <c r="AA12" s="57">
        <f t="shared" si="0"/>
        <v>0.95125000000000026</v>
      </c>
      <c r="AB12" s="58">
        <f>IF(AA12=" "," ",IF('c-form'!AE15="",AA12,AA12+'c-form'!AE15))</f>
        <v>338.55125000000004</v>
      </c>
      <c r="AC12" s="58">
        <f>IF(AA12=" "," ",IF('c-form'!AE15="",AM12,AM12+'c-form'!AE15))</f>
        <v>338.58000000000004</v>
      </c>
      <c r="AD12" s="150">
        <f>IF(AB12=" "," ",MATCH(AM12,C12:Z12,0))</f>
        <v>1</v>
      </c>
      <c r="AE12" s="58">
        <f>IF(AA12=" "," ",IF('c-form'!AE15="",AN12,AN12+'c-form'!AE15))</f>
        <v>338.52000000000004</v>
      </c>
      <c r="AF12" s="150">
        <f t="shared" si="1"/>
        <v>21</v>
      </c>
      <c r="AG12" s="63"/>
      <c r="AM12">
        <f t="shared" ref="AM12:AM43" si="2">IF(AB12=" "," ",MAX(C12:Z12))</f>
        <v>0.98</v>
      </c>
      <c r="AN12" s="54">
        <f>IF(AB12=" "," ",MIN(C12:Z12))</f>
        <v>0.92</v>
      </c>
    </row>
    <row r="13" spans="1:40" ht="22.5" customHeight="1">
      <c r="A13" s="60"/>
      <c r="B13" s="132">
        <v>3</v>
      </c>
      <c r="C13" s="264">
        <v>0.91</v>
      </c>
      <c r="D13" s="264">
        <v>0.91</v>
      </c>
      <c r="E13" s="264">
        <v>0.91</v>
      </c>
      <c r="F13" s="264">
        <v>0.91</v>
      </c>
      <c r="G13" s="264">
        <v>0.91</v>
      </c>
      <c r="H13" s="264">
        <v>0.9</v>
      </c>
      <c r="I13" s="264">
        <v>0.9</v>
      </c>
      <c r="J13" s="264">
        <v>0.9</v>
      </c>
      <c r="K13" s="264">
        <v>0.9</v>
      </c>
      <c r="L13" s="264">
        <v>0.9</v>
      </c>
      <c r="M13" s="264">
        <v>0.9</v>
      </c>
      <c r="N13" s="264">
        <v>0.9</v>
      </c>
      <c r="O13" s="264">
        <v>0.89</v>
      </c>
      <c r="P13" s="264">
        <v>0.89</v>
      </c>
      <c r="Q13" s="264">
        <v>0.89</v>
      </c>
      <c r="R13" s="264">
        <v>0.89</v>
      </c>
      <c r="S13" s="264">
        <v>0.89</v>
      </c>
      <c r="T13" s="264">
        <v>0.89</v>
      </c>
      <c r="U13" s="264">
        <v>0.88</v>
      </c>
      <c r="V13" s="264">
        <v>0.88</v>
      </c>
      <c r="W13" s="264">
        <v>0.88</v>
      </c>
      <c r="X13" s="264">
        <v>0.88</v>
      </c>
      <c r="Y13" s="264">
        <v>0.88</v>
      </c>
      <c r="Z13" s="264">
        <v>0.88</v>
      </c>
      <c r="AA13" s="57">
        <f t="shared" si="0"/>
        <v>0.89458333333333329</v>
      </c>
      <c r="AB13" s="58">
        <f>IF(AA13=" "," ",IF('c-form'!AE15="",AA13,AA13+'c-form'!AE15))</f>
        <v>338.49458333333337</v>
      </c>
      <c r="AC13" s="58">
        <f>IF(AA13=" "," ",IF('c-form'!AE15="",AM13,AM13+'c-form'!AE15))</f>
        <v>338.51000000000005</v>
      </c>
      <c r="AD13" s="150">
        <f t="shared" ref="AD13:AD20" si="3">IF(AB13=" "," ",MATCH(AM13,C13:Z13,0))</f>
        <v>1</v>
      </c>
      <c r="AE13" s="58">
        <f>IF(AA13=" "," ",IF('c-form'!AE15="",AN13,AN13+'c-form'!AE15))</f>
        <v>338.48</v>
      </c>
      <c r="AF13" s="150">
        <f t="shared" si="1"/>
        <v>19</v>
      </c>
      <c r="AG13" s="63"/>
      <c r="AM13">
        <f t="shared" si="2"/>
        <v>0.91</v>
      </c>
      <c r="AN13" s="54">
        <f t="shared" ref="AN13:AN43" si="4">IF(AB13=" "," ",MIN(C13:Z13))</f>
        <v>0.88</v>
      </c>
    </row>
    <row r="14" spans="1:40" ht="22.5" customHeight="1">
      <c r="A14" s="60"/>
      <c r="B14" s="132">
        <v>4</v>
      </c>
      <c r="C14" s="264">
        <v>0.87</v>
      </c>
      <c r="D14" s="264">
        <v>0.87</v>
      </c>
      <c r="E14" s="264">
        <v>0.87</v>
      </c>
      <c r="F14" s="264">
        <v>0.87</v>
      </c>
      <c r="G14" s="264">
        <v>0.87</v>
      </c>
      <c r="H14" s="264">
        <v>0.86</v>
      </c>
      <c r="I14" s="264">
        <v>0.86</v>
      </c>
      <c r="J14" s="264">
        <v>0.86</v>
      </c>
      <c r="K14" s="264">
        <v>0.86</v>
      </c>
      <c r="L14" s="264">
        <v>0.86</v>
      </c>
      <c r="M14" s="264">
        <v>0.86</v>
      </c>
      <c r="N14" s="264">
        <v>0.85</v>
      </c>
      <c r="O14" s="264">
        <v>0.85</v>
      </c>
      <c r="P14" s="264">
        <v>0.85</v>
      </c>
      <c r="Q14" s="264">
        <v>0.85</v>
      </c>
      <c r="R14" s="264">
        <v>0.85</v>
      </c>
      <c r="S14" s="264">
        <v>0.84</v>
      </c>
      <c r="T14" s="264">
        <v>0.84</v>
      </c>
      <c r="U14" s="264">
        <v>0.84</v>
      </c>
      <c r="V14" s="264">
        <v>0.84</v>
      </c>
      <c r="W14" s="264">
        <v>0.83</v>
      </c>
      <c r="X14" s="264">
        <v>0.83</v>
      </c>
      <c r="Y14" s="264">
        <v>0.83</v>
      </c>
      <c r="Z14" s="264">
        <v>0.83</v>
      </c>
      <c r="AA14" s="57">
        <f t="shared" si="0"/>
        <v>0.85166666666666624</v>
      </c>
      <c r="AB14" s="58">
        <f>IF(AA14=" "," ",IF('c-form'!AE15="",AA14,AA14+'c-form'!AE15))</f>
        <v>338.45166666666671</v>
      </c>
      <c r="AC14" s="58">
        <f>IF(AA14=" "," ",IF('c-form'!AE15="",AM14,AM14+'c-form'!AE15))</f>
        <v>338.47</v>
      </c>
      <c r="AD14" s="150">
        <f t="shared" si="3"/>
        <v>1</v>
      </c>
      <c r="AE14" s="58">
        <f>IF(AA14=" "," ",IF('c-form'!AE15="",AN14,AN14+'c-form'!AE15))</f>
        <v>338.43</v>
      </c>
      <c r="AF14" s="150">
        <f t="shared" si="1"/>
        <v>21</v>
      </c>
      <c r="AG14" s="63"/>
      <c r="AM14">
        <f t="shared" si="2"/>
        <v>0.87</v>
      </c>
      <c r="AN14" s="54">
        <f t="shared" si="4"/>
        <v>0.83</v>
      </c>
    </row>
    <row r="15" spans="1:40" ht="22.5" customHeight="1">
      <c r="A15" s="60"/>
      <c r="B15" s="132">
        <v>5</v>
      </c>
      <c r="C15" s="264">
        <v>0.82</v>
      </c>
      <c r="D15" s="264">
        <v>0.82</v>
      </c>
      <c r="E15" s="264">
        <v>0.82</v>
      </c>
      <c r="F15" s="264">
        <v>0.82</v>
      </c>
      <c r="G15" s="264">
        <v>0.82</v>
      </c>
      <c r="H15" s="264">
        <v>0.81</v>
      </c>
      <c r="I15" s="264">
        <v>0.81</v>
      </c>
      <c r="J15" s="264">
        <v>0.81</v>
      </c>
      <c r="K15" s="264">
        <v>0.81</v>
      </c>
      <c r="L15" s="264">
        <v>0.81</v>
      </c>
      <c r="M15" s="264">
        <v>0.81</v>
      </c>
      <c r="N15" s="264">
        <v>0.81</v>
      </c>
      <c r="O15" s="264">
        <v>0.8</v>
      </c>
      <c r="P15" s="264">
        <v>0.8</v>
      </c>
      <c r="Q15" s="264">
        <v>0.8</v>
      </c>
      <c r="R15" s="264">
        <v>0.8</v>
      </c>
      <c r="S15" s="264">
        <v>0.8</v>
      </c>
      <c r="T15" s="264">
        <v>0.8</v>
      </c>
      <c r="U15" s="264">
        <v>0.79</v>
      </c>
      <c r="V15" s="264">
        <v>0.79</v>
      </c>
      <c r="W15" s="264">
        <v>0.79</v>
      </c>
      <c r="X15" s="264">
        <v>0.79</v>
      </c>
      <c r="Y15" s="264">
        <v>0.79</v>
      </c>
      <c r="Z15" s="264">
        <v>0.79</v>
      </c>
      <c r="AA15" s="57">
        <f t="shared" si="0"/>
        <v>0.80458333333333343</v>
      </c>
      <c r="AB15" s="58">
        <f>IF(AA15=" "," ",IF('c-form'!AE15="",AA15,AA15+'c-form'!AE15))</f>
        <v>338.40458333333333</v>
      </c>
      <c r="AC15" s="58">
        <f>IF(AA15=" "," ",IF('c-form'!AE15="",AM15,AM15+'c-form'!AE15))</f>
        <v>338.42</v>
      </c>
      <c r="AD15" s="150">
        <f t="shared" si="3"/>
        <v>1</v>
      </c>
      <c r="AE15" s="58">
        <f>IF(AA15=" "," ",IF('c-form'!AE15="",AN15,AN15+'c-form'!AE15))</f>
        <v>338.39000000000004</v>
      </c>
      <c r="AF15" s="150">
        <f t="shared" si="1"/>
        <v>19</v>
      </c>
      <c r="AG15" s="63"/>
      <c r="AM15">
        <f t="shared" si="2"/>
        <v>0.82</v>
      </c>
      <c r="AN15" s="54">
        <f t="shared" si="4"/>
        <v>0.79</v>
      </c>
    </row>
    <row r="16" spans="1:40" ht="22.5" customHeight="1">
      <c r="A16" s="60"/>
      <c r="B16" s="132">
        <v>6</v>
      </c>
      <c r="C16" s="264">
        <v>0.78</v>
      </c>
      <c r="D16" s="264">
        <v>0.78</v>
      </c>
      <c r="E16" s="264">
        <v>0.78</v>
      </c>
      <c r="F16" s="264">
        <v>0.78</v>
      </c>
      <c r="G16" s="264">
        <v>0.78</v>
      </c>
      <c r="H16" s="264">
        <v>0.78</v>
      </c>
      <c r="I16" s="264">
        <v>0.77</v>
      </c>
      <c r="J16" s="264">
        <v>0.77</v>
      </c>
      <c r="K16" s="264">
        <v>0.77</v>
      </c>
      <c r="L16" s="264">
        <v>0.77</v>
      </c>
      <c r="M16" s="264">
        <v>0.77</v>
      </c>
      <c r="N16" s="264">
        <v>0.77</v>
      </c>
      <c r="O16" s="264">
        <v>0.76</v>
      </c>
      <c r="P16" s="264">
        <v>0.76</v>
      </c>
      <c r="Q16" s="264">
        <v>0.76</v>
      </c>
      <c r="R16" s="264">
        <v>0.76</v>
      </c>
      <c r="S16" s="264">
        <v>0.76</v>
      </c>
      <c r="T16" s="264">
        <v>0.76</v>
      </c>
      <c r="U16" s="264">
        <v>0.75</v>
      </c>
      <c r="V16" s="264">
        <v>0.75</v>
      </c>
      <c r="W16" s="264">
        <v>0.75</v>
      </c>
      <c r="X16" s="264">
        <v>0.75</v>
      </c>
      <c r="Y16" s="264">
        <v>0.75</v>
      </c>
      <c r="Z16" s="264">
        <v>0.75</v>
      </c>
      <c r="AA16" s="57">
        <f t="shared" si="0"/>
        <v>0.76500000000000001</v>
      </c>
      <c r="AB16" s="58">
        <f>IF(AA16=" "," ",IF('c-form'!AE15="",AA16,AA16+'c-form'!AE15))</f>
        <v>338.36500000000001</v>
      </c>
      <c r="AC16" s="58">
        <f>IF(AA16=" "," ",IF('c-form'!AE15="",AM16,AM16+'c-form'!AE15))</f>
        <v>338.38</v>
      </c>
      <c r="AD16" s="150">
        <f t="shared" si="3"/>
        <v>1</v>
      </c>
      <c r="AE16" s="58">
        <f>IF(AA16=" "," ",IF('c-form'!AE15="",AN16,AN16+'c-form'!AE15))</f>
        <v>338.35</v>
      </c>
      <c r="AF16" s="150">
        <f t="shared" si="1"/>
        <v>19</v>
      </c>
      <c r="AG16" s="63"/>
      <c r="AM16">
        <f t="shared" si="2"/>
        <v>0.78</v>
      </c>
      <c r="AN16" s="54">
        <f t="shared" si="4"/>
        <v>0.75</v>
      </c>
    </row>
    <row r="17" spans="1:40" ht="22.5" customHeight="1">
      <c r="A17" s="60"/>
      <c r="B17" s="132">
        <v>7</v>
      </c>
      <c r="C17" s="264">
        <v>0.74</v>
      </c>
      <c r="D17" s="264">
        <v>0.74</v>
      </c>
      <c r="E17" s="264">
        <v>0.74</v>
      </c>
      <c r="F17" s="264">
        <v>0.74</v>
      </c>
      <c r="G17" s="264">
        <v>0.74</v>
      </c>
      <c r="H17" s="264">
        <v>0.74</v>
      </c>
      <c r="I17" s="264">
        <v>0.74</v>
      </c>
      <c r="J17" s="264">
        <v>0.74</v>
      </c>
      <c r="K17" s="264">
        <v>0.74</v>
      </c>
      <c r="L17" s="264">
        <v>0.74</v>
      </c>
      <c r="M17" s="264">
        <v>0.74</v>
      </c>
      <c r="N17" s="264">
        <v>0.74</v>
      </c>
      <c r="O17" s="264">
        <v>0.73</v>
      </c>
      <c r="P17" s="264">
        <v>0.73</v>
      </c>
      <c r="Q17" s="264">
        <v>0.73</v>
      </c>
      <c r="R17" s="264">
        <v>0.73</v>
      </c>
      <c r="S17" s="264">
        <v>0.73</v>
      </c>
      <c r="T17" s="264">
        <v>0.73</v>
      </c>
      <c r="U17" s="264">
        <v>0.73</v>
      </c>
      <c r="V17" s="264">
        <v>0.73</v>
      </c>
      <c r="W17" s="264">
        <v>0.73</v>
      </c>
      <c r="X17" s="264">
        <v>0.73</v>
      </c>
      <c r="Y17" s="264">
        <v>0.73</v>
      </c>
      <c r="Z17" s="264">
        <v>0.73</v>
      </c>
      <c r="AA17" s="57">
        <f t="shared" si="0"/>
        <v>0.73500000000000021</v>
      </c>
      <c r="AB17" s="58">
        <f>IF(AA17=" "," ",IF('c-form'!AE15="",AA17,AA17+'c-form'!AE15))</f>
        <v>338.33500000000004</v>
      </c>
      <c r="AC17" s="58">
        <f>IF(AA17=" "," ",IF('c-form'!AE15="",AM17,AM17+'c-form'!AE15))</f>
        <v>338.34000000000003</v>
      </c>
      <c r="AD17" s="150">
        <f t="shared" si="3"/>
        <v>1</v>
      </c>
      <c r="AE17" s="58">
        <f>IF(AA17=" "," ",IF('c-form'!AE15="",AN17,AN17+'c-form'!AE15))</f>
        <v>338.33000000000004</v>
      </c>
      <c r="AF17" s="150">
        <f t="shared" si="1"/>
        <v>13</v>
      </c>
      <c r="AG17" s="63"/>
      <c r="AM17">
        <f t="shared" si="2"/>
        <v>0.74</v>
      </c>
      <c r="AN17" s="54">
        <f t="shared" si="4"/>
        <v>0.73</v>
      </c>
    </row>
    <row r="18" spans="1:40" ht="22.5" customHeight="1">
      <c r="A18" s="60"/>
      <c r="B18" s="132">
        <v>8</v>
      </c>
      <c r="C18" s="264">
        <v>0.72</v>
      </c>
      <c r="D18" s="264">
        <v>0.72</v>
      </c>
      <c r="E18" s="264">
        <v>0.72</v>
      </c>
      <c r="F18" s="264">
        <v>0.72</v>
      </c>
      <c r="G18" s="264">
        <v>0.72</v>
      </c>
      <c r="H18" s="264">
        <v>0.72</v>
      </c>
      <c r="I18" s="264">
        <v>0.72</v>
      </c>
      <c r="J18" s="264">
        <v>0.72</v>
      </c>
      <c r="K18" s="264">
        <v>0.72</v>
      </c>
      <c r="L18" s="264">
        <v>0.72</v>
      </c>
      <c r="M18" s="264">
        <v>0.72</v>
      </c>
      <c r="N18" s="264">
        <v>0.72</v>
      </c>
      <c r="O18" s="264">
        <v>0.71</v>
      </c>
      <c r="P18" s="264">
        <v>0.71</v>
      </c>
      <c r="Q18" s="264">
        <v>0.71</v>
      </c>
      <c r="R18" s="264">
        <v>0.71</v>
      </c>
      <c r="S18" s="264">
        <v>0.71</v>
      </c>
      <c r="T18" s="264">
        <v>0.71</v>
      </c>
      <c r="U18" s="264">
        <v>0.71</v>
      </c>
      <c r="V18" s="264">
        <v>0.71</v>
      </c>
      <c r="W18" s="264">
        <v>0.71</v>
      </c>
      <c r="X18" s="264">
        <v>0.71</v>
      </c>
      <c r="Y18" s="264">
        <v>0.71</v>
      </c>
      <c r="Z18" s="264">
        <v>0.71</v>
      </c>
      <c r="AA18" s="57">
        <f t="shared" si="0"/>
        <v>0.7150000000000003</v>
      </c>
      <c r="AB18" s="58">
        <f>IF(AA18=" "," ",IF('c-form'!AE15="",AA18,AA18+'c-form'!AE15))</f>
        <v>338.315</v>
      </c>
      <c r="AC18" s="58">
        <f>IF(AA18=" "," ",IF('c-form'!AE15="",AM18,AM18+'c-form'!AE15))</f>
        <v>338.32000000000005</v>
      </c>
      <c r="AD18" s="150">
        <f t="shared" si="3"/>
        <v>1</v>
      </c>
      <c r="AE18" s="58">
        <f>IF(AA18=" "," ",IF('c-form'!AE15="",AN18,AN18+'c-form'!AE15))</f>
        <v>338.31</v>
      </c>
      <c r="AF18" s="150">
        <f t="shared" si="1"/>
        <v>13</v>
      </c>
      <c r="AG18" s="63"/>
      <c r="AM18">
        <f t="shared" si="2"/>
        <v>0.72</v>
      </c>
      <c r="AN18" s="54">
        <f t="shared" si="4"/>
        <v>0.71</v>
      </c>
    </row>
    <row r="19" spans="1:40" ht="22.5" customHeight="1">
      <c r="A19" s="60"/>
      <c r="B19" s="132">
        <v>9</v>
      </c>
      <c r="C19" s="264">
        <v>0.7</v>
      </c>
      <c r="D19" s="264">
        <v>0.7</v>
      </c>
      <c r="E19" s="264">
        <v>0.7</v>
      </c>
      <c r="F19" s="264">
        <v>0.7</v>
      </c>
      <c r="G19" s="264">
        <v>0.7</v>
      </c>
      <c r="H19" s="264">
        <v>0.7</v>
      </c>
      <c r="I19" s="264">
        <v>0.7</v>
      </c>
      <c r="J19" s="264">
        <v>0.7</v>
      </c>
      <c r="K19" s="264">
        <v>0.7</v>
      </c>
      <c r="L19" s="264">
        <v>0.7</v>
      </c>
      <c r="M19" s="264">
        <v>0.7</v>
      </c>
      <c r="N19" s="264">
        <v>0.7</v>
      </c>
      <c r="O19" s="264">
        <v>0.69</v>
      </c>
      <c r="P19" s="264">
        <v>0.69</v>
      </c>
      <c r="Q19" s="264">
        <v>0.69</v>
      </c>
      <c r="R19" s="264">
        <v>0.69</v>
      </c>
      <c r="S19" s="264">
        <v>0.69</v>
      </c>
      <c r="T19" s="264">
        <v>0.69</v>
      </c>
      <c r="U19" s="264">
        <v>0.69</v>
      </c>
      <c r="V19" s="264">
        <v>0.69</v>
      </c>
      <c r="W19" s="264">
        <v>0.69</v>
      </c>
      <c r="X19" s="264">
        <v>0.69</v>
      </c>
      <c r="Y19" s="264">
        <v>0.69</v>
      </c>
      <c r="Z19" s="264">
        <v>0.69</v>
      </c>
      <c r="AA19" s="57">
        <f t="shared" si="0"/>
        <v>0.69499999999999984</v>
      </c>
      <c r="AB19" s="58">
        <f>IF(AA19=" "," ",IF('c-form'!AE15="",AA19,AA19+'c-form'!AE15))</f>
        <v>338.29500000000002</v>
      </c>
      <c r="AC19" s="58">
        <f>IF(AA19=" "," ",IF('c-form'!AE15="",AM19,AM19+'c-form'!AE15))</f>
        <v>338.3</v>
      </c>
      <c r="AD19" s="150">
        <f t="shared" si="3"/>
        <v>1</v>
      </c>
      <c r="AE19" s="58">
        <f>IF(AA19=" "," ",IF('c-form'!AE15="",AN19,AN19+'c-form'!AE15))</f>
        <v>338.29</v>
      </c>
      <c r="AF19" s="150">
        <f t="shared" si="1"/>
        <v>13</v>
      </c>
      <c r="AG19" s="63"/>
      <c r="AM19">
        <f t="shared" si="2"/>
        <v>0.7</v>
      </c>
      <c r="AN19" s="54">
        <f t="shared" si="4"/>
        <v>0.69</v>
      </c>
    </row>
    <row r="20" spans="1:40" ht="22.5" customHeight="1">
      <c r="A20" s="60"/>
      <c r="B20" s="132">
        <v>10</v>
      </c>
      <c r="C20" s="264">
        <v>0.68</v>
      </c>
      <c r="D20" s="264">
        <v>0.68</v>
      </c>
      <c r="E20" s="264">
        <v>0.68</v>
      </c>
      <c r="F20" s="264">
        <v>0.68</v>
      </c>
      <c r="G20" s="264">
        <v>0.68</v>
      </c>
      <c r="H20" s="264">
        <v>0.68</v>
      </c>
      <c r="I20" s="264">
        <v>0.68</v>
      </c>
      <c r="J20" s="264">
        <v>0.68</v>
      </c>
      <c r="K20" s="264">
        <v>0.68</v>
      </c>
      <c r="L20" s="264">
        <v>0.68</v>
      </c>
      <c r="M20" s="264">
        <v>0.68</v>
      </c>
      <c r="N20" s="264">
        <v>0.68</v>
      </c>
      <c r="O20" s="264">
        <v>0.67</v>
      </c>
      <c r="P20" s="264">
        <v>0.67</v>
      </c>
      <c r="Q20" s="264">
        <v>0.67</v>
      </c>
      <c r="R20" s="264">
        <v>0.67</v>
      </c>
      <c r="S20" s="264">
        <v>0.67</v>
      </c>
      <c r="T20" s="264">
        <v>0.67</v>
      </c>
      <c r="U20" s="264">
        <v>0.67</v>
      </c>
      <c r="V20" s="264">
        <v>0.67</v>
      </c>
      <c r="W20" s="264">
        <v>0.67</v>
      </c>
      <c r="X20" s="264">
        <v>0.67</v>
      </c>
      <c r="Y20" s="264">
        <v>0.67</v>
      </c>
      <c r="Z20" s="264">
        <v>0.67</v>
      </c>
      <c r="AA20" s="57">
        <f t="shared" si="0"/>
        <v>0.67499999999999993</v>
      </c>
      <c r="AB20" s="58">
        <f>IF(AA20=" "," ",IF('c-form'!AE15="",AA20,AA20+'c-form'!AE15))</f>
        <v>338.27500000000003</v>
      </c>
      <c r="AC20" s="58">
        <f>IF(AA20=" "," ",IF('c-form'!AE15="",AM20,AM20+'c-form'!AE15))</f>
        <v>338.28000000000003</v>
      </c>
      <c r="AD20" s="150">
        <f t="shared" si="3"/>
        <v>1</v>
      </c>
      <c r="AE20" s="58">
        <f>IF(AA20=" "," ",IF('c-form'!AE15="",AN20,AN20+'c-form'!AE15))</f>
        <v>338.27000000000004</v>
      </c>
      <c r="AF20" s="150">
        <f t="shared" si="1"/>
        <v>13</v>
      </c>
      <c r="AG20" s="63"/>
      <c r="AM20">
        <f t="shared" si="2"/>
        <v>0.68</v>
      </c>
      <c r="AN20" s="54">
        <f t="shared" si="4"/>
        <v>0.67</v>
      </c>
    </row>
    <row r="21" spans="1:40" ht="22.5" customHeight="1">
      <c r="A21" s="60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 t="str">
        <f t="shared" si="0"/>
        <v xml:space="preserve"> </v>
      </c>
      <c r="AB21" s="139"/>
      <c r="AC21" s="139"/>
      <c r="AD21" s="151"/>
      <c r="AE21" s="139"/>
      <c r="AF21" s="151"/>
      <c r="AG21" s="63"/>
      <c r="AM21">
        <f>IF(AB21=" "," ",MAX(C21:Z21))</f>
        <v>0</v>
      </c>
      <c r="AN21" s="54">
        <f t="shared" si="4"/>
        <v>0</v>
      </c>
    </row>
    <row r="22" spans="1:40" ht="22.5" customHeight="1">
      <c r="A22" s="60"/>
      <c r="B22" s="132">
        <v>11</v>
      </c>
      <c r="C22" s="264">
        <v>0.66</v>
      </c>
      <c r="D22" s="264">
        <v>0.66</v>
      </c>
      <c r="E22" s="264">
        <v>0.66</v>
      </c>
      <c r="F22" s="264">
        <v>0.66</v>
      </c>
      <c r="G22" s="264">
        <v>0.66</v>
      </c>
      <c r="H22" s="264">
        <v>0.66</v>
      </c>
      <c r="I22" s="264">
        <v>0.66</v>
      </c>
      <c r="J22" s="264">
        <v>0.66</v>
      </c>
      <c r="K22" s="264">
        <v>0.66</v>
      </c>
      <c r="L22" s="264">
        <v>0.66</v>
      </c>
      <c r="M22" s="264">
        <v>0.66</v>
      </c>
      <c r="N22" s="264">
        <v>0.66</v>
      </c>
      <c r="O22" s="264">
        <v>0.66</v>
      </c>
      <c r="P22" s="264">
        <v>0.66</v>
      </c>
      <c r="Q22" s="264">
        <v>0.66</v>
      </c>
      <c r="R22" s="264">
        <v>0.66</v>
      </c>
      <c r="S22" s="264">
        <v>0.66</v>
      </c>
      <c r="T22" s="264">
        <v>0.66</v>
      </c>
      <c r="U22" s="264">
        <v>0.66</v>
      </c>
      <c r="V22" s="264">
        <v>0.66</v>
      </c>
      <c r="W22" s="264">
        <v>0.66</v>
      </c>
      <c r="X22" s="264">
        <v>0.66</v>
      </c>
      <c r="Y22" s="264">
        <v>0.66</v>
      </c>
      <c r="Z22" s="264">
        <v>0.66</v>
      </c>
      <c r="AA22" s="57">
        <f t="shared" si="0"/>
        <v>0.66</v>
      </c>
      <c r="AB22" s="58">
        <f>IF(AA22=" "," ",IF('c-form'!AE15="",AA22,AA22+'c-form'!AE15))</f>
        <v>338.26000000000005</v>
      </c>
      <c r="AC22" s="58">
        <f>IF(AA22=" "," ",IF('c-form'!AE15="",AM22,AM22+'c-form'!AE15))</f>
        <v>338.26000000000005</v>
      </c>
      <c r="AD22" s="150">
        <f t="shared" ref="AD22:AD31" si="5">IF(AB22=" "," ",MATCH(AM22,C22:Z22,0))</f>
        <v>1</v>
      </c>
      <c r="AE22" s="58">
        <f>IF(AA22=" "," ",IF('c-form'!AE15="",AN22,AN22+'c-form'!AE15))</f>
        <v>338.26000000000005</v>
      </c>
      <c r="AF22" s="150">
        <f t="shared" ref="AF22:AF31" si="6">IF(AD22=" "," ",MATCH(AN22,C22:Z22,0))</f>
        <v>1</v>
      </c>
      <c r="AG22" s="63"/>
      <c r="AM22">
        <f t="shared" si="2"/>
        <v>0.66</v>
      </c>
      <c r="AN22" s="54">
        <f t="shared" si="4"/>
        <v>0.66</v>
      </c>
    </row>
    <row r="23" spans="1:40" ht="22.5" customHeight="1">
      <c r="A23" s="60"/>
      <c r="B23" s="132">
        <v>12</v>
      </c>
      <c r="C23" s="264">
        <v>0.66</v>
      </c>
      <c r="D23" s="264">
        <v>0.66</v>
      </c>
      <c r="E23" s="264">
        <v>0.66</v>
      </c>
      <c r="F23" s="264">
        <v>0.66</v>
      </c>
      <c r="G23" s="264">
        <v>0.66</v>
      </c>
      <c r="H23" s="264">
        <v>0.66</v>
      </c>
      <c r="I23" s="264">
        <v>0.66</v>
      </c>
      <c r="J23" s="264">
        <v>0.66</v>
      </c>
      <c r="K23" s="264">
        <v>0.66</v>
      </c>
      <c r="L23" s="264">
        <v>0.66</v>
      </c>
      <c r="M23" s="264">
        <v>0.66</v>
      </c>
      <c r="N23" s="264">
        <v>0.66</v>
      </c>
      <c r="O23" s="264">
        <v>0.66</v>
      </c>
      <c r="P23" s="264">
        <v>0.66</v>
      </c>
      <c r="Q23" s="264">
        <v>0.66</v>
      </c>
      <c r="R23" s="264">
        <v>0.66</v>
      </c>
      <c r="S23" s="264">
        <v>0.66</v>
      </c>
      <c r="T23" s="264">
        <v>0.66</v>
      </c>
      <c r="U23" s="264">
        <v>0.66</v>
      </c>
      <c r="V23" s="264">
        <v>0.66</v>
      </c>
      <c r="W23" s="264">
        <v>0.66</v>
      </c>
      <c r="X23" s="264">
        <v>0.66</v>
      </c>
      <c r="Y23" s="264">
        <v>0.66</v>
      </c>
      <c r="Z23" s="264">
        <v>0.66</v>
      </c>
      <c r="AA23" s="57">
        <f t="shared" si="0"/>
        <v>0.66</v>
      </c>
      <c r="AB23" s="58">
        <f>IF(AA23=" "," ",IF('c-form'!AE15="",AA23,AA23+'c-form'!AE15))</f>
        <v>338.26000000000005</v>
      </c>
      <c r="AC23" s="58">
        <f>IF(AA23=" "," ",IF('c-form'!AE15="",AM23,AM23+'c-form'!AE15))</f>
        <v>338.26000000000005</v>
      </c>
      <c r="AD23" s="150">
        <f t="shared" si="5"/>
        <v>1</v>
      </c>
      <c r="AE23" s="58">
        <f>IF(AA23=" "," ",IF('c-form'!AE15="",AN23,AN23+'c-form'!AE15))</f>
        <v>338.26000000000005</v>
      </c>
      <c r="AF23" s="150">
        <f t="shared" si="6"/>
        <v>1</v>
      </c>
      <c r="AG23" s="63"/>
      <c r="AM23">
        <f t="shared" si="2"/>
        <v>0.66</v>
      </c>
      <c r="AN23" s="54">
        <f t="shared" si="4"/>
        <v>0.66</v>
      </c>
    </row>
    <row r="24" spans="1:40" ht="22.5" customHeight="1">
      <c r="A24" s="60"/>
      <c r="B24" s="132">
        <v>13</v>
      </c>
      <c r="C24" s="264">
        <v>0.65</v>
      </c>
      <c r="D24" s="264">
        <v>0.65</v>
      </c>
      <c r="E24" s="264">
        <v>0.65</v>
      </c>
      <c r="F24" s="264">
        <v>0.65</v>
      </c>
      <c r="G24" s="264">
        <v>0.65</v>
      </c>
      <c r="H24" s="264">
        <v>0.65</v>
      </c>
      <c r="I24" s="264">
        <v>0.65</v>
      </c>
      <c r="J24" s="264">
        <v>0.65</v>
      </c>
      <c r="K24" s="264">
        <v>0.65</v>
      </c>
      <c r="L24" s="264">
        <v>0.65</v>
      </c>
      <c r="M24" s="264">
        <v>0.65</v>
      </c>
      <c r="N24" s="264">
        <v>0.65</v>
      </c>
      <c r="O24" s="264">
        <v>0.64</v>
      </c>
      <c r="P24" s="264">
        <v>0.64</v>
      </c>
      <c r="Q24" s="264">
        <v>0.64</v>
      </c>
      <c r="R24" s="264">
        <v>0.64</v>
      </c>
      <c r="S24" s="264">
        <v>0.64</v>
      </c>
      <c r="T24" s="264">
        <v>0.64</v>
      </c>
      <c r="U24" s="264">
        <v>0.63</v>
      </c>
      <c r="V24" s="264">
        <v>0.63</v>
      </c>
      <c r="W24" s="264">
        <v>0.63</v>
      </c>
      <c r="X24" s="264">
        <v>0.63</v>
      </c>
      <c r="Y24" s="264">
        <v>0.63</v>
      </c>
      <c r="Z24" s="264">
        <v>0.63</v>
      </c>
      <c r="AA24" s="57">
        <f t="shared" si="0"/>
        <v>0.6425000000000004</v>
      </c>
      <c r="AB24" s="58">
        <f>IF(AA24=" "," ",IF('c-form'!AE15="",AA24,AA24+'c-form'!AE15))</f>
        <v>338.24250000000001</v>
      </c>
      <c r="AC24" s="58">
        <f>IF(AA24=" "," ",IF('c-form'!AE15="",AM24,AM24+'c-form'!AE15))</f>
        <v>338.25</v>
      </c>
      <c r="AD24" s="150">
        <f t="shared" si="5"/>
        <v>1</v>
      </c>
      <c r="AE24" s="58">
        <f>IF(AA24=" "," ",IF('c-form'!AE15="",AN24,AN24+'c-form'!AE15))</f>
        <v>338.23</v>
      </c>
      <c r="AF24" s="150">
        <f t="shared" si="6"/>
        <v>19</v>
      </c>
      <c r="AG24" s="63"/>
      <c r="AM24">
        <f t="shared" si="2"/>
        <v>0.65</v>
      </c>
      <c r="AN24" s="54">
        <f t="shared" si="4"/>
        <v>0.63</v>
      </c>
    </row>
    <row r="25" spans="1:40" ht="22.5" customHeight="1">
      <c r="A25" s="60"/>
      <c r="B25" s="132">
        <v>14</v>
      </c>
      <c r="C25" s="264">
        <v>0.62</v>
      </c>
      <c r="D25" s="264">
        <v>0.62</v>
      </c>
      <c r="E25" s="264">
        <v>0.62</v>
      </c>
      <c r="F25" s="264">
        <v>0.62</v>
      </c>
      <c r="G25" s="264">
        <v>0.62</v>
      </c>
      <c r="H25" s="264">
        <v>0.62</v>
      </c>
      <c r="I25" s="264">
        <v>0.62</v>
      </c>
      <c r="J25" s="264">
        <v>0.62</v>
      </c>
      <c r="K25" s="264">
        <v>0.62</v>
      </c>
      <c r="L25" s="264">
        <v>0.63</v>
      </c>
      <c r="M25" s="264">
        <v>0.63</v>
      </c>
      <c r="N25" s="264">
        <v>0.64</v>
      </c>
      <c r="O25" s="264">
        <v>0.65</v>
      </c>
      <c r="P25" s="264">
        <v>0.65</v>
      </c>
      <c r="Q25" s="264">
        <v>0.66</v>
      </c>
      <c r="R25" s="264">
        <v>0.67</v>
      </c>
      <c r="S25" s="264">
        <v>0.67</v>
      </c>
      <c r="T25" s="264">
        <v>0.68</v>
      </c>
      <c r="U25" s="264">
        <v>0.69</v>
      </c>
      <c r="V25" s="264">
        <v>0.7</v>
      </c>
      <c r="W25" s="264">
        <v>0.71</v>
      </c>
      <c r="X25" s="264">
        <v>0.72</v>
      </c>
      <c r="Y25" s="264">
        <v>0.72</v>
      </c>
      <c r="Z25" s="264">
        <v>0.73</v>
      </c>
      <c r="AA25" s="57">
        <f t="shared" si="0"/>
        <v>0.65541666666666665</v>
      </c>
      <c r="AB25" s="58">
        <f>IF(AA25=" "," ",IF('c-form'!AE15="",AA25,AA25+'c-form'!AE15))</f>
        <v>338.25541666666669</v>
      </c>
      <c r="AC25" s="58">
        <f>IF(AA25=" "," ",IF('c-form'!AE15="",AM25,AM25+'c-form'!AE15))</f>
        <v>338.33000000000004</v>
      </c>
      <c r="AD25" s="150">
        <f t="shared" si="5"/>
        <v>24</v>
      </c>
      <c r="AE25" s="58">
        <f>IF(AA25=" "," ",IF('c-form'!AE15="",AN25,AN25+'c-form'!AE15))</f>
        <v>338.22</v>
      </c>
      <c r="AF25" s="150">
        <f t="shared" si="6"/>
        <v>1</v>
      </c>
      <c r="AG25" s="63"/>
      <c r="AM25">
        <f t="shared" si="2"/>
        <v>0.73</v>
      </c>
      <c r="AN25" s="54">
        <f t="shared" si="4"/>
        <v>0.62</v>
      </c>
    </row>
    <row r="26" spans="1:40" ht="22.5" customHeight="1">
      <c r="A26" s="60"/>
      <c r="B26" s="132">
        <v>15</v>
      </c>
      <c r="C26" s="264">
        <v>0.74</v>
      </c>
      <c r="D26" s="264">
        <v>0.76</v>
      </c>
      <c r="E26" s="264">
        <v>0.78</v>
      </c>
      <c r="F26" s="264">
        <v>0.8</v>
      </c>
      <c r="G26" s="264">
        <v>0.81</v>
      </c>
      <c r="H26" s="264">
        <v>0.83</v>
      </c>
      <c r="I26" s="264">
        <v>0.85</v>
      </c>
      <c r="J26" s="264">
        <v>0.87</v>
      </c>
      <c r="K26" s="264">
        <v>0.88</v>
      </c>
      <c r="L26" s="264">
        <v>0.89</v>
      </c>
      <c r="M26" s="264">
        <v>0.9</v>
      </c>
      <c r="N26" s="264">
        <v>0.9</v>
      </c>
      <c r="O26" s="264">
        <v>0.9</v>
      </c>
      <c r="P26" s="264">
        <v>0.89</v>
      </c>
      <c r="Q26" s="264">
        <v>0.89</v>
      </c>
      <c r="R26" s="264">
        <v>0.88</v>
      </c>
      <c r="S26" s="264">
        <v>0.87</v>
      </c>
      <c r="T26" s="264">
        <v>0.85</v>
      </c>
      <c r="U26" s="264">
        <v>0.83</v>
      </c>
      <c r="V26" s="264">
        <v>0.81</v>
      </c>
      <c r="W26" s="264">
        <v>0.78</v>
      </c>
      <c r="X26" s="264">
        <v>0.76</v>
      </c>
      <c r="Y26" s="264">
        <v>0.74</v>
      </c>
      <c r="Z26" s="264">
        <v>0.73</v>
      </c>
      <c r="AA26" s="57">
        <f t="shared" si="0"/>
        <v>0.83083333333333342</v>
      </c>
      <c r="AB26" s="58">
        <f>IF(AA26=" "," ",IF('c-form'!AE15="",AA26,AA26+'c-form'!AE15))</f>
        <v>338.43083333333334</v>
      </c>
      <c r="AC26" s="58">
        <f>IF(AA26=" "," ",IF('c-form'!AE15="",AM26,AM26+'c-form'!AE15))</f>
        <v>338.5</v>
      </c>
      <c r="AD26" s="150">
        <f t="shared" si="5"/>
        <v>11</v>
      </c>
      <c r="AE26" s="58">
        <f>IF(AA26=" "," ",IF('c-form'!AE15="",AN26,AN26+'c-form'!AE15))</f>
        <v>338.33000000000004</v>
      </c>
      <c r="AF26" s="150">
        <f t="shared" si="6"/>
        <v>24</v>
      </c>
      <c r="AG26" s="63"/>
      <c r="AM26">
        <f t="shared" si="2"/>
        <v>0.9</v>
      </c>
      <c r="AN26" s="54">
        <f t="shared" si="4"/>
        <v>0.73</v>
      </c>
    </row>
    <row r="27" spans="1:40" ht="22.5" customHeight="1">
      <c r="A27" s="60"/>
      <c r="B27" s="132">
        <v>16</v>
      </c>
      <c r="C27" s="264">
        <v>0.72</v>
      </c>
      <c r="D27" s="264">
        <v>0.71</v>
      </c>
      <c r="E27" s="264">
        <v>0.7</v>
      </c>
      <c r="F27" s="264">
        <v>0.69</v>
      </c>
      <c r="G27" s="264">
        <v>0.69</v>
      </c>
      <c r="H27" s="264">
        <v>0.68</v>
      </c>
      <c r="I27" s="264">
        <v>0.68</v>
      </c>
      <c r="J27" s="264">
        <v>0.68</v>
      </c>
      <c r="K27" s="264">
        <v>0.68</v>
      </c>
      <c r="L27" s="264">
        <v>0.68</v>
      </c>
      <c r="M27" s="264">
        <v>0.68</v>
      </c>
      <c r="N27" s="264">
        <v>0.68</v>
      </c>
      <c r="O27" s="264">
        <v>0.67</v>
      </c>
      <c r="P27" s="264">
        <v>0.67</v>
      </c>
      <c r="Q27" s="264">
        <v>0.67</v>
      </c>
      <c r="R27" s="264">
        <v>0.67</v>
      </c>
      <c r="S27" s="264">
        <v>0.67</v>
      </c>
      <c r="T27" s="264">
        <v>0.67</v>
      </c>
      <c r="U27" s="264">
        <v>0.67</v>
      </c>
      <c r="V27" s="264">
        <v>0.67</v>
      </c>
      <c r="W27" s="264">
        <v>0.67</v>
      </c>
      <c r="X27" s="264">
        <v>0.67</v>
      </c>
      <c r="Y27" s="264">
        <v>0.67</v>
      </c>
      <c r="Z27" s="264">
        <v>0.67</v>
      </c>
      <c r="AA27" s="57">
        <f t="shared" si="0"/>
        <v>0.67958333333333332</v>
      </c>
      <c r="AB27" s="58">
        <f>IF(AA27=" "," ",IF('c-form'!AE15="",AA27,AA27+'c-form'!AE15))</f>
        <v>338.27958333333333</v>
      </c>
      <c r="AC27" s="58">
        <f>IF(AA27=" "," ",IF('c-form'!AE15="",AM27,AM27+'c-form'!AE15))</f>
        <v>338.32000000000005</v>
      </c>
      <c r="AD27" s="150">
        <f t="shared" si="5"/>
        <v>1</v>
      </c>
      <c r="AE27" s="58">
        <f>IF(AA27=" "," ",IF('c-form'!AE15="",AN27,AN27+'c-form'!AE15))</f>
        <v>338.27000000000004</v>
      </c>
      <c r="AF27" s="150">
        <f t="shared" si="6"/>
        <v>13</v>
      </c>
      <c r="AG27" s="63"/>
      <c r="AM27">
        <f t="shared" si="2"/>
        <v>0.72</v>
      </c>
      <c r="AN27" s="54">
        <f t="shared" si="4"/>
        <v>0.67</v>
      </c>
    </row>
    <row r="28" spans="1:40" ht="22.5" customHeight="1">
      <c r="A28" s="60"/>
      <c r="B28" s="132">
        <v>17</v>
      </c>
      <c r="C28" s="264">
        <v>0.66</v>
      </c>
      <c r="D28" s="264">
        <v>0.66</v>
      </c>
      <c r="E28" s="264">
        <v>0.66</v>
      </c>
      <c r="F28" s="264">
        <v>0.66</v>
      </c>
      <c r="G28" s="264">
        <v>0.66</v>
      </c>
      <c r="H28" s="264">
        <v>0.66</v>
      </c>
      <c r="I28" s="264">
        <v>0.66</v>
      </c>
      <c r="J28" s="264">
        <v>0.66</v>
      </c>
      <c r="K28" s="264">
        <v>0.66</v>
      </c>
      <c r="L28" s="264">
        <v>0.66</v>
      </c>
      <c r="M28" s="264">
        <v>0.66</v>
      </c>
      <c r="N28" s="264">
        <v>0.66</v>
      </c>
      <c r="O28" s="264">
        <v>0.66</v>
      </c>
      <c r="P28" s="264">
        <v>0.66</v>
      </c>
      <c r="Q28" s="264">
        <v>0.66</v>
      </c>
      <c r="R28" s="264">
        <v>0.66</v>
      </c>
      <c r="S28" s="264">
        <v>0.66</v>
      </c>
      <c r="T28" s="264">
        <v>0.66</v>
      </c>
      <c r="U28" s="264">
        <v>0.66</v>
      </c>
      <c r="V28" s="264">
        <v>0.66</v>
      </c>
      <c r="W28" s="264">
        <v>0.66</v>
      </c>
      <c r="X28" s="264">
        <v>0.66</v>
      </c>
      <c r="Y28" s="264">
        <v>0.66</v>
      </c>
      <c r="Z28" s="264">
        <v>0.66</v>
      </c>
      <c r="AA28" s="57">
        <f t="shared" si="0"/>
        <v>0.66</v>
      </c>
      <c r="AB28" s="58">
        <f>IF(AA28=" "," ",IF('c-form'!AE15="",AA28,AA28+'c-form'!AE15))</f>
        <v>338.26000000000005</v>
      </c>
      <c r="AC28" s="58">
        <f>IF(AA28=" "," ",IF('c-form'!AE15="",AM28,AM28+'c-form'!AE15))</f>
        <v>338.26000000000005</v>
      </c>
      <c r="AD28" s="150">
        <f t="shared" si="5"/>
        <v>1</v>
      </c>
      <c r="AE28" s="58">
        <f>IF(AA28=" "," ",IF('c-form'!AE15="",AN28,AN28+'c-form'!AE15))</f>
        <v>338.26000000000005</v>
      </c>
      <c r="AF28" s="150">
        <f t="shared" si="6"/>
        <v>1</v>
      </c>
      <c r="AG28" s="63"/>
      <c r="AM28">
        <f t="shared" si="2"/>
        <v>0.66</v>
      </c>
      <c r="AN28" s="54">
        <f t="shared" si="4"/>
        <v>0.66</v>
      </c>
    </row>
    <row r="29" spans="1:40" ht="22.5" customHeight="1">
      <c r="A29" s="60"/>
      <c r="B29" s="132">
        <v>18</v>
      </c>
      <c r="C29" s="264">
        <v>0.65</v>
      </c>
      <c r="D29" s="264">
        <v>0.65</v>
      </c>
      <c r="E29" s="264">
        <v>0.65</v>
      </c>
      <c r="F29" s="264">
        <v>0.65</v>
      </c>
      <c r="G29" s="264">
        <v>0.65</v>
      </c>
      <c r="H29" s="264">
        <v>0.65</v>
      </c>
      <c r="I29" s="264">
        <v>0.66</v>
      </c>
      <c r="J29" s="264">
        <v>0.66</v>
      </c>
      <c r="K29" s="264">
        <v>0.66</v>
      </c>
      <c r="L29" s="264">
        <v>0.66</v>
      </c>
      <c r="M29" s="264">
        <v>0.66</v>
      </c>
      <c r="N29" s="264">
        <v>0.66</v>
      </c>
      <c r="O29" s="264">
        <v>0.67</v>
      </c>
      <c r="P29" s="264">
        <v>0.67</v>
      </c>
      <c r="Q29" s="264">
        <v>0.67</v>
      </c>
      <c r="R29" s="264">
        <v>0.67</v>
      </c>
      <c r="S29" s="264">
        <v>0.67</v>
      </c>
      <c r="T29" s="264">
        <v>0.67</v>
      </c>
      <c r="U29" s="264">
        <v>0.68</v>
      </c>
      <c r="V29" s="264">
        <v>0.68</v>
      </c>
      <c r="W29" s="264">
        <v>0.68</v>
      </c>
      <c r="X29" s="264">
        <v>0.68</v>
      </c>
      <c r="Y29" s="264">
        <v>0.68</v>
      </c>
      <c r="Z29" s="264">
        <v>0.68</v>
      </c>
      <c r="AA29" s="57">
        <f t="shared" si="0"/>
        <v>0.66499999999999992</v>
      </c>
      <c r="AB29" s="58">
        <f>IF(AA29=" "," ",IF('c-form'!AE15="",AA29,AA29+'c-form'!AE15))</f>
        <v>338.26500000000004</v>
      </c>
      <c r="AC29" s="58">
        <f>IF(AA29=" "," ",IF('c-form'!AE15="",AM29,AM29+'c-form'!AE15))</f>
        <v>338.28000000000003</v>
      </c>
      <c r="AD29" s="150">
        <f t="shared" si="5"/>
        <v>19</v>
      </c>
      <c r="AE29" s="58">
        <f>IF(AA29=" "," ",IF('c-form'!AE15="",AN29,AN29+'c-form'!AE15))</f>
        <v>338.25</v>
      </c>
      <c r="AF29" s="150">
        <f t="shared" si="6"/>
        <v>1</v>
      </c>
      <c r="AG29" s="63"/>
      <c r="AM29">
        <f>IF(AB29=" "," ",MAX(C29:Z29))</f>
        <v>0.68</v>
      </c>
      <c r="AN29" s="54">
        <f t="shared" si="4"/>
        <v>0.65</v>
      </c>
    </row>
    <row r="30" spans="1:40" ht="22.5" customHeight="1">
      <c r="A30" s="60"/>
      <c r="B30" s="132">
        <v>19</v>
      </c>
      <c r="C30" s="264">
        <v>0.69</v>
      </c>
      <c r="D30" s="264">
        <v>0.69</v>
      </c>
      <c r="E30" s="264">
        <v>0.69</v>
      </c>
      <c r="F30" s="264">
        <v>0.69</v>
      </c>
      <c r="G30" s="264">
        <v>0.69</v>
      </c>
      <c r="H30" s="264">
        <v>0.7</v>
      </c>
      <c r="I30" s="264">
        <v>0.71</v>
      </c>
      <c r="J30" s="264">
        <v>0.71</v>
      </c>
      <c r="K30" s="264">
        <v>0.72</v>
      </c>
      <c r="L30" s="264">
        <v>0.72</v>
      </c>
      <c r="M30" s="264">
        <v>0.73</v>
      </c>
      <c r="N30" s="264">
        <v>0.73</v>
      </c>
      <c r="O30" s="264">
        <v>0.74</v>
      </c>
      <c r="P30" s="264">
        <v>0.74</v>
      </c>
      <c r="Q30" s="264">
        <v>0.75</v>
      </c>
      <c r="R30" s="264">
        <v>0.75</v>
      </c>
      <c r="S30" s="264">
        <v>0.76</v>
      </c>
      <c r="T30" s="264">
        <v>0.76</v>
      </c>
      <c r="U30" s="264">
        <v>0.77</v>
      </c>
      <c r="V30" s="264">
        <v>0.77</v>
      </c>
      <c r="W30" s="264">
        <v>0.78</v>
      </c>
      <c r="X30" s="264">
        <v>0.79</v>
      </c>
      <c r="Y30" s="264">
        <v>0.8</v>
      </c>
      <c r="Z30" s="264">
        <v>0.81</v>
      </c>
      <c r="AA30" s="57">
        <f t="shared" si="0"/>
        <v>0.7370833333333332</v>
      </c>
      <c r="AB30" s="58">
        <f>IF(AA30=" "," ",IF('c-form'!AE15="",AA30,AA30+'c-form'!AE15))</f>
        <v>338.33708333333334</v>
      </c>
      <c r="AC30" s="58">
        <f>IF(AA30=" "," ",IF('c-form'!AE15="",AM30,AM30+'c-form'!AE15))</f>
        <v>338.41</v>
      </c>
      <c r="AD30" s="150">
        <f t="shared" si="5"/>
        <v>24</v>
      </c>
      <c r="AE30" s="58">
        <f>IF(AA30=" "," ",IF('c-form'!AE15="",AN30,AN30+'c-form'!AE15))</f>
        <v>338.29</v>
      </c>
      <c r="AF30" s="150">
        <f t="shared" si="6"/>
        <v>1</v>
      </c>
      <c r="AG30" s="63"/>
      <c r="AM30">
        <f t="shared" si="2"/>
        <v>0.81</v>
      </c>
      <c r="AN30" s="54">
        <f t="shared" si="4"/>
        <v>0.69</v>
      </c>
    </row>
    <row r="31" spans="1:40" ht="22.5" customHeight="1">
      <c r="A31" s="60"/>
      <c r="B31" s="132">
        <v>20</v>
      </c>
      <c r="C31" s="264">
        <v>0.82</v>
      </c>
      <c r="D31" s="264">
        <v>0.83</v>
      </c>
      <c r="E31" s="264">
        <v>0.84</v>
      </c>
      <c r="F31" s="264">
        <v>0.85</v>
      </c>
      <c r="G31" s="264">
        <v>0.85</v>
      </c>
      <c r="H31" s="264">
        <v>0.86</v>
      </c>
      <c r="I31" s="264">
        <v>0.87</v>
      </c>
      <c r="J31" s="264">
        <v>0.88</v>
      </c>
      <c r="K31" s="264">
        <v>0.88</v>
      </c>
      <c r="L31" s="264">
        <v>0.89</v>
      </c>
      <c r="M31" s="264">
        <v>0.89</v>
      </c>
      <c r="N31" s="264">
        <v>0.89</v>
      </c>
      <c r="O31" s="264">
        <v>0.89</v>
      </c>
      <c r="P31" s="264">
        <v>0.88</v>
      </c>
      <c r="Q31" s="264">
        <v>0.88</v>
      </c>
      <c r="R31" s="264">
        <v>0.87</v>
      </c>
      <c r="S31" s="264">
        <v>0.87</v>
      </c>
      <c r="T31" s="264">
        <v>0.86</v>
      </c>
      <c r="U31" s="264">
        <v>0.86</v>
      </c>
      <c r="V31" s="264">
        <v>0.85</v>
      </c>
      <c r="W31" s="264">
        <v>0.85</v>
      </c>
      <c r="X31" s="264">
        <v>0.84</v>
      </c>
      <c r="Y31" s="264">
        <v>0.83</v>
      </c>
      <c r="Z31" s="264">
        <v>0.82</v>
      </c>
      <c r="AA31" s="57">
        <f t="shared" si="0"/>
        <v>0.86041666666666672</v>
      </c>
      <c r="AB31" s="58">
        <f>IF(AA31=" "," ",IF('c-form'!AE15="",AA31,AA31+'c-form'!AE15))</f>
        <v>338.46041666666667</v>
      </c>
      <c r="AC31" s="58">
        <f>IF(AA31=" "," ",IF('c-form'!AE15="",AM31,AM31+'c-form'!AE15))</f>
        <v>338.49</v>
      </c>
      <c r="AD31" s="150">
        <f t="shared" si="5"/>
        <v>10</v>
      </c>
      <c r="AE31" s="58">
        <f>IF(AA31=" "," ",IF('c-form'!AE15="",AN31,AN31+'c-form'!AE15))</f>
        <v>338.42</v>
      </c>
      <c r="AF31" s="150">
        <f t="shared" si="6"/>
        <v>1</v>
      </c>
      <c r="AG31" s="63"/>
      <c r="AM31">
        <f t="shared" si="2"/>
        <v>0.89</v>
      </c>
      <c r="AN31" s="54">
        <f t="shared" si="4"/>
        <v>0.82</v>
      </c>
    </row>
    <row r="32" spans="1:40" ht="22.5" customHeight="1">
      <c r="A32" s="60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39"/>
      <c r="AF32" s="151"/>
      <c r="AG32" s="63"/>
      <c r="AM32">
        <f t="shared" si="2"/>
        <v>0</v>
      </c>
      <c r="AN32" s="54">
        <f t="shared" si="4"/>
        <v>0</v>
      </c>
    </row>
    <row r="33" spans="1:40" ht="22.5" customHeight="1">
      <c r="A33" s="60"/>
      <c r="B33" s="132">
        <v>21</v>
      </c>
      <c r="C33" s="264">
        <v>0.81</v>
      </c>
      <c r="D33" s="264">
        <v>0.8</v>
      </c>
      <c r="E33" s="264">
        <v>0.79</v>
      </c>
      <c r="F33" s="264">
        <v>0.78</v>
      </c>
      <c r="G33" s="264">
        <v>0.77</v>
      </c>
      <c r="H33" s="264">
        <v>0.77</v>
      </c>
      <c r="I33" s="264">
        <v>0.76</v>
      </c>
      <c r="J33" s="264">
        <v>0.76</v>
      </c>
      <c r="K33" s="264">
        <v>0.75</v>
      </c>
      <c r="L33" s="264">
        <v>0.75</v>
      </c>
      <c r="M33" s="264">
        <v>0.74</v>
      </c>
      <c r="N33" s="264">
        <v>0.74</v>
      </c>
      <c r="O33" s="264">
        <v>0.73</v>
      </c>
      <c r="P33" s="264">
        <v>0.73</v>
      </c>
      <c r="Q33" s="264">
        <v>0.73</v>
      </c>
      <c r="R33" s="264">
        <v>0.73</v>
      </c>
      <c r="S33" s="264">
        <v>0.73</v>
      </c>
      <c r="T33" s="264">
        <v>0.73</v>
      </c>
      <c r="U33" s="264">
        <v>0.72</v>
      </c>
      <c r="V33" s="264">
        <v>0.72</v>
      </c>
      <c r="W33" s="264">
        <v>0.72</v>
      </c>
      <c r="X33" s="264">
        <v>0.72</v>
      </c>
      <c r="Y33" s="264">
        <v>0.72</v>
      </c>
      <c r="Z33" s="264">
        <v>0.72</v>
      </c>
      <c r="AA33" s="57">
        <f t="shared" si="0"/>
        <v>0.7466666666666667</v>
      </c>
      <c r="AB33" s="58">
        <f>IF(AA33=" "," ",IF('c-form'!AE15="",AA33,AA33+'c-form'!AE15))</f>
        <v>338.34666666666669</v>
      </c>
      <c r="AC33" s="58">
        <f>IF(AA33=" "," ",IF('c-form'!AE15="",AM33,AM33+'c-form'!AE15))</f>
        <v>338.41</v>
      </c>
      <c r="AD33" s="150">
        <f t="shared" ref="AD33:AD41" si="7">IF(AB33=" "," ",MATCH(AM33,C33:Z33,0))</f>
        <v>1</v>
      </c>
      <c r="AE33" s="58">
        <f>IF(AA33=" "," ",IF('c-form'!AE15="",AN33,AN33+'c-form'!AE15))</f>
        <v>338.32000000000005</v>
      </c>
      <c r="AF33" s="150">
        <f t="shared" ref="AF33:AF41" si="8">IF(AD33=" "," ",MATCH(AN33,C33:Z33,0))</f>
        <v>19</v>
      </c>
      <c r="AG33" s="63"/>
      <c r="AM33">
        <f t="shared" si="2"/>
        <v>0.81</v>
      </c>
      <c r="AN33" s="54">
        <f t="shared" si="4"/>
        <v>0.72</v>
      </c>
    </row>
    <row r="34" spans="1:40" ht="22.5" customHeight="1">
      <c r="A34" s="60"/>
      <c r="B34" s="132">
        <v>22</v>
      </c>
      <c r="C34" s="264">
        <v>0.71</v>
      </c>
      <c r="D34" s="264">
        <v>0.71</v>
      </c>
      <c r="E34" s="264">
        <v>0.71</v>
      </c>
      <c r="F34" s="264">
        <v>0.71</v>
      </c>
      <c r="G34" s="264">
        <v>0.71</v>
      </c>
      <c r="H34" s="264">
        <v>0.7</v>
      </c>
      <c r="I34" s="264">
        <v>0.7</v>
      </c>
      <c r="J34" s="264">
        <v>0.7</v>
      </c>
      <c r="K34" s="264">
        <v>0.7</v>
      </c>
      <c r="L34" s="264">
        <v>0.69</v>
      </c>
      <c r="M34" s="264">
        <v>0.69</v>
      </c>
      <c r="N34" s="264">
        <v>0.69</v>
      </c>
      <c r="O34" s="264">
        <v>0.68</v>
      </c>
      <c r="P34" s="264">
        <v>0.68</v>
      </c>
      <c r="Q34" s="264">
        <v>0.68</v>
      </c>
      <c r="R34" s="264">
        <v>0.67</v>
      </c>
      <c r="S34" s="264">
        <v>0.67</v>
      </c>
      <c r="T34" s="264">
        <v>0.67</v>
      </c>
      <c r="U34" s="264">
        <v>0.66</v>
      </c>
      <c r="V34" s="264">
        <v>0.66</v>
      </c>
      <c r="W34" s="264">
        <v>0.66</v>
      </c>
      <c r="X34" s="264">
        <v>0.65</v>
      </c>
      <c r="Y34" s="264">
        <v>0.65</v>
      </c>
      <c r="Z34" s="264">
        <v>0.65</v>
      </c>
      <c r="AA34" s="57">
        <f t="shared" si="0"/>
        <v>0.68333333333333324</v>
      </c>
      <c r="AB34" s="58">
        <f>IF(AA34=" "," ",IF('c-form'!AE15="",AA34,AA34+'c-form'!AE15))</f>
        <v>338.28333333333336</v>
      </c>
      <c r="AC34" s="58">
        <f>IF(AA34=" "," ",IF('c-form'!AE15="",AM34,AM34+'c-form'!AE15))</f>
        <v>338.31</v>
      </c>
      <c r="AD34" s="150">
        <f t="shared" si="7"/>
        <v>1</v>
      </c>
      <c r="AE34" s="58">
        <f>IF(AA34=" "," ",IF('c-form'!AE15="",AN34,AN34+'c-form'!AE15))</f>
        <v>338.25</v>
      </c>
      <c r="AF34" s="150">
        <f t="shared" si="8"/>
        <v>22</v>
      </c>
      <c r="AG34" s="63"/>
      <c r="AM34">
        <f t="shared" si="2"/>
        <v>0.71</v>
      </c>
      <c r="AN34" s="54">
        <f t="shared" si="4"/>
        <v>0.65</v>
      </c>
    </row>
    <row r="35" spans="1:40" ht="22.5" customHeight="1">
      <c r="A35" s="60"/>
      <c r="B35" s="132">
        <v>23</v>
      </c>
      <c r="C35" s="264">
        <v>0.64</v>
      </c>
      <c r="D35" s="264">
        <v>0.64</v>
      </c>
      <c r="E35" s="264">
        <v>0.64</v>
      </c>
      <c r="F35" s="264">
        <v>0.64</v>
      </c>
      <c r="G35" s="264">
        <v>0.64</v>
      </c>
      <c r="H35" s="264">
        <v>0.63</v>
      </c>
      <c r="I35" s="264">
        <v>0.63</v>
      </c>
      <c r="J35" s="264">
        <v>0.63</v>
      </c>
      <c r="K35" s="264">
        <v>0.63</v>
      </c>
      <c r="L35" s="264">
        <v>0.63</v>
      </c>
      <c r="M35" s="264">
        <v>0.63</v>
      </c>
      <c r="N35" s="264">
        <v>0.63</v>
      </c>
      <c r="O35" s="264">
        <v>0.63</v>
      </c>
      <c r="P35" s="264">
        <v>0.63</v>
      </c>
      <c r="Q35" s="264">
        <v>0.63</v>
      </c>
      <c r="R35" s="264">
        <v>0.63</v>
      </c>
      <c r="S35" s="264">
        <v>0.63</v>
      </c>
      <c r="T35" s="264">
        <v>0.63</v>
      </c>
      <c r="U35" s="264">
        <v>0.63</v>
      </c>
      <c r="V35" s="264">
        <v>0.63</v>
      </c>
      <c r="W35" s="264">
        <v>0.63</v>
      </c>
      <c r="X35" s="264">
        <v>0.63</v>
      </c>
      <c r="Y35" s="264">
        <v>0.63</v>
      </c>
      <c r="Z35" s="264">
        <v>0.63</v>
      </c>
      <c r="AA35" s="57">
        <f t="shared" si="0"/>
        <v>0.63208333333333366</v>
      </c>
      <c r="AB35" s="58">
        <f>IF(AA35=" "," ",IF('c-form'!AE15="",AA35,AA35+'c-form'!AE15))</f>
        <v>338.23208333333338</v>
      </c>
      <c r="AC35" s="58">
        <f>IF(AA35=" "," ",IF('c-form'!AE15="",AM35,AM35+'c-form'!AE15))</f>
        <v>338.24</v>
      </c>
      <c r="AD35" s="150">
        <f t="shared" si="7"/>
        <v>1</v>
      </c>
      <c r="AE35" s="58">
        <f>IF(AA35=" "," ",IF('c-form'!AE15="",AN35,AN35+'c-form'!AE15))</f>
        <v>338.23</v>
      </c>
      <c r="AF35" s="150">
        <f t="shared" si="8"/>
        <v>6</v>
      </c>
      <c r="AG35" s="63"/>
      <c r="AM35">
        <f t="shared" si="2"/>
        <v>0.64</v>
      </c>
      <c r="AN35" s="54">
        <f t="shared" si="4"/>
        <v>0.63</v>
      </c>
    </row>
    <row r="36" spans="1:40" ht="22.5" customHeight="1">
      <c r="A36" s="60"/>
      <c r="B36" s="132">
        <v>24</v>
      </c>
      <c r="C36" s="264">
        <v>0.62</v>
      </c>
      <c r="D36" s="264">
        <v>0.62</v>
      </c>
      <c r="E36" s="264">
        <v>0.62</v>
      </c>
      <c r="F36" s="264">
        <v>0.62</v>
      </c>
      <c r="G36" s="264">
        <v>0.62</v>
      </c>
      <c r="H36" s="264">
        <v>0.62</v>
      </c>
      <c r="I36" s="264">
        <v>0.62</v>
      </c>
      <c r="J36" s="264">
        <v>0.62</v>
      </c>
      <c r="K36" s="264">
        <v>0.62</v>
      </c>
      <c r="L36" s="264">
        <v>0.62</v>
      </c>
      <c r="M36" s="264">
        <v>0.62</v>
      </c>
      <c r="N36" s="264">
        <v>0.62</v>
      </c>
      <c r="O36" s="264">
        <v>0.61</v>
      </c>
      <c r="P36" s="264">
        <v>0.61</v>
      </c>
      <c r="Q36" s="264">
        <v>0.61</v>
      </c>
      <c r="R36" s="264">
        <v>0.61</v>
      </c>
      <c r="S36" s="264">
        <v>0.61</v>
      </c>
      <c r="T36" s="264">
        <v>0.61</v>
      </c>
      <c r="U36" s="264">
        <v>0.61</v>
      </c>
      <c r="V36" s="264">
        <v>0.61</v>
      </c>
      <c r="W36" s="264">
        <v>0.61</v>
      </c>
      <c r="X36" s="264">
        <v>0.61</v>
      </c>
      <c r="Y36" s="264">
        <v>0.61</v>
      </c>
      <c r="Z36" s="264">
        <v>0.61</v>
      </c>
      <c r="AA36" s="57">
        <f t="shared" si="0"/>
        <v>0.61499999999999977</v>
      </c>
      <c r="AB36" s="58">
        <f>IF(AA36=" "," ",IF('c-form'!AE15="",AA36,AA36+'c-form'!AE15))</f>
        <v>338.21500000000003</v>
      </c>
      <c r="AC36" s="58">
        <f>IF(AA36=" "," ",IF('c-form'!AE15="",AM36,AM36+'c-form'!AE15))</f>
        <v>338.22</v>
      </c>
      <c r="AD36" s="150">
        <f t="shared" si="7"/>
        <v>1</v>
      </c>
      <c r="AE36" s="58">
        <f>IF(AA36=" "," ",IF('c-form'!AE15="",AN36,AN36+'c-form'!AE15))</f>
        <v>338.21000000000004</v>
      </c>
      <c r="AF36" s="150">
        <f t="shared" si="8"/>
        <v>13</v>
      </c>
      <c r="AG36" s="63"/>
      <c r="AM36">
        <f t="shared" si="2"/>
        <v>0.62</v>
      </c>
      <c r="AN36" s="54">
        <f t="shared" si="4"/>
        <v>0.61</v>
      </c>
    </row>
    <row r="37" spans="1:40" ht="22.5" customHeight="1">
      <c r="A37" s="60"/>
      <c r="B37" s="132">
        <v>25</v>
      </c>
      <c r="C37" s="264">
        <v>0.6</v>
      </c>
      <c r="D37" s="264">
        <v>0.6</v>
      </c>
      <c r="E37" s="264">
        <v>0.6</v>
      </c>
      <c r="F37" s="264">
        <v>0.6</v>
      </c>
      <c r="G37" s="264">
        <v>0.6</v>
      </c>
      <c r="H37" s="264">
        <v>0.6</v>
      </c>
      <c r="I37" s="264">
        <v>0.6</v>
      </c>
      <c r="J37" s="264">
        <v>0.6</v>
      </c>
      <c r="K37" s="264">
        <v>0.6</v>
      </c>
      <c r="L37" s="264">
        <v>0.6</v>
      </c>
      <c r="M37" s="264">
        <v>0.6</v>
      </c>
      <c r="N37" s="264">
        <v>0.6</v>
      </c>
      <c r="O37" s="264">
        <v>0.59</v>
      </c>
      <c r="P37" s="264">
        <v>0.59</v>
      </c>
      <c r="Q37" s="264">
        <v>0.59</v>
      </c>
      <c r="R37" s="264">
        <v>0.59</v>
      </c>
      <c r="S37" s="264">
        <v>0.59</v>
      </c>
      <c r="T37" s="264">
        <v>0.59</v>
      </c>
      <c r="U37" s="264">
        <v>0.59</v>
      </c>
      <c r="V37" s="264">
        <v>0.59</v>
      </c>
      <c r="W37" s="264">
        <v>0.59</v>
      </c>
      <c r="X37" s="264">
        <v>0.59</v>
      </c>
      <c r="Y37" s="264">
        <v>0.59</v>
      </c>
      <c r="Z37" s="264">
        <v>0.59</v>
      </c>
      <c r="AA37" s="57">
        <f t="shared" si="0"/>
        <v>0.59499999999999986</v>
      </c>
      <c r="AB37" s="58">
        <f>IF(AA37=" "," ",IF('c-form'!AE15="",AA37,AA37+'c-form'!AE15))</f>
        <v>338.19500000000005</v>
      </c>
      <c r="AC37" s="58">
        <f>IF(AA37=" "," ",IF('c-form'!AE15="",AM37,AM37+'c-form'!AE15))</f>
        <v>338.20000000000005</v>
      </c>
      <c r="AD37" s="150">
        <f t="shared" si="7"/>
        <v>1</v>
      </c>
      <c r="AE37" s="58">
        <f>IF(AA37=" "," ",IF('c-form'!AE15="",AN37,AN37+'c-form'!AE15))</f>
        <v>338.19</v>
      </c>
      <c r="AF37" s="150">
        <f t="shared" si="8"/>
        <v>13</v>
      </c>
      <c r="AG37" s="63"/>
      <c r="AM37">
        <f t="shared" si="2"/>
        <v>0.6</v>
      </c>
      <c r="AN37" s="54">
        <f t="shared" si="4"/>
        <v>0.59</v>
      </c>
    </row>
    <row r="38" spans="1:40" ht="22.5" customHeight="1">
      <c r="A38" s="60"/>
      <c r="B38" s="132">
        <v>26</v>
      </c>
      <c r="C38" s="264">
        <v>0.57999999999999996</v>
      </c>
      <c r="D38" s="264">
        <v>0.57999999999999996</v>
      </c>
      <c r="E38" s="264">
        <v>0.57999999999999996</v>
      </c>
      <c r="F38" s="264">
        <v>0.57999999999999996</v>
      </c>
      <c r="G38" s="264">
        <v>0.57999999999999996</v>
      </c>
      <c r="H38" s="264">
        <v>0.57999999999999996</v>
      </c>
      <c r="I38" s="264">
        <v>0.57999999999999996</v>
      </c>
      <c r="J38" s="264">
        <v>0.57999999999999996</v>
      </c>
      <c r="K38" s="264">
        <v>0.57999999999999996</v>
      </c>
      <c r="L38" s="264">
        <v>0.57999999999999996</v>
      </c>
      <c r="M38" s="264">
        <v>0.57999999999999996</v>
      </c>
      <c r="N38" s="264">
        <v>0.57999999999999996</v>
      </c>
      <c r="O38" s="264">
        <v>0.57999999999999996</v>
      </c>
      <c r="P38" s="264">
        <v>0.57999999999999996</v>
      </c>
      <c r="Q38" s="264">
        <v>0.57999999999999996</v>
      </c>
      <c r="R38" s="264">
        <v>0.57999999999999996</v>
      </c>
      <c r="S38" s="264">
        <v>0.57999999999999996</v>
      </c>
      <c r="T38" s="264">
        <v>0.57999999999999996</v>
      </c>
      <c r="U38" s="264">
        <v>0.57999999999999996</v>
      </c>
      <c r="V38" s="264">
        <v>0.57999999999999996</v>
      </c>
      <c r="W38" s="264">
        <v>0.57999999999999996</v>
      </c>
      <c r="X38" s="264">
        <v>0.57999999999999996</v>
      </c>
      <c r="Y38" s="264">
        <v>0.57999999999999996</v>
      </c>
      <c r="Z38" s="264">
        <v>0.57999999999999996</v>
      </c>
      <c r="AA38" s="57">
        <f t="shared" si="0"/>
        <v>0.57999999999999996</v>
      </c>
      <c r="AB38" s="58">
        <f>IF(AA38=" "," ",IF('c-form'!AE15="",AA38,AA38+'c-form'!AE15))</f>
        <v>338.18</v>
      </c>
      <c r="AC38" s="58">
        <f>IF(AA38=" "," ",IF('c-form'!AE15="",AM38,AM38+'c-form'!AE15))</f>
        <v>338.18</v>
      </c>
      <c r="AD38" s="150">
        <f t="shared" si="7"/>
        <v>1</v>
      </c>
      <c r="AE38" s="58">
        <f>IF(AA38=" "," ",IF('c-form'!AE15="",AN38,AN38+'c-form'!AE15))</f>
        <v>338.18</v>
      </c>
      <c r="AF38" s="150">
        <f t="shared" si="8"/>
        <v>1</v>
      </c>
      <c r="AG38" s="63"/>
      <c r="AM38">
        <f t="shared" si="2"/>
        <v>0.57999999999999996</v>
      </c>
      <c r="AN38" s="54">
        <f t="shared" si="4"/>
        <v>0.57999999999999996</v>
      </c>
    </row>
    <row r="39" spans="1:40" ht="22.5" customHeight="1">
      <c r="A39" s="60"/>
      <c r="B39" s="132">
        <v>27</v>
      </c>
      <c r="C39" s="264">
        <v>0.57999999999999996</v>
      </c>
      <c r="D39" s="264">
        <v>0.57999999999999996</v>
      </c>
      <c r="E39" s="264">
        <v>0.57999999999999996</v>
      </c>
      <c r="F39" s="264">
        <v>0.57999999999999996</v>
      </c>
      <c r="G39" s="264">
        <v>0.57999999999999996</v>
      </c>
      <c r="H39" s="264">
        <v>0.57999999999999996</v>
      </c>
      <c r="I39" s="264">
        <v>0.57999999999999996</v>
      </c>
      <c r="J39" s="264">
        <v>0.57999999999999996</v>
      </c>
      <c r="K39" s="264">
        <v>0.57999999999999996</v>
      </c>
      <c r="L39" s="264">
        <v>0.57999999999999996</v>
      </c>
      <c r="M39" s="264">
        <v>0.57999999999999996</v>
      </c>
      <c r="N39" s="264">
        <v>0.57999999999999996</v>
      </c>
      <c r="O39" s="264">
        <v>0.57999999999999996</v>
      </c>
      <c r="P39" s="264">
        <v>0.57999999999999996</v>
      </c>
      <c r="Q39" s="264">
        <v>0.57999999999999996</v>
      </c>
      <c r="R39" s="264">
        <v>0.57999999999999996</v>
      </c>
      <c r="S39" s="264">
        <v>0.57999999999999996</v>
      </c>
      <c r="T39" s="264">
        <v>0.57999999999999996</v>
      </c>
      <c r="U39" s="264">
        <v>0.57999999999999996</v>
      </c>
      <c r="V39" s="264">
        <v>0.57999999999999996</v>
      </c>
      <c r="W39" s="264">
        <v>0.57999999999999996</v>
      </c>
      <c r="X39" s="264">
        <v>0.57999999999999996</v>
      </c>
      <c r="Y39" s="264">
        <v>0.57999999999999996</v>
      </c>
      <c r="Z39" s="264">
        <v>0.57999999999999996</v>
      </c>
      <c r="AA39" s="57">
        <f t="shared" si="0"/>
        <v>0.57999999999999996</v>
      </c>
      <c r="AB39" s="58">
        <f>IF(AA39=" "," ",IF('c-form'!AE15="",AA39,AA39+'c-form'!AE15))</f>
        <v>338.18</v>
      </c>
      <c r="AC39" s="58">
        <f>IF(AA39=" "," ",IF('c-form'!AE15="",AM39,AM39+'c-form'!AE15))</f>
        <v>338.18</v>
      </c>
      <c r="AD39" s="150">
        <f t="shared" si="7"/>
        <v>1</v>
      </c>
      <c r="AE39" s="58">
        <f>IF(AA39=" "," ",IF('c-form'!AE15="",AN39,AN39+'c-form'!AE15))</f>
        <v>338.18</v>
      </c>
      <c r="AF39" s="150">
        <f t="shared" si="8"/>
        <v>1</v>
      </c>
      <c r="AG39" s="63"/>
      <c r="AM39">
        <f>IF(AB39=" "," ",MAX(C39:Z39))</f>
        <v>0.57999999999999996</v>
      </c>
      <c r="AN39" s="54">
        <f t="shared" si="4"/>
        <v>0.57999999999999996</v>
      </c>
    </row>
    <row r="40" spans="1:40" ht="22.5" customHeight="1">
      <c r="A40" s="60"/>
      <c r="B40" s="132">
        <v>28</v>
      </c>
      <c r="C40" s="264">
        <v>0.57999999999999996</v>
      </c>
      <c r="D40" s="264">
        <v>0.57999999999999996</v>
      </c>
      <c r="E40" s="264">
        <v>0.57999999999999996</v>
      </c>
      <c r="F40" s="264">
        <v>0.57999999999999996</v>
      </c>
      <c r="G40" s="264">
        <v>0.57999999999999996</v>
      </c>
      <c r="H40" s="264">
        <v>0.57999999999999996</v>
      </c>
      <c r="I40" s="264">
        <v>0.57999999999999996</v>
      </c>
      <c r="J40" s="264">
        <v>0.57999999999999996</v>
      </c>
      <c r="K40" s="264">
        <v>0.57999999999999996</v>
      </c>
      <c r="L40" s="264">
        <v>0.57999999999999996</v>
      </c>
      <c r="M40" s="264">
        <v>0.57999999999999996</v>
      </c>
      <c r="N40" s="264">
        <v>0.57999999999999996</v>
      </c>
      <c r="O40" s="264">
        <v>0.57999999999999996</v>
      </c>
      <c r="P40" s="264">
        <v>0.57999999999999996</v>
      </c>
      <c r="Q40" s="264">
        <v>0.57999999999999996</v>
      </c>
      <c r="R40" s="264">
        <v>0.57999999999999996</v>
      </c>
      <c r="S40" s="264">
        <v>0.57999999999999996</v>
      </c>
      <c r="T40" s="264">
        <v>0.57999999999999996</v>
      </c>
      <c r="U40" s="264">
        <v>0.57999999999999996</v>
      </c>
      <c r="V40" s="264">
        <v>0.57999999999999996</v>
      </c>
      <c r="W40" s="264">
        <v>0.57999999999999996</v>
      </c>
      <c r="X40" s="264">
        <v>0.57999999999999996</v>
      </c>
      <c r="Y40" s="264">
        <v>0.57999999999999996</v>
      </c>
      <c r="Z40" s="264">
        <v>0.57999999999999996</v>
      </c>
      <c r="AA40" s="57">
        <f t="shared" si="0"/>
        <v>0.57999999999999996</v>
      </c>
      <c r="AB40" s="58">
        <f>IF(AA40=" "," ",IF('c-form'!AE15="",AA40,AA40+'c-form'!AE15))</f>
        <v>338.18</v>
      </c>
      <c r="AC40" s="58">
        <f>IF(AA40=" "," ",IF('c-form'!AE15="",AM40,AM40+'c-form'!AE15))</f>
        <v>338.18</v>
      </c>
      <c r="AD40" s="150">
        <f t="shared" si="7"/>
        <v>1</v>
      </c>
      <c r="AE40" s="58">
        <f>IF(AA40=" "," ",IF('c-form'!AE15="",AN40,AN40+'c-form'!AE15))</f>
        <v>338.18</v>
      </c>
      <c r="AF40" s="150">
        <f t="shared" si="8"/>
        <v>1</v>
      </c>
      <c r="AG40" s="63"/>
      <c r="AM40">
        <f t="shared" si="2"/>
        <v>0.57999999999999996</v>
      </c>
      <c r="AN40" s="54">
        <f t="shared" si="4"/>
        <v>0.57999999999999996</v>
      </c>
    </row>
    <row r="41" spans="1:40" ht="22.5" customHeight="1">
      <c r="A41" s="60"/>
      <c r="B41" s="132">
        <v>29</v>
      </c>
      <c r="C41" s="264">
        <v>0.56999999999999995</v>
      </c>
      <c r="D41" s="264">
        <v>0.56999999999999995</v>
      </c>
      <c r="E41" s="264">
        <v>0.56999999999999995</v>
      </c>
      <c r="F41" s="264">
        <v>0.56999999999999995</v>
      </c>
      <c r="G41" s="264">
        <v>0.56999999999999995</v>
      </c>
      <c r="H41" s="264">
        <v>0.56999999999999995</v>
      </c>
      <c r="I41" s="264">
        <v>0.56999999999999995</v>
      </c>
      <c r="J41" s="264">
        <v>0.56999999999999995</v>
      </c>
      <c r="K41" s="264">
        <v>0.56999999999999995</v>
      </c>
      <c r="L41" s="264">
        <v>0.56999999999999995</v>
      </c>
      <c r="M41" s="264">
        <v>0.56999999999999995</v>
      </c>
      <c r="N41" s="264">
        <v>0.56999999999999995</v>
      </c>
      <c r="O41" s="264">
        <v>0.56999999999999995</v>
      </c>
      <c r="P41" s="264">
        <v>0.56999999999999995</v>
      </c>
      <c r="Q41" s="264">
        <v>0.56999999999999995</v>
      </c>
      <c r="R41" s="264">
        <v>0.56999999999999995</v>
      </c>
      <c r="S41" s="264">
        <v>0.56999999999999995</v>
      </c>
      <c r="T41" s="264">
        <v>0.56999999999999995</v>
      </c>
      <c r="U41" s="264">
        <v>0.56999999999999995</v>
      </c>
      <c r="V41" s="264">
        <v>0.56999999999999995</v>
      </c>
      <c r="W41" s="264">
        <v>0.56999999999999995</v>
      </c>
      <c r="X41" s="264">
        <v>0.56999999999999995</v>
      </c>
      <c r="Y41" s="264">
        <v>0.56999999999999995</v>
      </c>
      <c r="Z41" s="264">
        <v>0.56999999999999995</v>
      </c>
      <c r="AA41" s="57">
        <f t="shared" si="0"/>
        <v>0.57000000000000017</v>
      </c>
      <c r="AB41" s="58">
        <f>IF(AA41=" "," ",IF('c-form'!AE15="",AA41,AA41+'c-form'!AE15))</f>
        <v>338.17</v>
      </c>
      <c r="AC41" s="58">
        <f>IF(AA41=" "," ",IF('c-form'!AE15="",AM41,AM41+'c-form'!AE15))</f>
        <v>338.17</v>
      </c>
      <c r="AD41" s="150">
        <f t="shared" si="7"/>
        <v>1</v>
      </c>
      <c r="AE41" s="58">
        <f>IF(AA41=" "," ",IF('c-form'!AE15="",AN41,AN41+'c-form'!AE15))</f>
        <v>338.17</v>
      </c>
      <c r="AF41" s="150">
        <f t="shared" si="8"/>
        <v>1</v>
      </c>
      <c r="AG41" s="63"/>
      <c r="AM41">
        <f>IF(AB41=" "," ",MAX(C41:Z41))</f>
        <v>0.56999999999999995</v>
      </c>
      <c r="AN41" s="54">
        <f t="shared" si="4"/>
        <v>0.56999999999999995</v>
      </c>
    </row>
    <row r="42" spans="1:40" ht="22.5" customHeight="1">
      <c r="A42" s="60"/>
      <c r="B42" s="132">
        <v>30</v>
      </c>
      <c r="C42" s="264">
        <v>0.57999999999999996</v>
      </c>
      <c r="D42" s="264">
        <v>0.57999999999999996</v>
      </c>
      <c r="E42" s="264">
        <v>0.57999999999999996</v>
      </c>
      <c r="F42" s="264">
        <v>0.57999999999999996</v>
      </c>
      <c r="G42" s="264">
        <v>0.57999999999999996</v>
      </c>
      <c r="H42" s="264">
        <v>0.57999999999999996</v>
      </c>
      <c r="I42" s="264">
        <v>0.57999999999999996</v>
      </c>
      <c r="J42" s="264">
        <v>0.57999999999999996</v>
      </c>
      <c r="K42" s="264">
        <v>0.57999999999999996</v>
      </c>
      <c r="L42" s="264">
        <v>0.57999999999999996</v>
      </c>
      <c r="M42" s="264">
        <v>0.57999999999999996</v>
      </c>
      <c r="N42" s="264">
        <v>0.57999999999999996</v>
      </c>
      <c r="O42" s="264">
        <v>0.56999999999999995</v>
      </c>
      <c r="P42" s="264">
        <v>0.56999999999999995</v>
      </c>
      <c r="Q42" s="264">
        <v>0.56999999999999995</v>
      </c>
      <c r="R42" s="264">
        <v>0.56999999999999995</v>
      </c>
      <c r="S42" s="264">
        <v>0.56999999999999995</v>
      </c>
      <c r="T42" s="264">
        <v>0.56999999999999995</v>
      </c>
      <c r="U42" s="264">
        <v>0.56999999999999995</v>
      </c>
      <c r="V42" s="264">
        <v>0.56999999999999995</v>
      </c>
      <c r="W42" s="264">
        <v>0.56999999999999995</v>
      </c>
      <c r="X42" s="264">
        <v>0.56999999999999995</v>
      </c>
      <c r="Y42" s="264">
        <v>0.56999999999999995</v>
      </c>
      <c r="Z42" s="264">
        <v>0.56999999999999995</v>
      </c>
      <c r="AA42" s="57">
        <f>IF(ISERROR(AVERAGE(C42:Z42))," ",AVERAGE(C42:Z42))</f>
        <v>0.57500000000000007</v>
      </c>
      <c r="AB42" s="58">
        <f>IF(AA42=" "," ",IF('c-form'!AE15="",AA42,AA42+'c-form'!AE15))</f>
        <v>338.17500000000001</v>
      </c>
      <c r="AC42" s="58">
        <f>IF(AM42=" "," ",IF('c-form'!AE15="",AA42,AM42+'c-form'!AE15))</f>
        <v>338.18</v>
      </c>
      <c r="AD42" s="150">
        <f>IF(AB42=" "," ",MATCH(AM42,C42:Z42,0))</f>
        <v>1</v>
      </c>
      <c r="AE42" s="58">
        <f>IF(AN42=" "," ",IF('c-form'!AE15="",AA42,AN42+'c-form'!AE15))</f>
        <v>338.17</v>
      </c>
      <c r="AF42" s="150">
        <f>IF(AD42=" "," ",MATCH(AN42,C42:Z42,0))</f>
        <v>13</v>
      </c>
      <c r="AG42" s="63"/>
      <c r="AM42">
        <f t="shared" si="2"/>
        <v>0.57999999999999996</v>
      </c>
      <c r="AN42" s="54">
        <f t="shared" si="4"/>
        <v>0.56999999999999995</v>
      </c>
    </row>
    <row r="43" spans="1:40" ht="23.25" customHeight="1">
      <c r="A43" s="60"/>
      <c r="B43" s="132">
        <v>31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 t="str">
        <f>IF(ISERR(AVERAGE(C43:Z43))," ",AVERAGE(C43:Z43))</f>
        <v xml:space="preserve"> </v>
      </c>
      <c r="AB43" s="220" t="str">
        <f>IF(AA43=" "," ",IF('c-form'!AE15="",AA43,AA43+'c-form'!AE15))</f>
        <v xml:space="preserve"> </v>
      </c>
      <c r="AC43" s="220" t="str">
        <f>IF(AM43=" "," ",IF('c-form'!AE15="",AA43,AM43+'c-form'!AE15))</f>
        <v xml:space="preserve"> </v>
      </c>
      <c r="AD43" s="221" t="str">
        <f>IF(AB43=" "," ",MATCH(AM43,C43:Z43,0))</f>
        <v xml:space="preserve"> </v>
      </c>
      <c r="AE43" s="220" t="str">
        <f>IF(AN43=" "," ",IF('c-form'!AE15="",AA43,AN43+'c-form'!AE15))</f>
        <v xml:space="preserve"> </v>
      </c>
      <c r="AF43" s="221" t="str">
        <f>IF(AD43=" "," ",MATCH(AN43,C43:Z43,0))</f>
        <v xml:space="preserve"> </v>
      </c>
      <c r="AG43" s="63"/>
      <c r="AM43" t="str">
        <f t="shared" si="2"/>
        <v xml:space="preserve"> </v>
      </c>
      <c r="AN43" s="54" t="str">
        <f t="shared" si="4"/>
        <v xml:space="preserve"> </v>
      </c>
    </row>
    <row r="44" spans="1:40" s="60" customFormat="1" ht="9.75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</row>
    <row r="45" spans="1:40" s="80" customFormat="1" ht="23.25" customHeight="1">
      <c r="B45" s="331" t="s">
        <v>68</v>
      </c>
      <c r="C45" s="331"/>
      <c r="D45" s="331"/>
      <c r="E45" s="332">
        <f>IF(COUNT(AC11:AC43)=0," ",MAX(AC11:AC43))</f>
        <v>338.65000000000003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1</v>
      </c>
      <c r="M45" s="360" t="s">
        <v>293</v>
      </c>
      <c r="N45" s="361"/>
      <c r="O45" s="202">
        <f>IF(COUNT(AC11:AC43)=0," ",INDEX(AD11:AD43,AM45))</f>
        <v>1</v>
      </c>
      <c r="P45" s="331" t="s">
        <v>72</v>
      </c>
      <c r="Q45" s="331"/>
      <c r="R45" s="331"/>
      <c r="S45" s="336">
        <f>IF(COUNT(AC11:AC43)=0," ",AVERAGE(AB11:AB43))</f>
        <v>338.31038888888895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1</v>
      </c>
      <c r="AN45" s="83"/>
    </row>
    <row r="46" spans="1:40" s="80" customFormat="1" ht="20.100000000000001" customHeight="1">
      <c r="B46" s="331" t="s">
        <v>69</v>
      </c>
      <c r="C46" s="331"/>
      <c r="D46" s="331"/>
      <c r="E46" s="332">
        <f>IF(COUNT(AC11:AC43)=0," ",MIN(AE11:AE43))</f>
        <v>338.17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29</v>
      </c>
      <c r="M46" s="360" t="s">
        <v>293</v>
      </c>
      <c r="N46" s="361"/>
      <c r="O46" s="202">
        <f>IF(COUNT(AC11:AC43)=0," ",INDEX(AF11:AF43,AM46))</f>
        <v>1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80" t="s">
        <v>74</v>
      </c>
      <c r="AB46" s="84"/>
      <c r="AC46" s="84"/>
      <c r="AD46" s="84"/>
      <c r="AE46" s="84"/>
      <c r="AF46" s="84"/>
      <c r="AM46" s="80">
        <f>MATCH(E46,AE11:AE43,0)</f>
        <v>31</v>
      </c>
    </row>
    <row r="47" spans="1:40" ht="20.100000000000001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</row>
    <row r="48" spans="1:40" ht="20.100000000000001" customHeight="1">
      <c r="B48" s="63"/>
      <c r="C48" s="63"/>
      <c r="D48" s="63"/>
      <c r="E48" s="62"/>
      <c r="F48" s="56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</row>
    <row r="49" spans="2:33" ht="20.100000000000001" customHeight="1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</row>
  </sheetData>
  <sheetProtection password="D965" sheet="1" objects="1" scenarios="1"/>
  <mergeCells count="34">
    <mergeCell ref="AE7:AG7"/>
    <mergeCell ref="AE4:AG4"/>
    <mergeCell ref="C5:E5"/>
    <mergeCell ref="AD1:AE1"/>
    <mergeCell ref="B2:D2"/>
    <mergeCell ref="E2:AC2"/>
    <mergeCell ref="G5:H5"/>
    <mergeCell ref="J5:N5"/>
    <mergeCell ref="P5:S5"/>
    <mergeCell ref="U5:W5"/>
    <mergeCell ref="Y5:Z5"/>
    <mergeCell ref="AA5:AC5"/>
    <mergeCell ref="P7:R7"/>
    <mergeCell ref="S7:V7"/>
    <mergeCell ref="W7:X7"/>
    <mergeCell ref="AC7:AD7"/>
    <mergeCell ref="AD9:AF9"/>
    <mergeCell ref="B45:D45"/>
    <mergeCell ref="E45:F45"/>
    <mergeCell ref="P45:R45"/>
    <mergeCell ref="M45:N45"/>
    <mergeCell ref="AB9:AC9"/>
    <mergeCell ref="AA9:AA10"/>
    <mergeCell ref="S45:T45"/>
    <mergeCell ref="M46:N46"/>
    <mergeCell ref="B7:C7"/>
    <mergeCell ref="D7:E7"/>
    <mergeCell ref="G7:H7"/>
    <mergeCell ref="L7:O7"/>
    <mergeCell ref="B9:B10"/>
    <mergeCell ref="C9:Z9"/>
    <mergeCell ref="B46:D46"/>
    <mergeCell ref="E46:F46"/>
    <mergeCell ref="P46:Q46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6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N49"/>
  <sheetViews>
    <sheetView showGridLines="0" showRowColHeaders="0" zoomScaleNormal="100" workbookViewId="0">
      <pane xSplit="2" ySplit="10" topLeftCell="G29" activePane="bottomRight" state="frozen"/>
      <selection pane="topRight" activeCell="C1" sqref="C1"/>
      <selection pane="bottomLeft" activeCell="A11" sqref="A11"/>
      <selection pane="bottomRight" activeCell="W39" sqref="W39"/>
    </sheetView>
  </sheetViews>
  <sheetFormatPr defaultRowHeight="15"/>
  <cols>
    <col min="1" max="1" width="1.42578125" style="85" customWidth="1"/>
    <col min="2" max="2" width="7" style="85" customWidth="1"/>
    <col min="3" max="27" width="7.85546875" style="85" customWidth="1"/>
    <col min="28" max="28" width="9.5703125" style="85" customWidth="1"/>
    <col min="29" max="29" width="8.42578125" style="85" customWidth="1"/>
    <col min="30" max="30" width="6.85546875" style="85" customWidth="1"/>
    <col min="31" max="31" width="8.140625" style="85" customWidth="1"/>
    <col min="32" max="32" width="7.28515625" style="85" customWidth="1"/>
    <col min="33" max="33" width="9.140625" style="85"/>
    <col min="34" max="34" width="0.28515625" style="85" hidden="1" customWidth="1"/>
    <col min="35" max="37" width="9.140625" style="85" hidden="1" customWidth="1"/>
    <col min="38" max="38" width="0" style="85" hidden="1" customWidth="1"/>
    <col min="39" max="39" width="8.5703125" style="85" hidden="1" customWidth="1"/>
    <col min="40" max="40" width="9.5703125" style="85" hidden="1" customWidth="1"/>
    <col min="41" max="16384" width="9.140625" style="85"/>
  </cols>
  <sheetData>
    <row r="1" spans="1:40" ht="9" customHeight="1">
      <c r="AD1" s="344" t="s">
        <v>108</v>
      </c>
      <c r="AE1" s="345"/>
    </row>
    <row r="2" spans="1:40" ht="19.5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105"/>
    </row>
    <row r="3" spans="1:40" ht="18.75" customHeight="1">
      <c r="B3" s="73" t="s">
        <v>106</v>
      </c>
      <c r="C3" s="73"/>
      <c r="D3" s="73"/>
      <c r="AA3" s="158"/>
      <c r="AB3" s="158"/>
      <c r="AC3" s="158"/>
      <c r="AD3" s="158"/>
      <c r="AE3" s="158"/>
      <c r="AF3" s="158"/>
    </row>
    <row r="4" spans="1:40" ht="17.25" customHeight="1">
      <c r="F4" s="86"/>
      <c r="AA4" s="158"/>
      <c r="AB4" s="158"/>
      <c r="AC4" s="158"/>
      <c r="AD4" s="159" t="s">
        <v>123</v>
      </c>
      <c r="AE4" s="315"/>
      <c r="AF4" s="315"/>
      <c r="AG4" s="353"/>
    </row>
    <row r="5" spans="1:40" s="74" customFormat="1" ht="24">
      <c r="B5" s="75" t="s">
        <v>109</v>
      </c>
      <c r="C5" s="318" t="str">
        <f>IF(ISBLANK(rsteam),"",rsteam)</f>
        <v>Nam  Ping</v>
      </c>
      <c r="D5" s="311"/>
      <c r="E5" s="311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</row>
    <row r="6" spans="1:40" s="74" customFormat="1" ht="12.75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0" s="74" customFormat="1" ht="18.75" customHeight="1">
      <c r="B7" s="324" t="s">
        <v>116</v>
      </c>
      <c r="C7" s="324"/>
      <c r="D7" s="325" t="s">
        <v>60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</row>
    <row r="8" spans="1:40" ht="15.75" customHeight="1"/>
    <row r="9" spans="1:40" s="92" customFormat="1" ht="30.75" customHeight="1">
      <c r="A9" s="91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0" s="92" customFormat="1" ht="21" customHeight="1">
      <c r="A10" s="91"/>
      <c r="B10" s="338"/>
      <c r="C10" s="97">
        <v>1</v>
      </c>
      <c r="D10" s="97">
        <v>2</v>
      </c>
      <c r="E10" s="97">
        <v>3</v>
      </c>
      <c r="F10" s="97">
        <v>4</v>
      </c>
      <c r="G10" s="97">
        <v>5</v>
      </c>
      <c r="H10" s="97">
        <v>6</v>
      </c>
      <c r="I10" s="97">
        <v>7</v>
      </c>
      <c r="J10" s="97">
        <v>8</v>
      </c>
      <c r="K10" s="97">
        <v>9</v>
      </c>
      <c r="L10" s="97">
        <v>10</v>
      </c>
      <c r="M10" s="97">
        <v>11</v>
      </c>
      <c r="N10" s="97">
        <v>12</v>
      </c>
      <c r="O10" s="97">
        <v>13</v>
      </c>
      <c r="P10" s="97">
        <v>14</v>
      </c>
      <c r="Q10" s="97">
        <v>15</v>
      </c>
      <c r="R10" s="97">
        <v>16</v>
      </c>
      <c r="S10" s="97">
        <v>17</v>
      </c>
      <c r="T10" s="97">
        <v>18</v>
      </c>
      <c r="U10" s="97">
        <v>19</v>
      </c>
      <c r="V10" s="97">
        <v>20</v>
      </c>
      <c r="W10" s="97">
        <v>21</v>
      </c>
      <c r="X10" s="97">
        <v>22</v>
      </c>
      <c r="Y10" s="97">
        <v>23</v>
      </c>
      <c r="Z10" s="97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93"/>
      <c r="B11" s="145">
        <v>1</v>
      </c>
      <c r="C11" s="264">
        <v>1.04</v>
      </c>
      <c r="D11" s="264">
        <v>1.04</v>
      </c>
      <c r="E11" s="264">
        <v>1.03</v>
      </c>
      <c r="F11" s="264">
        <v>1.03</v>
      </c>
      <c r="G11" s="264">
        <v>1.02</v>
      </c>
      <c r="H11" s="264">
        <v>1.01</v>
      </c>
      <c r="I11" s="264">
        <v>1.01</v>
      </c>
      <c r="J11" s="264">
        <v>1.01</v>
      </c>
      <c r="K11" s="264">
        <v>1.01</v>
      </c>
      <c r="L11" s="264">
        <v>1.01</v>
      </c>
      <c r="M11" s="264">
        <v>1.01</v>
      </c>
      <c r="N11" s="264">
        <v>1.01</v>
      </c>
      <c r="O11" s="264">
        <v>1</v>
      </c>
      <c r="P11" s="264">
        <v>1</v>
      </c>
      <c r="Q11" s="264">
        <v>1</v>
      </c>
      <c r="R11" s="264">
        <v>1</v>
      </c>
      <c r="S11" s="264">
        <v>1</v>
      </c>
      <c r="T11" s="264">
        <v>1</v>
      </c>
      <c r="U11" s="264">
        <v>0.99</v>
      </c>
      <c r="V11" s="264">
        <v>0.99</v>
      </c>
      <c r="W11" s="264">
        <v>0.99</v>
      </c>
      <c r="X11" s="264">
        <v>0.99</v>
      </c>
      <c r="Y11" s="264">
        <v>0.99</v>
      </c>
      <c r="Z11" s="264">
        <v>0.99</v>
      </c>
      <c r="AA11" s="96">
        <f t="shared" ref="AA11:AA41" si="0">IF(ISERROR(AVERAGE(C11:Z11))," ",AVERAGE(C11:Z11))</f>
        <v>1.0070833333333329</v>
      </c>
      <c r="AB11" s="58">
        <f>IF(AA11=" "," ",IF('c-form'!AE15="",AA11,AA11+'c-form'!AE15))</f>
        <v>338.60708333333338</v>
      </c>
      <c r="AC11" s="58">
        <f>IF(AA11=" "," ",IF('c-form'!AE15="",AM11,AM11+'c-form'!AE15))</f>
        <v>338.64000000000004</v>
      </c>
      <c r="AD11" s="150">
        <f>IF(AB11=" "," ",MATCH(AM11,C11:Z11,0))</f>
        <v>1</v>
      </c>
      <c r="AE11" s="58">
        <f>IF(AA11=" "," ",IF('c-form'!AE15="",AN11,AN11+'c-form'!AE15))</f>
        <v>338.59000000000003</v>
      </c>
      <c r="AF11" s="150">
        <f t="shared" ref="AF11:AF20" si="1">IF(AD11=" "," ",MATCH(AN11,C11:Z11,0))</f>
        <v>19</v>
      </c>
      <c r="AM11" s="85">
        <f>IF(AB11=" "," ",MAX(C11:Z11))</f>
        <v>1.04</v>
      </c>
      <c r="AN11" s="94">
        <f>IF(AB11=" "," ",MIN(C11:Z11))</f>
        <v>0.99</v>
      </c>
    </row>
    <row r="12" spans="1:40" ht="22.5" customHeight="1">
      <c r="A12" s="93"/>
      <c r="B12" s="145">
        <v>2</v>
      </c>
      <c r="C12" s="264">
        <v>0.98</v>
      </c>
      <c r="D12" s="264">
        <v>0.98</v>
      </c>
      <c r="E12" s="264">
        <v>0.98</v>
      </c>
      <c r="F12" s="264">
        <v>0.98</v>
      </c>
      <c r="G12" s="264">
        <v>0.98</v>
      </c>
      <c r="H12" s="264">
        <v>0.97</v>
      </c>
      <c r="I12" s="264">
        <v>0.97</v>
      </c>
      <c r="J12" s="264">
        <v>0.97</v>
      </c>
      <c r="K12" s="264">
        <v>0.97</v>
      </c>
      <c r="L12" s="264">
        <v>0.97</v>
      </c>
      <c r="M12" s="264">
        <v>0.97</v>
      </c>
      <c r="N12" s="264">
        <v>0.97</v>
      </c>
      <c r="O12" s="264">
        <v>0.97</v>
      </c>
      <c r="P12" s="264">
        <v>0.97</v>
      </c>
      <c r="Q12" s="264">
        <v>0.97</v>
      </c>
      <c r="R12" s="264">
        <v>0.97</v>
      </c>
      <c r="S12" s="264">
        <v>0.97</v>
      </c>
      <c r="T12" s="264">
        <v>0.97</v>
      </c>
      <c r="U12" s="264">
        <v>0.98</v>
      </c>
      <c r="V12" s="264">
        <v>0.98</v>
      </c>
      <c r="W12" s="264">
        <v>0.98</v>
      </c>
      <c r="X12" s="264">
        <v>0.98</v>
      </c>
      <c r="Y12" s="264">
        <v>0.98</v>
      </c>
      <c r="Z12" s="264">
        <v>0.98</v>
      </c>
      <c r="AA12" s="96">
        <f t="shared" si="0"/>
        <v>0.97458333333333347</v>
      </c>
      <c r="AB12" s="58">
        <f>IF(AA12=" "," ",IF('c-form'!AE15="",AA12,AA12+'c-form'!AE15))</f>
        <v>338.57458333333335</v>
      </c>
      <c r="AC12" s="58">
        <f>IF(AA12=" "," ",IF('c-form'!AE15="",AM12,AM12+'c-form'!AE15))</f>
        <v>338.58000000000004</v>
      </c>
      <c r="AD12" s="150">
        <f>IF(AB12=" "," ",MATCH(AM12,C12:Z12,0))</f>
        <v>1</v>
      </c>
      <c r="AE12" s="58">
        <f>IF(AA12=" "," ",IF('c-form'!AE15="",AN12,AN12+'c-form'!AE15))</f>
        <v>338.57000000000005</v>
      </c>
      <c r="AF12" s="150">
        <f t="shared" si="1"/>
        <v>6</v>
      </c>
      <c r="AM12" s="85">
        <f t="shared" ref="AM12:AM43" si="2">IF(AB12=" "," ",MAX(C12:Z12))</f>
        <v>0.98</v>
      </c>
      <c r="AN12" s="94">
        <f>IF(AB12=" "," ",MIN(C12:Z12))</f>
        <v>0.97</v>
      </c>
    </row>
    <row r="13" spans="1:40" ht="22.5" customHeight="1">
      <c r="A13" s="93"/>
      <c r="B13" s="145">
        <v>3</v>
      </c>
      <c r="C13" s="264">
        <v>0.99</v>
      </c>
      <c r="D13" s="264">
        <v>0.99</v>
      </c>
      <c r="E13" s="264">
        <v>0.99</v>
      </c>
      <c r="F13" s="264">
        <v>0.99</v>
      </c>
      <c r="G13" s="264">
        <v>0.99</v>
      </c>
      <c r="H13" s="264">
        <v>0.99</v>
      </c>
      <c r="I13" s="264">
        <v>0.99</v>
      </c>
      <c r="J13" s="264">
        <v>0.99</v>
      </c>
      <c r="K13" s="264">
        <v>0.99</v>
      </c>
      <c r="L13" s="264">
        <v>0.99</v>
      </c>
      <c r="M13" s="264">
        <v>0.99</v>
      </c>
      <c r="N13" s="264">
        <v>0.99</v>
      </c>
      <c r="O13" s="264">
        <v>1</v>
      </c>
      <c r="P13" s="264">
        <v>1</v>
      </c>
      <c r="Q13" s="264">
        <v>1</v>
      </c>
      <c r="R13" s="264">
        <v>1</v>
      </c>
      <c r="S13" s="264">
        <v>1</v>
      </c>
      <c r="T13" s="264">
        <v>1</v>
      </c>
      <c r="U13" s="264">
        <v>1</v>
      </c>
      <c r="V13" s="264">
        <v>0.99</v>
      </c>
      <c r="W13" s="264">
        <v>0.99</v>
      </c>
      <c r="X13" s="264">
        <v>0.99</v>
      </c>
      <c r="Y13" s="264">
        <v>0.99</v>
      </c>
      <c r="Z13" s="264">
        <v>0.99</v>
      </c>
      <c r="AA13" s="96">
        <f t="shared" si="0"/>
        <v>0.99291666666666645</v>
      </c>
      <c r="AB13" s="58">
        <f>IF(AA13=" "," ",IF('c-form'!AE15="",AA13,AA13+'c-form'!AE15))</f>
        <v>338.59291666666667</v>
      </c>
      <c r="AC13" s="58">
        <f>IF(AA13=" "," ",IF('c-form'!AE15="",AM13,AM13+'c-form'!AE15))</f>
        <v>338.6</v>
      </c>
      <c r="AD13" s="150">
        <f t="shared" ref="AD13:AD20" si="3">IF(AB13=" "," ",MATCH(AM13,C13:Z13,0))</f>
        <v>13</v>
      </c>
      <c r="AE13" s="58">
        <f>IF(AA13=" "," ",IF('c-form'!AE15="",AN13,AN13+'c-form'!AE15))</f>
        <v>338.59000000000003</v>
      </c>
      <c r="AF13" s="150">
        <f t="shared" si="1"/>
        <v>1</v>
      </c>
      <c r="AM13" s="85">
        <f t="shared" si="2"/>
        <v>1</v>
      </c>
      <c r="AN13" s="94">
        <f t="shared" ref="AN13:AN43" si="4">IF(AB13=" "," ",MIN(C13:Z13))</f>
        <v>0.99</v>
      </c>
    </row>
    <row r="14" spans="1:40" ht="22.5" customHeight="1">
      <c r="A14" s="93"/>
      <c r="B14" s="145">
        <v>4</v>
      </c>
      <c r="C14" s="264">
        <v>0.98</v>
      </c>
      <c r="D14" s="264">
        <v>0.98</v>
      </c>
      <c r="E14" s="264">
        <v>0.98</v>
      </c>
      <c r="F14" s="264">
        <v>0.98</v>
      </c>
      <c r="G14" s="264">
        <v>0.98</v>
      </c>
      <c r="H14" s="264">
        <v>0.98</v>
      </c>
      <c r="I14" s="264">
        <v>0.98</v>
      </c>
      <c r="J14" s="264">
        <v>0.98</v>
      </c>
      <c r="K14" s="264">
        <v>0.98</v>
      </c>
      <c r="L14" s="264">
        <v>0.97</v>
      </c>
      <c r="M14" s="264">
        <v>0.97</v>
      </c>
      <c r="N14" s="264">
        <v>0.96</v>
      </c>
      <c r="O14" s="264">
        <v>0.96</v>
      </c>
      <c r="P14" s="264">
        <v>0.95</v>
      </c>
      <c r="Q14" s="264">
        <v>0.95</v>
      </c>
      <c r="R14" s="264">
        <v>0.94</v>
      </c>
      <c r="S14" s="264">
        <v>0.93</v>
      </c>
      <c r="T14" s="264">
        <v>0.92</v>
      </c>
      <c r="U14" s="264">
        <v>0.91</v>
      </c>
      <c r="V14" s="264">
        <v>0.91</v>
      </c>
      <c r="W14" s="264">
        <v>0.9</v>
      </c>
      <c r="X14" s="264">
        <v>0.9</v>
      </c>
      <c r="Y14" s="264">
        <v>0.89</v>
      </c>
      <c r="Z14" s="264">
        <v>0.89</v>
      </c>
      <c r="AA14" s="96">
        <f t="shared" si="0"/>
        <v>0.94875000000000009</v>
      </c>
      <c r="AB14" s="58">
        <f>IF(AA14=" "," ",IF('c-form'!AE15="",AA14,AA14+'c-form'!AE15))</f>
        <v>338.54875000000004</v>
      </c>
      <c r="AC14" s="58">
        <f>IF(AA14=" "," ",IF('c-form'!AE15="",AM14,AM14+'c-form'!AE15))</f>
        <v>338.58000000000004</v>
      </c>
      <c r="AD14" s="150">
        <f t="shared" si="3"/>
        <v>1</v>
      </c>
      <c r="AE14" s="58">
        <f>IF(AA14=" "," ",IF('c-form'!AE15="",AN14,AN14+'c-form'!AE15))</f>
        <v>338.49</v>
      </c>
      <c r="AF14" s="150">
        <f t="shared" si="1"/>
        <v>23</v>
      </c>
      <c r="AM14" s="85">
        <f t="shared" si="2"/>
        <v>0.98</v>
      </c>
      <c r="AN14" s="94">
        <f t="shared" si="4"/>
        <v>0.89</v>
      </c>
    </row>
    <row r="15" spans="1:40" ht="22.5" customHeight="1">
      <c r="A15" s="93"/>
      <c r="B15" s="145">
        <v>5</v>
      </c>
      <c r="C15" s="264">
        <v>0.89</v>
      </c>
      <c r="D15" s="264">
        <v>0.88</v>
      </c>
      <c r="E15" s="264">
        <v>0.88</v>
      </c>
      <c r="F15" s="264">
        <v>0.88</v>
      </c>
      <c r="G15" s="264">
        <v>0.88</v>
      </c>
      <c r="H15" s="264">
        <v>0.87</v>
      </c>
      <c r="I15" s="264">
        <v>0.87</v>
      </c>
      <c r="J15" s="264">
        <v>0.87</v>
      </c>
      <c r="K15" s="264">
        <v>0.87</v>
      </c>
      <c r="L15" s="264">
        <v>0.87</v>
      </c>
      <c r="M15" s="264">
        <v>0.87</v>
      </c>
      <c r="N15" s="264">
        <v>0.88</v>
      </c>
      <c r="O15" s="264">
        <v>0.88</v>
      </c>
      <c r="P15" s="264">
        <v>0.88</v>
      </c>
      <c r="Q15" s="264">
        <v>0.89</v>
      </c>
      <c r="R15" s="264">
        <v>0.89</v>
      </c>
      <c r="S15" s="264">
        <v>0.9</v>
      </c>
      <c r="T15" s="264">
        <v>0.9</v>
      </c>
      <c r="U15" s="264">
        <v>0.91</v>
      </c>
      <c r="V15" s="264">
        <v>0.92</v>
      </c>
      <c r="W15" s="264">
        <v>0.92</v>
      </c>
      <c r="X15" s="264">
        <v>0.93</v>
      </c>
      <c r="Y15" s="264">
        <v>0.93</v>
      </c>
      <c r="Z15" s="264">
        <v>0.94</v>
      </c>
      <c r="AA15" s="96">
        <f t="shared" si="0"/>
        <v>0.89166666666666694</v>
      </c>
      <c r="AB15" s="58">
        <f>IF(AA15=" "," ",IF('c-form'!AE15="",AA15,AA15+'c-form'!AE15))</f>
        <v>338.49166666666667</v>
      </c>
      <c r="AC15" s="58">
        <f>IF(AA15=" "," ",IF('c-form'!AE15="",AM15,AM15+'c-form'!AE15))</f>
        <v>338.54</v>
      </c>
      <c r="AD15" s="150">
        <f t="shared" si="3"/>
        <v>24</v>
      </c>
      <c r="AE15" s="58">
        <f>IF(AA15=" "," ",IF('c-form'!AE15="",AN15,AN15+'c-form'!AE15))</f>
        <v>338.47</v>
      </c>
      <c r="AF15" s="150">
        <f t="shared" si="1"/>
        <v>6</v>
      </c>
      <c r="AM15" s="85">
        <f t="shared" si="2"/>
        <v>0.94</v>
      </c>
      <c r="AN15" s="94">
        <f t="shared" si="4"/>
        <v>0.87</v>
      </c>
    </row>
    <row r="16" spans="1:40" ht="22.5" customHeight="1">
      <c r="A16" s="93"/>
      <c r="B16" s="145">
        <v>6</v>
      </c>
      <c r="C16" s="264">
        <v>0.95</v>
      </c>
      <c r="D16" s="264">
        <v>0.95</v>
      </c>
      <c r="E16" s="264">
        <v>0.96</v>
      </c>
      <c r="F16" s="264">
        <v>0.97</v>
      </c>
      <c r="G16" s="264">
        <v>0.98</v>
      </c>
      <c r="H16" s="264">
        <v>0.99</v>
      </c>
      <c r="I16" s="264">
        <v>1</v>
      </c>
      <c r="J16" s="264">
        <v>1.01</v>
      </c>
      <c r="K16" s="264">
        <v>1.02</v>
      </c>
      <c r="L16" s="264">
        <v>1.03</v>
      </c>
      <c r="M16" s="264">
        <v>1.03</v>
      </c>
      <c r="N16" s="264">
        <v>1.04</v>
      </c>
      <c r="O16" s="264">
        <v>1.04</v>
      </c>
      <c r="P16" s="264">
        <v>1.04</v>
      </c>
      <c r="Q16" s="264">
        <v>1.04</v>
      </c>
      <c r="R16" s="264">
        <v>1.04</v>
      </c>
      <c r="S16" s="264">
        <v>1.04</v>
      </c>
      <c r="T16" s="264">
        <v>1.04</v>
      </c>
      <c r="U16" s="264">
        <v>1.03</v>
      </c>
      <c r="V16" s="264">
        <v>1.03</v>
      </c>
      <c r="W16" s="264">
        <v>1.02</v>
      </c>
      <c r="X16" s="264">
        <v>1.01</v>
      </c>
      <c r="Y16" s="264">
        <v>1</v>
      </c>
      <c r="Z16" s="264">
        <v>0.99</v>
      </c>
      <c r="AA16" s="96">
        <f t="shared" si="0"/>
        <v>1.0104166666666665</v>
      </c>
      <c r="AB16" s="58">
        <f>IF(AA16=" "," ",IF('c-form'!AE15="",AA16,AA16+'c-form'!AE15))</f>
        <v>338.61041666666671</v>
      </c>
      <c r="AC16" s="58">
        <f>IF(AA16=" "," ",IF('c-form'!AE15="",AM16,AM16+'c-form'!AE15))</f>
        <v>338.64000000000004</v>
      </c>
      <c r="AD16" s="150">
        <f t="shared" si="3"/>
        <v>12</v>
      </c>
      <c r="AE16" s="58">
        <f>IF(AA16=" "," ",IF('c-form'!AE15="",AN16,AN16+'c-form'!AE15))</f>
        <v>338.55</v>
      </c>
      <c r="AF16" s="150">
        <f t="shared" si="1"/>
        <v>1</v>
      </c>
      <c r="AM16" s="85">
        <f t="shared" si="2"/>
        <v>1.04</v>
      </c>
      <c r="AN16" s="94">
        <f t="shared" si="4"/>
        <v>0.95</v>
      </c>
    </row>
    <row r="17" spans="1:40" ht="22.5" customHeight="1">
      <c r="A17" s="93"/>
      <c r="B17" s="145">
        <v>7</v>
      </c>
      <c r="C17" s="264">
        <v>0.97</v>
      </c>
      <c r="D17" s="264">
        <v>0.96</v>
      </c>
      <c r="E17" s="264">
        <v>0.95</v>
      </c>
      <c r="F17" s="264">
        <v>0.94</v>
      </c>
      <c r="G17" s="264">
        <v>0.93</v>
      </c>
      <c r="H17" s="264">
        <v>0.92</v>
      </c>
      <c r="I17" s="264">
        <v>0.92</v>
      </c>
      <c r="J17" s="264">
        <v>0.91</v>
      </c>
      <c r="K17" s="264">
        <v>0.91</v>
      </c>
      <c r="L17" s="264">
        <v>0.9</v>
      </c>
      <c r="M17" s="264">
        <v>0.9</v>
      </c>
      <c r="N17" s="264">
        <v>0.89</v>
      </c>
      <c r="O17" s="264">
        <v>0.88</v>
      </c>
      <c r="P17" s="264">
        <v>0.88</v>
      </c>
      <c r="Q17" s="264">
        <v>0.87</v>
      </c>
      <c r="R17" s="264">
        <v>0.87</v>
      </c>
      <c r="S17" s="264">
        <v>0.86</v>
      </c>
      <c r="T17" s="264">
        <v>0.86</v>
      </c>
      <c r="U17" s="264">
        <v>0.86</v>
      </c>
      <c r="V17" s="264">
        <v>0.85</v>
      </c>
      <c r="W17" s="264">
        <v>0.85</v>
      </c>
      <c r="X17" s="264">
        <v>0.85</v>
      </c>
      <c r="Y17" s="264">
        <v>0.84</v>
      </c>
      <c r="Z17" s="264">
        <v>0.84</v>
      </c>
      <c r="AA17" s="96">
        <f t="shared" si="0"/>
        <v>0.89208333333333345</v>
      </c>
      <c r="AB17" s="58">
        <f>IF(AA17=" "," ",IF('c-form'!AE15="",AA17,AA17+'c-form'!AE15))</f>
        <v>338.49208333333337</v>
      </c>
      <c r="AC17" s="58">
        <f>IF(AA17=" "," ",IF('c-form'!AE15="",AM17,AM17+'c-form'!AE15))</f>
        <v>338.57000000000005</v>
      </c>
      <c r="AD17" s="150">
        <f t="shared" si="3"/>
        <v>1</v>
      </c>
      <c r="AE17" s="58">
        <f>IF(AA17=" "," ",IF('c-form'!AE15="",AN17,AN17+'c-form'!AE15))</f>
        <v>338.44</v>
      </c>
      <c r="AF17" s="150">
        <f t="shared" si="1"/>
        <v>23</v>
      </c>
      <c r="AM17" s="85">
        <f t="shared" si="2"/>
        <v>0.97</v>
      </c>
      <c r="AN17" s="94">
        <f t="shared" si="4"/>
        <v>0.84</v>
      </c>
    </row>
    <row r="18" spans="1:40" ht="22.5" customHeight="1">
      <c r="A18" s="93"/>
      <c r="B18" s="145">
        <v>8</v>
      </c>
      <c r="C18" s="264">
        <v>0.84</v>
      </c>
      <c r="D18" s="264">
        <v>0.83</v>
      </c>
      <c r="E18" s="264">
        <v>0.83</v>
      </c>
      <c r="F18" s="264">
        <v>0.83</v>
      </c>
      <c r="G18" s="264">
        <v>0.83</v>
      </c>
      <c r="H18" s="264">
        <v>0.83</v>
      </c>
      <c r="I18" s="264">
        <v>0.83</v>
      </c>
      <c r="J18" s="264">
        <v>0.83</v>
      </c>
      <c r="K18" s="264">
        <v>0.83</v>
      </c>
      <c r="L18" s="264">
        <v>0.83</v>
      </c>
      <c r="M18" s="264">
        <v>0.83</v>
      </c>
      <c r="N18" s="264">
        <v>0.82</v>
      </c>
      <c r="O18" s="264">
        <v>0.82</v>
      </c>
      <c r="P18" s="264">
        <v>0.82</v>
      </c>
      <c r="Q18" s="264">
        <v>0.81</v>
      </c>
      <c r="R18" s="264">
        <v>0.81</v>
      </c>
      <c r="S18" s="264">
        <v>0.81</v>
      </c>
      <c r="T18" s="264">
        <v>0.81</v>
      </c>
      <c r="U18" s="264">
        <v>0.81</v>
      </c>
      <c r="V18" s="264">
        <v>0.8</v>
      </c>
      <c r="W18" s="264">
        <v>0.8</v>
      </c>
      <c r="X18" s="264">
        <v>0.8</v>
      </c>
      <c r="Y18" s="264">
        <v>0.8</v>
      </c>
      <c r="Z18" s="264">
        <v>0.79</v>
      </c>
      <c r="AA18" s="96">
        <f t="shared" si="0"/>
        <v>0.81833333333333347</v>
      </c>
      <c r="AB18" s="58">
        <f>IF(AA18=" "," ",IF('c-form'!AE15="",AA18,AA18+'c-form'!AE15))</f>
        <v>338.41833333333335</v>
      </c>
      <c r="AC18" s="58">
        <f>IF(AA18=" "," ",IF('c-form'!AE15="",AM18,AM18+'c-form'!AE15))</f>
        <v>338.44</v>
      </c>
      <c r="AD18" s="150">
        <f t="shared" si="3"/>
        <v>1</v>
      </c>
      <c r="AE18" s="58">
        <f>IF(AA18=" "," ",IF('c-form'!AE15="",AN18,AN18+'c-form'!AE15))</f>
        <v>338.39000000000004</v>
      </c>
      <c r="AF18" s="150">
        <f t="shared" si="1"/>
        <v>24</v>
      </c>
      <c r="AM18" s="85">
        <f t="shared" si="2"/>
        <v>0.84</v>
      </c>
      <c r="AN18" s="94">
        <f t="shared" si="4"/>
        <v>0.79</v>
      </c>
    </row>
    <row r="19" spans="1:40" ht="22.5" customHeight="1">
      <c r="A19" s="93"/>
      <c r="B19" s="145">
        <v>9</v>
      </c>
      <c r="C19" s="264">
        <v>0.79</v>
      </c>
      <c r="D19" s="264">
        <v>0.78</v>
      </c>
      <c r="E19" s="264">
        <v>0.78</v>
      </c>
      <c r="F19" s="264">
        <v>0.77</v>
      </c>
      <c r="G19" s="264">
        <v>0.77</v>
      </c>
      <c r="H19" s="264">
        <v>0.76</v>
      </c>
      <c r="I19" s="264">
        <v>0.76</v>
      </c>
      <c r="J19" s="264">
        <v>0.76</v>
      </c>
      <c r="K19" s="264">
        <v>0.75</v>
      </c>
      <c r="L19" s="264">
        <v>0.75</v>
      </c>
      <c r="M19" s="264">
        <v>0.75</v>
      </c>
      <c r="N19" s="264">
        <v>0.74</v>
      </c>
      <c r="O19" s="264">
        <v>0.74</v>
      </c>
      <c r="P19" s="264">
        <v>0.74</v>
      </c>
      <c r="Q19" s="264">
        <v>0.73</v>
      </c>
      <c r="R19" s="264">
        <v>0.73</v>
      </c>
      <c r="S19" s="264">
        <v>0.73</v>
      </c>
      <c r="T19" s="264">
        <v>0.73</v>
      </c>
      <c r="U19" s="264">
        <v>0.72</v>
      </c>
      <c r="V19" s="264">
        <v>0.72</v>
      </c>
      <c r="W19" s="264">
        <v>0.72</v>
      </c>
      <c r="X19" s="264">
        <v>0.72</v>
      </c>
      <c r="Y19" s="264">
        <v>0.72</v>
      </c>
      <c r="Z19" s="264">
        <v>0.72</v>
      </c>
      <c r="AA19" s="96">
        <f t="shared" si="0"/>
        <v>0.74500000000000011</v>
      </c>
      <c r="AB19" s="58">
        <f>IF(AA19=" "," ",IF('c-form'!AE15="",AA19,AA19+'c-form'!AE15))</f>
        <v>338.34500000000003</v>
      </c>
      <c r="AC19" s="58">
        <f>IF(AA19=" "," ",IF('c-form'!AE15="",AM19,AM19+'c-form'!AE15))</f>
        <v>338.39000000000004</v>
      </c>
      <c r="AD19" s="150">
        <f t="shared" si="3"/>
        <v>1</v>
      </c>
      <c r="AE19" s="58">
        <f>IF(AA19=" "," ",IF('c-form'!AE15="",AN19,AN19+'c-form'!AE15))</f>
        <v>338.32000000000005</v>
      </c>
      <c r="AF19" s="150">
        <f t="shared" si="1"/>
        <v>19</v>
      </c>
      <c r="AM19" s="85">
        <f t="shared" si="2"/>
        <v>0.79</v>
      </c>
      <c r="AN19" s="94">
        <f t="shared" si="4"/>
        <v>0.72</v>
      </c>
    </row>
    <row r="20" spans="1:40" ht="22.5" customHeight="1">
      <c r="A20" s="93"/>
      <c r="B20" s="145">
        <v>10</v>
      </c>
      <c r="C20" s="264">
        <v>0.71</v>
      </c>
      <c r="D20" s="264">
        <v>0.71</v>
      </c>
      <c r="E20" s="264">
        <v>0.71</v>
      </c>
      <c r="F20" s="264">
        <v>0.71</v>
      </c>
      <c r="G20" s="264">
        <v>0.71</v>
      </c>
      <c r="H20" s="264">
        <v>0.7</v>
      </c>
      <c r="I20" s="264">
        <v>0.7</v>
      </c>
      <c r="J20" s="264">
        <v>0.7</v>
      </c>
      <c r="K20" s="264">
        <v>0.7</v>
      </c>
      <c r="L20" s="264">
        <v>0.7</v>
      </c>
      <c r="M20" s="264">
        <v>0.69</v>
      </c>
      <c r="N20" s="264">
        <v>0.69</v>
      </c>
      <c r="O20" s="264">
        <v>0.69</v>
      </c>
      <c r="P20" s="264">
        <v>0.68</v>
      </c>
      <c r="Q20" s="264">
        <v>0.68</v>
      </c>
      <c r="R20" s="264">
        <v>0.68</v>
      </c>
      <c r="S20" s="264">
        <v>0.68</v>
      </c>
      <c r="T20" s="264">
        <v>0.67</v>
      </c>
      <c r="U20" s="264">
        <v>0.67</v>
      </c>
      <c r="V20" s="264">
        <v>0.67</v>
      </c>
      <c r="W20" s="264">
        <v>0.67</v>
      </c>
      <c r="X20" s="264">
        <v>0.67</v>
      </c>
      <c r="Y20" s="264">
        <v>0.67</v>
      </c>
      <c r="Z20" s="264">
        <v>0.67</v>
      </c>
      <c r="AA20" s="96">
        <f t="shared" si="0"/>
        <v>0.68874999999999986</v>
      </c>
      <c r="AB20" s="58">
        <f>IF(AA20=" "," ",IF('c-form'!AE15="",AA20,AA20+'c-form'!AE15))</f>
        <v>338.28875000000005</v>
      </c>
      <c r="AC20" s="58">
        <f>IF(AA20=" "," ",IF('c-form'!AE15="",AM20,AM20+'c-form'!AE15))</f>
        <v>338.31</v>
      </c>
      <c r="AD20" s="150">
        <f t="shared" si="3"/>
        <v>1</v>
      </c>
      <c r="AE20" s="58">
        <f>IF(AA20=" "," ",IF('c-form'!AE15="",AN20,AN20+'c-form'!AE15))</f>
        <v>338.27000000000004</v>
      </c>
      <c r="AF20" s="150">
        <f t="shared" si="1"/>
        <v>18</v>
      </c>
      <c r="AM20" s="85">
        <f t="shared" si="2"/>
        <v>0.71</v>
      </c>
      <c r="AN20" s="94">
        <f t="shared" si="4"/>
        <v>0.67</v>
      </c>
    </row>
    <row r="21" spans="1:40" ht="22.5" customHeight="1">
      <c r="A21" s="93"/>
      <c r="B21" s="146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39"/>
      <c r="AC21" s="139"/>
      <c r="AD21" s="151"/>
      <c r="AE21" s="139"/>
      <c r="AF21" s="151"/>
      <c r="AM21" s="85">
        <f>IF(AB21=" "," ",MAX(C21:Z21))</f>
        <v>0</v>
      </c>
      <c r="AN21" s="94">
        <f t="shared" si="4"/>
        <v>0</v>
      </c>
    </row>
    <row r="22" spans="1:40" ht="22.5" customHeight="1">
      <c r="A22" s="93"/>
      <c r="B22" s="145">
        <v>11</v>
      </c>
      <c r="C22" s="264">
        <v>0.66</v>
      </c>
      <c r="D22" s="264">
        <v>0.66</v>
      </c>
      <c r="E22" s="264">
        <v>0.66</v>
      </c>
      <c r="F22" s="264">
        <v>0.66</v>
      </c>
      <c r="G22" s="264">
        <v>0.66</v>
      </c>
      <c r="H22" s="264">
        <v>0.65</v>
      </c>
      <c r="I22" s="264">
        <v>0.65</v>
      </c>
      <c r="J22" s="264">
        <v>0.65</v>
      </c>
      <c r="K22" s="264">
        <v>0.65</v>
      </c>
      <c r="L22" s="264">
        <v>0.65</v>
      </c>
      <c r="M22" s="264">
        <v>0.65</v>
      </c>
      <c r="N22" s="264">
        <v>0.65</v>
      </c>
      <c r="O22" s="264">
        <v>0.65</v>
      </c>
      <c r="P22" s="264">
        <v>0.65</v>
      </c>
      <c r="Q22" s="264">
        <v>0.65</v>
      </c>
      <c r="R22" s="264">
        <v>0.65</v>
      </c>
      <c r="S22" s="264">
        <v>0.65</v>
      </c>
      <c r="T22" s="264">
        <v>0.65</v>
      </c>
      <c r="U22" s="264">
        <v>0.65</v>
      </c>
      <c r="V22" s="264">
        <v>0.65</v>
      </c>
      <c r="W22" s="264">
        <v>0.65</v>
      </c>
      <c r="X22" s="264">
        <v>0.65</v>
      </c>
      <c r="Y22" s="264">
        <v>0.65</v>
      </c>
      <c r="Z22" s="264">
        <v>0.65</v>
      </c>
      <c r="AA22" s="96">
        <f t="shared" si="0"/>
        <v>0.65208333333333357</v>
      </c>
      <c r="AB22" s="58">
        <f>IF(AA22=" "," ",IF('c-form'!AE15="",AA22,AA22+'c-form'!AE15))</f>
        <v>338.25208333333336</v>
      </c>
      <c r="AC22" s="58">
        <f>IF(AA22=" "," ",IF('c-form'!AE15="",AM22,AM22+'c-form'!AE15))</f>
        <v>338.26000000000005</v>
      </c>
      <c r="AD22" s="150">
        <f t="shared" ref="AD22:AD31" si="5">IF(AB22=" "," ",MATCH(AM22,C22:Z22,0))</f>
        <v>1</v>
      </c>
      <c r="AE22" s="58">
        <f>IF(AA22=" "," ",IF('c-form'!AE15="",AN22,AN22+'c-form'!AE15))</f>
        <v>338.25</v>
      </c>
      <c r="AF22" s="150">
        <f t="shared" ref="AF22:AF31" si="6">IF(AD22=" "," ",MATCH(AN22,C22:Z22,0))</f>
        <v>6</v>
      </c>
      <c r="AM22" s="85">
        <f t="shared" si="2"/>
        <v>0.66</v>
      </c>
      <c r="AN22" s="94">
        <f t="shared" si="4"/>
        <v>0.65</v>
      </c>
    </row>
    <row r="23" spans="1:40" ht="22.5" customHeight="1">
      <c r="A23" s="93"/>
      <c r="B23" s="145">
        <v>12</v>
      </c>
      <c r="C23" s="264">
        <v>0.64</v>
      </c>
      <c r="D23" s="264">
        <v>0.64</v>
      </c>
      <c r="E23" s="264">
        <v>0.64</v>
      </c>
      <c r="F23" s="264">
        <v>0.64</v>
      </c>
      <c r="G23" s="264">
        <v>0.64</v>
      </c>
      <c r="H23" s="264">
        <v>0.64</v>
      </c>
      <c r="I23" s="264">
        <v>0.64</v>
      </c>
      <c r="J23" s="264">
        <v>0.64</v>
      </c>
      <c r="K23" s="264">
        <v>0.64</v>
      </c>
      <c r="L23" s="264">
        <v>0.64</v>
      </c>
      <c r="M23" s="264">
        <v>0.64</v>
      </c>
      <c r="N23" s="264">
        <v>0.64</v>
      </c>
      <c r="O23" s="264">
        <v>0.64</v>
      </c>
      <c r="P23" s="264">
        <v>0.64</v>
      </c>
      <c r="Q23" s="264">
        <v>0.64</v>
      </c>
      <c r="R23" s="264">
        <v>0.64</v>
      </c>
      <c r="S23" s="264">
        <v>0.64</v>
      </c>
      <c r="T23" s="264">
        <v>0.64</v>
      </c>
      <c r="U23" s="264">
        <v>0.64</v>
      </c>
      <c r="V23" s="264">
        <v>0.64</v>
      </c>
      <c r="W23" s="264">
        <v>0.64</v>
      </c>
      <c r="X23" s="264">
        <v>0.64</v>
      </c>
      <c r="Y23" s="264">
        <v>0.64</v>
      </c>
      <c r="Z23" s="264">
        <v>0.64</v>
      </c>
      <c r="AA23" s="96">
        <f t="shared" si="0"/>
        <v>0.64000000000000024</v>
      </c>
      <c r="AB23" s="58">
        <f>IF(AA23=" "," ",IF('c-form'!AE15="",AA23,AA23+'c-form'!AE15))</f>
        <v>338.24</v>
      </c>
      <c r="AC23" s="58">
        <f>IF(AA23=" "," ",IF('c-form'!AE15="",AM23,AM23+'c-form'!AE15))</f>
        <v>338.24</v>
      </c>
      <c r="AD23" s="150">
        <f t="shared" si="5"/>
        <v>1</v>
      </c>
      <c r="AE23" s="58">
        <f>IF(AA23=" "," ",IF('c-form'!AE15="",AN23,AN23+'c-form'!AE15))</f>
        <v>338.24</v>
      </c>
      <c r="AF23" s="150">
        <f t="shared" si="6"/>
        <v>1</v>
      </c>
      <c r="AM23" s="85">
        <f t="shared" si="2"/>
        <v>0.64</v>
      </c>
      <c r="AN23" s="94">
        <f t="shared" si="4"/>
        <v>0.64</v>
      </c>
    </row>
    <row r="24" spans="1:40" ht="22.5" customHeight="1">
      <c r="A24" s="93"/>
      <c r="B24" s="145">
        <v>13</v>
      </c>
      <c r="C24" s="264">
        <v>0.64</v>
      </c>
      <c r="D24" s="264">
        <v>0.64</v>
      </c>
      <c r="E24" s="264">
        <v>0.64</v>
      </c>
      <c r="F24" s="264">
        <v>0.64</v>
      </c>
      <c r="G24" s="264">
        <v>0.64</v>
      </c>
      <c r="H24" s="264">
        <v>0.64</v>
      </c>
      <c r="I24" s="264">
        <v>0.64</v>
      </c>
      <c r="J24" s="264">
        <v>0.64</v>
      </c>
      <c r="K24" s="264">
        <v>0.64</v>
      </c>
      <c r="L24" s="264">
        <v>0.64</v>
      </c>
      <c r="M24" s="264">
        <v>0.64</v>
      </c>
      <c r="N24" s="264">
        <v>0.64</v>
      </c>
      <c r="O24" s="264">
        <v>0.63</v>
      </c>
      <c r="P24" s="264">
        <v>0.63</v>
      </c>
      <c r="Q24" s="264">
        <v>0.63</v>
      </c>
      <c r="R24" s="264">
        <v>0.63</v>
      </c>
      <c r="S24" s="264">
        <v>0.63</v>
      </c>
      <c r="T24" s="264">
        <v>0.63</v>
      </c>
      <c r="U24" s="264">
        <v>0.63</v>
      </c>
      <c r="V24" s="264">
        <v>0.63</v>
      </c>
      <c r="W24" s="264">
        <v>0.63</v>
      </c>
      <c r="X24" s="264">
        <v>0.63</v>
      </c>
      <c r="Y24" s="264">
        <v>0.63</v>
      </c>
      <c r="Z24" s="264">
        <v>0.63</v>
      </c>
      <c r="AA24" s="96">
        <f t="shared" si="0"/>
        <v>0.63500000000000034</v>
      </c>
      <c r="AB24" s="58">
        <f>IF(AA24=" "," ",IF('c-form'!AE15="",AA24,AA24+'c-form'!AE15))</f>
        <v>338.23500000000001</v>
      </c>
      <c r="AC24" s="58">
        <f>IF(AA24=" "," ",IF('c-form'!AE15="",AM24,AM24+'c-form'!AE15))</f>
        <v>338.24</v>
      </c>
      <c r="AD24" s="150">
        <f t="shared" si="5"/>
        <v>1</v>
      </c>
      <c r="AE24" s="58">
        <f>IF(AA24=" "," ",IF('c-form'!AE15="",AN24,AN24+'c-form'!AE15))</f>
        <v>338.23</v>
      </c>
      <c r="AF24" s="150">
        <f t="shared" si="6"/>
        <v>13</v>
      </c>
      <c r="AM24" s="85">
        <f t="shared" si="2"/>
        <v>0.64</v>
      </c>
      <c r="AN24" s="94">
        <f t="shared" si="4"/>
        <v>0.63</v>
      </c>
    </row>
    <row r="25" spans="1:40" ht="22.5" customHeight="1">
      <c r="A25" s="93"/>
      <c r="B25" s="145">
        <v>14</v>
      </c>
      <c r="C25" s="264">
        <v>0.62</v>
      </c>
      <c r="D25" s="264">
        <v>0.62</v>
      </c>
      <c r="E25" s="264">
        <v>0.62</v>
      </c>
      <c r="F25" s="264">
        <v>0.62</v>
      </c>
      <c r="G25" s="264">
        <v>0.62</v>
      </c>
      <c r="H25" s="264">
        <v>0.62</v>
      </c>
      <c r="I25" s="264">
        <v>0.62</v>
      </c>
      <c r="J25" s="264">
        <v>0.62</v>
      </c>
      <c r="K25" s="264">
        <v>0.62</v>
      </c>
      <c r="L25" s="264">
        <v>0.62</v>
      </c>
      <c r="M25" s="264">
        <v>0.62</v>
      </c>
      <c r="N25" s="264">
        <v>0.62</v>
      </c>
      <c r="O25" s="264">
        <v>0.61</v>
      </c>
      <c r="P25" s="264">
        <v>0.61</v>
      </c>
      <c r="Q25" s="264">
        <v>0.61</v>
      </c>
      <c r="R25" s="264">
        <v>0.61</v>
      </c>
      <c r="S25" s="264">
        <v>0.61</v>
      </c>
      <c r="T25" s="264">
        <v>0.61</v>
      </c>
      <c r="U25" s="264">
        <v>0.61</v>
      </c>
      <c r="V25" s="264">
        <v>0.61</v>
      </c>
      <c r="W25" s="264">
        <v>0.61</v>
      </c>
      <c r="X25" s="264">
        <v>0.61</v>
      </c>
      <c r="Y25" s="264">
        <v>0.61</v>
      </c>
      <c r="Z25" s="264">
        <v>0.61</v>
      </c>
      <c r="AA25" s="96">
        <f t="shared" si="0"/>
        <v>0.61499999999999977</v>
      </c>
      <c r="AB25" s="58">
        <f>IF(AA25=" "," ",IF('c-form'!AE15="",AA25,AA25+'c-form'!AE15))</f>
        <v>338.21500000000003</v>
      </c>
      <c r="AC25" s="58">
        <f>IF(AA25=" "," ",IF('c-form'!AE15="",AM25,AM25+'c-form'!AE15))</f>
        <v>338.22</v>
      </c>
      <c r="AD25" s="150">
        <f t="shared" si="5"/>
        <v>1</v>
      </c>
      <c r="AE25" s="58">
        <f>IF(AA25=" "," ",IF('c-form'!AE15="",AN25,AN25+'c-form'!AE15))</f>
        <v>338.21000000000004</v>
      </c>
      <c r="AF25" s="150">
        <f t="shared" si="6"/>
        <v>13</v>
      </c>
      <c r="AM25" s="85">
        <f t="shared" si="2"/>
        <v>0.62</v>
      </c>
      <c r="AN25" s="94">
        <f t="shared" si="4"/>
        <v>0.61</v>
      </c>
    </row>
    <row r="26" spans="1:40" ht="22.5" customHeight="1">
      <c r="A26" s="93"/>
      <c r="B26" s="145">
        <v>15</v>
      </c>
      <c r="C26" s="264">
        <v>0.6</v>
      </c>
      <c r="D26" s="264">
        <v>0.6</v>
      </c>
      <c r="E26" s="264">
        <v>0.6</v>
      </c>
      <c r="F26" s="264">
        <v>0.6</v>
      </c>
      <c r="G26" s="264">
        <v>0.6</v>
      </c>
      <c r="H26" s="264">
        <v>0.6</v>
      </c>
      <c r="I26" s="264">
        <v>0.6</v>
      </c>
      <c r="J26" s="264">
        <v>0.6</v>
      </c>
      <c r="K26" s="264">
        <v>0.6</v>
      </c>
      <c r="L26" s="264">
        <v>0.6</v>
      </c>
      <c r="M26" s="264">
        <v>0.6</v>
      </c>
      <c r="N26" s="264">
        <v>0.6</v>
      </c>
      <c r="O26" s="264">
        <v>0.59</v>
      </c>
      <c r="P26" s="264">
        <v>0.59</v>
      </c>
      <c r="Q26" s="264">
        <v>0.59</v>
      </c>
      <c r="R26" s="264">
        <v>0.59</v>
      </c>
      <c r="S26" s="264">
        <v>0.59</v>
      </c>
      <c r="T26" s="264">
        <v>0.59</v>
      </c>
      <c r="U26" s="264">
        <v>0.59</v>
      </c>
      <c r="V26" s="264">
        <v>0.59</v>
      </c>
      <c r="W26" s="264">
        <v>0.59</v>
      </c>
      <c r="X26" s="264">
        <v>0.59</v>
      </c>
      <c r="Y26" s="264">
        <v>0.59</v>
      </c>
      <c r="Z26" s="264">
        <v>0.59</v>
      </c>
      <c r="AA26" s="96">
        <f t="shared" si="0"/>
        <v>0.59499999999999986</v>
      </c>
      <c r="AB26" s="58">
        <f>IF(AA26=" "," ",IF('c-form'!AE15="",AA26,AA26+'c-form'!AE15))</f>
        <v>338.19500000000005</v>
      </c>
      <c r="AC26" s="58">
        <f>IF(AA26=" "," ",IF('c-form'!AE15="",AM26,AM26+'c-form'!AE15))</f>
        <v>338.20000000000005</v>
      </c>
      <c r="AD26" s="150">
        <f t="shared" si="5"/>
        <v>1</v>
      </c>
      <c r="AE26" s="58">
        <f>IF(AA26=" "," ",IF('c-form'!AE15="",AN26,AN26+'c-form'!AE15))</f>
        <v>338.19</v>
      </c>
      <c r="AF26" s="150">
        <f t="shared" si="6"/>
        <v>13</v>
      </c>
      <c r="AM26" s="85">
        <f t="shared" si="2"/>
        <v>0.6</v>
      </c>
      <c r="AN26" s="94">
        <f t="shared" si="4"/>
        <v>0.59</v>
      </c>
    </row>
    <row r="27" spans="1:40" ht="22.5" customHeight="1">
      <c r="A27" s="93"/>
      <c r="B27" s="145">
        <v>16</v>
      </c>
      <c r="C27" s="264">
        <v>0.57999999999999996</v>
      </c>
      <c r="D27" s="264">
        <v>0.57999999999999996</v>
      </c>
      <c r="E27" s="264">
        <v>0.57999999999999996</v>
      </c>
      <c r="F27" s="264">
        <v>0.57999999999999996</v>
      </c>
      <c r="G27" s="264">
        <v>0.57999999999999996</v>
      </c>
      <c r="H27" s="264">
        <v>0.57999999999999996</v>
      </c>
      <c r="I27" s="264">
        <v>0.57999999999999996</v>
      </c>
      <c r="J27" s="264">
        <v>0.57999999999999996</v>
      </c>
      <c r="K27" s="264">
        <v>0.57999999999999996</v>
      </c>
      <c r="L27" s="264">
        <v>0.57999999999999996</v>
      </c>
      <c r="M27" s="264">
        <v>0.57999999999999996</v>
      </c>
      <c r="N27" s="264">
        <v>0.57999999999999996</v>
      </c>
      <c r="O27" s="264">
        <v>0.57999999999999996</v>
      </c>
      <c r="P27" s="264">
        <v>0.57999999999999996</v>
      </c>
      <c r="Q27" s="264">
        <v>0.57999999999999996</v>
      </c>
      <c r="R27" s="264">
        <v>0.57999999999999996</v>
      </c>
      <c r="S27" s="264">
        <v>0.57999999999999996</v>
      </c>
      <c r="T27" s="264">
        <v>0.57999999999999996</v>
      </c>
      <c r="U27" s="264">
        <v>0.57999999999999996</v>
      </c>
      <c r="V27" s="264">
        <v>0.57999999999999996</v>
      </c>
      <c r="W27" s="264">
        <v>0.57999999999999996</v>
      </c>
      <c r="X27" s="264">
        <v>0.57999999999999996</v>
      </c>
      <c r="Y27" s="264">
        <v>0.57999999999999996</v>
      </c>
      <c r="Z27" s="264">
        <v>0.57999999999999996</v>
      </c>
      <c r="AA27" s="96">
        <f t="shared" si="0"/>
        <v>0.57999999999999996</v>
      </c>
      <c r="AB27" s="58">
        <f>IF(AA27=" "," ",IF('c-form'!AE15="",AA27,AA27+'c-form'!AE15))</f>
        <v>338.18</v>
      </c>
      <c r="AC27" s="58">
        <f>IF(AA27=" "," ",IF('c-form'!AE15="",AM27,AM27+'c-form'!AE15))</f>
        <v>338.18</v>
      </c>
      <c r="AD27" s="150">
        <f t="shared" si="5"/>
        <v>1</v>
      </c>
      <c r="AE27" s="58">
        <f>IF(AA27=" "," ",IF('c-form'!AE15="",AN27,AN27+'c-form'!AE15))</f>
        <v>338.18</v>
      </c>
      <c r="AF27" s="150">
        <f t="shared" si="6"/>
        <v>1</v>
      </c>
      <c r="AM27" s="85">
        <f t="shared" si="2"/>
        <v>0.57999999999999996</v>
      </c>
      <c r="AN27" s="94">
        <f t="shared" si="4"/>
        <v>0.57999999999999996</v>
      </c>
    </row>
    <row r="28" spans="1:40" ht="22.5" customHeight="1">
      <c r="A28" s="93"/>
      <c r="B28" s="145">
        <v>17</v>
      </c>
      <c r="C28" s="264">
        <v>0.57999999999999996</v>
      </c>
      <c r="D28" s="264">
        <v>0.57999999999999996</v>
      </c>
      <c r="E28" s="264">
        <v>0.57999999999999996</v>
      </c>
      <c r="F28" s="264">
        <v>0.57999999999999996</v>
      </c>
      <c r="G28" s="264">
        <v>0.57999999999999996</v>
      </c>
      <c r="H28" s="264">
        <v>0.57999999999999996</v>
      </c>
      <c r="I28" s="264">
        <v>0.57999999999999996</v>
      </c>
      <c r="J28" s="264">
        <v>0.57999999999999996</v>
      </c>
      <c r="K28" s="264">
        <v>0.57999999999999996</v>
      </c>
      <c r="L28" s="264">
        <v>0.57999999999999996</v>
      </c>
      <c r="M28" s="264">
        <v>0.57999999999999996</v>
      </c>
      <c r="N28" s="264">
        <v>0.57999999999999996</v>
      </c>
      <c r="O28" s="264">
        <v>0.57999999999999996</v>
      </c>
      <c r="P28" s="264">
        <v>0.57999999999999996</v>
      </c>
      <c r="Q28" s="264">
        <v>0.57999999999999996</v>
      </c>
      <c r="R28" s="264">
        <v>0.57999999999999996</v>
      </c>
      <c r="S28" s="264">
        <v>0.57999999999999996</v>
      </c>
      <c r="T28" s="264">
        <v>0.57999999999999996</v>
      </c>
      <c r="U28" s="264">
        <v>0.59</v>
      </c>
      <c r="V28" s="264">
        <v>0.59</v>
      </c>
      <c r="W28" s="264">
        <v>0.6</v>
      </c>
      <c r="X28" s="264">
        <v>0.6</v>
      </c>
      <c r="Y28" s="264">
        <v>0.61</v>
      </c>
      <c r="Z28" s="264">
        <v>0.62</v>
      </c>
      <c r="AA28" s="96">
        <f t="shared" si="0"/>
        <v>0.58541666666666659</v>
      </c>
      <c r="AB28" s="58">
        <f>IF(AA28=" "," ",IF('c-form'!AE15="",AA28,AA28+'c-form'!AE15))</f>
        <v>338.1854166666667</v>
      </c>
      <c r="AC28" s="58">
        <f>IF(AA28=" "," ",IF('c-form'!AE15="",AM28,AM28+'c-form'!AE15))</f>
        <v>338.22</v>
      </c>
      <c r="AD28" s="150">
        <f t="shared" si="5"/>
        <v>24</v>
      </c>
      <c r="AE28" s="58">
        <f>IF(AA28=" "," ",IF('c-form'!AE15="",AN28,AN28+'c-form'!AE15))</f>
        <v>338.18</v>
      </c>
      <c r="AF28" s="150">
        <f t="shared" si="6"/>
        <v>1</v>
      </c>
      <c r="AM28" s="85">
        <f t="shared" si="2"/>
        <v>0.62</v>
      </c>
      <c r="AN28" s="94">
        <f t="shared" si="4"/>
        <v>0.57999999999999996</v>
      </c>
    </row>
    <row r="29" spans="1:40" ht="22.5" customHeight="1">
      <c r="A29" s="93"/>
      <c r="B29" s="145">
        <v>18</v>
      </c>
      <c r="C29" s="264">
        <v>0.63</v>
      </c>
      <c r="D29" s="264">
        <v>0.64</v>
      </c>
      <c r="E29" s="264">
        <v>0.65</v>
      </c>
      <c r="F29" s="264">
        <v>0.66</v>
      </c>
      <c r="G29" s="264">
        <v>0.67</v>
      </c>
      <c r="H29" s="264">
        <v>0.68</v>
      </c>
      <c r="I29" s="264">
        <v>0.71</v>
      </c>
      <c r="J29" s="264">
        <v>0.74</v>
      </c>
      <c r="K29" s="264">
        <v>0.79</v>
      </c>
      <c r="L29" s="264">
        <v>0.83</v>
      </c>
      <c r="M29" s="264">
        <v>0.92</v>
      </c>
      <c r="N29" s="264">
        <v>1.1000000000000001</v>
      </c>
      <c r="O29" s="264">
        <v>1.28</v>
      </c>
      <c r="P29" s="264">
        <v>1.5</v>
      </c>
      <c r="Q29" s="264">
        <v>1.67</v>
      </c>
      <c r="R29" s="264">
        <v>1.78</v>
      </c>
      <c r="S29" s="264">
        <v>1.88</v>
      </c>
      <c r="T29" s="264">
        <v>1.98</v>
      </c>
      <c r="U29" s="264">
        <v>2.1</v>
      </c>
      <c r="V29" s="264">
        <v>2.17</v>
      </c>
      <c r="W29" s="264">
        <v>2.25</v>
      </c>
      <c r="X29" s="264">
        <v>2.31</v>
      </c>
      <c r="Y29" s="264">
        <v>2.36</v>
      </c>
      <c r="Z29" s="264">
        <v>2.41</v>
      </c>
      <c r="AA29" s="96">
        <f t="shared" si="0"/>
        <v>1.3629166666666668</v>
      </c>
      <c r="AB29" s="58">
        <f>IF(AA29=" "," ",IF('c-form'!AE15="",AA29,AA29+'c-form'!AE15))</f>
        <v>338.96291666666667</v>
      </c>
      <c r="AC29" s="58">
        <f>IF(AA29=" "," ",IF('c-form'!AE15="",AM29,AM29+'c-form'!AE15))</f>
        <v>340.01000000000005</v>
      </c>
      <c r="AD29" s="150">
        <f t="shared" si="5"/>
        <v>24</v>
      </c>
      <c r="AE29" s="58">
        <f>IF(AA29=" "," ",IF('c-form'!AE15="",AN29,AN29+'c-form'!AE15))</f>
        <v>338.23</v>
      </c>
      <c r="AF29" s="150">
        <f t="shared" si="6"/>
        <v>1</v>
      </c>
      <c r="AM29" s="85">
        <f>IF(AB29=" "," ",MAX(C29:Z29))</f>
        <v>2.41</v>
      </c>
      <c r="AN29" s="94">
        <f t="shared" si="4"/>
        <v>0.63</v>
      </c>
    </row>
    <row r="30" spans="1:40" ht="22.5" customHeight="1">
      <c r="A30" s="93"/>
      <c r="B30" s="145">
        <v>19</v>
      </c>
      <c r="C30" s="264">
        <v>2.4500000000000002</v>
      </c>
      <c r="D30" s="264">
        <v>2.4900000000000002</v>
      </c>
      <c r="E30" s="264">
        <v>2.52</v>
      </c>
      <c r="F30" s="264">
        <v>2.54</v>
      </c>
      <c r="G30" s="264">
        <v>2.56</v>
      </c>
      <c r="H30" s="264">
        <v>2.58</v>
      </c>
      <c r="I30" s="264">
        <v>2.6</v>
      </c>
      <c r="J30" s="264">
        <v>2.61</v>
      </c>
      <c r="K30" s="264">
        <v>2.62</v>
      </c>
      <c r="L30" s="264">
        <v>2.63</v>
      </c>
      <c r="M30" s="264">
        <v>2.63</v>
      </c>
      <c r="N30" s="264">
        <v>2.63</v>
      </c>
      <c r="O30" s="264">
        <v>2.63</v>
      </c>
      <c r="P30" s="264">
        <v>2.63</v>
      </c>
      <c r="Q30" s="264">
        <v>2.62</v>
      </c>
      <c r="R30" s="264">
        <v>2.61</v>
      </c>
      <c r="S30" s="264">
        <v>2.59</v>
      </c>
      <c r="T30" s="264">
        <v>2.57</v>
      </c>
      <c r="U30" s="264">
        <v>2.5499999999999998</v>
      </c>
      <c r="V30" s="264">
        <v>2.52</v>
      </c>
      <c r="W30" s="264">
        <v>2.4900000000000002</v>
      </c>
      <c r="X30" s="264">
        <v>2.4500000000000002</v>
      </c>
      <c r="Y30" s="264">
        <v>2.41</v>
      </c>
      <c r="Z30" s="264">
        <v>2.37</v>
      </c>
      <c r="AA30" s="96">
        <f t="shared" si="0"/>
        <v>2.5541666666666667</v>
      </c>
      <c r="AB30" s="58">
        <f>IF(AA30=" "," ",IF('c-form'!AE15="",AA30,AA30+'c-form'!AE15))</f>
        <v>340.1541666666667</v>
      </c>
      <c r="AC30" s="58">
        <f>IF(AA30=" "," ",IF('c-form'!AE15="",AM30,AM30+'c-form'!AE15))</f>
        <v>340.23</v>
      </c>
      <c r="AD30" s="150">
        <f t="shared" si="5"/>
        <v>10</v>
      </c>
      <c r="AE30" s="58">
        <f>IF(AA30=" "," ",IF('c-form'!AE15="",AN30,AN30+'c-form'!AE15))</f>
        <v>339.97</v>
      </c>
      <c r="AF30" s="150">
        <f t="shared" si="6"/>
        <v>24</v>
      </c>
      <c r="AM30" s="85">
        <f t="shared" si="2"/>
        <v>2.63</v>
      </c>
      <c r="AN30" s="94">
        <f t="shared" si="4"/>
        <v>2.37</v>
      </c>
    </row>
    <row r="31" spans="1:40" ht="22.5" customHeight="1">
      <c r="A31" s="93"/>
      <c r="B31" s="145">
        <v>20</v>
      </c>
      <c r="C31" s="264">
        <v>2.33</v>
      </c>
      <c r="D31" s="264">
        <v>2.2799999999999998</v>
      </c>
      <c r="E31" s="264">
        <v>2.23</v>
      </c>
      <c r="F31" s="264">
        <v>2.19</v>
      </c>
      <c r="G31" s="264">
        <v>2.16</v>
      </c>
      <c r="H31" s="264">
        <v>2.12</v>
      </c>
      <c r="I31" s="264">
        <v>2.1</v>
      </c>
      <c r="J31" s="264">
        <v>2.0699999999999998</v>
      </c>
      <c r="K31" s="264">
        <v>2.04</v>
      </c>
      <c r="L31" s="264">
        <v>2.0099999999999998</v>
      </c>
      <c r="M31" s="264">
        <v>1.99</v>
      </c>
      <c r="N31" s="264">
        <v>1.97</v>
      </c>
      <c r="O31" s="264">
        <v>1.95</v>
      </c>
      <c r="P31" s="264">
        <v>1.93</v>
      </c>
      <c r="Q31" s="264">
        <v>1.91</v>
      </c>
      <c r="R31" s="264">
        <v>1.89</v>
      </c>
      <c r="S31" s="264">
        <v>1.87</v>
      </c>
      <c r="T31" s="264">
        <v>1.85</v>
      </c>
      <c r="U31" s="264">
        <v>1.84</v>
      </c>
      <c r="V31" s="264">
        <v>1.83</v>
      </c>
      <c r="W31" s="264">
        <v>1.81</v>
      </c>
      <c r="X31" s="264">
        <v>1.8</v>
      </c>
      <c r="Y31" s="264">
        <v>1.79</v>
      </c>
      <c r="Z31" s="264">
        <v>1.78</v>
      </c>
      <c r="AA31" s="96">
        <f t="shared" si="0"/>
        <v>1.9891666666666661</v>
      </c>
      <c r="AB31" s="58">
        <f>IF(AA31=" "," ",IF('c-form'!AE15="",AA31,AA31+'c-form'!AE15))</f>
        <v>339.5891666666667</v>
      </c>
      <c r="AC31" s="58">
        <f>IF(AA31=" "," ",IF('c-form'!AE15="",AM31,AM31+'c-form'!AE15))</f>
        <v>339.93</v>
      </c>
      <c r="AD31" s="150">
        <f t="shared" si="5"/>
        <v>1</v>
      </c>
      <c r="AE31" s="58">
        <f>IF(AA31=" "," ",IF('c-form'!AE15="",AN31,AN31+'c-form'!AE15))</f>
        <v>339.38</v>
      </c>
      <c r="AF31" s="150">
        <f t="shared" si="6"/>
        <v>24</v>
      </c>
      <c r="AM31" s="85">
        <f t="shared" si="2"/>
        <v>2.33</v>
      </c>
      <c r="AN31" s="94">
        <f t="shared" si="4"/>
        <v>1.78</v>
      </c>
    </row>
    <row r="32" spans="1:40" ht="22.5" customHeight="1">
      <c r="A32" s="93"/>
      <c r="B32" s="146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39"/>
      <c r="AC32" s="139"/>
      <c r="AD32" s="151"/>
      <c r="AE32" s="139"/>
      <c r="AF32" s="151"/>
      <c r="AM32" s="85">
        <f t="shared" si="2"/>
        <v>0</v>
      </c>
      <c r="AN32" s="94">
        <f t="shared" si="4"/>
        <v>0</v>
      </c>
    </row>
    <row r="33" spans="1:40" ht="22.5" customHeight="1">
      <c r="A33" s="93"/>
      <c r="B33" s="145">
        <v>21</v>
      </c>
      <c r="C33" s="264">
        <v>1.77</v>
      </c>
      <c r="D33" s="264">
        <v>1.76</v>
      </c>
      <c r="E33" s="264">
        <v>1.75</v>
      </c>
      <c r="F33" s="264">
        <v>1.74</v>
      </c>
      <c r="G33" s="264">
        <v>1.73</v>
      </c>
      <c r="H33" s="264">
        <v>1.72</v>
      </c>
      <c r="I33" s="264">
        <v>1.71</v>
      </c>
      <c r="J33" s="264">
        <v>1.71</v>
      </c>
      <c r="K33" s="264">
        <v>1.7</v>
      </c>
      <c r="L33" s="264">
        <v>1.7</v>
      </c>
      <c r="M33" s="264">
        <v>1.7</v>
      </c>
      <c r="N33" s="264">
        <v>1.7</v>
      </c>
      <c r="O33" s="264">
        <v>1.7</v>
      </c>
      <c r="P33" s="264">
        <v>1.7</v>
      </c>
      <c r="Q33" s="264">
        <v>1.7</v>
      </c>
      <c r="R33" s="264">
        <v>1.7</v>
      </c>
      <c r="S33" s="264">
        <v>1.7</v>
      </c>
      <c r="T33" s="264">
        <v>1.71</v>
      </c>
      <c r="U33" s="264">
        <v>1.71</v>
      </c>
      <c r="V33" s="264">
        <v>1.72</v>
      </c>
      <c r="W33" s="264">
        <v>1.73</v>
      </c>
      <c r="X33" s="264">
        <v>1.75</v>
      </c>
      <c r="Y33" s="264">
        <v>1.77</v>
      </c>
      <c r="Z33" s="264">
        <v>1.78</v>
      </c>
      <c r="AA33" s="96">
        <f t="shared" si="0"/>
        <v>1.7233333333333329</v>
      </c>
      <c r="AB33" s="58">
        <f>IF(AA33=" "," ",IF('c-form'!AE15="",AA33,AA33+'c-form'!AE15))</f>
        <v>339.32333333333338</v>
      </c>
      <c r="AC33" s="58">
        <f>IF(AA33=" "," ",IF('c-form'!AE15="",AM33,AM33+'c-form'!AE15))</f>
        <v>339.38</v>
      </c>
      <c r="AD33" s="150">
        <f t="shared" ref="AD33:AD41" si="7">IF(AB33=" "," ",MATCH(AM33,C33:Z33,0))</f>
        <v>24</v>
      </c>
      <c r="AE33" s="58">
        <f>IF(AA33=" "," ",IF('c-form'!AE15="",AN33,AN33+'c-form'!AE15))</f>
        <v>339.3</v>
      </c>
      <c r="AF33" s="150">
        <f t="shared" ref="AF33:AF41" si="8">IF(AD33=" "," ",MATCH(AN33,C33:Z33,0))</f>
        <v>9</v>
      </c>
      <c r="AM33" s="85">
        <f t="shared" si="2"/>
        <v>1.78</v>
      </c>
      <c r="AN33" s="94">
        <f t="shared" si="4"/>
        <v>1.7</v>
      </c>
    </row>
    <row r="34" spans="1:40" ht="22.5" customHeight="1">
      <c r="A34" s="93"/>
      <c r="B34" s="145">
        <v>22</v>
      </c>
      <c r="C34" s="264">
        <v>1.8</v>
      </c>
      <c r="D34" s="264">
        <v>1.82</v>
      </c>
      <c r="E34" s="264">
        <v>1.85</v>
      </c>
      <c r="F34" s="264">
        <v>1.88</v>
      </c>
      <c r="G34" s="264">
        <v>1.9</v>
      </c>
      <c r="H34" s="264">
        <v>1.92</v>
      </c>
      <c r="I34" s="264">
        <v>1.93</v>
      </c>
      <c r="J34" s="264">
        <v>1.97</v>
      </c>
      <c r="K34" s="264">
        <v>2</v>
      </c>
      <c r="L34" s="264">
        <v>2.0299999999999998</v>
      </c>
      <c r="M34" s="264">
        <v>2.04</v>
      </c>
      <c r="N34" s="264">
        <v>2.06</v>
      </c>
      <c r="O34" s="264">
        <v>2.08</v>
      </c>
      <c r="P34" s="264">
        <v>2.1</v>
      </c>
      <c r="Q34" s="264">
        <v>2.11</v>
      </c>
      <c r="R34" s="264">
        <v>2.12</v>
      </c>
      <c r="S34" s="264">
        <v>2.13</v>
      </c>
      <c r="T34" s="264">
        <v>2.13</v>
      </c>
      <c r="U34" s="264">
        <v>2.13</v>
      </c>
      <c r="V34" s="264">
        <v>2.13</v>
      </c>
      <c r="W34" s="264">
        <v>2.13</v>
      </c>
      <c r="X34" s="264">
        <v>2.13</v>
      </c>
      <c r="Y34" s="264">
        <v>2.12</v>
      </c>
      <c r="Z34" s="264">
        <v>2.11</v>
      </c>
      <c r="AA34" s="96">
        <f t="shared" si="0"/>
        <v>2.0258333333333338</v>
      </c>
      <c r="AB34" s="58">
        <f>IF(AA34=" "," ",IF('c-form'!AE15="",AA34,AA34+'c-form'!AE15))</f>
        <v>339.62583333333333</v>
      </c>
      <c r="AC34" s="58">
        <f>IF(AA34=" "," ",IF('c-form'!AE15="",AM34,AM34+'c-form'!AE15))</f>
        <v>339.73</v>
      </c>
      <c r="AD34" s="150">
        <f t="shared" si="7"/>
        <v>17</v>
      </c>
      <c r="AE34" s="58">
        <f>IF(AA34=" "," ",IF('c-form'!AE15="",AN34,AN34+'c-form'!AE15))</f>
        <v>339.40000000000003</v>
      </c>
      <c r="AF34" s="150">
        <f t="shared" si="8"/>
        <v>1</v>
      </c>
      <c r="AM34" s="85">
        <f t="shared" si="2"/>
        <v>2.13</v>
      </c>
      <c r="AN34" s="94">
        <f t="shared" si="4"/>
        <v>1.8</v>
      </c>
    </row>
    <row r="35" spans="1:40" ht="22.5" customHeight="1">
      <c r="A35" s="93"/>
      <c r="B35" s="145">
        <v>23</v>
      </c>
      <c r="C35" s="264">
        <v>2.09</v>
      </c>
      <c r="D35" s="264">
        <v>2.0699999999999998</v>
      </c>
      <c r="E35" s="264">
        <v>2.0499999999999998</v>
      </c>
      <c r="F35" s="264">
        <v>2.0299999999999998</v>
      </c>
      <c r="G35" s="264">
        <v>2</v>
      </c>
      <c r="H35" s="264">
        <v>1.97</v>
      </c>
      <c r="I35" s="264">
        <v>1.94</v>
      </c>
      <c r="J35" s="264">
        <v>1.91</v>
      </c>
      <c r="K35" s="264">
        <v>1.88</v>
      </c>
      <c r="L35" s="264">
        <v>1.85</v>
      </c>
      <c r="M35" s="264">
        <v>1.81</v>
      </c>
      <c r="N35" s="264">
        <v>1.77</v>
      </c>
      <c r="O35" s="264">
        <v>1.73</v>
      </c>
      <c r="P35" s="264">
        <v>1.69</v>
      </c>
      <c r="Q35" s="264">
        <v>1.65</v>
      </c>
      <c r="R35" s="264">
        <v>1.62</v>
      </c>
      <c r="S35" s="264">
        <v>1.59</v>
      </c>
      <c r="T35" s="264">
        <v>1.57</v>
      </c>
      <c r="U35" s="264">
        <v>1.55</v>
      </c>
      <c r="V35" s="264">
        <v>1.53</v>
      </c>
      <c r="W35" s="264">
        <v>1.52</v>
      </c>
      <c r="X35" s="264">
        <v>1.51</v>
      </c>
      <c r="Y35" s="264">
        <v>1.5</v>
      </c>
      <c r="Z35" s="264">
        <v>1.5</v>
      </c>
      <c r="AA35" s="96">
        <f t="shared" si="0"/>
        <v>1.7637499999999999</v>
      </c>
      <c r="AB35" s="58">
        <f>IF(AA35=" "," ",IF('c-form'!AE15="",AA35,AA35+'c-form'!AE15))</f>
        <v>339.36375000000004</v>
      </c>
      <c r="AC35" s="58">
        <f>IF(AA35=" "," ",IF('c-form'!AE15="",AM35,AM35+'c-form'!AE15))</f>
        <v>339.69</v>
      </c>
      <c r="AD35" s="150">
        <f t="shared" si="7"/>
        <v>1</v>
      </c>
      <c r="AE35" s="58">
        <f>IF(AA35=" "," ",IF('c-form'!AE15="",AN35,AN35+'c-form'!AE15))</f>
        <v>339.1</v>
      </c>
      <c r="AF35" s="150">
        <f t="shared" si="8"/>
        <v>23</v>
      </c>
      <c r="AM35" s="85">
        <f t="shared" si="2"/>
        <v>2.09</v>
      </c>
      <c r="AN35" s="94">
        <f t="shared" si="4"/>
        <v>1.5</v>
      </c>
    </row>
    <row r="36" spans="1:40" ht="22.5" customHeight="1">
      <c r="A36" s="93"/>
      <c r="B36" s="145">
        <v>24</v>
      </c>
      <c r="C36" s="264">
        <v>1.5</v>
      </c>
      <c r="D36" s="264">
        <v>1.5</v>
      </c>
      <c r="E36" s="264">
        <v>1.51</v>
      </c>
      <c r="F36" s="264">
        <v>1.52</v>
      </c>
      <c r="G36" s="264">
        <v>1.53</v>
      </c>
      <c r="H36" s="264">
        <v>1.54</v>
      </c>
      <c r="I36" s="264">
        <v>1.56</v>
      </c>
      <c r="J36" s="264">
        <v>1.58</v>
      </c>
      <c r="K36" s="264">
        <v>1.59</v>
      </c>
      <c r="L36" s="264">
        <v>1.6</v>
      </c>
      <c r="M36" s="264">
        <v>1.61</v>
      </c>
      <c r="N36" s="264">
        <v>1.62</v>
      </c>
      <c r="O36" s="264">
        <v>1.64</v>
      </c>
      <c r="P36" s="264">
        <v>1.65</v>
      </c>
      <c r="Q36" s="264">
        <v>1.67</v>
      </c>
      <c r="R36" s="264">
        <v>1.67</v>
      </c>
      <c r="S36" s="264">
        <v>1.68</v>
      </c>
      <c r="T36" s="264">
        <v>1.68</v>
      </c>
      <c r="U36" s="264">
        <v>1.68</v>
      </c>
      <c r="V36" s="264">
        <v>1.68</v>
      </c>
      <c r="W36" s="264">
        <v>1.67</v>
      </c>
      <c r="X36" s="264">
        <v>1.66</v>
      </c>
      <c r="Y36" s="264">
        <v>1.65</v>
      </c>
      <c r="Z36" s="264">
        <v>1.64</v>
      </c>
      <c r="AA36" s="96">
        <f t="shared" si="0"/>
        <v>1.6095833333333331</v>
      </c>
      <c r="AB36" s="58">
        <f>IF(AA36=" "," ",IF('c-form'!AE15="",AA36,AA36+'c-form'!AE15))</f>
        <v>339.20958333333334</v>
      </c>
      <c r="AC36" s="58">
        <f>IF(AA36=" "," ",IF('c-form'!AE15="",AM36,AM36+'c-form'!AE15))</f>
        <v>339.28000000000003</v>
      </c>
      <c r="AD36" s="150">
        <f t="shared" si="7"/>
        <v>17</v>
      </c>
      <c r="AE36" s="58">
        <f>IF(AA36=" "," ",IF('c-form'!AE15="",AN36,AN36+'c-form'!AE15))</f>
        <v>339.1</v>
      </c>
      <c r="AF36" s="150">
        <f t="shared" si="8"/>
        <v>1</v>
      </c>
      <c r="AM36" s="85">
        <f t="shared" si="2"/>
        <v>1.68</v>
      </c>
      <c r="AN36" s="94">
        <f t="shared" si="4"/>
        <v>1.5</v>
      </c>
    </row>
    <row r="37" spans="1:40" ht="22.5" customHeight="1">
      <c r="A37" s="93"/>
      <c r="B37" s="145">
        <v>25</v>
      </c>
      <c r="C37" s="264">
        <v>1.61</v>
      </c>
      <c r="D37" s="264">
        <v>1.59</v>
      </c>
      <c r="E37" s="264">
        <v>1.57</v>
      </c>
      <c r="F37" s="264">
        <v>1.55</v>
      </c>
      <c r="G37" s="264">
        <v>1.53</v>
      </c>
      <c r="H37" s="264">
        <v>1.51</v>
      </c>
      <c r="I37" s="264">
        <v>1.5</v>
      </c>
      <c r="J37" s="264">
        <v>1.49</v>
      </c>
      <c r="K37" s="264">
        <v>1.48</v>
      </c>
      <c r="L37" s="264">
        <v>1.46</v>
      </c>
      <c r="M37" s="264">
        <v>1.45</v>
      </c>
      <c r="N37" s="264">
        <v>1.44</v>
      </c>
      <c r="O37" s="264">
        <v>1.43</v>
      </c>
      <c r="P37" s="264">
        <v>1.42</v>
      </c>
      <c r="Q37" s="264">
        <v>1.41</v>
      </c>
      <c r="R37" s="264">
        <v>1.4</v>
      </c>
      <c r="S37" s="264">
        <v>1.39</v>
      </c>
      <c r="T37" s="264">
        <v>1.38</v>
      </c>
      <c r="U37" s="264">
        <v>1.37</v>
      </c>
      <c r="V37" s="264">
        <v>1.37</v>
      </c>
      <c r="W37" s="264">
        <v>1.36</v>
      </c>
      <c r="X37" s="264">
        <v>1.36</v>
      </c>
      <c r="Y37" s="264">
        <v>1.35</v>
      </c>
      <c r="Z37" s="264">
        <v>1.35</v>
      </c>
      <c r="AA37" s="96">
        <f t="shared" si="0"/>
        <v>1.4487500000000002</v>
      </c>
      <c r="AB37" s="58">
        <f>IF(AA37=" "," ",IF('c-form'!AE15="",AA37,AA37+'c-form'!AE15))</f>
        <v>339.04875000000004</v>
      </c>
      <c r="AC37" s="58">
        <f>IF(AA37=" "," ",IF('c-form'!AE15="",AM37,AM37+'c-form'!AE15))</f>
        <v>339.21000000000004</v>
      </c>
      <c r="AD37" s="150">
        <f t="shared" si="7"/>
        <v>1</v>
      </c>
      <c r="AE37" s="58">
        <f>IF(AA37=" "," ",IF('c-form'!AE15="",AN37,AN37+'c-form'!AE15))</f>
        <v>338.95000000000005</v>
      </c>
      <c r="AF37" s="150">
        <f t="shared" si="8"/>
        <v>23</v>
      </c>
      <c r="AM37" s="85">
        <f t="shared" si="2"/>
        <v>1.61</v>
      </c>
      <c r="AN37" s="94">
        <f t="shared" si="4"/>
        <v>1.35</v>
      </c>
    </row>
    <row r="38" spans="1:40" ht="22.5" customHeight="1">
      <c r="A38" s="93"/>
      <c r="B38" s="145">
        <v>26</v>
      </c>
      <c r="C38" s="264">
        <v>1.34</v>
      </c>
      <c r="D38" s="264">
        <v>1.34</v>
      </c>
      <c r="E38" s="264">
        <v>1.33</v>
      </c>
      <c r="F38" s="264">
        <v>1.33</v>
      </c>
      <c r="G38" s="264">
        <v>1.32</v>
      </c>
      <c r="H38" s="264">
        <v>1.31</v>
      </c>
      <c r="I38" s="264">
        <v>1.31</v>
      </c>
      <c r="J38" s="264">
        <v>1.3</v>
      </c>
      <c r="K38" s="264">
        <v>1.3</v>
      </c>
      <c r="L38" s="264">
        <v>1.29</v>
      </c>
      <c r="M38" s="264">
        <v>1.29</v>
      </c>
      <c r="N38" s="264">
        <v>1.28</v>
      </c>
      <c r="O38" s="264">
        <v>1.27</v>
      </c>
      <c r="P38" s="264">
        <v>1.27</v>
      </c>
      <c r="Q38" s="264">
        <v>1.26</v>
      </c>
      <c r="R38" s="264">
        <v>1.26</v>
      </c>
      <c r="S38" s="264">
        <v>1.25</v>
      </c>
      <c r="T38" s="264">
        <v>1.25</v>
      </c>
      <c r="U38" s="264">
        <v>1.24</v>
      </c>
      <c r="V38" s="264">
        <v>1.23</v>
      </c>
      <c r="W38" s="264">
        <v>1.23</v>
      </c>
      <c r="X38" s="264">
        <v>1.22</v>
      </c>
      <c r="Y38" s="264">
        <v>1.21</v>
      </c>
      <c r="Z38" s="264">
        <v>1.21</v>
      </c>
      <c r="AA38" s="96">
        <f t="shared" si="0"/>
        <v>1.2766666666666668</v>
      </c>
      <c r="AB38" s="58">
        <f>IF(AA38=" "," ",IF('c-form'!AE15="",AA38,AA38+'c-form'!AE15))</f>
        <v>338.87666666666667</v>
      </c>
      <c r="AC38" s="58">
        <f>IF(AA38=" "," ",IF('c-form'!AE15="",AM38,AM38+'c-form'!AE15))</f>
        <v>338.94</v>
      </c>
      <c r="AD38" s="150">
        <f t="shared" si="7"/>
        <v>1</v>
      </c>
      <c r="AE38" s="58">
        <f>IF(AA38=" "," ",IF('c-form'!AE15="",AN38,AN38+'c-form'!AE15))</f>
        <v>338.81</v>
      </c>
      <c r="AF38" s="150">
        <f t="shared" si="8"/>
        <v>23</v>
      </c>
      <c r="AM38" s="85">
        <f t="shared" si="2"/>
        <v>1.34</v>
      </c>
      <c r="AN38" s="94">
        <f t="shared" si="4"/>
        <v>1.21</v>
      </c>
    </row>
    <row r="39" spans="1:40" ht="22.5" customHeight="1">
      <c r="A39" s="93"/>
      <c r="B39" s="145">
        <v>27</v>
      </c>
      <c r="C39" s="264">
        <v>1.21</v>
      </c>
      <c r="D39" s="264">
        <v>1.21</v>
      </c>
      <c r="E39" s="264">
        <v>1.2</v>
      </c>
      <c r="F39" s="264">
        <v>1.2</v>
      </c>
      <c r="G39" s="264">
        <v>1.2</v>
      </c>
      <c r="H39" s="264">
        <v>1.2</v>
      </c>
      <c r="I39" s="264">
        <v>1.2</v>
      </c>
      <c r="J39" s="264">
        <v>1.2</v>
      </c>
      <c r="K39" s="264">
        <v>1.19</v>
      </c>
      <c r="L39" s="264">
        <v>1.19</v>
      </c>
      <c r="M39" s="264">
        <v>1.19</v>
      </c>
      <c r="N39" s="264">
        <v>1.18</v>
      </c>
      <c r="O39" s="264">
        <v>1.18</v>
      </c>
      <c r="P39" s="264">
        <v>1.18</v>
      </c>
      <c r="Q39" s="264">
        <v>1.17</v>
      </c>
      <c r="R39" s="264">
        <v>1.17</v>
      </c>
      <c r="S39" s="264">
        <v>1.17</v>
      </c>
      <c r="T39" s="264">
        <v>1.17</v>
      </c>
      <c r="U39" s="264">
        <v>1.1599999999999999</v>
      </c>
      <c r="V39" s="264">
        <v>1.1599999999999999</v>
      </c>
      <c r="W39" s="264">
        <v>1.1599999999999999</v>
      </c>
      <c r="X39" s="264">
        <v>1.1599999999999999</v>
      </c>
      <c r="Y39" s="264">
        <v>1.1499999999999999</v>
      </c>
      <c r="Z39" s="264">
        <v>1.1499999999999999</v>
      </c>
      <c r="AA39" s="96">
        <f t="shared" si="0"/>
        <v>1.1812500000000001</v>
      </c>
      <c r="AB39" s="58">
        <f>IF(AA39=" "," ",IF('c-form'!AE15="",AA39,AA39+'c-form'!AE15))</f>
        <v>338.78125</v>
      </c>
      <c r="AC39" s="58">
        <f>IF(AA39=" "," ",IF('c-form'!AE15="",AM39,AM39+'c-form'!AE15))</f>
        <v>338.81</v>
      </c>
      <c r="AD39" s="150">
        <f t="shared" si="7"/>
        <v>1</v>
      </c>
      <c r="AE39" s="58">
        <f>IF(AA39=" "," ",IF('c-form'!AE15="",AN39,AN39+'c-form'!AE15))</f>
        <v>338.75</v>
      </c>
      <c r="AF39" s="150">
        <f t="shared" si="8"/>
        <v>23</v>
      </c>
      <c r="AM39" s="85">
        <f>IF(AB39=" "," ",MAX(C39:Z39))</f>
        <v>1.21</v>
      </c>
      <c r="AN39" s="94">
        <f t="shared" si="4"/>
        <v>1.1499999999999999</v>
      </c>
    </row>
    <row r="40" spans="1:40" ht="22.5" customHeight="1">
      <c r="A40" s="93"/>
      <c r="B40" s="145">
        <v>28</v>
      </c>
      <c r="C40" s="264">
        <v>1.1499999999999999</v>
      </c>
      <c r="D40" s="264">
        <v>1.1499999999999999</v>
      </c>
      <c r="E40" s="264">
        <v>1.1399999999999999</v>
      </c>
      <c r="F40" s="264">
        <v>1.1399999999999999</v>
      </c>
      <c r="G40" s="264">
        <v>1.1399999999999999</v>
      </c>
      <c r="H40" s="264">
        <v>1.1399999999999999</v>
      </c>
      <c r="I40" s="264">
        <v>1.1399999999999999</v>
      </c>
      <c r="J40" s="264">
        <v>1.1399999999999999</v>
      </c>
      <c r="K40" s="264">
        <v>1.1399999999999999</v>
      </c>
      <c r="L40" s="264">
        <v>1.1399999999999999</v>
      </c>
      <c r="M40" s="264">
        <v>1.1399999999999999</v>
      </c>
      <c r="N40" s="264">
        <v>1.1399999999999999</v>
      </c>
      <c r="O40" s="264">
        <v>1.1399999999999999</v>
      </c>
      <c r="P40" s="264">
        <v>1.1399999999999999</v>
      </c>
      <c r="Q40" s="264">
        <v>1.1499999999999999</v>
      </c>
      <c r="R40" s="264">
        <v>1.1499999999999999</v>
      </c>
      <c r="S40" s="264">
        <v>1.1599999999999999</v>
      </c>
      <c r="T40" s="264">
        <v>1.17</v>
      </c>
      <c r="U40" s="264">
        <v>1.18</v>
      </c>
      <c r="V40" s="264">
        <v>1.19</v>
      </c>
      <c r="W40" s="264">
        <v>1.2</v>
      </c>
      <c r="X40" s="264">
        <v>1.22</v>
      </c>
      <c r="Y40" s="264">
        <v>1.23</v>
      </c>
      <c r="Z40" s="264">
        <v>1.25</v>
      </c>
      <c r="AA40" s="96">
        <f t="shared" si="0"/>
        <v>1.1616666666666666</v>
      </c>
      <c r="AB40" s="58">
        <f>IF(AA40=" "," ",IF('c-form'!AE15="",AA40,AA40+'c-form'!AE15))</f>
        <v>338.76166666666671</v>
      </c>
      <c r="AC40" s="58">
        <f>IF(AA40=" "," ",IF('c-form'!AE15="",AM40,AM40+'c-form'!AE15))</f>
        <v>338.85</v>
      </c>
      <c r="AD40" s="150">
        <f t="shared" si="7"/>
        <v>24</v>
      </c>
      <c r="AE40" s="58">
        <f>IF(AA40=" "," ",IF('c-form'!AE15="",AN40,AN40+'c-form'!AE15))</f>
        <v>338.74</v>
      </c>
      <c r="AF40" s="150">
        <f t="shared" si="8"/>
        <v>3</v>
      </c>
      <c r="AM40" s="85">
        <f t="shared" si="2"/>
        <v>1.25</v>
      </c>
      <c r="AN40" s="94">
        <f t="shared" si="4"/>
        <v>1.1399999999999999</v>
      </c>
    </row>
    <row r="41" spans="1:40" ht="22.5" customHeight="1">
      <c r="A41" s="93"/>
      <c r="B41" s="145">
        <v>29</v>
      </c>
      <c r="C41" s="264">
        <v>1.27</v>
      </c>
      <c r="D41" s="264">
        <v>1.29</v>
      </c>
      <c r="E41" s="264">
        <v>1.31</v>
      </c>
      <c r="F41" s="264">
        <v>1.33</v>
      </c>
      <c r="G41" s="264">
        <v>1.36</v>
      </c>
      <c r="H41" s="264">
        <v>1.38</v>
      </c>
      <c r="I41" s="264">
        <v>1.4</v>
      </c>
      <c r="J41" s="264">
        <v>1.42</v>
      </c>
      <c r="K41" s="264">
        <v>1.44</v>
      </c>
      <c r="L41" s="264">
        <v>1.45</v>
      </c>
      <c r="M41" s="264">
        <v>1.46</v>
      </c>
      <c r="N41" s="264">
        <v>1.47</v>
      </c>
      <c r="O41" s="264">
        <v>1.48</v>
      </c>
      <c r="P41" s="264">
        <v>1.48</v>
      </c>
      <c r="Q41" s="264">
        <v>1.48</v>
      </c>
      <c r="R41" s="264">
        <v>1.48</v>
      </c>
      <c r="S41" s="264">
        <v>1.47</v>
      </c>
      <c r="T41" s="264">
        <v>1.46</v>
      </c>
      <c r="U41" s="264">
        <v>1.45</v>
      </c>
      <c r="V41" s="264">
        <v>1.43</v>
      </c>
      <c r="W41" s="264">
        <v>1.41</v>
      </c>
      <c r="X41" s="264">
        <v>1.39</v>
      </c>
      <c r="Y41" s="264">
        <v>1.36</v>
      </c>
      <c r="Z41" s="264">
        <v>1.33</v>
      </c>
      <c r="AA41" s="96">
        <f t="shared" si="0"/>
        <v>1.4083333333333332</v>
      </c>
      <c r="AB41" s="58">
        <f>IF(AA41=" "," ",IF('c-form'!AE15="",AA41,AA41+'c-form'!AE15))</f>
        <v>339.00833333333338</v>
      </c>
      <c r="AC41" s="58">
        <f>IF(AA41=" "," ",IF('c-form'!AE15="",AM41,AM41+'c-form'!AE15))</f>
        <v>339.08000000000004</v>
      </c>
      <c r="AD41" s="150">
        <f t="shared" si="7"/>
        <v>13</v>
      </c>
      <c r="AE41" s="58">
        <f>IF(AA41=" "," ",IF('c-form'!AE15="",AN41,AN41+'c-form'!AE15))</f>
        <v>338.87</v>
      </c>
      <c r="AF41" s="150">
        <f t="shared" si="8"/>
        <v>1</v>
      </c>
      <c r="AM41" s="85">
        <f>IF(AB41=" "," ",MAX(C41:Z41))</f>
        <v>1.48</v>
      </c>
      <c r="AN41" s="94">
        <f t="shared" si="4"/>
        <v>1.27</v>
      </c>
    </row>
    <row r="42" spans="1:40" ht="22.5" customHeight="1">
      <c r="A42" s="93"/>
      <c r="B42" s="145">
        <v>30</v>
      </c>
      <c r="C42" s="264">
        <v>1.3</v>
      </c>
      <c r="D42" s="264">
        <v>1.28</v>
      </c>
      <c r="E42" s="264">
        <v>1.25</v>
      </c>
      <c r="F42" s="264">
        <v>1.22</v>
      </c>
      <c r="G42" s="264">
        <v>1.2</v>
      </c>
      <c r="H42" s="264">
        <v>1.17</v>
      </c>
      <c r="I42" s="264">
        <v>1.1599999999999999</v>
      </c>
      <c r="J42" s="264">
        <v>1.1499999999999999</v>
      </c>
      <c r="K42" s="264">
        <v>1.1399999999999999</v>
      </c>
      <c r="L42" s="264">
        <v>1.1299999999999999</v>
      </c>
      <c r="M42" s="264">
        <v>1.1299999999999999</v>
      </c>
      <c r="N42" s="264">
        <v>1.1200000000000001</v>
      </c>
      <c r="O42" s="264">
        <v>1.1200000000000001</v>
      </c>
      <c r="P42" s="264">
        <v>1.1200000000000001</v>
      </c>
      <c r="Q42" s="264">
        <v>1.1100000000000001</v>
      </c>
      <c r="R42" s="264">
        <v>1.1100000000000001</v>
      </c>
      <c r="S42" s="264">
        <v>1.1100000000000001</v>
      </c>
      <c r="T42" s="264">
        <v>1.1100000000000001</v>
      </c>
      <c r="U42" s="264">
        <v>1.1000000000000001</v>
      </c>
      <c r="V42" s="264">
        <v>1.1000000000000001</v>
      </c>
      <c r="W42" s="264">
        <v>1.1000000000000001</v>
      </c>
      <c r="X42" s="264">
        <v>1.1000000000000001</v>
      </c>
      <c r="Y42" s="264">
        <v>1.1000000000000001</v>
      </c>
      <c r="Z42" s="264">
        <v>1.1000000000000001</v>
      </c>
      <c r="AA42" s="96">
        <f>IF(ISERROR(AVERAGE(C42:Z42))," ",AVERAGE(C42:Z42))</f>
        <v>1.1470833333333337</v>
      </c>
      <c r="AB42" s="58">
        <f>IF(AA42=" "," ",IF('c-form'!AE15="",AA42,AA42+'c-form'!AE15))</f>
        <v>338.74708333333336</v>
      </c>
      <c r="AC42" s="58">
        <f>IF(AM42=" "," ",IF('c-form'!AE15="",AA42,AM42+'c-form'!AE15))</f>
        <v>338.90000000000003</v>
      </c>
      <c r="AD42" s="150">
        <f>IF(AB42=" "," ",MATCH(AM42,C42:Z42,0))</f>
        <v>1</v>
      </c>
      <c r="AE42" s="58">
        <f>IF(AN42=" "," ",IF('c-form'!AE15="",AA42,AN42+'c-form'!AE15))</f>
        <v>338.70000000000005</v>
      </c>
      <c r="AF42" s="150">
        <f>IF(AD42=" "," ",MATCH(AN42,C42:Z42,0))</f>
        <v>19</v>
      </c>
      <c r="AM42" s="85">
        <f t="shared" si="2"/>
        <v>1.3</v>
      </c>
      <c r="AN42" s="94">
        <f t="shared" si="4"/>
        <v>1.1000000000000001</v>
      </c>
    </row>
    <row r="43" spans="1:40" ht="24.75" customHeight="1">
      <c r="A43" s="93"/>
      <c r="B43" s="145">
        <v>31</v>
      </c>
      <c r="C43" s="264">
        <v>1.1000000000000001</v>
      </c>
      <c r="D43" s="264">
        <v>1.1000000000000001</v>
      </c>
      <c r="E43" s="264">
        <v>1.1000000000000001</v>
      </c>
      <c r="F43" s="264">
        <v>1.1000000000000001</v>
      </c>
      <c r="G43" s="264">
        <v>1.1000000000000001</v>
      </c>
      <c r="H43" s="264">
        <v>1.1000000000000001</v>
      </c>
      <c r="I43" s="264">
        <v>1.0900000000000001</v>
      </c>
      <c r="J43" s="264">
        <v>1.0900000000000001</v>
      </c>
      <c r="K43" s="264">
        <v>1.0900000000000001</v>
      </c>
      <c r="L43" s="264">
        <v>1.0900000000000001</v>
      </c>
      <c r="M43" s="264">
        <v>1.0900000000000001</v>
      </c>
      <c r="N43" s="264">
        <v>1.08</v>
      </c>
      <c r="O43" s="264">
        <v>1.08</v>
      </c>
      <c r="P43" s="264">
        <v>1.08</v>
      </c>
      <c r="Q43" s="264">
        <v>1.08</v>
      </c>
      <c r="R43" s="264">
        <v>1.08</v>
      </c>
      <c r="S43" s="264">
        <v>1.08</v>
      </c>
      <c r="T43" s="264">
        <v>1.07</v>
      </c>
      <c r="U43" s="264">
        <v>1.07</v>
      </c>
      <c r="V43" s="264">
        <v>1.07</v>
      </c>
      <c r="W43" s="264">
        <v>1.06</v>
      </c>
      <c r="X43" s="264">
        <v>1.06</v>
      </c>
      <c r="Y43" s="264">
        <v>1.06</v>
      </c>
      <c r="Z43" s="264">
        <v>1.05</v>
      </c>
      <c r="AA43" s="96">
        <f>IF(ISERR(AVERAGE(C43:Z43))," ",AVERAGE(C43:Z43))</f>
        <v>1.0820833333333331</v>
      </c>
      <c r="AB43" s="58">
        <f>IF(AA43=" "," ",IF('c-form'!AE15="",AA43,AA43+'c-form'!AE15))</f>
        <v>338.68208333333337</v>
      </c>
      <c r="AC43" s="58">
        <f>IF(AM43=" "," ",IF('c-form'!AE15="",AA43,AM43+'c-form'!AE15))</f>
        <v>338.70000000000005</v>
      </c>
      <c r="AD43" s="150">
        <f>IF(AB43=" "," ",MATCH(AM43,C43:Z43,0))</f>
        <v>1</v>
      </c>
      <c r="AE43" s="58">
        <f>IF(AN43=" "," ",IF('c-form'!AE15="",AA43,AN43+'c-form'!AE15))</f>
        <v>338.65000000000003</v>
      </c>
      <c r="AF43" s="150">
        <f>IF(AD43=" "," ",MATCH(AN43,C43:Z43,0))</f>
        <v>24</v>
      </c>
      <c r="AM43" s="85">
        <f t="shared" si="2"/>
        <v>1.1000000000000001</v>
      </c>
      <c r="AN43" s="94">
        <f t="shared" si="4"/>
        <v>1.05</v>
      </c>
    </row>
    <row r="44" spans="1:40" s="93" customFormat="1" ht="9.75" customHeight="1"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</row>
    <row r="45" spans="1:40" s="75" customFormat="1" ht="23.25" customHeight="1">
      <c r="B45" s="365" t="s">
        <v>68</v>
      </c>
      <c r="C45" s="365"/>
      <c r="D45" s="365"/>
      <c r="E45" s="364">
        <f>IF(COUNT(AC11:AC43)=0," ",MAX(AC11:AC43))</f>
        <v>340.23</v>
      </c>
      <c r="F45" s="365"/>
      <c r="G45" s="98" t="s">
        <v>70</v>
      </c>
      <c r="H45" s="76" t="str">
        <f>'c-form'!AF15</f>
        <v>MSL.</v>
      </c>
      <c r="I45" s="75" t="s">
        <v>71</v>
      </c>
      <c r="K45" s="75" t="s">
        <v>127</v>
      </c>
      <c r="L45" s="76">
        <f>IF(COUNT(AC11:AC43)=0," ",INDEX(B11:B43,AM45))</f>
        <v>19</v>
      </c>
      <c r="M45" s="69" t="s">
        <v>294</v>
      </c>
      <c r="N45" s="200" t="s">
        <v>288</v>
      </c>
      <c r="O45" s="202">
        <f>IF(COUNT(AC11:AC43)=0," ",INDEX(AD11:AD43,AM45))</f>
        <v>10</v>
      </c>
      <c r="P45" s="365" t="s">
        <v>72</v>
      </c>
      <c r="Q45" s="365"/>
      <c r="R45" s="365"/>
      <c r="S45" s="366">
        <f>IF(COUNT(AC11:AC43)=0," ",AVERAGE(AB11:AB43))</f>
        <v>338.72924731182803</v>
      </c>
      <c r="T45" s="311"/>
      <c r="U45" s="98" t="s">
        <v>70</v>
      </c>
      <c r="V45" s="76" t="str">
        <f>'c-form'!AF15</f>
        <v>MSL.</v>
      </c>
      <c r="W45" s="75" t="s">
        <v>71</v>
      </c>
      <c r="AM45" s="75">
        <f>MATCH(E45,AC11:AC43,0)</f>
        <v>20</v>
      </c>
      <c r="AN45" s="99"/>
    </row>
    <row r="46" spans="1:40" s="75" customFormat="1" ht="20.100000000000001" customHeight="1">
      <c r="B46" s="365" t="s">
        <v>69</v>
      </c>
      <c r="C46" s="365"/>
      <c r="D46" s="365"/>
      <c r="E46" s="364">
        <f>IF(COUNT(AC11:AC43)=0," ",MIN(AE11:AE43))</f>
        <v>338.18</v>
      </c>
      <c r="F46" s="365"/>
      <c r="G46" s="98" t="s">
        <v>70</v>
      </c>
      <c r="H46" s="76" t="str">
        <f>'c-form'!AF15</f>
        <v>MSL.</v>
      </c>
      <c r="I46" s="75" t="s">
        <v>71</v>
      </c>
      <c r="K46" s="75" t="s">
        <v>127</v>
      </c>
      <c r="L46" s="76">
        <f>IF(COUNT(AC11:AC43)=0," ",INDEX(B11:B43,AM46))</f>
        <v>16</v>
      </c>
      <c r="M46" s="69" t="s">
        <v>294</v>
      </c>
      <c r="N46" s="200" t="s">
        <v>288</v>
      </c>
      <c r="O46" s="202">
        <f>IF(COUNT(AC11:AC43)=0," ",INDEX(AF11:AF43,AM46))</f>
        <v>1</v>
      </c>
      <c r="P46" s="365" t="s">
        <v>73</v>
      </c>
      <c r="Q46" s="365"/>
      <c r="R46" s="100"/>
      <c r="S46" s="100"/>
      <c r="T46" s="100"/>
      <c r="U46" s="100"/>
      <c r="V46" s="100"/>
      <c r="W46" s="100"/>
      <c r="X46" s="100"/>
      <c r="AA46" s="75" t="s">
        <v>74</v>
      </c>
      <c r="AB46" s="100"/>
      <c r="AC46" s="100"/>
      <c r="AD46" s="100"/>
      <c r="AE46" s="100"/>
      <c r="AF46" s="100"/>
      <c r="AM46" s="75">
        <f>MATCH(E46,AE11:AE43,0)</f>
        <v>17</v>
      </c>
    </row>
    <row r="47" spans="1:40" s="88" customFormat="1" ht="20.100000000000001" customHeight="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</row>
    <row r="48" spans="1:40" ht="20.100000000000001" customHeight="1">
      <c r="E48" s="95"/>
      <c r="F48" s="87"/>
    </row>
    <row r="49" ht="20.100000000000001" customHeight="1"/>
  </sheetData>
  <sheetProtection password="D965" sheet="1" objects="1" scenarios="1"/>
  <mergeCells count="32">
    <mergeCell ref="AE4:AG4"/>
    <mergeCell ref="AE7:AG7"/>
    <mergeCell ref="AD1:AE1"/>
    <mergeCell ref="B2:D2"/>
    <mergeCell ref="E2:AC2"/>
    <mergeCell ref="G5:H5"/>
    <mergeCell ref="J5:N5"/>
    <mergeCell ref="P5:S5"/>
    <mergeCell ref="U5:W5"/>
    <mergeCell ref="Y5:Z5"/>
    <mergeCell ref="B9:B10"/>
    <mergeCell ref="C9:Z9"/>
    <mergeCell ref="AA5:AC5"/>
    <mergeCell ref="C5:E5"/>
    <mergeCell ref="S7:V7"/>
    <mergeCell ref="W7:X7"/>
    <mergeCell ref="AC7:AD7"/>
    <mergeCell ref="P7:R7"/>
    <mergeCell ref="G7:H7"/>
    <mergeCell ref="L7:O7"/>
    <mergeCell ref="AB9:AC9"/>
    <mergeCell ref="AD9:AF9"/>
    <mergeCell ref="B46:D46"/>
    <mergeCell ref="E46:F46"/>
    <mergeCell ref="P46:Q46"/>
    <mergeCell ref="S45:T45"/>
    <mergeCell ref="B45:D45"/>
    <mergeCell ref="E45:F45"/>
    <mergeCell ref="P45:R45"/>
    <mergeCell ref="B7:C7"/>
    <mergeCell ref="D7:E7"/>
    <mergeCell ref="AA9:AA10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5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N49"/>
  <sheetViews>
    <sheetView showGridLines="0" showRowColHeaders="0" zoomScaleNormal="100"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E39" sqref="E39"/>
    </sheetView>
  </sheetViews>
  <sheetFormatPr defaultRowHeight="15"/>
  <cols>
    <col min="1" max="1" width="1.42578125" style="85" customWidth="1"/>
    <col min="2" max="2" width="7" style="85" customWidth="1"/>
    <col min="3" max="27" width="7.85546875" style="85" customWidth="1"/>
    <col min="28" max="28" width="9.5703125" style="85" customWidth="1"/>
    <col min="29" max="29" width="8.42578125" style="85" customWidth="1"/>
    <col min="30" max="30" width="6.85546875" style="85" customWidth="1"/>
    <col min="31" max="31" width="8.140625" style="85" customWidth="1"/>
    <col min="32" max="32" width="7.28515625" style="85" customWidth="1"/>
    <col min="33" max="33" width="9.140625" style="85"/>
    <col min="34" max="34" width="0.140625" style="85" customWidth="1"/>
    <col min="35" max="37" width="9.140625" style="85" hidden="1" customWidth="1"/>
    <col min="38" max="38" width="0" style="85" hidden="1" customWidth="1"/>
    <col min="39" max="39" width="8.5703125" style="85" hidden="1" customWidth="1"/>
    <col min="40" max="40" width="9.5703125" style="85" hidden="1" customWidth="1"/>
    <col min="41" max="16384" width="9.140625" style="85"/>
  </cols>
  <sheetData>
    <row r="1" spans="1:40" ht="9" customHeight="1">
      <c r="AD1" s="344" t="s">
        <v>108</v>
      </c>
      <c r="AE1" s="345"/>
    </row>
    <row r="2" spans="1:40" ht="19.5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ht="18.75" customHeight="1">
      <c r="B3" s="73" t="s">
        <v>106</v>
      </c>
      <c r="C3" s="73"/>
      <c r="D3" s="73"/>
      <c r="AA3" s="158"/>
      <c r="AB3" s="158"/>
      <c r="AC3" s="158"/>
      <c r="AD3" s="158"/>
      <c r="AE3" s="158"/>
      <c r="AF3" s="158"/>
    </row>
    <row r="4" spans="1:40" ht="19.5" customHeight="1">
      <c r="F4" s="86"/>
      <c r="AA4" s="158"/>
      <c r="AB4" s="158"/>
      <c r="AC4" s="158"/>
      <c r="AD4" s="159" t="s">
        <v>123</v>
      </c>
      <c r="AE4" s="315"/>
      <c r="AF4" s="315"/>
      <c r="AG4" s="353"/>
    </row>
    <row r="5" spans="1:40" s="74" customFormat="1" ht="24" customHeight="1">
      <c r="B5" s="75" t="s">
        <v>109</v>
      </c>
      <c r="C5" s="318" t="str">
        <f>IF(ISBLANK(rsteam),"",rsteam)</f>
        <v>Nam  Ping</v>
      </c>
      <c r="D5" s="311"/>
      <c r="E5" s="311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3"/>
      <c r="AE5" s="160"/>
      <c r="AF5" s="160"/>
    </row>
    <row r="6" spans="1:40" s="74" customFormat="1" ht="9" customHeight="1">
      <c r="B6" s="75"/>
      <c r="C6" s="75"/>
      <c r="D6" s="79"/>
      <c r="E6" s="79"/>
      <c r="F6" s="75"/>
      <c r="G6" s="79"/>
      <c r="AA6" s="163"/>
      <c r="AB6" s="163"/>
      <c r="AC6" s="163"/>
      <c r="AD6" s="163"/>
      <c r="AE6" s="160"/>
      <c r="AF6" s="160"/>
    </row>
    <row r="7" spans="1:40" s="74" customFormat="1" ht="21" customHeight="1">
      <c r="B7" s="324" t="s">
        <v>116</v>
      </c>
      <c r="C7" s="324"/>
      <c r="D7" s="325" t="s">
        <v>59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3"/>
      <c r="AC7" s="317" t="s">
        <v>125</v>
      </c>
      <c r="AD7" s="367"/>
      <c r="AE7" s="315"/>
      <c r="AF7" s="315"/>
      <c r="AG7" s="316"/>
    </row>
    <row r="8" spans="1:40" ht="15.75" customHeight="1">
      <c r="AA8" s="158"/>
      <c r="AB8" s="158"/>
      <c r="AC8" s="158"/>
      <c r="AD8" s="158"/>
      <c r="AE8" s="158"/>
      <c r="AF8" s="158"/>
    </row>
    <row r="9" spans="1:40" s="92" customFormat="1" ht="30.75" customHeight="1">
      <c r="A9" s="91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0" s="92" customFormat="1" ht="21" customHeight="1">
      <c r="A10" s="91"/>
      <c r="B10" s="338"/>
      <c r="C10" s="97">
        <v>1</v>
      </c>
      <c r="D10" s="97">
        <v>2</v>
      </c>
      <c r="E10" s="97">
        <v>3</v>
      </c>
      <c r="F10" s="97">
        <v>4</v>
      </c>
      <c r="G10" s="97">
        <v>5</v>
      </c>
      <c r="H10" s="97">
        <v>6</v>
      </c>
      <c r="I10" s="97">
        <v>7</v>
      </c>
      <c r="J10" s="97">
        <v>8</v>
      </c>
      <c r="K10" s="97">
        <v>9</v>
      </c>
      <c r="L10" s="97">
        <v>10</v>
      </c>
      <c r="M10" s="97">
        <v>11</v>
      </c>
      <c r="N10" s="97">
        <v>12</v>
      </c>
      <c r="O10" s="97">
        <v>13</v>
      </c>
      <c r="P10" s="97">
        <v>14</v>
      </c>
      <c r="Q10" s="97">
        <v>15</v>
      </c>
      <c r="R10" s="97">
        <v>16</v>
      </c>
      <c r="S10" s="97">
        <v>17</v>
      </c>
      <c r="T10" s="97">
        <v>18</v>
      </c>
      <c r="U10" s="97">
        <v>19</v>
      </c>
      <c r="V10" s="97">
        <v>20</v>
      </c>
      <c r="W10" s="97">
        <v>21</v>
      </c>
      <c r="X10" s="97">
        <v>22</v>
      </c>
      <c r="Y10" s="97">
        <v>23</v>
      </c>
      <c r="Z10" s="97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93"/>
      <c r="B11" s="232">
        <v>1</v>
      </c>
      <c r="C11" s="264">
        <v>0.89</v>
      </c>
      <c r="D11" s="264">
        <v>0.93</v>
      </c>
      <c r="E11" s="264">
        <v>0.98</v>
      </c>
      <c r="F11" s="264">
        <v>1.02</v>
      </c>
      <c r="G11" s="264">
        <v>1.07</v>
      </c>
      <c r="H11" s="264">
        <v>1.1200000000000001</v>
      </c>
      <c r="I11" s="264">
        <v>1.17</v>
      </c>
      <c r="J11" s="264">
        <v>1.22</v>
      </c>
      <c r="K11" s="264">
        <v>1.27</v>
      </c>
      <c r="L11" s="264">
        <v>1.32</v>
      </c>
      <c r="M11" s="264">
        <v>1.35</v>
      </c>
      <c r="N11" s="264">
        <v>1.37</v>
      </c>
      <c r="O11" s="264">
        <v>1.4</v>
      </c>
      <c r="P11" s="264">
        <v>1.42</v>
      </c>
      <c r="Q11" s="264">
        <v>1.43</v>
      </c>
      <c r="R11" s="264">
        <v>1.44</v>
      </c>
      <c r="S11" s="264">
        <v>1.45</v>
      </c>
      <c r="T11" s="264">
        <v>1.46</v>
      </c>
      <c r="U11" s="264">
        <v>1.46</v>
      </c>
      <c r="V11" s="264">
        <v>1.46</v>
      </c>
      <c r="W11" s="264">
        <v>1.46</v>
      </c>
      <c r="X11" s="264">
        <v>1.45</v>
      </c>
      <c r="Y11" s="264">
        <v>1.44</v>
      </c>
      <c r="Z11" s="264">
        <v>1.43</v>
      </c>
      <c r="AA11" s="130">
        <f t="shared" ref="AA11:AA41" si="0">IF(ISERROR(AVERAGE(C11:Z11))," ",AVERAGE(C11:Z11))</f>
        <v>1.2920833333333335</v>
      </c>
      <c r="AB11" s="58">
        <f>IF(AA11=" "," ",IF('c-form'!AE15="",AA11,AA11+'c-form'!AE15))</f>
        <v>338.89208333333335</v>
      </c>
      <c r="AC11" s="58">
        <f>IF(AA11=" "," ",IF('c-form'!AE15="",AM11,AM11+'c-form'!AE15))</f>
        <v>339.06</v>
      </c>
      <c r="AD11" s="150">
        <f>IF(AB11=" "," ",MATCH(AM11,C11:Z11,0))</f>
        <v>18</v>
      </c>
      <c r="AE11" s="58">
        <f>IF(AA11=" "," ",IF('c-form'!AE15="",AN11,AN11+'c-form'!AE15))</f>
        <v>338.49</v>
      </c>
      <c r="AF11" s="150">
        <f t="shared" ref="AF11:AF20" si="1">IF(AD11=" "," ",MATCH(AN11,C11:Z11,0))</f>
        <v>1</v>
      </c>
      <c r="AG11" s="228"/>
      <c r="AM11" s="85">
        <f>IF(AB11=" "," ",MAX(C11:Z11))</f>
        <v>1.46</v>
      </c>
      <c r="AN11" s="94">
        <f>IF(AB11=" "," ",MIN(C11:Z11))</f>
        <v>0.89</v>
      </c>
    </row>
    <row r="12" spans="1:40" ht="22.5" customHeight="1">
      <c r="A12" s="93"/>
      <c r="B12" s="232">
        <v>2</v>
      </c>
      <c r="C12" s="264">
        <v>1.42</v>
      </c>
      <c r="D12" s="264">
        <v>1.4</v>
      </c>
      <c r="E12" s="264">
        <v>1.38</v>
      </c>
      <c r="F12" s="264">
        <v>1.36</v>
      </c>
      <c r="G12" s="264">
        <v>1.34</v>
      </c>
      <c r="H12" s="264">
        <v>1.32</v>
      </c>
      <c r="I12" s="264">
        <v>1.29</v>
      </c>
      <c r="J12" s="264">
        <v>1.26</v>
      </c>
      <c r="K12" s="264">
        <v>1.23</v>
      </c>
      <c r="L12" s="264">
        <v>1.2</v>
      </c>
      <c r="M12" s="264">
        <v>1.18</v>
      </c>
      <c r="N12" s="264">
        <v>1.1499999999999999</v>
      </c>
      <c r="O12" s="264">
        <v>1.1299999999999999</v>
      </c>
      <c r="P12" s="264">
        <v>1.1000000000000001</v>
      </c>
      <c r="Q12" s="264">
        <v>1.08</v>
      </c>
      <c r="R12" s="264">
        <v>1.06</v>
      </c>
      <c r="S12" s="264">
        <v>1.04</v>
      </c>
      <c r="T12" s="264">
        <v>1.03</v>
      </c>
      <c r="U12" s="264">
        <v>1.01</v>
      </c>
      <c r="V12" s="264">
        <v>0.99</v>
      </c>
      <c r="W12" s="264">
        <v>0.98</v>
      </c>
      <c r="X12" s="264">
        <v>0.97</v>
      </c>
      <c r="Y12" s="264">
        <v>0.95</v>
      </c>
      <c r="Z12" s="264">
        <v>0.94</v>
      </c>
      <c r="AA12" s="130">
        <f t="shared" si="0"/>
        <v>1.1587499999999997</v>
      </c>
      <c r="AB12" s="58">
        <f>IF(AA12=" "," ",IF('c-form'!AE15="",AA12,AA12+'c-form'!AE15))</f>
        <v>338.75875000000002</v>
      </c>
      <c r="AC12" s="58">
        <f>IF(AA12=" "," ",IF('c-form'!AE15="",AM12,AM12+'c-form'!AE15))</f>
        <v>339.02000000000004</v>
      </c>
      <c r="AD12" s="150">
        <f>IF(AB12=" "," ",MATCH(AM12,C12:Z12,0))</f>
        <v>1</v>
      </c>
      <c r="AE12" s="58">
        <f>IF(AA12=" "," ",IF('c-form'!AE15="",AN12,AN12+'c-form'!AE15))</f>
        <v>338.54</v>
      </c>
      <c r="AF12" s="150">
        <f t="shared" si="1"/>
        <v>24</v>
      </c>
      <c r="AG12" s="228"/>
      <c r="AM12" s="85">
        <f t="shared" ref="AM12:AM43" si="2">IF(AB12=" "," ",MAX(C12:Z12))</f>
        <v>1.42</v>
      </c>
      <c r="AN12" s="94">
        <f>IF(AB12=" "," ",MIN(C12:Z12))</f>
        <v>0.94</v>
      </c>
    </row>
    <row r="13" spans="1:40" ht="22.5" customHeight="1">
      <c r="A13" s="93"/>
      <c r="B13" s="232">
        <v>3</v>
      </c>
      <c r="C13" s="264">
        <v>0.93</v>
      </c>
      <c r="D13" s="264">
        <v>0.92</v>
      </c>
      <c r="E13" s="264">
        <v>0.91</v>
      </c>
      <c r="F13" s="264">
        <v>0.9</v>
      </c>
      <c r="G13" s="264">
        <v>0.89</v>
      </c>
      <c r="H13" s="264">
        <v>0.88</v>
      </c>
      <c r="I13" s="264">
        <v>0.87</v>
      </c>
      <c r="J13" s="264">
        <v>0.86</v>
      </c>
      <c r="K13" s="264">
        <v>0.85</v>
      </c>
      <c r="L13" s="264">
        <v>0.84</v>
      </c>
      <c r="M13" s="264">
        <v>0.83</v>
      </c>
      <c r="N13" s="264">
        <v>0.81</v>
      </c>
      <c r="O13" s="264">
        <v>0.79</v>
      </c>
      <c r="P13" s="264">
        <v>0.78</v>
      </c>
      <c r="Q13" s="264">
        <v>0.77</v>
      </c>
      <c r="R13" s="264">
        <v>0.76</v>
      </c>
      <c r="S13" s="264">
        <v>0.75</v>
      </c>
      <c r="T13" s="264">
        <v>0.74</v>
      </c>
      <c r="U13" s="264">
        <v>0.74</v>
      </c>
      <c r="V13" s="264">
        <v>0.73</v>
      </c>
      <c r="W13" s="264">
        <v>0.73</v>
      </c>
      <c r="X13" s="264">
        <v>0.72</v>
      </c>
      <c r="Y13" s="264">
        <v>0.72</v>
      </c>
      <c r="Z13" s="264">
        <v>0.71</v>
      </c>
      <c r="AA13" s="130">
        <f t="shared" si="0"/>
        <v>0.80958333333333332</v>
      </c>
      <c r="AB13" s="58">
        <f>IF(AA13=" "," ",IF('c-form'!AE15="",AA13,AA13+'c-form'!AE15))</f>
        <v>338.40958333333333</v>
      </c>
      <c r="AC13" s="58">
        <f>IF(AA13=" "," ",IF('c-form'!AE15="",AM13,AM13+'c-form'!AE15))</f>
        <v>338.53000000000003</v>
      </c>
      <c r="AD13" s="150">
        <f t="shared" ref="AD13:AD20" si="3">IF(AB13=" "," ",MATCH(AM13,C13:Z13,0))</f>
        <v>1</v>
      </c>
      <c r="AE13" s="58">
        <f>IF(AA13=" "," ",IF('c-form'!AE15="",AN13,AN13+'c-form'!AE15))</f>
        <v>338.31</v>
      </c>
      <c r="AF13" s="150">
        <f t="shared" si="1"/>
        <v>24</v>
      </c>
      <c r="AG13" s="228"/>
      <c r="AM13" s="85">
        <f t="shared" si="2"/>
        <v>0.93</v>
      </c>
      <c r="AN13" s="94">
        <f t="shared" ref="AN13:AN43" si="4">IF(AB13=" "," ",MIN(C13:Z13))</f>
        <v>0.71</v>
      </c>
    </row>
    <row r="14" spans="1:40" ht="22.5" customHeight="1">
      <c r="A14" s="93"/>
      <c r="B14" s="232">
        <v>4</v>
      </c>
      <c r="C14" s="264">
        <v>0.71</v>
      </c>
      <c r="D14" s="264">
        <v>0.7</v>
      </c>
      <c r="E14" s="264">
        <v>0.7</v>
      </c>
      <c r="F14" s="264">
        <v>0.69</v>
      </c>
      <c r="G14" s="264">
        <v>0.69</v>
      </c>
      <c r="H14" s="264">
        <v>0.69</v>
      </c>
      <c r="I14" s="264">
        <v>0.68</v>
      </c>
      <c r="J14" s="264">
        <v>0.68</v>
      </c>
      <c r="K14" s="264">
        <v>0.68</v>
      </c>
      <c r="L14" s="264">
        <v>0.68</v>
      </c>
      <c r="M14" s="264">
        <v>0.68</v>
      </c>
      <c r="N14" s="264">
        <v>0.67</v>
      </c>
      <c r="O14" s="264">
        <v>0.67</v>
      </c>
      <c r="P14" s="264">
        <v>0.67</v>
      </c>
      <c r="Q14" s="264">
        <v>0.66</v>
      </c>
      <c r="R14" s="264">
        <v>0.66</v>
      </c>
      <c r="S14" s="264">
        <v>0.66</v>
      </c>
      <c r="T14" s="264">
        <v>0.65</v>
      </c>
      <c r="U14" s="264">
        <v>0.65</v>
      </c>
      <c r="V14" s="264">
        <v>0.64</v>
      </c>
      <c r="W14" s="264">
        <v>0.64</v>
      </c>
      <c r="X14" s="264">
        <v>0.64</v>
      </c>
      <c r="Y14" s="264">
        <v>0.64</v>
      </c>
      <c r="Z14" s="264">
        <v>0.63</v>
      </c>
      <c r="AA14" s="130">
        <f t="shared" si="0"/>
        <v>0.6691666666666668</v>
      </c>
      <c r="AB14" s="58">
        <f>IF(AA14=" "," ",IF('c-form'!AE15="",AA14,AA14+'c-form'!AE15))</f>
        <v>338.26916666666671</v>
      </c>
      <c r="AC14" s="58">
        <f>IF(AA14=" "," ",IF('c-form'!AE15="",AM14,AM14+'c-form'!AE15))</f>
        <v>338.31</v>
      </c>
      <c r="AD14" s="150">
        <f t="shared" si="3"/>
        <v>1</v>
      </c>
      <c r="AE14" s="58">
        <f>IF(AA14=" "," ",IF('c-form'!AE15="",AN14,AN14+'c-form'!AE15))</f>
        <v>338.23</v>
      </c>
      <c r="AF14" s="150">
        <f t="shared" si="1"/>
        <v>24</v>
      </c>
      <c r="AG14" s="228"/>
      <c r="AM14" s="85">
        <f t="shared" si="2"/>
        <v>0.71</v>
      </c>
      <c r="AN14" s="94">
        <f t="shared" si="4"/>
        <v>0.63</v>
      </c>
    </row>
    <row r="15" spans="1:40" ht="22.5" customHeight="1">
      <c r="A15" s="93"/>
      <c r="B15" s="232">
        <v>5</v>
      </c>
      <c r="C15" s="264">
        <v>0.63</v>
      </c>
      <c r="D15" s="264">
        <v>0.63</v>
      </c>
      <c r="E15" s="264">
        <v>0.63</v>
      </c>
      <c r="F15" s="264">
        <v>0.62</v>
      </c>
      <c r="G15" s="264">
        <v>0.62</v>
      </c>
      <c r="H15" s="264">
        <v>0.62</v>
      </c>
      <c r="I15" s="264">
        <v>0.62</v>
      </c>
      <c r="J15" s="264">
        <v>0.62</v>
      </c>
      <c r="K15" s="264">
        <v>0.62</v>
      </c>
      <c r="L15" s="264">
        <v>0.61</v>
      </c>
      <c r="M15" s="264">
        <v>0.61</v>
      </c>
      <c r="N15" s="264">
        <v>0.61</v>
      </c>
      <c r="O15" s="264">
        <v>0.61</v>
      </c>
      <c r="P15" s="264">
        <v>0.6</v>
      </c>
      <c r="Q15" s="264">
        <v>0.6</v>
      </c>
      <c r="R15" s="264">
        <v>0.6</v>
      </c>
      <c r="S15" s="264">
        <v>0.6</v>
      </c>
      <c r="T15" s="264">
        <v>0.6</v>
      </c>
      <c r="U15" s="264">
        <v>0.6</v>
      </c>
      <c r="V15" s="264">
        <v>0.6</v>
      </c>
      <c r="W15" s="264">
        <v>0.61</v>
      </c>
      <c r="X15" s="264">
        <v>0.61</v>
      </c>
      <c r="Y15" s="264">
        <v>0.61</v>
      </c>
      <c r="Z15" s="264">
        <v>0.61</v>
      </c>
      <c r="AA15" s="130">
        <f t="shared" si="0"/>
        <v>0.6120833333333332</v>
      </c>
      <c r="AB15" s="58">
        <f>IF(AA15=" "," ",IF('c-form'!AE15="",AA15,AA15+'c-form'!AE15))</f>
        <v>338.21208333333334</v>
      </c>
      <c r="AC15" s="58">
        <f>IF(AA15=" "," ",IF('c-form'!AE15="",AM15,AM15+'c-form'!AE15))</f>
        <v>338.23</v>
      </c>
      <c r="AD15" s="150">
        <f t="shared" si="3"/>
        <v>1</v>
      </c>
      <c r="AE15" s="58">
        <f>IF(AA15=" "," ",IF('c-form'!AE15="",AN15,AN15+'c-form'!AE15))</f>
        <v>338.20000000000005</v>
      </c>
      <c r="AF15" s="150">
        <f t="shared" si="1"/>
        <v>14</v>
      </c>
      <c r="AG15" s="228"/>
      <c r="AM15" s="85">
        <f t="shared" si="2"/>
        <v>0.63</v>
      </c>
      <c r="AN15" s="94">
        <f t="shared" si="4"/>
        <v>0.6</v>
      </c>
    </row>
    <row r="16" spans="1:40" ht="22.5" customHeight="1">
      <c r="A16" s="93"/>
      <c r="B16" s="232">
        <v>6</v>
      </c>
      <c r="C16" s="264">
        <v>0.61</v>
      </c>
      <c r="D16" s="264">
        <v>0.61</v>
      </c>
      <c r="E16" s="264">
        <v>0.61</v>
      </c>
      <c r="F16" s="264">
        <v>0.62</v>
      </c>
      <c r="G16" s="264">
        <v>0.62</v>
      </c>
      <c r="H16" s="264">
        <v>0.62</v>
      </c>
      <c r="I16" s="264">
        <v>0.62</v>
      </c>
      <c r="J16" s="264">
        <v>0.63</v>
      </c>
      <c r="K16" s="264">
        <v>0.63</v>
      </c>
      <c r="L16" s="264">
        <v>0.64</v>
      </c>
      <c r="M16" s="264">
        <v>0.65</v>
      </c>
      <c r="N16" s="264">
        <v>0.66</v>
      </c>
      <c r="O16" s="264">
        <v>0.67</v>
      </c>
      <c r="P16" s="264">
        <v>0.68</v>
      </c>
      <c r="Q16" s="264">
        <v>0.69</v>
      </c>
      <c r="R16" s="264">
        <v>0.71</v>
      </c>
      <c r="S16" s="264">
        <v>0.72</v>
      </c>
      <c r="T16" s="264">
        <v>0.74</v>
      </c>
      <c r="U16" s="264">
        <v>0.75</v>
      </c>
      <c r="V16" s="264">
        <v>0.77</v>
      </c>
      <c r="W16" s="264">
        <v>0.79</v>
      </c>
      <c r="X16" s="264">
        <v>0.8</v>
      </c>
      <c r="Y16" s="264">
        <v>0.82</v>
      </c>
      <c r="Z16" s="264">
        <v>0.85</v>
      </c>
      <c r="AA16" s="130">
        <f t="shared" si="0"/>
        <v>0.68791666666666673</v>
      </c>
      <c r="AB16" s="58">
        <f>IF(AA16=" "," ",IF('c-form'!AE15="",AA16,AA16+'c-form'!AE15))</f>
        <v>338.28791666666672</v>
      </c>
      <c r="AC16" s="58">
        <f>IF(AA16=" "," ",IF('c-form'!AE15="",AM16,AM16+'c-form'!AE15))</f>
        <v>338.45000000000005</v>
      </c>
      <c r="AD16" s="150">
        <f t="shared" si="3"/>
        <v>24</v>
      </c>
      <c r="AE16" s="58">
        <f>IF(AA16=" "," ",IF('c-form'!AE15="",AN16,AN16+'c-form'!AE15))</f>
        <v>338.21000000000004</v>
      </c>
      <c r="AF16" s="150">
        <f t="shared" si="1"/>
        <v>1</v>
      </c>
      <c r="AG16" s="228"/>
      <c r="AM16" s="85">
        <f t="shared" si="2"/>
        <v>0.85</v>
      </c>
      <c r="AN16" s="94">
        <f t="shared" si="4"/>
        <v>0.61</v>
      </c>
    </row>
    <row r="17" spans="1:40" ht="22.5" customHeight="1">
      <c r="A17" s="93"/>
      <c r="B17" s="232">
        <v>7</v>
      </c>
      <c r="C17" s="264">
        <v>0.88</v>
      </c>
      <c r="D17" s="264">
        <v>0.91</v>
      </c>
      <c r="E17" s="264">
        <v>0.94</v>
      </c>
      <c r="F17" s="264">
        <v>0.97</v>
      </c>
      <c r="G17" s="264">
        <v>0.99</v>
      </c>
      <c r="H17" s="264">
        <v>1.02</v>
      </c>
      <c r="I17" s="264">
        <v>1.06</v>
      </c>
      <c r="J17" s="264">
        <v>1.0900000000000001</v>
      </c>
      <c r="K17" s="264">
        <v>1.1200000000000001</v>
      </c>
      <c r="L17" s="264">
        <v>1.1399999999999999</v>
      </c>
      <c r="M17" s="264">
        <v>1.1599999999999999</v>
      </c>
      <c r="N17" s="264">
        <v>1.19</v>
      </c>
      <c r="O17" s="264">
        <v>1.21</v>
      </c>
      <c r="P17" s="264">
        <v>1.23</v>
      </c>
      <c r="Q17" s="264">
        <v>1.25</v>
      </c>
      <c r="R17" s="264">
        <v>1.28</v>
      </c>
      <c r="S17" s="264">
        <v>1.3</v>
      </c>
      <c r="T17" s="264">
        <v>1.32</v>
      </c>
      <c r="U17" s="264">
        <v>1.34</v>
      </c>
      <c r="V17" s="264">
        <v>1.36</v>
      </c>
      <c r="W17" s="264">
        <v>1.38</v>
      </c>
      <c r="X17" s="264">
        <v>1.4</v>
      </c>
      <c r="Y17" s="264">
        <v>1.43</v>
      </c>
      <c r="Z17" s="264">
        <v>1.45</v>
      </c>
      <c r="AA17" s="130">
        <f t="shared" si="0"/>
        <v>1.1841666666666666</v>
      </c>
      <c r="AB17" s="58">
        <f>IF(AA17=" "," ",IF('c-form'!AE15="",AA17,AA17+'c-form'!AE15))</f>
        <v>338.78416666666669</v>
      </c>
      <c r="AC17" s="58">
        <f>IF(AA17=" "," ",IF('c-form'!AE15="",AM17,AM17+'c-form'!AE15))</f>
        <v>339.05</v>
      </c>
      <c r="AD17" s="150">
        <f t="shared" si="3"/>
        <v>24</v>
      </c>
      <c r="AE17" s="58">
        <f>IF(AA17=" "," ",IF('c-form'!AE15="",AN17,AN17+'c-form'!AE15))</f>
        <v>338.48</v>
      </c>
      <c r="AF17" s="150">
        <f t="shared" si="1"/>
        <v>1</v>
      </c>
      <c r="AG17" s="228"/>
      <c r="AM17" s="85">
        <f t="shared" si="2"/>
        <v>1.45</v>
      </c>
      <c r="AN17" s="94">
        <f t="shared" si="4"/>
        <v>0.88</v>
      </c>
    </row>
    <row r="18" spans="1:40" ht="22.5" customHeight="1">
      <c r="A18" s="93"/>
      <c r="B18" s="232">
        <v>8</v>
      </c>
      <c r="C18" s="264">
        <v>1.47</v>
      </c>
      <c r="D18" s="264">
        <v>1.49</v>
      </c>
      <c r="E18" s="264">
        <v>1.52</v>
      </c>
      <c r="F18" s="264">
        <v>1.54</v>
      </c>
      <c r="G18" s="264">
        <v>1.56</v>
      </c>
      <c r="H18" s="264">
        <v>1.58</v>
      </c>
      <c r="I18" s="264">
        <v>1.58</v>
      </c>
      <c r="J18" s="264">
        <v>1.58</v>
      </c>
      <c r="K18" s="264">
        <v>1.59</v>
      </c>
      <c r="L18" s="264">
        <v>1.59</v>
      </c>
      <c r="M18" s="264">
        <v>1.59</v>
      </c>
      <c r="N18" s="264">
        <v>1.59</v>
      </c>
      <c r="O18" s="264">
        <v>1.61</v>
      </c>
      <c r="P18" s="264">
        <v>1.65</v>
      </c>
      <c r="Q18" s="264">
        <v>1.78</v>
      </c>
      <c r="R18" s="264">
        <v>1.8</v>
      </c>
      <c r="S18" s="264">
        <v>1.83</v>
      </c>
      <c r="T18" s="264">
        <v>1.85</v>
      </c>
      <c r="U18" s="264">
        <v>1.88</v>
      </c>
      <c r="V18" s="264">
        <v>1.91</v>
      </c>
      <c r="W18" s="264">
        <v>1.94</v>
      </c>
      <c r="X18" s="264">
        <v>1.97</v>
      </c>
      <c r="Y18" s="264">
        <v>2</v>
      </c>
      <c r="Z18" s="264">
        <v>2.0299999999999998</v>
      </c>
      <c r="AA18" s="130">
        <f t="shared" si="0"/>
        <v>1.7054166666666666</v>
      </c>
      <c r="AB18" s="58">
        <f>IF(AA18=" "," ",IF('c-form'!AE15="",AA18,AA18+'c-form'!AE15))</f>
        <v>339.3054166666667</v>
      </c>
      <c r="AC18" s="58">
        <f>IF(AA18=" "," ",IF('c-form'!AE15="",AM18,AM18+'c-form'!AE15))</f>
        <v>339.63</v>
      </c>
      <c r="AD18" s="150">
        <f t="shared" si="3"/>
        <v>24</v>
      </c>
      <c r="AE18" s="58">
        <f>IF(AA18=" "," ",IF('c-form'!AE15="",AN18,AN18+'c-form'!AE15))</f>
        <v>339.07000000000005</v>
      </c>
      <c r="AF18" s="150">
        <f t="shared" si="1"/>
        <v>1</v>
      </c>
      <c r="AG18" s="228"/>
      <c r="AM18" s="85">
        <f t="shared" si="2"/>
        <v>2.0299999999999998</v>
      </c>
      <c r="AN18" s="94">
        <f t="shared" si="4"/>
        <v>1.47</v>
      </c>
    </row>
    <row r="19" spans="1:40" ht="22.5" customHeight="1">
      <c r="A19" s="93"/>
      <c r="B19" s="232">
        <v>9</v>
      </c>
      <c r="C19" s="264">
        <v>2.0699999999999998</v>
      </c>
      <c r="D19" s="264">
        <v>2.1</v>
      </c>
      <c r="E19" s="264">
        <v>2.13</v>
      </c>
      <c r="F19" s="264">
        <v>2.16</v>
      </c>
      <c r="G19" s="264">
        <v>2.19</v>
      </c>
      <c r="H19" s="264">
        <v>2.2200000000000002</v>
      </c>
      <c r="I19" s="264">
        <v>2.2599999999999998</v>
      </c>
      <c r="J19" s="264">
        <v>2.29</v>
      </c>
      <c r="K19" s="264">
        <v>2.33</v>
      </c>
      <c r="L19" s="264">
        <v>2.36</v>
      </c>
      <c r="M19" s="264">
        <v>2.39</v>
      </c>
      <c r="N19" s="264">
        <v>2.41</v>
      </c>
      <c r="O19" s="264">
        <v>2.44</v>
      </c>
      <c r="P19" s="264">
        <v>2.46</v>
      </c>
      <c r="Q19" s="264">
        <v>2.56</v>
      </c>
      <c r="R19" s="264">
        <v>2.58</v>
      </c>
      <c r="S19" s="264">
        <v>2.6</v>
      </c>
      <c r="T19" s="264">
        <v>2.62</v>
      </c>
      <c r="U19" s="264">
        <v>2.62</v>
      </c>
      <c r="V19" s="264">
        <v>2.62</v>
      </c>
      <c r="W19" s="264">
        <v>2.58</v>
      </c>
      <c r="X19" s="264">
        <v>2.56</v>
      </c>
      <c r="Y19" s="264">
        <v>2.5299999999999998</v>
      </c>
      <c r="Z19" s="264">
        <v>2.5099999999999998</v>
      </c>
      <c r="AA19" s="130">
        <f t="shared" si="0"/>
        <v>2.3995833333333332</v>
      </c>
      <c r="AB19" s="58">
        <f>IF(AA19=" "," ",IF('c-form'!AE15="",AA19,AA19+'c-form'!AE15))</f>
        <v>339.99958333333336</v>
      </c>
      <c r="AC19" s="58">
        <f>IF(AA19=" "," ",IF('c-form'!AE15="",AM19,AM19+'c-form'!AE15))</f>
        <v>340.22</v>
      </c>
      <c r="AD19" s="150">
        <f t="shared" si="3"/>
        <v>18</v>
      </c>
      <c r="AE19" s="58">
        <f>IF(AA19=" "," ",IF('c-form'!AE15="",AN19,AN19+'c-form'!AE15))</f>
        <v>339.67</v>
      </c>
      <c r="AF19" s="150">
        <f t="shared" si="1"/>
        <v>1</v>
      </c>
      <c r="AG19" s="228"/>
      <c r="AM19" s="85">
        <f t="shared" si="2"/>
        <v>2.62</v>
      </c>
      <c r="AN19" s="94">
        <f t="shared" si="4"/>
        <v>2.0699999999999998</v>
      </c>
    </row>
    <row r="20" spans="1:40" ht="22.5" customHeight="1">
      <c r="A20" s="93"/>
      <c r="B20" s="232">
        <v>10</v>
      </c>
      <c r="C20" s="264">
        <v>2.5</v>
      </c>
      <c r="D20" s="264">
        <v>2.48</v>
      </c>
      <c r="E20" s="264">
        <v>2.46</v>
      </c>
      <c r="F20" s="264">
        <v>2.44</v>
      </c>
      <c r="G20" s="264">
        <v>2.42</v>
      </c>
      <c r="H20" s="264">
        <v>2.4</v>
      </c>
      <c r="I20" s="264">
        <v>2.37</v>
      </c>
      <c r="J20" s="264">
        <v>2.33</v>
      </c>
      <c r="K20" s="264">
        <v>2.2999999999999998</v>
      </c>
      <c r="L20" s="264">
        <v>2.2599999999999998</v>
      </c>
      <c r="M20" s="264">
        <v>2.21</v>
      </c>
      <c r="N20" s="264">
        <v>2.16</v>
      </c>
      <c r="O20" s="264">
        <v>2.11</v>
      </c>
      <c r="P20" s="264">
        <v>2.0699999999999998</v>
      </c>
      <c r="Q20" s="264">
        <v>2.02</v>
      </c>
      <c r="R20" s="264">
        <v>1.98</v>
      </c>
      <c r="S20" s="264">
        <v>1.93</v>
      </c>
      <c r="T20" s="264">
        <v>1.89</v>
      </c>
      <c r="U20" s="264">
        <v>1.84</v>
      </c>
      <c r="V20" s="264">
        <v>1.8</v>
      </c>
      <c r="W20" s="264">
        <v>1.77</v>
      </c>
      <c r="X20" s="264">
        <v>1.73</v>
      </c>
      <c r="Y20" s="264">
        <v>1.7</v>
      </c>
      <c r="Z20" s="264">
        <v>1.67</v>
      </c>
      <c r="AA20" s="130">
        <f t="shared" si="0"/>
        <v>2.1183333333333336</v>
      </c>
      <c r="AB20" s="58">
        <f>IF(AA20=" "," ",IF('c-form'!AE15="",AA20,AA20+'c-form'!AE15))</f>
        <v>339.71833333333336</v>
      </c>
      <c r="AC20" s="58">
        <f>IF(AA20=" "," ",IF('c-form'!AE15="",AM20,AM20+'c-form'!AE15))</f>
        <v>340.1</v>
      </c>
      <c r="AD20" s="150">
        <f t="shared" si="3"/>
        <v>1</v>
      </c>
      <c r="AE20" s="58">
        <f>IF(AA20=" "," ",IF('c-form'!AE15="",AN20,AN20+'c-form'!AE15))</f>
        <v>339.27000000000004</v>
      </c>
      <c r="AF20" s="150">
        <f t="shared" si="1"/>
        <v>24</v>
      </c>
      <c r="AG20" s="228"/>
      <c r="AM20" s="85">
        <f t="shared" si="2"/>
        <v>2.5</v>
      </c>
      <c r="AN20" s="94">
        <f t="shared" si="4"/>
        <v>1.67</v>
      </c>
    </row>
    <row r="21" spans="1:40" ht="22.5" customHeight="1">
      <c r="A21" s="93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8"/>
      <c r="AB21" s="139"/>
      <c r="AC21" s="139"/>
      <c r="AD21" s="151"/>
      <c r="AE21" s="139"/>
      <c r="AF21" s="151"/>
      <c r="AG21" s="228"/>
      <c r="AM21" s="85">
        <f>IF(AB21=" "," ",MAX(C21:Z21))</f>
        <v>0</v>
      </c>
      <c r="AN21" s="94">
        <f t="shared" si="4"/>
        <v>0</v>
      </c>
    </row>
    <row r="22" spans="1:40" ht="22.5" customHeight="1">
      <c r="A22" s="93"/>
      <c r="B22" s="145">
        <v>11</v>
      </c>
      <c r="C22" s="264">
        <v>1.64</v>
      </c>
      <c r="D22" s="264">
        <v>1.61</v>
      </c>
      <c r="E22" s="264">
        <v>1.59</v>
      </c>
      <c r="F22" s="264">
        <v>1.56</v>
      </c>
      <c r="G22" s="264">
        <v>1.54</v>
      </c>
      <c r="H22" s="264">
        <v>1.52</v>
      </c>
      <c r="I22" s="264">
        <v>1.5</v>
      </c>
      <c r="J22" s="264">
        <v>1.47</v>
      </c>
      <c r="K22" s="264">
        <v>1.45</v>
      </c>
      <c r="L22" s="264">
        <v>1.44</v>
      </c>
      <c r="M22" s="264">
        <v>1.42</v>
      </c>
      <c r="N22" s="264">
        <v>1.4</v>
      </c>
      <c r="O22" s="264">
        <v>1.39</v>
      </c>
      <c r="P22" s="264">
        <v>1.37</v>
      </c>
      <c r="Q22" s="264">
        <v>1.35</v>
      </c>
      <c r="R22" s="264">
        <v>1.34</v>
      </c>
      <c r="S22" s="264">
        <v>1.33</v>
      </c>
      <c r="T22" s="264">
        <v>1.31</v>
      </c>
      <c r="U22" s="264">
        <v>1.3</v>
      </c>
      <c r="V22" s="264">
        <v>1.29</v>
      </c>
      <c r="W22" s="264">
        <v>1.28</v>
      </c>
      <c r="X22" s="264">
        <v>1.27</v>
      </c>
      <c r="Y22" s="264">
        <v>1.26</v>
      </c>
      <c r="Z22" s="264">
        <v>1.25</v>
      </c>
      <c r="AA22" s="130">
        <f t="shared" si="0"/>
        <v>1.4116666666666668</v>
      </c>
      <c r="AB22" s="58">
        <f>IF(AA22=" "," ",IF('c-form'!AE15="",AA22,AA22+'c-form'!AE15))</f>
        <v>339.01166666666671</v>
      </c>
      <c r="AC22" s="58">
        <f>IF(AA22=" "," ",IF('c-form'!AE15="",AM22,AM22+'c-form'!AE15))</f>
        <v>339.24</v>
      </c>
      <c r="AD22" s="150">
        <f t="shared" ref="AD22:AD31" si="5">IF(AB22=" "," ",MATCH(AM22,C22:Z22,0))</f>
        <v>1</v>
      </c>
      <c r="AE22" s="58">
        <f>IF(AA22=" "," ",IF('c-form'!AE15="",AN22,AN22+'c-form'!AE15))</f>
        <v>338.85</v>
      </c>
      <c r="AF22" s="150">
        <f t="shared" ref="AF22:AF31" si="6">IF(AD22=" "," ",MATCH(AN22,C22:Z22,0))</f>
        <v>24</v>
      </c>
      <c r="AG22" s="228"/>
      <c r="AM22" s="85">
        <f t="shared" si="2"/>
        <v>1.64</v>
      </c>
      <c r="AN22" s="94">
        <f t="shared" si="4"/>
        <v>1.25</v>
      </c>
    </row>
    <row r="23" spans="1:40" ht="22.5" customHeight="1">
      <c r="A23" s="93"/>
      <c r="B23" s="145">
        <v>12</v>
      </c>
      <c r="C23" s="264">
        <v>1.24</v>
      </c>
      <c r="D23" s="264">
        <v>1.23</v>
      </c>
      <c r="E23" s="264">
        <v>1.22</v>
      </c>
      <c r="F23" s="264">
        <v>1.21</v>
      </c>
      <c r="G23" s="264">
        <v>1.21</v>
      </c>
      <c r="H23" s="264">
        <v>1.2</v>
      </c>
      <c r="I23" s="264">
        <v>1.2</v>
      </c>
      <c r="J23" s="264">
        <v>1.19</v>
      </c>
      <c r="K23" s="264">
        <v>1.19</v>
      </c>
      <c r="L23" s="264">
        <v>1.19</v>
      </c>
      <c r="M23" s="264">
        <v>1.19</v>
      </c>
      <c r="N23" s="264">
        <v>1.18</v>
      </c>
      <c r="O23" s="264">
        <v>1.18</v>
      </c>
      <c r="P23" s="264">
        <v>1.18</v>
      </c>
      <c r="Q23" s="264">
        <v>1.18</v>
      </c>
      <c r="R23" s="264">
        <v>1.18</v>
      </c>
      <c r="S23" s="264">
        <v>1.18</v>
      </c>
      <c r="T23" s="264">
        <v>1.18</v>
      </c>
      <c r="U23" s="264">
        <v>1.19</v>
      </c>
      <c r="V23" s="264">
        <v>1.19</v>
      </c>
      <c r="W23" s="264">
        <v>1.19</v>
      </c>
      <c r="X23" s="264">
        <v>1.2</v>
      </c>
      <c r="Y23" s="264">
        <v>1.2</v>
      </c>
      <c r="Z23" s="264">
        <v>1.21</v>
      </c>
      <c r="AA23" s="130">
        <f t="shared" si="0"/>
        <v>1.19625</v>
      </c>
      <c r="AB23" s="58">
        <f>IF(AA23=" "," ",IF('c-form'!AE15="",AA23,AA23+'c-form'!AE15))</f>
        <v>338.79625000000004</v>
      </c>
      <c r="AC23" s="58">
        <f>IF(AA23=" "," ",IF('c-form'!AE15="",AM23,AM23+'c-form'!AE15))</f>
        <v>338.84000000000003</v>
      </c>
      <c r="AD23" s="150">
        <f t="shared" si="5"/>
        <v>1</v>
      </c>
      <c r="AE23" s="58">
        <f>IF(AA23=" "," ",IF('c-form'!AE15="",AN23,AN23+'c-form'!AE15))</f>
        <v>338.78000000000003</v>
      </c>
      <c r="AF23" s="150">
        <f t="shared" si="6"/>
        <v>12</v>
      </c>
      <c r="AG23" s="228"/>
      <c r="AM23" s="85">
        <f t="shared" si="2"/>
        <v>1.24</v>
      </c>
      <c r="AN23" s="94">
        <f t="shared" si="4"/>
        <v>1.18</v>
      </c>
    </row>
    <row r="24" spans="1:40" ht="22.5" customHeight="1">
      <c r="A24" s="93"/>
      <c r="B24" s="145">
        <v>13</v>
      </c>
      <c r="C24" s="264">
        <v>1.22</v>
      </c>
      <c r="D24" s="264">
        <v>1.23</v>
      </c>
      <c r="E24" s="264">
        <v>1.24</v>
      </c>
      <c r="F24" s="264">
        <v>1.26</v>
      </c>
      <c r="G24" s="264">
        <v>1.27</v>
      </c>
      <c r="H24" s="264">
        <v>1.28</v>
      </c>
      <c r="I24" s="264">
        <v>1.29</v>
      </c>
      <c r="J24" s="264">
        <v>1.31</v>
      </c>
      <c r="K24" s="264">
        <v>1.33</v>
      </c>
      <c r="L24" s="264">
        <v>1.35</v>
      </c>
      <c r="M24" s="264">
        <v>1.37</v>
      </c>
      <c r="N24" s="264">
        <v>1.39</v>
      </c>
      <c r="O24" s="264">
        <v>1.41</v>
      </c>
      <c r="P24" s="264">
        <v>1.44</v>
      </c>
      <c r="Q24" s="264">
        <v>1.46</v>
      </c>
      <c r="R24" s="264">
        <v>1.49</v>
      </c>
      <c r="S24" s="264">
        <v>1.51</v>
      </c>
      <c r="T24" s="264">
        <v>1.52</v>
      </c>
      <c r="U24" s="264">
        <v>1.54</v>
      </c>
      <c r="V24" s="264">
        <v>1.55</v>
      </c>
      <c r="W24" s="264">
        <v>1.56</v>
      </c>
      <c r="X24" s="264">
        <v>1.57</v>
      </c>
      <c r="Y24" s="264">
        <v>1.57</v>
      </c>
      <c r="Z24" s="264">
        <v>1.56</v>
      </c>
      <c r="AA24" s="130">
        <f t="shared" si="0"/>
        <v>1.4050000000000002</v>
      </c>
      <c r="AB24" s="58">
        <f>IF(AA24=" "," ",IF('c-form'!AE15="",AA24,AA24+'c-form'!AE15))</f>
        <v>339.005</v>
      </c>
      <c r="AC24" s="58">
        <f>IF(AA24=" "," ",IF('c-form'!AE15="",AM24,AM24+'c-form'!AE15))</f>
        <v>339.17</v>
      </c>
      <c r="AD24" s="150">
        <f t="shared" si="5"/>
        <v>22</v>
      </c>
      <c r="AE24" s="58">
        <f>IF(AA24=" "," ",IF('c-form'!AE15="",AN24,AN24+'c-form'!AE15))</f>
        <v>338.82000000000005</v>
      </c>
      <c r="AF24" s="150">
        <f t="shared" si="6"/>
        <v>1</v>
      </c>
      <c r="AG24" s="228"/>
      <c r="AM24" s="85">
        <f t="shared" si="2"/>
        <v>1.57</v>
      </c>
      <c r="AN24" s="94">
        <f t="shared" si="4"/>
        <v>1.22</v>
      </c>
    </row>
    <row r="25" spans="1:40" ht="22.5" customHeight="1">
      <c r="A25" s="93"/>
      <c r="B25" s="145">
        <v>14</v>
      </c>
      <c r="C25" s="264">
        <v>1.55</v>
      </c>
      <c r="D25" s="264">
        <v>1.53</v>
      </c>
      <c r="E25" s="264">
        <v>1.52</v>
      </c>
      <c r="F25" s="264">
        <v>1.51</v>
      </c>
      <c r="G25" s="264">
        <v>1.5</v>
      </c>
      <c r="H25" s="264">
        <v>1.49</v>
      </c>
      <c r="I25" s="264">
        <v>1.48</v>
      </c>
      <c r="J25" s="264">
        <v>1.46</v>
      </c>
      <c r="K25" s="264">
        <v>1.45</v>
      </c>
      <c r="L25" s="264">
        <v>1.44</v>
      </c>
      <c r="M25" s="264">
        <v>1.43</v>
      </c>
      <c r="N25" s="264">
        <v>1.42</v>
      </c>
      <c r="O25" s="264">
        <v>1.41</v>
      </c>
      <c r="P25" s="264">
        <v>1.41</v>
      </c>
      <c r="Q25" s="264">
        <v>1.41</v>
      </c>
      <c r="R25" s="264">
        <v>1.41</v>
      </c>
      <c r="S25" s="264">
        <v>1.42</v>
      </c>
      <c r="T25" s="264">
        <v>1.43</v>
      </c>
      <c r="U25" s="264">
        <v>1.44</v>
      </c>
      <c r="V25" s="264">
        <v>1.46</v>
      </c>
      <c r="W25" s="264">
        <v>1.48</v>
      </c>
      <c r="X25" s="264">
        <v>1.51</v>
      </c>
      <c r="Y25" s="264">
        <v>1.55</v>
      </c>
      <c r="Z25" s="264">
        <v>1.59</v>
      </c>
      <c r="AA25" s="130">
        <f t="shared" si="0"/>
        <v>1.4708333333333334</v>
      </c>
      <c r="AB25" s="58">
        <f>IF(AA25=" "," ",IF('c-form'!AE15="",AA25,AA25+'c-form'!AE15))</f>
        <v>339.07083333333338</v>
      </c>
      <c r="AC25" s="58">
        <f>IF(AA25=" "," ",IF('c-form'!AE15="",AM25,AM25+'c-form'!AE15))</f>
        <v>339.19</v>
      </c>
      <c r="AD25" s="150">
        <f t="shared" si="5"/>
        <v>24</v>
      </c>
      <c r="AE25" s="58">
        <f>IF(AA25=" "," ",IF('c-form'!AE15="",AN25,AN25+'c-form'!AE15))</f>
        <v>339.01000000000005</v>
      </c>
      <c r="AF25" s="150">
        <f t="shared" si="6"/>
        <v>13</v>
      </c>
      <c r="AG25" s="228"/>
      <c r="AM25" s="85">
        <f t="shared" si="2"/>
        <v>1.59</v>
      </c>
      <c r="AN25" s="94">
        <f t="shared" si="4"/>
        <v>1.41</v>
      </c>
    </row>
    <row r="26" spans="1:40" ht="22.5" customHeight="1">
      <c r="A26" s="93"/>
      <c r="B26" s="145">
        <v>15</v>
      </c>
      <c r="C26" s="264">
        <v>1.63</v>
      </c>
      <c r="D26" s="264">
        <v>1.67</v>
      </c>
      <c r="E26" s="264">
        <v>1.72</v>
      </c>
      <c r="F26" s="264">
        <v>1.77</v>
      </c>
      <c r="G26" s="264">
        <v>1.8</v>
      </c>
      <c r="H26" s="264">
        <v>1.83</v>
      </c>
      <c r="I26" s="264">
        <v>1.87</v>
      </c>
      <c r="J26" s="264">
        <v>1.89</v>
      </c>
      <c r="K26" s="264">
        <v>1.91</v>
      </c>
      <c r="L26" s="264">
        <v>1.93</v>
      </c>
      <c r="M26" s="264">
        <v>1.95</v>
      </c>
      <c r="N26" s="264">
        <v>1.96</v>
      </c>
      <c r="O26" s="264">
        <v>1.96</v>
      </c>
      <c r="P26" s="264">
        <v>1.96</v>
      </c>
      <c r="Q26" s="264">
        <v>1.96</v>
      </c>
      <c r="R26" s="264">
        <v>1.95</v>
      </c>
      <c r="S26" s="264">
        <v>1.94</v>
      </c>
      <c r="T26" s="264">
        <v>1.92</v>
      </c>
      <c r="U26" s="264">
        <v>1.9</v>
      </c>
      <c r="V26" s="264">
        <v>1.88</v>
      </c>
      <c r="W26" s="264">
        <v>1.85</v>
      </c>
      <c r="X26" s="264">
        <v>1.83</v>
      </c>
      <c r="Y26" s="264">
        <v>1.79</v>
      </c>
      <c r="Z26" s="264">
        <v>1.77</v>
      </c>
      <c r="AA26" s="130">
        <f t="shared" si="0"/>
        <v>1.8600000000000003</v>
      </c>
      <c r="AB26" s="58">
        <f>IF(AA26=" "," ",IF('c-form'!AE15="",AA26,AA26+'c-form'!AE15))</f>
        <v>339.46000000000004</v>
      </c>
      <c r="AC26" s="58">
        <f>IF(AA26=" "," ",IF('c-form'!AE15="",AM26,AM26+'c-form'!AE15))</f>
        <v>339.56</v>
      </c>
      <c r="AD26" s="150">
        <f t="shared" si="5"/>
        <v>12</v>
      </c>
      <c r="AE26" s="58">
        <f>IF(AA26=" "," ",IF('c-form'!AE15="",AN26,AN26+'c-form'!AE15))</f>
        <v>339.23</v>
      </c>
      <c r="AF26" s="150">
        <f t="shared" si="6"/>
        <v>1</v>
      </c>
      <c r="AG26" s="228"/>
      <c r="AM26" s="85">
        <f t="shared" si="2"/>
        <v>1.96</v>
      </c>
      <c r="AN26" s="94">
        <f t="shared" si="4"/>
        <v>1.63</v>
      </c>
    </row>
    <row r="27" spans="1:40" ht="22.5" customHeight="1">
      <c r="A27" s="93"/>
      <c r="B27" s="145">
        <v>16</v>
      </c>
      <c r="C27" s="264">
        <v>1.75</v>
      </c>
      <c r="D27" s="264">
        <v>1.72</v>
      </c>
      <c r="E27" s="264">
        <v>1.69</v>
      </c>
      <c r="F27" s="264">
        <v>1.67</v>
      </c>
      <c r="G27" s="264">
        <v>1.65</v>
      </c>
      <c r="H27" s="264">
        <v>1.63</v>
      </c>
      <c r="I27" s="264">
        <v>1.6</v>
      </c>
      <c r="J27" s="264">
        <v>1.59</v>
      </c>
      <c r="K27" s="264">
        <v>1.59</v>
      </c>
      <c r="L27" s="264">
        <v>1.58</v>
      </c>
      <c r="M27" s="264">
        <v>1.58</v>
      </c>
      <c r="N27" s="264">
        <v>1.58</v>
      </c>
      <c r="O27" s="264">
        <v>1.57</v>
      </c>
      <c r="P27" s="264">
        <v>1.57</v>
      </c>
      <c r="Q27" s="264">
        <v>1.57</v>
      </c>
      <c r="R27" s="264">
        <v>1.6</v>
      </c>
      <c r="S27" s="264">
        <v>1.62</v>
      </c>
      <c r="T27" s="264">
        <v>1.65</v>
      </c>
      <c r="U27" s="264">
        <v>1.7</v>
      </c>
      <c r="V27" s="264">
        <v>1.76</v>
      </c>
      <c r="W27" s="264">
        <v>1.82</v>
      </c>
      <c r="X27" s="264">
        <v>1.87</v>
      </c>
      <c r="Y27" s="264">
        <v>1.93</v>
      </c>
      <c r="Z27" s="264">
        <v>1.97</v>
      </c>
      <c r="AA27" s="130">
        <f t="shared" si="0"/>
        <v>1.6774999999999995</v>
      </c>
      <c r="AB27" s="58">
        <f>IF(AA27=" "," ",IF('c-form'!AE15="",AA27,AA27+'c-form'!AE15))</f>
        <v>339.27750000000003</v>
      </c>
      <c r="AC27" s="58">
        <f>IF(AA27=" "," ",IF('c-form'!AE15="",AM27,AM27+'c-form'!AE15))</f>
        <v>339.57000000000005</v>
      </c>
      <c r="AD27" s="150">
        <f t="shared" si="5"/>
        <v>24</v>
      </c>
      <c r="AE27" s="58">
        <f>IF(AA27=" "," ",IF('c-form'!AE15="",AN27,AN27+'c-form'!AE15))</f>
        <v>339.17</v>
      </c>
      <c r="AF27" s="150">
        <f t="shared" si="6"/>
        <v>13</v>
      </c>
      <c r="AG27" s="228"/>
      <c r="AM27" s="85">
        <f t="shared" si="2"/>
        <v>1.97</v>
      </c>
      <c r="AN27" s="94">
        <f t="shared" si="4"/>
        <v>1.57</v>
      </c>
    </row>
    <row r="28" spans="1:40" ht="22.5" customHeight="1">
      <c r="A28" s="93"/>
      <c r="B28" s="145">
        <v>17</v>
      </c>
      <c r="C28" s="264">
        <v>2</v>
      </c>
      <c r="D28" s="264">
        <v>2.02</v>
      </c>
      <c r="E28" s="264">
        <v>2.04</v>
      </c>
      <c r="F28" s="264">
        <v>2.0499999999999998</v>
      </c>
      <c r="G28" s="264">
        <v>2.0499999999999998</v>
      </c>
      <c r="H28" s="264">
        <v>2.0499999999999998</v>
      </c>
      <c r="I28" s="264">
        <v>2.0499999999999998</v>
      </c>
      <c r="J28" s="264">
        <v>2.04</v>
      </c>
      <c r="K28" s="264">
        <v>2.02</v>
      </c>
      <c r="L28" s="264">
        <v>1.99</v>
      </c>
      <c r="M28" s="264">
        <v>1.97</v>
      </c>
      <c r="N28" s="264">
        <v>1.94</v>
      </c>
      <c r="O28" s="264">
        <v>1.91</v>
      </c>
      <c r="P28" s="264">
        <v>1.87</v>
      </c>
      <c r="Q28" s="264">
        <v>1.84</v>
      </c>
      <c r="R28" s="264">
        <v>1.82</v>
      </c>
      <c r="S28" s="264">
        <v>1.8</v>
      </c>
      <c r="T28" s="264">
        <v>1.79</v>
      </c>
      <c r="U28" s="264">
        <v>1.78</v>
      </c>
      <c r="V28" s="264">
        <v>1.78</v>
      </c>
      <c r="W28" s="264">
        <v>1.78</v>
      </c>
      <c r="X28" s="264">
        <v>1.78</v>
      </c>
      <c r="Y28" s="264">
        <v>1.78</v>
      </c>
      <c r="Z28" s="264">
        <v>1.79</v>
      </c>
      <c r="AA28" s="130">
        <f t="shared" si="0"/>
        <v>1.9141666666666668</v>
      </c>
      <c r="AB28" s="58">
        <f>IF(AA28=" "," ",IF('c-form'!AE15="",AA28,AA28+'c-form'!AE15))</f>
        <v>339.51416666666671</v>
      </c>
      <c r="AC28" s="58">
        <f>IF(AA28=" "," ",IF('c-form'!AE15="",AM28,AM28+'c-form'!AE15))</f>
        <v>339.65000000000003</v>
      </c>
      <c r="AD28" s="150">
        <f t="shared" si="5"/>
        <v>4</v>
      </c>
      <c r="AE28" s="58">
        <f>IF(AA28=" "," ",IF('c-form'!AE15="",AN28,AN28+'c-form'!AE15))</f>
        <v>339.38</v>
      </c>
      <c r="AF28" s="150">
        <f t="shared" si="6"/>
        <v>19</v>
      </c>
      <c r="AG28" s="228"/>
      <c r="AM28" s="85">
        <f t="shared" si="2"/>
        <v>2.0499999999999998</v>
      </c>
      <c r="AN28" s="94">
        <f t="shared" si="4"/>
        <v>1.78</v>
      </c>
    </row>
    <row r="29" spans="1:40" ht="22.5" customHeight="1">
      <c r="A29" s="93"/>
      <c r="B29" s="145">
        <v>18</v>
      </c>
      <c r="C29" s="264">
        <v>1.8</v>
      </c>
      <c r="D29" s="264">
        <v>1.81</v>
      </c>
      <c r="E29" s="264">
        <v>1.83</v>
      </c>
      <c r="F29" s="264">
        <v>1.85</v>
      </c>
      <c r="G29" s="264">
        <v>1.89</v>
      </c>
      <c r="H29" s="264">
        <v>1.92</v>
      </c>
      <c r="I29" s="264">
        <v>1.95</v>
      </c>
      <c r="J29" s="264">
        <v>1.97</v>
      </c>
      <c r="K29" s="264">
        <v>1.98</v>
      </c>
      <c r="L29" s="264">
        <v>1.99</v>
      </c>
      <c r="M29" s="264">
        <v>2</v>
      </c>
      <c r="N29" s="264">
        <v>2</v>
      </c>
      <c r="O29" s="264">
        <v>2</v>
      </c>
      <c r="P29" s="264">
        <v>1.98</v>
      </c>
      <c r="Q29" s="264">
        <v>1.96</v>
      </c>
      <c r="R29" s="264">
        <v>1.93</v>
      </c>
      <c r="S29" s="264">
        <v>1.89</v>
      </c>
      <c r="T29" s="264">
        <v>1.84</v>
      </c>
      <c r="U29" s="264">
        <v>1.8</v>
      </c>
      <c r="V29" s="264">
        <v>1.75</v>
      </c>
      <c r="W29" s="264">
        <v>1.7</v>
      </c>
      <c r="X29" s="264">
        <v>1.66</v>
      </c>
      <c r="Y29" s="264">
        <v>1.61</v>
      </c>
      <c r="Z29" s="264">
        <v>1.57</v>
      </c>
      <c r="AA29" s="130">
        <f t="shared" si="0"/>
        <v>1.8616666666666666</v>
      </c>
      <c r="AB29" s="58">
        <f>IF(AA29=" "," ",IF('c-form'!AE15="",AA29,AA29+'c-form'!AE15))</f>
        <v>339.4616666666667</v>
      </c>
      <c r="AC29" s="58">
        <f>IF(AA29=" "," ",IF('c-form'!AE15="",AM29,AM29+'c-form'!AE15))</f>
        <v>339.6</v>
      </c>
      <c r="AD29" s="150">
        <f t="shared" si="5"/>
        <v>11</v>
      </c>
      <c r="AE29" s="58">
        <f>IF(AA29=" "," ",IF('c-form'!AE15="",AN29,AN29+'c-form'!AE15))</f>
        <v>339.17</v>
      </c>
      <c r="AF29" s="150">
        <f t="shared" si="6"/>
        <v>24</v>
      </c>
      <c r="AG29" s="228"/>
      <c r="AM29" s="85">
        <f>IF(AB29=" "," ",MAX(C29:Z29))</f>
        <v>2</v>
      </c>
      <c r="AN29" s="94">
        <f t="shared" si="4"/>
        <v>1.57</v>
      </c>
    </row>
    <row r="30" spans="1:40" ht="22.5" customHeight="1">
      <c r="A30" s="93"/>
      <c r="B30" s="145">
        <v>19</v>
      </c>
      <c r="C30" s="264">
        <v>1.54</v>
      </c>
      <c r="D30" s="264">
        <v>1.51</v>
      </c>
      <c r="E30" s="264">
        <v>1.49</v>
      </c>
      <c r="F30" s="264">
        <v>1.47</v>
      </c>
      <c r="G30" s="264">
        <v>1.45</v>
      </c>
      <c r="H30" s="264">
        <v>1.43</v>
      </c>
      <c r="I30" s="264">
        <v>1.41</v>
      </c>
      <c r="J30" s="264">
        <v>1.4</v>
      </c>
      <c r="K30" s="264">
        <v>1.39</v>
      </c>
      <c r="L30" s="264">
        <v>1.38</v>
      </c>
      <c r="M30" s="264">
        <v>1.37</v>
      </c>
      <c r="N30" s="264">
        <v>1.36</v>
      </c>
      <c r="O30" s="264">
        <v>1.36</v>
      </c>
      <c r="P30" s="264">
        <v>1.35</v>
      </c>
      <c r="Q30" s="264">
        <v>1.35</v>
      </c>
      <c r="R30" s="264">
        <v>1.34</v>
      </c>
      <c r="S30" s="264">
        <v>1.33</v>
      </c>
      <c r="T30" s="264">
        <v>1.32</v>
      </c>
      <c r="U30" s="264">
        <v>1.31</v>
      </c>
      <c r="V30" s="264">
        <v>1.3</v>
      </c>
      <c r="W30" s="264">
        <v>1.29</v>
      </c>
      <c r="X30" s="264">
        <v>1.29</v>
      </c>
      <c r="Y30" s="264">
        <v>1.28</v>
      </c>
      <c r="Z30" s="264">
        <v>1.28</v>
      </c>
      <c r="AA30" s="130">
        <f t="shared" si="0"/>
        <v>1.3750000000000002</v>
      </c>
      <c r="AB30" s="58">
        <f>IF(AA30=" "," ",IF('c-form'!AE15="",AA30,AA30+'c-form'!AE15))</f>
        <v>338.97500000000002</v>
      </c>
      <c r="AC30" s="58">
        <f>IF(AA30=" "," ",IF('c-form'!AE15="",AM30,AM30+'c-form'!AE15))</f>
        <v>339.14000000000004</v>
      </c>
      <c r="AD30" s="150">
        <f t="shared" si="5"/>
        <v>1</v>
      </c>
      <c r="AE30" s="58">
        <f>IF(AA30=" "," ",IF('c-form'!AE15="",AN30,AN30+'c-form'!AE15))</f>
        <v>338.88</v>
      </c>
      <c r="AF30" s="150">
        <f t="shared" si="6"/>
        <v>23</v>
      </c>
      <c r="AG30" s="228"/>
      <c r="AM30" s="85">
        <f t="shared" si="2"/>
        <v>1.54</v>
      </c>
      <c r="AN30" s="94">
        <f t="shared" si="4"/>
        <v>1.28</v>
      </c>
    </row>
    <row r="31" spans="1:40" ht="22.5" customHeight="1">
      <c r="A31" s="93"/>
      <c r="B31" s="145">
        <v>20</v>
      </c>
      <c r="C31" s="264">
        <v>1.28</v>
      </c>
      <c r="D31" s="264">
        <v>1.27</v>
      </c>
      <c r="E31" s="264">
        <v>1.26</v>
      </c>
      <c r="F31" s="264">
        <v>1.26</v>
      </c>
      <c r="G31" s="264">
        <v>1.25</v>
      </c>
      <c r="H31" s="264">
        <v>1.25</v>
      </c>
      <c r="I31" s="264">
        <v>1.25</v>
      </c>
      <c r="J31" s="264">
        <v>1.24</v>
      </c>
      <c r="K31" s="264">
        <v>1.24</v>
      </c>
      <c r="L31" s="264">
        <v>1.24</v>
      </c>
      <c r="M31" s="264">
        <v>1.23</v>
      </c>
      <c r="N31" s="264">
        <v>1.23</v>
      </c>
      <c r="O31" s="264">
        <v>1.23</v>
      </c>
      <c r="P31" s="264">
        <v>1.23</v>
      </c>
      <c r="Q31" s="264">
        <v>1.23</v>
      </c>
      <c r="R31" s="264">
        <v>1.22</v>
      </c>
      <c r="S31" s="264">
        <v>1.22</v>
      </c>
      <c r="T31" s="264">
        <v>1.22</v>
      </c>
      <c r="U31" s="264">
        <v>1.21</v>
      </c>
      <c r="V31" s="264">
        <v>1.21</v>
      </c>
      <c r="W31" s="264">
        <v>1.21</v>
      </c>
      <c r="X31" s="264">
        <v>1.2</v>
      </c>
      <c r="Y31" s="264">
        <v>1.2</v>
      </c>
      <c r="Z31" s="264">
        <v>1.19</v>
      </c>
      <c r="AA31" s="130">
        <f t="shared" si="0"/>
        <v>1.2320833333333334</v>
      </c>
      <c r="AB31" s="58">
        <f>IF(AA31=" "," ",IF('c-form'!AE15="",AA31,AA31+'c-form'!AE15))</f>
        <v>338.83208333333334</v>
      </c>
      <c r="AC31" s="58">
        <f>IF(AA31=" "," ",IF('c-form'!AE15="",AM31,AM31+'c-form'!AE15))</f>
        <v>338.88</v>
      </c>
      <c r="AD31" s="150">
        <f t="shared" si="5"/>
        <v>1</v>
      </c>
      <c r="AE31" s="58">
        <f>IF(AA31=" "," ",IF('c-form'!AE15="",AN31,AN31+'c-form'!AE15))</f>
        <v>338.79</v>
      </c>
      <c r="AF31" s="150">
        <f t="shared" si="6"/>
        <v>24</v>
      </c>
      <c r="AG31" s="228"/>
      <c r="AM31" s="85">
        <f t="shared" si="2"/>
        <v>1.28</v>
      </c>
      <c r="AN31" s="94">
        <f t="shared" si="4"/>
        <v>1.19</v>
      </c>
    </row>
    <row r="32" spans="1:40" ht="22.5" customHeight="1">
      <c r="A32" s="93"/>
      <c r="B32" s="146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  <c r="AB32" s="139"/>
      <c r="AC32" s="139"/>
      <c r="AD32" s="151"/>
      <c r="AE32" s="139"/>
      <c r="AF32" s="151"/>
      <c r="AG32" s="228"/>
      <c r="AM32" s="85">
        <f t="shared" si="2"/>
        <v>0</v>
      </c>
      <c r="AN32" s="94">
        <f t="shared" si="4"/>
        <v>0</v>
      </c>
    </row>
    <row r="33" spans="1:40" ht="22.5" customHeight="1">
      <c r="A33" s="93"/>
      <c r="B33" s="145">
        <v>21</v>
      </c>
      <c r="C33" s="264">
        <v>1.19</v>
      </c>
      <c r="D33" s="264">
        <v>1.19</v>
      </c>
      <c r="E33" s="264">
        <v>1.18</v>
      </c>
      <c r="F33" s="264">
        <v>1.18</v>
      </c>
      <c r="G33" s="264">
        <v>1.18</v>
      </c>
      <c r="H33" s="264">
        <v>1.17</v>
      </c>
      <c r="I33" s="264">
        <v>1.17</v>
      </c>
      <c r="J33" s="264">
        <v>1.1599999999999999</v>
      </c>
      <c r="K33" s="264">
        <v>1.1599999999999999</v>
      </c>
      <c r="L33" s="264">
        <v>1.1499999999999999</v>
      </c>
      <c r="M33" s="264">
        <v>1.1499999999999999</v>
      </c>
      <c r="N33" s="264">
        <v>1.1399999999999999</v>
      </c>
      <c r="O33" s="264">
        <v>1.1399999999999999</v>
      </c>
      <c r="P33" s="264">
        <v>1.1299999999999999</v>
      </c>
      <c r="Q33" s="264">
        <v>1.1200000000000001</v>
      </c>
      <c r="R33" s="264">
        <v>1.1100000000000001</v>
      </c>
      <c r="S33" s="264">
        <v>1.1000000000000001</v>
      </c>
      <c r="T33" s="264">
        <v>1.0900000000000001</v>
      </c>
      <c r="U33" s="264">
        <v>1.08</v>
      </c>
      <c r="V33" s="264">
        <v>1.07</v>
      </c>
      <c r="W33" s="264">
        <v>1.06</v>
      </c>
      <c r="X33" s="264">
        <v>1.05</v>
      </c>
      <c r="Y33" s="264">
        <v>1.04</v>
      </c>
      <c r="Z33" s="264">
        <v>1.03</v>
      </c>
      <c r="AA33" s="130">
        <f t="shared" si="0"/>
        <v>1.1266666666666667</v>
      </c>
      <c r="AB33" s="58">
        <f>IF(AA33=" "," ",IF('c-form'!AE15="",AA33,AA33+'c-form'!AE15))</f>
        <v>338.72666666666669</v>
      </c>
      <c r="AC33" s="58">
        <f>IF(AA33=" "," ",IF('c-form'!AE15="",AM33,AM33+'c-form'!AE15))</f>
        <v>338.79</v>
      </c>
      <c r="AD33" s="150">
        <f t="shared" ref="AD33:AD41" si="7">IF(AB33=" "," ",MATCH(AM33,C33:Z33,0))</f>
        <v>1</v>
      </c>
      <c r="AE33" s="58">
        <f>IF(AA33=" "," ",IF('c-form'!AE15="",AN33,AN33+'c-form'!AE15))</f>
        <v>338.63</v>
      </c>
      <c r="AF33" s="150">
        <f t="shared" ref="AF33:AF41" si="8">IF(AD33=" "," ",MATCH(AN33,C33:Z33,0))</f>
        <v>24</v>
      </c>
      <c r="AG33" s="228"/>
      <c r="AM33" s="85">
        <f t="shared" si="2"/>
        <v>1.19</v>
      </c>
      <c r="AN33" s="94">
        <f t="shared" si="4"/>
        <v>1.03</v>
      </c>
    </row>
    <row r="34" spans="1:40" ht="22.5" customHeight="1">
      <c r="A34" s="93"/>
      <c r="B34" s="145">
        <v>22</v>
      </c>
      <c r="C34" s="264">
        <v>1.01</v>
      </c>
      <c r="D34" s="264">
        <v>1</v>
      </c>
      <c r="E34" s="264">
        <v>1</v>
      </c>
      <c r="F34" s="264">
        <v>0.99</v>
      </c>
      <c r="G34" s="264">
        <v>0.99</v>
      </c>
      <c r="H34" s="264">
        <v>0.98</v>
      </c>
      <c r="I34" s="264">
        <v>0.98</v>
      </c>
      <c r="J34" s="264">
        <v>0.97</v>
      </c>
      <c r="K34" s="264">
        <v>0.97</v>
      </c>
      <c r="L34" s="264">
        <v>0.96</v>
      </c>
      <c r="M34" s="264">
        <v>0.96</v>
      </c>
      <c r="N34" s="264">
        <v>0.95</v>
      </c>
      <c r="O34" s="264">
        <v>0.95</v>
      </c>
      <c r="P34" s="264">
        <v>0.94</v>
      </c>
      <c r="Q34" s="264">
        <v>0.94</v>
      </c>
      <c r="R34" s="264">
        <v>0.93</v>
      </c>
      <c r="S34" s="264">
        <v>0.93</v>
      </c>
      <c r="T34" s="264">
        <v>0.92</v>
      </c>
      <c r="U34" s="264">
        <v>0.92</v>
      </c>
      <c r="V34" s="264">
        <v>0.91</v>
      </c>
      <c r="W34" s="264">
        <v>0.91</v>
      </c>
      <c r="X34" s="264">
        <v>0.9</v>
      </c>
      <c r="Y34" s="264">
        <v>0.9</v>
      </c>
      <c r="Z34" s="264">
        <v>0.89</v>
      </c>
      <c r="AA34" s="130">
        <f t="shared" si="0"/>
        <v>0.95000000000000007</v>
      </c>
      <c r="AB34" s="58">
        <f>IF(AA34=" "," ",IF('c-form'!AE15="",AA34,AA34+'c-form'!AE15))</f>
        <v>338.55</v>
      </c>
      <c r="AC34" s="58">
        <f>IF(AA34=" "," ",IF('c-form'!AE15="",AM34,AM34+'c-form'!AE15))</f>
        <v>338.61</v>
      </c>
      <c r="AD34" s="150">
        <f t="shared" si="7"/>
        <v>1</v>
      </c>
      <c r="AE34" s="58">
        <f>IF(AA34=" "," ",IF('c-form'!AE15="",AN34,AN34+'c-form'!AE15))</f>
        <v>338.49</v>
      </c>
      <c r="AF34" s="150">
        <f t="shared" si="8"/>
        <v>24</v>
      </c>
      <c r="AG34" s="228"/>
      <c r="AM34" s="85">
        <f t="shared" si="2"/>
        <v>1.01</v>
      </c>
      <c r="AN34" s="94">
        <f t="shared" si="4"/>
        <v>0.89</v>
      </c>
    </row>
    <row r="35" spans="1:40" ht="22.5" customHeight="1">
      <c r="A35" s="93"/>
      <c r="B35" s="145">
        <v>23</v>
      </c>
      <c r="C35" s="264">
        <v>0.89</v>
      </c>
      <c r="D35" s="264">
        <v>0.88</v>
      </c>
      <c r="E35" s="264">
        <v>0.88</v>
      </c>
      <c r="F35" s="264">
        <v>0.88</v>
      </c>
      <c r="G35" s="264">
        <v>0.88</v>
      </c>
      <c r="H35" s="264">
        <v>0.88</v>
      </c>
      <c r="I35" s="264">
        <v>0.87</v>
      </c>
      <c r="J35" s="264">
        <v>0.87</v>
      </c>
      <c r="K35" s="264">
        <v>0.87</v>
      </c>
      <c r="L35" s="264">
        <v>0.86</v>
      </c>
      <c r="M35" s="264">
        <v>0.86</v>
      </c>
      <c r="N35" s="264">
        <v>0.86</v>
      </c>
      <c r="O35" s="264">
        <v>0.85</v>
      </c>
      <c r="P35" s="264">
        <v>0.85</v>
      </c>
      <c r="Q35" s="264">
        <v>0.85</v>
      </c>
      <c r="R35" s="264">
        <v>0.85</v>
      </c>
      <c r="S35" s="264">
        <v>0.85</v>
      </c>
      <c r="T35" s="264">
        <v>0.85</v>
      </c>
      <c r="U35" s="264">
        <v>0.84</v>
      </c>
      <c r="V35" s="264">
        <v>0.84</v>
      </c>
      <c r="W35" s="264">
        <v>0.84</v>
      </c>
      <c r="X35" s="264">
        <v>0.84</v>
      </c>
      <c r="Y35" s="264">
        <v>0.84</v>
      </c>
      <c r="Z35" s="264">
        <v>0.84</v>
      </c>
      <c r="AA35" s="130">
        <f t="shared" si="0"/>
        <v>0.85916666666666652</v>
      </c>
      <c r="AB35" s="58">
        <f>IF(AA35=" "," ",IF('c-form'!AE15="",AA35,AA35+'c-form'!AE15))</f>
        <v>338.4591666666667</v>
      </c>
      <c r="AC35" s="58">
        <f>IF(AA35=" "," ",IF('c-form'!AE15="",AM35,AM35+'c-form'!AE15))</f>
        <v>338.49</v>
      </c>
      <c r="AD35" s="150">
        <f t="shared" si="7"/>
        <v>1</v>
      </c>
      <c r="AE35" s="58">
        <f>IF(AA35=" "," ",IF('c-form'!AE15="",AN35,AN35+'c-form'!AE15))</f>
        <v>338.44</v>
      </c>
      <c r="AF35" s="150">
        <f t="shared" si="8"/>
        <v>19</v>
      </c>
      <c r="AG35" s="228"/>
      <c r="AM35" s="85">
        <f t="shared" si="2"/>
        <v>0.89</v>
      </c>
      <c r="AN35" s="94">
        <f t="shared" si="4"/>
        <v>0.84</v>
      </c>
    </row>
    <row r="36" spans="1:40" ht="22.5" customHeight="1">
      <c r="A36" s="93"/>
      <c r="B36" s="145">
        <v>24</v>
      </c>
      <c r="C36" s="264">
        <v>0.83</v>
      </c>
      <c r="D36" s="264">
        <v>0.83</v>
      </c>
      <c r="E36" s="264">
        <v>0.83</v>
      </c>
      <c r="F36" s="264">
        <v>0.83</v>
      </c>
      <c r="G36" s="264">
        <v>0.83</v>
      </c>
      <c r="H36" s="264">
        <v>0.82</v>
      </c>
      <c r="I36" s="264">
        <v>0.82</v>
      </c>
      <c r="J36" s="264">
        <v>0.82</v>
      </c>
      <c r="K36" s="264">
        <v>0.82</v>
      </c>
      <c r="L36" s="264">
        <v>0.82</v>
      </c>
      <c r="M36" s="264">
        <v>0.82</v>
      </c>
      <c r="N36" s="264">
        <v>0.82</v>
      </c>
      <c r="O36" s="264">
        <v>0.81</v>
      </c>
      <c r="P36" s="264">
        <v>0.81</v>
      </c>
      <c r="Q36" s="264">
        <v>0.81</v>
      </c>
      <c r="R36" s="264">
        <v>0.81</v>
      </c>
      <c r="S36" s="264">
        <v>0.81</v>
      </c>
      <c r="T36" s="264">
        <v>0.81</v>
      </c>
      <c r="U36" s="264">
        <v>0.81</v>
      </c>
      <c r="V36" s="264">
        <v>0.81</v>
      </c>
      <c r="W36" s="264">
        <v>0.81</v>
      </c>
      <c r="X36" s="264">
        <v>0.81</v>
      </c>
      <c r="Y36" s="264">
        <v>0.81</v>
      </c>
      <c r="Z36" s="264">
        <v>0.81</v>
      </c>
      <c r="AA36" s="130">
        <f t="shared" si="0"/>
        <v>0.81708333333333327</v>
      </c>
      <c r="AB36" s="58">
        <f>IF(AA36=" "," ",IF('c-form'!AE15="",AA36,AA36+'c-form'!AE15))</f>
        <v>338.41708333333338</v>
      </c>
      <c r="AC36" s="58">
        <f>IF(AA36=" "," ",IF('c-form'!AE15="",AM36,AM36+'c-form'!AE15))</f>
        <v>338.43</v>
      </c>
      <c r="AD36" s="150">
        <f t="shared" si="7"/>
        <v>1</v>
      </c>
      <c r="AE36" s="58">
        <f>IF(AA36=" "," ",IF('c-form'!AE15="",AN36,AN36+'c-form'!AE15))</f>
        <v>338.41</v>
      </c>
      <c r="AF36" s="150">
        <f t="shared" si="8"/>
        <v>13</v>
      </c>
      <c r="AG36" s="228"/>
      <c r="AM36" s="85">
        <f t="shared" si="2"/>
        <v>0.83</v>
      </c>
      <c r="AN36" s="94">
        <f t="shared" si="4"/>
        <v>0.81</v>
      </c>
    </row>
    <row r="37" spans="1:40" ht="22.5" customHeight="1">
      <c r="A37" s="93"/>
      <c r="B37" s="145">
        <v>25</v>
      </c>
      <c r="C37" s="264">
        <v>0.82</v>
      </c>
      <c r="D37" s="264">
        <v>0.82</v>
      </c>
      <c r="E37" s="264">
        <v>0.82</v>
      </c>
      <c r="F37" s="264">
        <v>0.82</v>
      </c>
      <c r="G37" s="264">
        <v>0.82</v>
      </c>
      <c r="H37" s="264">
        <v>0.82</v>
      </c>
      <c r="I37" s="264">
        <v>0.82</v>
      </c>
      <c r="J37" s="264">
        <v>0.82</v>
      </c>
      <c r="K37" s="264">
        <v>0.82</v>
      </c>
      <c r="L37" s="264">
        <v>0.82</v>
      </c>
      <c r="M37" s="264">
        <v>0.82</v>
      </c>
      <c r="N37" s="264">
        <v>0.82</v>
      </c>
      <c r="O37" s="264">
        <v>0.81</v>
      </c>
      <c r="P37" s="264">
        <v>0.81</v>
      </c>
      <c r="Q37" s="264">
        <v>0.81</v>
      </c>
      <c r="R37" s="264">
        <v>0.81</v>
      </c>
      <c r="S37" s="264">
        <v>0.81</v>
      </c>
      <c r="T37" s="264">
        <v>0.81</v>
      </c>
      <c r="U37" s="264">
        <v>0.82</v>
      </c>
      <c r="V37" s="264">
        <v>0.82</v>
      </c>
      <c r="W37" s="264">
        <v>0.82</v>
      </c>
      <c r="X37" s="264">
        <v>0.83</v>
      </c>
      <c r="Y37" s="264">
        <v>0.83</v>
      </c>
      <c r="Z37" s="264">
        <v>0.84</v>
      </c>
      <c r="AA37" s="130">
        <f t="shared" si="0"/>
        <v>0.81916666666666671</v>
      </c>
      <c r="AB37" s="58">
        <f>IF(AA37=" "," ",IF('c-form'!AE15="",AA37,AA37+'c-form'!AE15))</f>
        <v>338.41916666666668</v>
      </c>
      <c r="AC37" s="58">
        <f>IF(AA37=" "," ",IF('c-form'!AE15="",AM37,AM37+'c-form'!AE15))</f>
        <v>338.44</v>
      </c>
      <c r="AD37" s="150">
        <f t="shared" si="7"/>
        <v>24</v>
      </c>
      <c r="AE37" s="58">
        <f>IF(AA37=" "," ",IF('c-form'!AE15="",AN37,AN37+'c-form'!AE15))</f>
        <v>338.41</v>
      </c>
      <c r="AF37" s="150">
        <f t="shared" si="8"/>
        <v>13</v>
      </c>
      <c r="AG37" s="228"/>
      <c r="AM37" s="85">
        <f t="shared" si="2"/>
        <v>0.84</v>
      </c>
      <c r="AN37" s="94">
        <f t="shared" si="4"/>
        <v>0.81</v>
      </c>
    </row>
    <row r="38" spans="1:40" ht="22.5" customHeight="1">
      <c r="A38" s="93"/>
      <c r="B38" s="145">
        <v>26</v>
      </c>
      <c r="C38" s="264">
        <v>0.84</v>
      </c>
      <c r="D38" s="264">
        <v>0.85</v>
      </c>
      <c r="E38" s="264">
        <v>0.85</v>
      </c>
      <c r="F38" s="264">
        <v>0.86</v>
      </c>
      <c r="G38" s="264">
        <v>0.87</v>
      </c>
      <c r="H38" s="264">
        <v>0.88</v>
      </c>
      <c r="I38" s="264">
        <v>0.9</v>
      </c>
      <c r="J38" s="264">
        <v>0.92</v>
      </c>
      <c r="K38" s="264">
        <v>0.94</v>
      </c>
      <c r="L38" s="264">
        <v>0.96</v>
      </c>
      <c r="M38" s="264">
        <v>0.99</v>
      </c>
      <c r="N38" s="264">
        <v>1.01</v>
      </c>
      <c r="O38" s="264">
        <v>1.03</v>
      </c>
      <c r="P38" s="264">
        <v>1.07</v>
      </c>
      <c r="Q38" s="264">
        <v>1.1000000000000001</v>
      </c>
      <c r="R38" s="264">
        <v>1.1399999999999999</v>
      </c>
      <c r="S38" s="264">
        <v>1.18</v>
      </c>
      <c r="T38" s="264">
        <v>1.23</v>
      </c>
      <c r="U38" s="264">
        <v>1.27</v>
      </c>
      <c r="V38" s="264">
        <v>1.32</v>
      </c>
      <c r="W38" s="264">
        <v>1.39</v>
      </c>
      <c r="X38" s="264">
        <v>1.45</v>
      </c>
      <c r="Y38" s="264">
        <v>1.5</v>
      </c>
      <c r="Z38" s="264">
        <v>1.55</v>
      </c>
      <c r="AA38" s="130">
        <f t="shared" si="0"/>
        <v>1.0875000000000001</v>
      </c>
      <c r="AB38" s="58">
        <f>IF(AA38=" "," ",IF('c-form'!AE15="",AA38,AA38+'c-form'!AE15))</f>
        <v>338.6875</v>
      </c>
      <c r="AC38" s="58">
        <f>IF(AA38=" "," ",IF('c-form'!AE15="",AM38,AM38+'c-form'!AE15))</f>
        <v>339.15000000000003</v>
      </c>
      <c r="AD38" s="150">
        <f t="shared" si="7"/>
        <v>24</v>
      </c>
      <c r="AE38" s="58">
        <f>IF(AA38=" "," ",IF('c-form'!AE15="",AN38,AN38+'c-form'!AE15))</f>
        <v>338.44</v>
      </c>
      <c r="AF38" s="150">
        <f t="shared" si="8"/>
        <v>1</v>
      </c>
      <c r="AG38" s="228"/>
      <c r="AM38" s="85">
        <f t="shared" si="2"/>
        <v>1.55</v>
      </c>
      <c r="AN38" s="94">
        <f t="shared" si="4"/>
        <v>0.84</v>
      </c>
    </row>
    <row r="39" spans="1:40" ht="22.5" customHeight="1">
      <c r="A39" s="93"/>
      <c r="B39" s="145">
        <v>27</v>
      </c>
      <c r="C39" s="264">
        <v>1.62</v>
      </c>
      <c r="D39" s="264">
        <v>1.68</v>
      </c>
      <c r="E39" s="264">
        <v>1.75</v>
      </c>
      <c r="F39" s="264">
        <v>1.8</v>
      </c>
      <c r="G39" s="264">
        <v>1.85</v>
      </c>
      <c r="H39" s="264">
        <v>1.88</v>
      </c>
      <c r="I39" s="264">
        <v>1.92</v>
      </c>
      <c r="J39" s="264">
        <v>1.96</v>
      </c>
      <c r="K39" s="264">
        <v>1.98</v>
      </c>
      <c r="L39" s="264">
        <v>2</v>
      </c>
      <c r="M39" s="264">
        <v>2.02</v>
      </c>
      <c r="N39" s="264">
        <v>2.0299999999999998</v>
      </c>
      <c r="O39" s="264">
        <v>2.04</v>
      </c>
      <c r="P39" s="264">
        <v>2.04</v>
      </c>
      <c r="Q39" s="264">
        <v>2.04</v>
      </c>
      <c r="R39" s="264">
        <v>2.0299999999999998</v>
      </c>
      <c r="S39" s="264">
        <v>2.0099999999999998</v>
      </c>
      <c r="T39" s="264">
        <v>1.99</v>
      </c>
      <c r="U39" s="264">
        <v>1.97</v>
      </c>
      <c r="V39" s="264">
        <v>1.93</v>
      </c>
      <c r="W39" s="264">
        <v>1.87</v>
      </c>
      <c r="X39" s="264">
        <v>1.81</v>
      </c>
      <c r="Y39" s="264">
        <v>1.73</v>
      </c>
      <c r="Z39" s="264">
        <v>1.69</v>
      </c>
      <c r="AA39" s="130">
        <f t="shared" si="0"/>
        <v>1.9016666666666664</v>
      </c>
      <c r="AB39" s="58">
        <f>IF(AA39=" "," ",IF('c-form'!AE15="",AA39,AA39+'c-form'!AE15))</f>
        <v>339.50166666666667</v>
      </c>
      <c r="AC39" s="58">
        <f>IF(AA39=" "," ",IF('c-form'!AE15="",AM39,AM39+'c-form'!AE15))</f>
        <v>339.64000000000004</v>
      </c>
      <c r="AD39" s="150">
        <f t="shared" si="7"/>
        <v>13</v>
      </c>
      <c r="AE39" s="58">
        <f>IF(AA39=" "," ",IF('c-form'!AE15="",AN39,AN39+'c-form'!AE15))</f>
        <v>339.22</v>
      </c>
      <c r="AF39" s="150">
        <f t="shared" si="8"/>
        <v>1</v>
      </c>
      <c r="AG39" s="228"/>
      <c r="AM39" s="85">
        <f>IF(AB39=" "," ",MAX(C39:Z39))</f>
        <v>2.04</v>
      </c>
      <c r="AN39" s="94">
        <f t="shared" si="4"/>
        <v>1.62</v>
      </c>
    </row>
    <row r="40" spans="1:40" ht="22.5" customHeight="1">
      <c r="A40" s="93"/>
      <c r="B40" s="145">
        <v>28</v>
      </c>
      <c r="C40" s="264">
        <v>1.64</v>
      </c>
      <c r="D40" s="264">
        <v>1.59</v>
      </c>
      <c r="E40" s="264">
        <v>1.55</v>
      </c>
      <c r="F40" s="264">
        <v>1.51</v>
      </c>
      <c r="G40" s="264">
        <v>1.49</v>
      </c>
      <c r="H40" s="264">
        <v>1.47</v>
      </c>
      <c r="I40" s="264">
        <v>1.46</v>
      </c>
      <c r="J40" s="264">
        <v>1.44</v>
      </c>
      <c r="K40" s="264">
        <v>1.43</v>
      </c>
      <c r="L40" s="264">
        <v>1.42</v>
      </c>
      <c r="M40" s="264">
        <v>1.41</v>
      </c>
      <c r="N40" s="264">
        <v>1.41</v>
      </c>
      <c r="O40" s="264">
        <v>1.41</v>
      </c>
      <c r="P40" s="264">
        <v>1.42</v>
      </c>
      <c r="Q40" s="264">
        <v>1.43</v>
      </c>
      <c r="R40" s="264">
        <v>1.44</v>
      </c>
      <c r="S40" s="264">
        <v>1.46</v>
      </c>
      <c r="T40" s="264">
        <v>1.48</v>
      </c>
      <c r="U40" s="264">
        <v>1.5</v>
      </c>
      <c r="V40" s="264">
        <v>1.54</v>
      </c>
      <c r="W40" s="264">
        <v>1.57</v>
      </c>
      <c r="X40" s="264">
        <v>1.6</v>
      </c>
      <c r="Y40" s="264">
        <v>1.64</v>
      </c>
      <c r="Z40" s="264">
        <v>1.68</v>
      </c>
      <c r="AA40" s="130">
        <f t="shared" si="0"/>
        <v>1.4995833333333335</v>
      </c>
      <c r="AB40" s="58">
        <f>IF(AA40=" "," ",IF('c-form'!AE15="",AA40,AA40+'c-form'!AE15))</f>
        <v>339.09958333333333</v>
      </c>
      <c r="AC40" s="58">
        <f>IF(AA40=" "," ",IF('c-form'!AE15="",AM40,AM40+'c-form'!AE15))</f>
        <v>339.28000000000003</v>
      </c>
      <c r="AD40" s="150">
        <f t="shared" si="7"/>
        <v>24</v>
      </c>
      <c r="AE40" s="58">
        <f>IF(AA40=" "," ",IF('c-form'!AE15="",AN40,AN40+'c-form'!AE15))</f>
        <v>339.01000000000005</v>
      </c>
      <c r="AF40" s="150">
        <f t="shared" si="8"/>
        <v>11</v>
      </c>
      <c r="AG40" s="228"/>
      <c r="AM40" s="85">
        <f t="shared" si="2"/>
        <v>1.68</v>
      </c>
      <c r="AN40" s="94">
        <f t="shared" si="4"/>
        <v>1.41</v>
      </c>
    </row>
    <row r="41" spans="1:40" ht="22.5" customHeight="1">
      <c r="A41" s="93"/>
      <c r="B41" s="145">
        <v>29</v>
      </c>
      <c r="C41" s="264">
        <v>1.72</v>
      </c>
      <c r="D41" s="264">
        <v>1.77</v>
      </c>
      <c r="E41" s="264">
        <v>1.81</v>
      </c>
      <c r="F41" s="264">
        <v>1.83</v>
      </c>
      <c r="G41" s="264">
        <v>1.85</v>
      </c>
      <c r="H41" s="264">
        <v>1.88</v>
      </c>
      <c r="I41" s="264">
        <v>1.9</v>
      </c>
      <c r="J41" s="264">
        <v>1.92</v>
      </c>
      <c r="K41" s="264">
        <v>1.93</v>
      </c>
      <c r="L41" s="264">
        <v>1.93</v>
      </c>
      <c r="M41" s="264">
        <v>1.93</v>
      </c>
      <c r="N41" s="264">
        <v>1.92</v>
      </c>
      <c r="O41" s="264">
        <v>1.91</v>
      </c>
      <c r="P41" s="264">
        <v>1.89</v>
      </c>
      <c r="Q41" s="264">
        <v>1.86</v>
      </c>
      <c r="R41" s="264">
        <v>1.82</v>
      </c>
      <c r="S41" s="264">
        <v>1.77</v>
      </c>
      <c r="T41" s="264">
        <v>1.71</v>
      </c>
      <c r="U41" s="264">
        <v>1.65</v>
      </c>
      <c r="V41" s="264">
        <v>1.59</v>
      </c>
      <c r="W41" s="264">
        <v>1.53</v>
      </c>
      <c r="X41" s="264">
        <v>1.49</v>
      </c>
      <c r="Y41" s="264">
        <v>1.45</v>
      </c>
      <c r="Z41" s="264">
        <v>1.41</v>
      </c>
      <c r="AA41" s="130">
        <f t="shared" si="0"/>
        <v>1.7695833333333335</v>
      </c>
      <c r="AB41" s="58">
        <f>IF(AA41=" "," ",IF('c-form'!AE15="",AA41,AA41+'c-form'!AE15))</f>
        <v>339.36958333333337</v>
      </c>
      <c r="AC41" s="58">
        <f>IF(AA41=" "," ",IF('c-form'!AE15="",AM41,AM41+'c-form'!AE15))</f>
        <v>339.53000000000003</v>
      </c>
      <c r="AD41" s="150">
        <f t="shared" si="7"/>
        <v>9</v>
      </c>
      <c r="AE41" s="58">
        <f>IF(AA41=" "," ",IF('c-form'!AE15="",AN41,AN41+'c-form'!AE15))</f>
        <v>339.01000000000005</v>
      </c>
      <c r="AF41" s="150">
        <f t="shared" si="8"/>
        <v>24</v>
      </c>
      <c r="AG41" s="228"/>
      <c r="AM41" s="85">
        <f>IF(AB41=" "," ",MAX(C41:Z41))</f>
        <v>1.93</v>
      </c>
      <c r="AN41" s="94">
        <f t="shared" si="4"/>
        <v>1.41</v>
      </c>
    </row>
    <row r="42" spans="1:40" ht="22.5" customHeight="1">
      <c r="A42" s="93"/>
      <c r="B42" s="145">
        <v>30</v>
      </c>
      <c r="C42" s="264">
        <v>1.38</v>
      </c>
      <c r="D42" s="264">
        <v>1.35</v>
      </c>
      <c r="E42" s="264">
        <v>1.33</v>
      </c>
      <c r="F42" s="264">
        <v>1.31</v>
      </c>
      <c r="G42" s="264">
        <v>1.29</v>
      </c>
      <c r="H42" s="264">
        <v>1.27</v>
      </c>
      <c r="I42" s="264">
        <v>1.25</v>
      </c>
      <c r="J42" s="264">
        <v>1.24</v>
      </c>
      <c r="K42" s="264">
        <v>1.23</v>
      </c>
      <c r="L42" s="264">
        <v>1.21</v>
      </c>
      <c r="M42" s="264">
        <v>1.19</v>
      </c>
      <c r="N42" s="264">
        <v>1.18</v>
      </c>
      <c r="O42" s="264">
        <v>1.17</v>
      </c>
      <c r="P42" s="264">
        <v>1.1599999999999999</v>
      </c>
      <c r="Q42" s="264">
        <v>1.1499999999999999</v>
      </c>
      <c r="R42" s="264">
        <v>1.1299999999999999</v>
      </c>
      <c r="S42" s="264">
        <v>1.1200000000000001</v>
      </c>
      <c r="T42" s="264">
        <v>1.1100000000000001</v>
      </c>
      <c r="U42" s="264">
        <v>1.1000000000000001</v>
      </c>
      <c r="V42" s="264">
        <v>1.0900000000000001</v>
      </c>
      <c r="W42" s="264">
        <v>1.08</v>
      </c>
      <c r="X42" s="264">
        <v>1.07</v>
      </c>
      <c r="Y42" s="264">
        <v>1.06</v>
      </c>
      <c r="Z42" s="264">
        <v>1.05</v>
      </c>
      <c r="AA42" s="130">
        <f>IF(ISERROR(AVERAGE(C42:Z42))," ",AVERAGE(C42:Z42))</f>
        <v>1.1883333333333335</v>
      </c>
      <c r="AB42" s="58">
        <f>IF(AA42=" "," ",IF('c-form'!AE15="",AA42,AA42+'c-form'!AE15))</f>
        <v>338.78833333333336</v>
      </c>
      <c r="AC42" s="58">
        <f>IF(AM42=" "," ",IF('c-form'!AE15="",AA42,AM42+'c-form'!AE15))</f>
        <v>338.98</v>
      </c>
      <c r="AD42" s="150">
        <f>IF(AB42=" "," ",MATCH(AM42,C42:Z42,0))</f>
        <v>1</v>
      </c>
      <c r="AE42" s="58">
        <f>IF(AN42=" "," ",IF('c-form'!AE15="",AA42,AN42+'c-form'!AE15))</f>
        <v>338.65000000000003</v>
      </c>
      <c r="AF42" s="150">
        <f>IF(AD42=" "," ",MATCH(AN42,C42:Z42,0))</f>
        <v>24</v>
      </c>
      <c r="AG42" s="228"/>
      <c r="AM42" s="85">
        <f t="shared" si="2"/>
        <v>1.38</v>
      </c>
      <c r="AN42" s="94">
        <f t="shared" si="4"/>
        <v>1.05</v>
      </c>
    </row>
    <row r="43" spans="1:40" ht="24.75" customHeight="1">
      <c r="A43" s="93"/>
      <c r="B43" s="145">
        <v>31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0" t="str">
        <f>IF(ISERR(AVERAGE(C43:Z43))," ",AVERAGE(C43:Z43))</f>
        <v xml:space="preserve"> </v>
      </c>
      <c r="AB43" s="58" t="str">
        <f>IF(AA43=" "," ",IF('c-form'!AE15="",AA43,AA43+'c-form'!AE15))</f>
        <v xml:space="preserve"> </v>
      </c>
      <c r="AC43" s="58" t="str">
        <f>IF(AM43=" "," ",IF('c-form'!AE15="",AA43,AM43+'c-form'!AE15))</f>
        <v xml:space="preserve"> </v>
      </c>
      <c r="AD43" s="150" t="str">
        <f>IF(AB43=" "," ",MATCH(AM43,C43:Z43,0))</f>
        <v xml:space="preserve"> </v>
      </c>
      <c r="AE43" s="58" t="str">
        <f>IF(AN43=" "," ",IF('c-form'!AE15="",AA43,AN43+'c-form'!AE15))</f>
        <v xml:space="preserve"> </v>
      </c>
      <c r="AF43" s="150" t="str">
        <f>IF(AD43=" "," ",MATCH(AN43,C43:Z43,0))</f>
        <v xml:space="preserve"> </v>
      </c>
      <c r="AG43" s="228"/>
      <c r="AM43" s="85" t="str">
        <f t="shared" si="2"/>
        <v xml:space="preserve"> </v>
      </c>
      <c r="AN43" s="94" t="str">
        <f t="shared" si="4"/>
        <v xml:space="preserve"> </v>
      </c>
    </row>
    <row r="44" spans="1:40" s="93" customFormat="1" ht="9.75" customHeight="1"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</row>
    <row r="45" spans="1:40" s="75" customFormat="1" ht="23.25" customHeight="1">
      <c r="B45" s="365" t="s">
        <v>68</v>
      </c>
      <c r="C45" s="365"/>
      <c r="D45" s="365"/>
      <c r="E45" s="364">
        <f>IF(COUNT(AC11:AC43)=0," ",MAX(AC11:AC43))</f>
        <v>340.22</v>
      </c>
      <c r="F45" s="365"/>
      <c r="G45" s="98" t="s">
        <v>70</v>
      </c>
      <c r="H45" s="76" t="str">
        <f>'c-form'!AF15</f>
        <v>MSL.</v>
      </c>
      <c r="I45" s="75" t="s">
        <v>71</v>
      </c>
      <c r="K45" s="75" t="s">
        <v>127</v>
      </c>
      <c r="L45" s="76">
        <f>IF(COUNT(AC11:AC43)=0," ",INDEX(B11:B43,AM45))</f>
        <v>9</v>
      </c>
      <c r="M45" s="360" t="s">
        <v>295</v>
      </c>
      <c r="N45" s="368"/>
      <c r="O45" s="202">
        <f>IF(COUNT(AC11:AC43)=0," ",INDEX(AD11:AD43,AM45))</f>
        <v>18</v>
      </c>
      <c r="P45" s="365" t="s">
        <v>72</v>
      </c>
      <c r="Q45" s="365"/>
      <c r="R45" s="365"/>
      <c r="S45" s="366">
        <f>IF(COUNT(AC11:AC43)=0," ",AVERAGE(AB11:AB43))</f>
        <v>338.9353333333334</v>
      </c>
      <c r="T45" s="311"/>
      <c r="U45" s="98" t="s">
        <v>70</v>
      </c>
      <c r="V45" s="76" t="str">
        <f>'c-form'!AF15</f>
        <v>MSL.</v>
      </c>
      <c r="W45" s="75" t="s">
        <v>71</v>
      </c>
      <c r="AM45" s="75">
        <f>MATCH(E45,AC11:AC43,0)</f>
        <v>9</v>
      </c>
      <c r="AN45" s="99"/>
    </row>
    <row r="46" spans="1:40" s="75" customFormat="1" ht="20.100000000000001" customHeight="1">
      <c r="B46" s="365" t="s">
        <v>69</v>
      </c>
      <c r="C46" s="365"/>
      <c r="D46" s="365"/>
      <c r="E46" s="364">
        <f>IF(COUNT(AC11:AC43)=0," ",MIN(AE11:AE43))</f>
        <v>338.20000000000005</v>
      </c>
      <c r="F46" s="365"/>
      <c r="G46" s="98" t="s">
        <v>70</v>
      </c>
      <c r="H46" s="76" t="str">
        <f>'c-form'!AF15</f>
        <v>MSL.</v>
      </c>
      <c r="I46" s="75" t="s">
        <v>71</v>
      </c>
      <c r="K46" s="75" t="s">
        <v>127</v>
      </c>
      <c r="L46" s="76">
        <f>IF(COUNT(AC11:AC43)=0," ",INDEX(B11:B43,AM46))</f>
        <v>5</v>
      </c>
      <c r="M46" s="360" t="s">
        <v>295</v>
      </c>
      <c r="N46" s="368"/>
      <c r="O46" s="202">
        <f>IF(COUNT(AC11:AC43)=0," ",INDEX(AF11:AF43,AM46))</f>
        <v>14</v>
      </c>
      <c r="P46" s="365" t="s">
        <v>73</v>
      </c>
      <c r="Q46" s="365"/>
      <c r="R46" s="100"/>
      <c r="S46" s="100"/>
      <c r="T46" s="100"/>
      <c r="U46" s="100"/>
      <c r="V46" s="100"/>
      <c r="W46" s="100"/>
      <c r="X46" s="100"/>
      <c r="AA46" s="75" t="s">
        <v>74</v>
      </c>
      <c r="AB46" s="100"/>
      <c r="AC46" s="100"/>
      <c r="AD46" s="100"/>
      <c r="AE46" s="100"/>
      <c r="AF46" s="100"/>
      <c r="AM46" s="75">
        <f>MATCH(E46,AE11:AE43,0)</f>
        <v>5</v>
      </c>
    </row>
    <row r="47" spans="1:40" ht="20.100000000000001" customHeight="1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</row>
    <row r="48" spans="1:40" ht="20.100000000000001" customHeight="1">
      <c r="B48" s="228"/>
      <c r="C48" s="228"/>
      <c r="D48" s="228"/>
      <c r="E48" s="95"/>
      <c r="F48" s="87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</row>
    <row r="49" ht="20.100000000000001" customHeight="1"/>
  </sheetData>
  <sheetProtection password="D965" sheet="1" objects="1" scenarios="1"/>
  <mergeCells count="34">
    <mergeCell ref="AD1:AE1"/>
    <mergeCell ref="B2:D2"/>
    <mergeCell ref="E2:AC2"/>
    <mergeCell ref="G5:H5"/>
    <mergeCell ref="J5:N5"/>
    <mergeCell ref="P5:S5"/>
    <mergeCell ref="U5:W5"/>
    <mergeCell ref="Y5:Z5"/>
    <mergeCell ref="AE4:AG4"/>
    <mergeCell ref="AA5:AC5"/>
    <mergeCell ref="AE7:AG7"/>
    <mergeCell ref="M46:N46"/>
    <mergeCell ref="S45:T45"/>
    <mergeCell ref="B9:B10"/>
    <mergeCell ref="C9:Z9"/>
    <mergeCell ref="M45:N45"/>
    <mergeCell ref="P7:R7"/>
    <mergeCell ref="B46:D46"/>
    <mergeCell ref="E46:F46"/>
    <mergeCell ref="P46:Q46"/>
    <mergeCell ref="C5:E5"/>
    <mergeCell ref="S7:V7"/>
    <mergeCell ref="W7:X7"/>
    <mergeCell ref="AC7:AD7"/>
    <mergeCell ref="B7:C7"/>
    <mergeCell ref="D7:E7"/>
    <mergeCell ref="G7:H7"/>
    <mergeCell ref="L7:O7"/>
    <mergeCell ref="AD9:AF9"/>
    <mergeCell ref="B45:D45"/>
    <mergeCell ref="E45:F45"/>
    <mergeCell ref="P45:R45"/>
    <mergeCell ref="AA9:AA10"/>
    <mergeCell ref="AB9:AC9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5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N49"/>
  <sheetViews>
    <sheetView showGridLines="0" showRowColHeaders="0" zoomScaleNormal="100" workbookViewId="0">
      <pane xSplit="2" ySplit="10" topLeftCell="F26" activePane="bottomRight" state="frozen"/>
      <selection pane="topRight" activeCell="C1" sqref="C1"/>
      <selection pane="bottomLeft" activeCell="A11" sqref="A11"/>
      <selection pane="bottomRight" activeCell="A46" sqref="A46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7.28515625" customWidth="1"/>
    <col min="34" max="34" width="0.42578125" hidden="1" customWidth="1"/>
    <col min="35" max="37" width="9.140625" hidden="1" customWidth="1"/>
    <col min="38" max="38" width="0" hidden="1" customWidth="1"/>
    <col min="39" max="39" width="8.5703125" hidden="1" customWidth="1"/>
    <col min="40" max="40" width="9.5703125" hidden="1" customWidth="1"/>
  </cols>
  <sheetData>
    <row r="1" spans="1:40" s="85" customFormat="1" ht="9" customHeight="1">
      <c r="AD1" s="344" t="s">
        <v>108</v>
      </c>
      <c r="AE1" s="345"/>
    </row>
    <row r="2" spans="1:40" s="85" customFormat="1" ht="20.25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s="85" customFormat="1" ht="18.75" customHeight="1">
      <c r="B3" s="343" t="s">
        <v>106</v>
      </c>
      <c r="C3" s="343"/>
      <c r="D3" s="343"/>
      <c r="AA3" s="158"/>
      <c r="AB3" s="158"/>
      <c r="AC3" s="158"/>
      <c r="AD3" s="158"/>
      <c r="AE3" s="158"/>
      <c r="AF3" s="158"/>
      <c r="AG3" s="158"/>
    </row>
    <row r="4" spans="1:40" s="85" customFormat="1" ht="19.5" customHeight="1">
      <c r="F4" s="86"/>
      <c r="AA4" s="158"/>
      <c r="AB4" s="158"/>
      <c r="AC4" s="158"/>
      <c r="AD4" s="159" t="s">
        <v>123</v>
      </c>
      <c r="AE4" s="315"/>
      <c r="AF4" s="315"/>
      <c r="AG4" s="353"/>
    </row>
    <row r="5" spans="1:40" s="74" customFormat="1" ht="24">
      <c r="B5" s="75" t="s">
        <v>109</v>
      </c>
      <c r="C5" s="318" t="str">
        <f>IF(ISBLANK(rsteam),"",rsteam)</f>
        <v>Nam  Ping</v>
      </c>
      <c r="D5" s="311"/>
      <c r="E5" s="311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  <c r="AG5" s="160"/>
    </row>
    <row r="6" spans="1:40" s="74" customFormat="1" ht="9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  <c r="AG6" s="160"/>
    </row>
    <row r="7" spans="1:40" s="74" customFormat="1" ht="20.25" customHeight="1">
      <c r="B7" s="324" t="s">
        <v>116</v>
      </c>
      <c r="C7" s="324"/>
      <c r="D7" s="325" t="s">
        <v>58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</row>
    <row r="8" spans="1:40" s="85" customFormat="1" ht="12.75" customHeight="1"/>
    <row r="9" spans="1:40" s="92" customFormat="1" ht="30.75" customHeight="1">
      <c r="A9" s="91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0" s="92" customFormat="1" ht="21" customHeight="1">
      <c r="A10" s="91"/>
      <c r="B10" s="338"/>
      <c r="C10" s="97">
        <v>1</v>
      </c>
      <c r="D10" s="97">
        <v>2</v>
      </c>
      <c r="E10" s="97">
        <v>3</v>
      </c>
      <c r="F10" s="97">
        <v>4</v>
      </c>
      <c r="G10" s="97">
        <v>5</v>
      </c>
      <c r="H10" s="97">
        <v>6</v>
      </c>
      <c r="I10" s="97">
        <v>7</v>
      </c>
      <c r="J10" s="97">
        <v>8</v>
      </c>
      <c r="K10" s="97">
        <v>9</v>
      </c>
      <c r="L10" s="97">
        <v>10</v>
      </c>
      <c r="M10" s="97">
        <v>11</v>
      </c>
      <c r="N10" s="97">
        <v>12</v>
      </c>
      <c r="O10" s="97">
        <v>13</v>
      </c>
      <c r="P10" s="97">
        <v>14</v>
      </c>
      <c r="Q10" s="97">
        <v>15</v>
      </c>
      <c r="R10" s="97">
        <v>16</v>
      </c>
      <c r="S10" s="97">
        <v>17</v>
      </c>
      <c r="T10" s="97">
        <v>18</v>
      </c>
      <c r="U10" s="97">
        <v>19</v>
      </c>
      <c r="V10" s="97">
        <v>20</v>
      </c>
      <c r="W10" s="97">
        <v>21</v>
      </c>
      <c r="X10" s="97">
        <v>22</v>
      </c>
      <c r="Y10" s="97">
        <v>23</v>
      </c>
      <c r="Z10" s="97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60"/>
      <c r="B11" s="231">
        <v>1</v>
      </c>
      <c r="C11" s="264">
        <v>0.57999999999999996</v>
      </c>
      <c r="D11" s="264">
        <v>0.57999999999999996</v>
      </c>
      <c r="E11" s="264">
        <v>0.57999999999999996</v>
      </c>
      <c r="F11" s="264">
        <v>0.57999999999999996</v>
      </c>
      <c r="G11" s="264">
        <v>0.57999999999999996</v>
      </c>
      <c r="H11" s="264">
        <v>0.57999999999999996</v>
      </c>
      <c r="I11" s="264">
        <v>0.57999999999999996</v>
      </c>
      <c r="J11" s="264">
        <v>0.57999999999999996</v>
      </c>
      <c r="K11" s="264">
        <v>0.57999999999999996</v>
      </c>
      <c r="L11" s="264">
        <v>0.57999999999999996</v>
      </c>
      <c r="M11" s="264">
        <v>0.57999999999999996</v>
      </c>
      <c r="N11" s="264">
        <v>0.57999999999999996</v>
      </c>
      <c r="O11" s="264">
        <v>0.57999999999999996</v>
      </c>
      <c r="P11" s="264">
        <v>0.57999999999999996</v>
      </c>
      <c r="Q11" s="264">
        <v>0.57999999999999996</v>
      </c>
      <c r="R11" s="264">
        <v>0.57999999999999996</v>
      </c>
      <c r="S11" s="264">
        <v>0.57999999999999996</v>
      </c>
      <c r="T11" s="264">
        <v>0.57999999999999996</v>
      </c>
      <c r="U11" s="264">
        <v>0.57999999999999996</v>
      </c>
      <c r="V11" s="264">
        <v>0.57999999999999996</v>
      </c>
      <c r="W11" s="264">
        <v>0.57999999999999996</v>
      </c>
      <c r="X11" s="264">
        <v>0.57999999999999996</v>
      </c>
      <c r="Y11" s="264">
        <v>0.57999999999999996</v>
      </c>
      <c r="Z11" s="264">
        <v>0.57999999999999996</v>
      </c>
      <c r="AA11" s="57">
        <f t="shared" ref="AA11:AA41" si="0">IF(ISERROR(AVERAGE(C11:Z11))," ",AVERAGE(C11:Z11))</f>
        <v>0.57999999999999996</v>
      </c>
      <c r="AB11" s="58">
        <f>IF(AA11=" "," ",IF('c-form'!AE15="",AA11,AA11+'c-form'!AE15))</f>
        <v>338.18</v>
      </c>
      <c r="AC11" s="58">
        <f>IF(AA11=" "," ",IF('c-form'!AE15="",AM11,AM11+'c-form'!AE15))</f>
        <v>338.18</v>
      </c>
      <c r="AD11" s="150">
        <f>IF(AB11=" "," ",MATCH(AM11,C11:Z11,0))</f>
        <v>1</v>
      </c>
      <c r="AE11" s="58">
        <f>IF(AA11=" "," ",IF('c-form'!AE15="",AN11,AN11+'c-form'!AE15))</f>
        <v>338.18</v>
      </c>
      <c r="AF11" s="150">
        <f t="shared" ref="AF11:AF20" si="1">IF(AD11=" "," ",MATCH(AN11,C11:Z11,0))</f>
        <v>1</v>
      </c>
      <c r="AM11">
        <f>IF(AB11=" "," ",MAX(C11:Z11))</f>
        <v>0.57999999999999996</v>
      </c>
      <c r="AN11" s="54">
        <f>IF(AB11=" "," ",MIN(C11:Z11))</f>
        <v>0.57999999999999996</v>
      </c>
    </row>
    <row r="12" spans="1:40" ht="22.5" customHeight="1">
      <c r="A12" s="60"/>
      <c r="B12" s="231">
        <v>2</v>
      </c>
      <c r="C12" s="264">
        <v>0.57999999999999996</v>
      </c>
      <c r="D12" s="264">
        <v>0.57999999999999996</v>
      </c>
      <c r="E12" s="264">
        <v>0.57999999999999996</v>
      </c>
      <c r="F12" s="264">
        <v>0.57999999999999996</v>
      </c>
      <c r="G12" s="264">
        <v>0.57999999999999996</v>
      </c>
      <c r="H12" s="264">
        <v>0.57999999999999996</v>
      </c>
      <c r="I12" s="264">
        <v>0.56999999999999995</v>
      </c>
      <c r="J12" s="264">
        <v>0.56999999999999995</v>
      </c>
      <c r="K12" s="264">
        <v>0.56999999999999995</v>
      </c>
      <c r="L12" s="264">
        <v>0.56000000000000005</v>
      </c>
      <c r="M12" s="264">
        <v>0.56000000000000005</v>
      </c>
      <c r="N12" s="264">
        <v>0.55000000000000004</v>
      </c>
      <c r="O12" s="264">
        <v>0.55000000000000004</v>
      </c>
      <c r="P12" s="264">
        <v>0.55000000000000004</v>
      </c>
      <c r="Q12" s="264">
        <v>0.55000000000000004</v>
      </c>
      <c r="R12" s="264">
        <v>0.54</v>
      </c>
      <c r="S12" s="264">
        <v>0.54</v>
      </c>
      <c r="T12" s="264">
        <v>0.54</v>
      </c>
      <c r="U12" s="264">
        <v>0.53</v>
      </c>
      <c r="V12" s="264">
        <v>0.53</v>
      </c>
      <c r="W12" s="264">
        <v>0.53</v>
      </c>
      <c r="X12" s="264">
        <v>0.53</v>
      </c>
      <c r="Y12" s="264">
        <v>0.53</v>
      </c>
      <c r="Z12" s="264">
        <v>0.53</v>
      </c>
      <c r="AA12" s="57">
        <f t="shared" si="0"/>
        <v>0.5545833333333331</v>
      </c>
      <c r="AB12" s="58">
        <f>IF(AA12=" "," ",IF('c-form'!AE15="",AA12,AA12+'c-form'!AE15))</f>
        <v>338.15458333333333</v>
      </c>
      <c r="AC12" s="58">
        <f>IF(AA12=" "," ",IF('c-form'!AE15="",AM12,AM12+'c-form'!AE15))</f>
        <v>338.18</v>
      </c>
      <c r="AD12" s="150">
        <f>IF(AB12=" "," ",MATCH(AM12,C12:Z12,0))</f>
        <v>1</v>
      </c>
      <c r="AE12" s="58">
        <f>IF(AA12=" "," ",IF('c-form'!AE15="",AN12,AN12+'c-form'!AE15))</f>
        <v>338.13</v>
      </c>
      <c r="AF12" s="150">
        <f t="shared" si="1"/>
        <v>19</v>
      </c>
      <c r="AM12">
        <f t="shared" ref="AM12:AM43" si="2">IF(AB12=" "," ",MAX(C12:Z12))</f>
        <v>0.57999999999999996</v>
      </c>
      <c r="AN12" s="54">
        <f>IF(AB12=" "," ",MIN(C12:Z12))</f>
        <v>0.53</v>
      </c>
    </row>
    <row r="13" spans="1:40" ht="22.5" customHeight="1">
      <c r="A13" s="60"/>
      <c r="B13" s="231">
        <v>3</v>
      </c>
      <c r="C13" s="264">
        <v>0.52</v>
      </c>
      <c r="D13" s="264">
        <v>0.52</v>
      </c>
      <c r="E13" s="264">
        <v>0.52</v>
      </c>
      <c r="F13" s="264">
        <v>0.52</v>
      </c>
      <c r="G13" s="264">
        <v>0.52</v>
      </c>
      <c r="H13" s="264">
        <v>0.52</v>
      </c>
      <c r="I13" s="264">
        <v>0.51</v>
      </c>
      <c r="J13" s="264">
        <v>0.51</v>
      </c>
      <c r="K13" s="264">
        <v>0.51</v>
      </c>
      <c r="L13" s="264">
        <v>0.51</v>
      </c>
      <c r="M13" s="264">
        <v>0.51</v>
      </c>
      <c r="N13" s="264">
        <v>0.51</v>
      </c>
      <c r="O13" s="264">
        <v>0.5</v>
      </c>
      <c r="P13" s="264">
        <v>0.5</v>
      </c>
      <c r="Q13" s="264">
        <v>0.5</v>
      </c>
      <c r="R13" s="264">
        <v>0.5</v>
      </c>
      <c r="S13" s="264">
        <v>0.5</v>
      </c>
      <c r="T13" s="264">
        <v>0.5</v>
      </c>
      <c r="U13" s="264">
        <v>0.5</v>
      </c>
      <c r="V13" s="264">
        <v>0.5</v>
      </c>
      <c r="W13" s="264">
        <v>0.5</v>
      </c>
      <c r="X13" s="264">
        <v>0.5</v>
      </c>
      <c r="Y13" s="264">
        <v>0.5</v>
      </c>
      <c r="Z13" s="264">
        <v>0.5</v>
      </c>
      <c r="AA13" s="57">
        <f t="shared" si="0"/>
        <v>0.50749999999999995</v>
      </c>
      <c r="AB13" s="58">
        <f>IF(AA13=" "," ",IF('c-form'!AE15="",AA13,AA13+'c-form'!AE15))</f>
        <v>338.10750000000002</v>
      </c>
      <c r="AC13" s="58">
        <f>IF(AA13=" "," ",IF('c-form'!AE15="",AM13,AM13+'c-form'!AE15))</f>
        <v>338.12</v>
      </c>
      <c r="AD13" s="150">
        <f t="shared" ref="AD13:AD20" si="3">IF(AB13=" "," ",MATCH(AM13,C13:Z13,0))</f>
        <v>1</v>
      </c>
      <c r="AE13" s="58">
        <f>IF(AA13=" "," ",IF('c-form'!AE15="",AN13,AN13+'c-form'!AE15))</f>
        <v>338.1</v>
      </c>
      <c r="AF13" s="150">
        <f t="shared" si="1"/>
        <v>13</v>
      </c>
      <c r="AM13">
        <f t="shared" si="2"/>
        <v>0.52</v>
      </c>
      <c r="AN13" s="54">
        <f t="shared" ref="AN13:AN43" si="4">IF(AB13=" "," ",MIN(C13:Z13))</f>
        <v>0.5</v>
      </c>
    </row>
    <row r="14" spans="1:40" ht="22.5" customHeight="1">
      <c r="A14" s="60"/>
      <c r="B14" s="231">
        <v>4</v>
      </c>
      <c r="C14" s="264">
        <v>0.49</v>
      </c>
      <c r="D14" s="264">
        <v>0.49</v>
      </c>
      <c r="E14" s="264">
        <v>0.49</v>
      </c>
      <c r="F14" s="264">
        <v>0.49</v>
      </c>
      <c r="G14" s="264">
        <v>0.49</v>
      </c>
      <c r="H14" s="264">
        <v>0.49</v>
      </c>
      <c r="I14" s="264">
        <v>0.49</v>
      </c>
      <c r="J14" s="264">
        <v>0.49</v>
      </c>
      <c r="K14" s="264">
        <v>0.49</v>
      </c>
      <c r="L14" s="264">
        <v>0.49</v>
      </c>
      <c r="M14" s="264">
        <v>0.49</v>
      </c>
      <c r="N14" s="264">
        <v>0.49</v>
      </c>
      <c r="O14" s="264">
        <v>0.49</v>
      </c>
      <c r="P14" s="264">
        <v>0.49</v>
      </c>
      <c r="Q14" s="264">
        <v>0.49</v>
      </c>
      <c r="R14" s="264">
        <v>0.49</v>
      </c>
      <c r="S14" s="264">
        <v>0.49</v>
      </c>
      <c r="T14" s="264">
        <v>0.49</v>
      </c>
      <c r="U14" s="264">
        <v>0.49</v>
      </c>
      <c r="V14" s="264">
        <v>0.49</v>
      </c>
      <c r="W14" s="264">
        <v>0.49</v>
      </c>
      <c r="X14" s="264">
        <v>0.49</v>
      </c>
      <c r="Y14" s="264">
        <v>0.49</v>
      </c>
      <c r="Z14" s="264">
        <v>0.49</v>
      </c>
      <c r="AA14" s="57">
        <f>IF(ISERROR(AVERAGE(C14:Z14))," ",AVERAGE(C14:Z14))</f>
        <v>0.49000000000000016</v>
      </c>
      <c r="AB14" s="58">
        <f>IF(AA14=" "," ",IF('c-form'!AE15="",AA14,AA14+'c-form'!AE15))</f>
        <v>338.09000000000003</v>
      </c>
      <c r="AC14" s="58">
        <f>IF(AA14=" "," ",IF('c-form'!AE15="",AM14,AM14+'c-form'!AE15))</f>
        <v>338.09000000000003</v>
      </c>
      <c r="AD14" s="150">
        <f>IF(AB14=" "," ",MATCH(AM14,C14:Z14,0))</f>
        <v>1</v>
      </c>
      <c r="AE14" s="58">
        <f>IF(AA14=" "," ",IF('c-form'!AE15="",AN14,AN14+'c-form'!AE15))</f>
        <v>338.09000000000003</v>
      </c>
      <c r="AF14" s="150">
        <f>IF(AD14=" "," ",MATCH(AN14,C14:Z14,0))</f>
        <v>1</v>
      </c>
      <c r="AM14">
        <f>IF(AB14=" "," ",MAX(C14:Z14))</f>
        <v>0.49</v>
      </c>
      <c r="AN14" s="54">
        <f>IF(AB14=" "," ",MIN(C14:Z14))</f>
        <v>0.49</v>
      </c>
    </row>
    <row r="15" spans="1:40" ht="22.5" customHeight="1">
      <c r="A15" s="60"/>
      <c r="B15" s="231">
        <v>5</v>
      </c>
      <c r="C15" s="264">
        <v>0.48</v>
      </c>
      <c r="D15" s="264">
        <v>0.48</v>
      </c>
      <c r="E15" s="264">
        <v>0.48</v>
      </c>
      <c r="F15" s="264">
        <v>0.48</v>
      </c>
      <c r="G15" s="264">
        <v>0.48</v>
      </c>
      <c r="H15" s="264">
        <v>0.48</v>
      </c>
      <c r="I15" s="264">
        <v>0.49</v>
      </c>
      <c r="J15" s="264">
        <v>0.49</v>
      </c>
      <c r="K15" s="264">
        <v>0.5</v>
      </c>
      <c r="L15" s="264">
        <v>0.5</v>
      </c>
      <c r="M15" s="264">
        <v>0.51</v>
      </c>
      <c r="N15" s="264">
        <v>0.51</v>
      </c>
      <c r="O15" s="264">
        <v>0.52</v>
      </c>
      <c r="P15" s="264">
        <v>0.52</v>
      </c>
      <c r="Q15" s="264">
        <v>0.53</v>
      </c>
      <c r="R15" s="264">
        <v>0.53</v>
      </c>
      <c r="S15" s="264">
        <v>0.54</v>
      </c>
      <c r="T15" s="264">
        <v>0.54</v>
      </c>
      <c r="U15" s="264">
        <v>0.55000000000000004</v>
      </c>
      <c r="V15" s="264">
        <v>0.56000000000000005</v>
      </c>
      <c r="W15" s="264">
        <v>0.56999999999999995</v>
      </c>
      <c r="X15" s="264">
        <v>0.57999999999999996</v>
      </c>
      <c r="Y15" s="264">
        <v>0.59</v>
      </c>
      <c r="Z15" s="264">
        <v>0.61</v>
      </c>
      <c r="AA15" s="57">
        <f>IF(ISERROR(AVERAGE(C15:Z15))," ",AVERAGE(C15:Z15))</f>
        <v>0.52166666666666661</v>
      </c>
      <c r="AB15" s="58">
        <f>IF(AA15=" "," ",IF('c-form'!AE15="",AA15,AA15+'c-form'!AE15))</f>
        <v>338.12166666666667</v>
      </c>
      <c r="AC15" s="58">
        <f>IF(AA15=" "," ",IF('c-form'!AE15="",AM15,AM15+'c-form'!AE15))</f>
        <v>338.21000000000004</v>
      </c>
      <c r="AD15" s="150">
        <f>IF(AB15=" "," ",MATCH(AM15,C15:Z15,0))</f>
        <v>24</v>
      </c>
      <c r="AE15" s="58">
        <f>IF(AA15=" "," ",IF('c-form'!AE15="",AN15,AN15+'c-form'!AE15))</f>
        <v>338.08000000000004</v>
      </c>
      <c r="AF15" s="150">
        <f>IF(AD15=" "," ",MATCH(AN15,C15:Z15,0))</f>
        <v>1</v>
      </c>
      <c r="AM15">
        <f>IF(AB15=" "," ",MAX(C15:Z15))</f>
        <v>0.61</v>
      </c>
      <c r="AN15" s="54">
        <f>IF(AB15=" "," ",MIN(C15:Z15))</f>
        <v>0.48</v>
      </c>
    </row>
    <row r="16" spans="1:40" ht="22.5" customHeight="1">
      <c r="A16" s="60"/>
      <c r="B16" s="231">
        <v>6</v>
      </c>
      <c r="C16" s="264">
        <v>0.62</v>
      </c>
      <c r="D16" s="264">
        <v>0.63</v>
      </c>
      <c r="E16" s="264">
        <v>0.64</v>
      </c>
      <c r="F16" s="264">
        <v>0.65</v>
      </c>
      <c r="G16" s="264">
        <v>0.66</v>
      </c>
      <c r="H16" s="264">
        <v>0.67</v>
      </c>
      <c r="I16" s="264">
        <v>0.68</v>
      </c>
      <c r="J16" s="264">
        <v>0.69</v>
      </c>
      <c r="K16" s="264">
        <v>0.7</v>
      </c>
      <c r="L16" s="264">
        <v>0.7</v>
      </c>
      <c r="M16" s="264">
        <v>0.7</v>
      </c>
      <c r="N16" s="264">
        <v>0.7</v>
      </c>
      <c r="O16" s="264">
        <v>0.7</v>
      </c>
      <c r="P16" s="264">
        <v>0.69</v>
      </c>
      <c r="Q16" s="264">
        <v>0.68</v>
      </c>
      <c r="R16" s="264">
        <v>0.67</v>
      </c>
      <c r="S16" s="264">
        <v>0.66</v>
      </c>
      <c r="T16" s="264">
        <v>0.65</v>
      </c>
      <c r="U16" s="264">
        <v>0.64</v>
      </c>
      <c r="V16" s="264">
        <v>0.63</v>
      </c>
      <c r="W16" s="264">
        <v>0.62</v>
      </c>
      <c r="X16" s="264">
        <v>0.61</v>
      </c>
      <c r="Y16" s="264">
        <v>0.61</v>
      </c>
      <c r="Z16" s="264">
        <v>0.6</v>
      </c>
      <c r="AA16" s="57">
        <f t="shared" si="0"/>
        <v>0.65833333333333333</v>
      </c>
      <c r="AB16" s="58">
        <f>IF(AA16=" "," ",IF('c-form'!AE15="",AA16,AA16+'c-form'!AE15))</f>
        <v>338.25833333333338</v>
      </c>
      <c r="AC16" s="58">
        <f>IF(AA16=" "," ",IF('c-form'!AE15="",AM16,AM16+'c-form'!AE15))</f>
        <v>338.3</v>
      </c>
      <c r="AD16" s="150">
        <f t="shared" si="3"/>
        <v>9</v>
      </c>
      <c r="AE16" s="58">
        <f>IF(AA16=" "," ",IF('c-form'!AE15="",AN16,AN16+'c-form'!AE15))</f>
        <v>338.20000000000005</v>
      </c>
      <c r="AF16" s="150">
        <f t="shared" si="1"/>
        <v>24</v>
      </c>
      <c r="AM16">
        <f t="shared" si="2"/>
        <v>0.7</v>
      </c>
      <c r="AN16" s="54">
        <f t="shared" si="4"/>
        <v>0.6</v>
      </c>
    </row>
    <row r="17" spans="1:40" ht="22.5" customHeight="1">
      <c r="A17" s="60"/>
      <c r="B17" s="231">
        <v>7</v>
      </c>
      <c r="C17" s="264">
        <v>0.6</v>
      </c>
      <c r="D17" s="264">
        <v>0.6</v>
      </c>
      <c r="E17" s="264">
        <v>0.6</v>
      </c>
      <c r="F17" s="264">
        <v>0.59</v>
      </c>
      <c r="G17" s="264">
        <v>0.59</v>
      </c>
      <c r="H17" s="264">
        <v>0.59</v>
      </c>
      <c r="I17" s="264">
        <v>0.59</v>
      </c>
      <c r="J17" s="264">
        <v>0.57999999999999996</v>
      </c>
      <c r="K17" s="264">
        <v>0.57999999999999996</v>
      </c>
      <c r="L17" s="264">
        <v>0.57999999999999996</v>
      </c>
      <c r="M17" s="264">
        <v>0.57999999999999996</v>
      </c>
      <c r="N17" s="264">
        <v>0.56999999999999995</v>
      </c>
      <c r="O17" s="264">
        <v>0.56999999999999995</v>
      </c>
      <c r="P17" s="264">
        <v>0.56999999999999995</v>
      </c>
      <c r="Q17" s="264">
        <v>0.56999999999999995</v>
      </c>
      <c r="R17" s="264">
        <v>0.56999999999999995</v>
      </c>
      <c r="S17" s="264">
        <v>0.56999999999999995</v>
      </c>
      <c r="T17" s="264">
        <v>0.56999999999999995</v>
      </c>
      <c r="U17" s="264">
        <v>0.56000000000000005</v>
      </c>
      <c r="V17" s="264">
        <v>0.56000000000000005</v>
      </c>
      <c r="W17" s="264">
        <v>0.56000000000000005</v>
      </c>
      <c r="X17" s="264">
        <v>0.56000000000000005</v>
      </c>
      <c r="Y17" s="264">
        <v>0.56000000000000005</v>
      </c>
      <c r="Z17" s="264">
        <v>0.56000000000000005</v>
      </c>
      <c r="AA17" s="57">
        <f t="shared" si="0"/>
        <v>0.57625000000000015</v>
      </c>
      <c r="AB17" s="58">
        <f>IF(AA17=" "," ",IF('c-form'!AE15="",AA17,AA17+'c-form'!AE15))</f>
        <v>338.17625000000004</v>
      </c>
      <c r="AC17" s="58">
        <f>IF(AA17=" "," ",IF('c-form'!AE15="",AM17,AM17+'c-form'!AE15))</f>
        <v>338.20000000000005</v>
      </c>
      <c r="AD17" s="150">
        <f t="shared" si="3"/>
        <v>1</v>
      </c>
      <c r="AE17" s="58">
        <f>IF(AA17=" "," ",IF('c-form'!AE15="",AN17,AN17+'c-form'!AE15))</f>
        <v>338.16</v>
      </c>
      <c r="AF17" s="150">
        <f t="shared" si="1"/>
        <v>19</v>
      </c>
      <c r="AM17">
        <f t="shared" si="2"/>
        <v>0.6</v>
      </c>
      <c r="AN17" s="54">
        <f t="shared" si="4"/>
        <v>0.56000000000000005</v>
      </c>
    </row>
    <row r="18" spans="1:40" ht="22.5" customHeight="1">
      <c r="A18" s="60"/>
      <c r="B18" s="231">
        <v>8</v>
      </c>
      <c r="C18" s="264">
        <v>0.56000000000000005</v>
      </c>
      <c r="D18" s="264">
        <v>0.56000000000000005</v>
      </c>
      <c r="E18" s="264">
        <v>0.56000000000000005</v>
      </c>
      <c r="F18" s="264">
        <v>0.56000000000000005</v>
      </c>
      <c r="G18" s="264">
        <v>0.56000000000000005</v>
      </c>
      <c r="H18" s="264">
        <v>0.56000000000000005</v>
      </c>
      <c r="I18" s="264">
        <v>0.56000000000000005</v>
      </c>
      <c r="J18" s="264">
        <v>0.56000000000000005</v>
      </c>
      <c r="K18" s="264">
        <v>0.56000000000000005</v>
      </c>
      <c r="L18" s="264">
        <v>0.56000000000000005</v>
      </c>
      <c r="M18" s="264">
        <v>0.56000000000000005</v>
      </c>
      <c r="N18" s="264">
        <v>0.56000000000000005</v>
      </c>
      <c r="O18" s="264">
        <v>0.56999999999999995</v>
      </c>
      <c r="P18" s="264">
        <v>0.56999999999999995</v>
      </c>
      <c r="Q18" s="264">
        <v>0.56999999999999995</v>
      </c>
      <c r="R18" s="264">
        <v>0.56999999999999995</v>
      </c>
      <c r="S18" s="264">
        <v>0.56999999999999995</v>
      </c>
      <c r="T18" s="264">
        <v>0.56999999999999995</v>
      </c>
      <c r="U18" s="264">
        <v>0.57999999999999996</v>
      </c>
      <c r="V18" s="264">
        <v>0.57999999999999996</v>
      </c>
      <c r="W18" s="264">
        <v>0.59</v>
      </c>
      <c r="X18" s="264">
        <v>0.59</v>
      </c>
      <c r="Y18" s="264">
        <v>0.6</v>
      </c>
      <c r="Z18" s="264">
        <v>0.6</v>
      </c>
      <c r="AA18" s="57">
        <f t="shared" si="0"/>
        <v>0.57000000000000017</v>
      </c>
      <c r="AB18" s="58">
        <f>IF(AA18=" "," ",IF('c-form'!AE15="",AA18,AA18+'c-form'!AE15))</f>
        <v>338.17</v>
      </c>
      <c r="AC18" s="58">
        <f>IF(AA18=" "," ",IF('c-form'!AE15="",AM18,AM18+'c-form'!AE15))</f>
        <v>338.20000000000005</v>
      </c>
      <c r="AD18" s="150">
        <f t="shared" si="3"/>
        <v>23</v>
      </c>
      <c r="AE18" s="58">
        <f>IF(AA18=" "," ",IF('c-form'!AE15="",AN18,AN18+'c-form'!AE15))</f>
        <v>338.16</v>
      </c>
      <c r="AF18" s="150">
        <f t="shared" si="1"/>
        <v>1</v>
      </c>
      <c r="AM18">
        <f t="shared" si="2"/>
        <v>0.6</v>
      </c>
      <c r="AN18" s="54">
        <f t="shared" si="4"/>
        <v>0.56000000000000005</v>
      </c>
    </row>
    <row r="19" spans="1:40" ht="22.5" customHeight="1">
      <c r="A19" s="60"/>
      <c r="B19" s="231">
        <v>9</v>
      </c>
      <c r="C19" s="264">
        <v>0.61</v>
      </c>
      <c r="D19" s="264">
        <v>0.61</v>
      </c>
      <c r="E19" s="264">
        <v>0.62</v>
      </c>
      <c r="F19" s="264">
        <v>0.62</v>
      </c>
      <c r="G19" s="264">
        <v>0.63</v>
      </c>
      <c r="H19" s="264">
        <v>0.64</v>
      </c>
      <c r="I19" s="264">
        <v>0.66</v>
      </c>
      <c r="J19" s="264">
        <v>0.68</v>
      </c>
      <c r="K19" s="264">
        <v>0.7</v>
      </c>
      <c r="L19" s="264">
        <v>0.72</v>
      </c>
      <c r="M19" s="264">
        <v>0.74</v>
      </c>
      <c r="N19" s="264">
        <v>0.76</v>
      </c>
      <c r="O19" s="264">
        <v>0.78</v>
      </c>
      <c r="P19" s="264">
        <v>0.81</v>
      </c>
      <c r="Q19" s="264">
        <v>0.84</v>
      </c>
      <c r="R19" s="264">
        <v>0.88</v>
      </c>
      <c r="S19" s="264">
        <v>0.91</v>
      </c>
      <c r="T19" s="264">
        <v>0.95</v>
      </c>
      <c r="U19" s="264">
        <v>1</v>
      </c>
      <c r="V19" s="264">
        <v>1.06</v>
      </c>
      <c r="W19" s="264">
        <v>1.1200000000000001</v>
      </c>
      <c r="X19" s="264">
        <v>1.18</v>
      </c>
      <c r="Y19" s="264">
        <v>1.24</v>
      </c>
      <c r="Z19" s="264">
        <v>1.28</v>
      </c>
      <c r="AA19" s="57">
        <f t="shared" si="0"/>
        <v>0.83499999999999996</v>
      </c>
      <c r="AB19" s="58">
        <f>IF(AA19=" "," ",IF('c-form'!AE15="",AA19,AA19+'c-form'!AE15))</f>
        <v>338.435</v>
      </c>
      <c r="AC19" s="58">
        <f>IF(AA19=" "," ",IF('c-form'!AE15="",AM19,AM19+'c-form'!AE15))</f>
        <v>338.88</v>
      </c>
      <c r="AD19" s="150">
        <f t="shared" si="3"/>
        <v>24</v>
      </c>
      <c r="AE19" s="58">
        <f>IF(AA19=" "," ",IF('c-form'!AE15="",AN19,AN19+'c-form'!AE15))</f>
        <v>338.21000000000004</v>
      </c>
      <c r="AF19" s="150">
        <f t="shared" si="1"/>
        <v>1</v>
      </c>
      <c r="AM19">
        <f t="shared" si="2"/>
        <v>1.28</v>
      </c>
      <c r="AN19" s="54">
        <f t="shared" si="4"/>
        <v>0.61</v>
      </c>
    </row>
    <row r="20" spans="1:40" ht="22.5" customHeight="1">
      <c r="A20" s="60"/>
      <c r="B20" s="231">
        <v>10</v>
      </c>
      <c r="C20" s="264">
        <v>1.36</v>
      </c>
      <c r="D20" s="264">
        <v>1.42</v>
      </c>
      <c r="E20" s="264">
        <v>1.48</v>
      </c>
      <c r="F20" s="264">
        <v>1.56</v>
      </c>
      <c r="G20" s="264">
        <v>1.62</v>
      </c>
      <c r="H20" s="264">
        <v>1.7</v>
      </c>
      <c r="I20" s="264">
        <v>1.78</v>
      </c>
      <c r="J20" s="264">
        <v>1.86</v>
      </c>
      <c r="K20" s="264">
        <v>1.94</v>
      </c>
      <c r="L20" s="264">
        <v>2.02</v>
      </c>
      <c r="M20" s="264">
        <v>2.09</v>
      </c>
      <c r="N20" s="264">
        <v>2.16</v>
      </c>
      <c r="O20" s="264">
        <v>2.23</v>
      </c>
      <c r="P20" s="264">
        <v>2.2799999999999998</v>
      </c>
      <c r="Q20" s="264">
        <v>2.34</v>
      </c>
      <c r="R20" s="264">
        <v>2.36</v>
      </c>
      <c r="S20" s="264">
        <v>2.39</v>
      </c>
      <c r="T20" s="264">
        <v>2.42</v>
      </c>
      <c r="U20" s="264">
        <v>2.44</v>
      </c>
      <c r="V20" s="264">
        <v>2.46</v>
      </c>
      <c r="W20" s="264">
        <v>2.48</v>
      </c>
      <c r="X20" s="264">
        <v>2.5</v>
      </c>
      <c r="Y20" s="264">
        <v>2.5099999999999998</v>
      </c>
      <c r="Z20" s="264">
        <v>2.52</v>
      </c>
      <c r="AA20" s="57">
        <f t="shared" si="0"/>
        <v>2.0799999999999996</v>
      </c>
      <c r="AB20" s="58">
        <f>IF(AA20=" "," ",IF('c-form'!AE15="",AA20,AA20+'c-form'!AE15))</f>
        <v>339.68</v>
      </c>
      <c r="AC20" s="58">
        <f>IF(AA20=" "," ",IF('c-form'!AE15="",AM20,AM20+'c-form'!AE15))</f>
        <v>340.12</v>
      </c>
      <c r="AD20" s="150">
        <f t="shared" si="3"/>
        <v>24</v>
      </c>
      <c r="AE20" s="58">
        <f>IF(AA20=" "," ",IF('c-form'!AE15="",AN20,AN20+'c-form'!AE15))</f>
        <v>338.96000000000004</v>
      </c>
      <c r="AF20" s="150">
        <f t="shared" si="1"/>
        <v>1</v>
      </c>
      <c r="AM20">
        <f t="shared" si="2"/>
        <v>2.52</v>
      </c>
      <c r="AN20" s="54">
        <f t="shared" si="4"/>
        <v>1.36</v>
      </c>
    </row>
    <row r="21" spans="1:40" ht="22.5" customHeight="1">
      <c r="A21" s="60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9"/>
      <c r="AC21" s="139"/>
      <c r="AD21" s="151"/>
      <c r="AE21" s="139"/>
      <c r="AF21" s="151"/>
      <c r="AM21">
        <f>IF(AB21=" "," ",MAX(C21:Z21))</f>
        <v>0</v>
      </c>
      <c r="AN21" s="54">
        <f t="shared" si="4"/>
        <v>0</v>
      </c>
    </row>
    <row r="22" spans="1:40" ht="22.5" customHeight="1">
      <c r="A22" s="60"/>
      <c r="B22" s="132">
        <v>11</v>
      </c>
      <c r="C22" s="264">
        <v>2.5299999999999998</v>
      </c>
      <c r="D22" s="264">
        <v>2.5299999999999998</v>
      </c>
      <c r="E22" s="264">
        <v>2.54</v>
      </c>
      <c r="F22" s="264">
        <v>2.54</v>
      </c>
      <c r="G22" s="264">
        <v>2.54</v>
      </c>
      <c r="H22" s="264">
        <v>2.54</v>
      </c>
      <c r="I22" s="264">
        <v>2.54</v>
      </c>
      <c r="J22" s="264">
        <v>2.5299999999999998</v>
      </c>
      <c r="K22" s="264">
        <v>2.5299999999999998</v>
      </c>
      <c r="L22" s="264">
        <v>2.52</v>
      </c>
      <c r="M22" s="264">
        <v>2.5099999999999998</v>
      </c>
      <c r="N22" s="264">
        <v>2.5</v>
      </c>
      <c r="O22" s="264">
        <v>2.4900000000000002</v>
      </c>
      <c r="P22" s="264">
        <v>2.4700000000000002</v>
      </c>
      <c r="Q22" s="264">
        <v>2.4500000000000002</v>
      </c>
      <c r="R22" s="264">
        <v>2.4300000000000002</v>
      </c>
      <c r="S22" s="264">
        <v>2.41</v>
      </c>
      <c r="T22" s="264">
        <v>2.38</v>
      </c>
      <c r="U22" s="264">
        <v>2.35</v>
      </c>
      <c r="V22" s="264">
        <v>2.33</v>
      </c>
      <c r="W22" s="264">
        <v>2.2999999999999998</v>
      </c>
      <c r="X22" s="264">
        <v>2.27</v>
      </c>
      <c r="Y22" s="264">
        <v>2.2400000000000002</v>
      </c>
      <c r="Z22" s="264">
        <v>2.21</v>
      </c>
      <c r="AA22" s="57">
        <f t="shared" si="0"/>
        <v>2.4450000000000007</v>
      </c>
      <c r="AB22" s="58">
        <f>IF(AA22=" "," ",IF('c-form'!AE15="",AA22,AA22+'c-form'!AE15))</f>
        <v>340.04500000000002</v>
      </c>
      <c r="AC22" s="58">
        <f>IF(AA22=" "," ",IF('c-form'!AE15="",AM22,AM22+'c-form'!AE15))</f>
        <v>340.14000000000004</v>
      </c>
      <c r="AD22" s="150">
        <f t="shared" ref="AD22:AD31" si="5">IF(AB22=" "," ",MATCH(AM22,C22:Z22,0))</f>
        <v>3</v>
      </c>
      <c r="AE22" s="58">
        <f>IF(AA22=" "," ",IF('c-form'!AE15="",AN22,AN22+'c-form'!AE15))</f>
        <v>339.81</v>
      </c>
      <c r="AF22" s="150">
        <f t="shared" ref="AF22:AF31" si="6">IF(AD22=" "," ",MATCH(AN22,C22:Z22,0))</f>
        <v>24</v>
      </c>
      <c r="AM22">
        <f t="shared" si="2"/>
        <v>2.54</v>
      </c>
      <c r="AN22" s="54">
        <f t="shared" si="4"/>
        <v>2.21</v>
      </c>
    </row>
    <row r="23" spans="1:40" ht="22.5" customHeight="1">
      <c r="A23" s="60"/>
      <c r="B23" s="132">
        <v>12</v>
      </c>
      <c r="C23" s="264">
        <v>2.19</v>
      </c>
      <c r="D23" s="264">
        <v>2.17</v>
      </c>
      <c r="E23" s="264">
        <v>2.15</v>
      </c>
      <c r="F23" s="264">
        <v>2.13</v>
      </c>
      <c r="G23" s="264">
        <v>2.11</v>
      </c>
      <c r="H23" s="264">
        <v>2.09</v>
      </c>
      <c r="I23" s="264">
        <v>2.0699999999999998</v>
      </c>
      <c r="J23" s="264">
        <v>2.0499999999999998</v>
      </c>
      <c r="K23" s="264">
        <v>2.0299999999999998</v>
      </c>
      <c r="L23" s="264">
        <v>2.0099999999999998</v>
      </c>
      <c r="M23" s="264">
        <v>2</v>
      </c>
      <c r="N23" s="264">
        <v>1.99</v>
      </c>
      <c r="O23" s="264">
        <v>1.97</v>
      </c>
      <c r="P23" s="264">
        <v>1.95</v>
      </c>
      <c r="Q23" s="264">
        <v>1.93</v>
      </c>
      <c r="R23" s="264">
        <v>1.91</v>
      </c>
      <c r="S23" s="264">
        <v>1.9</v>
      </c>
      <c r="T23" s="264">
        <v>1.88</v>
      </c>
      <c r="U23" s="264">
        <v>1.86</v>
      </c>
      <c r="V23" s="264">
        <v>1.84</v>
      </c>
      <c r="W23" s="264">
        <v>1.82</v>
      </c>
      <c r="X23" s="264">
        <v>1.81</v>
      </c>
      <c r="Y23" s="264">
        <v>1.79</v>
      </c>
      <c r="Z23" s="264">
        <v>1.77</v>
      </c>
      <c r="AA23" s="57">
        <f t="shared" si="0"/>
        <v>1.9758333333333333</v>
      </c>
      <c r="AB23" s="58">
        <f>IF(AA23=" "," ",IF('c-form'!AE15="",AA23,AA23+'c-form'!AE15))</f>
        <v>339.57583333333338</v>
      </c>
      <c r="AC23" s="58">
        <f>IF(AA23=" "," ",IF('c-form'!AE15="",AM23,AM23+'c-form'!AE15))</f>
        <v>339.79</v>
      </c>
      <c r="AD23" s="150">
        <f t="shared" si="5"/>
        <v>1</v>
      </c>
      <c r="AE23" s="58">
        <f>IF(AA23=" "," ",IF('c-form'!AE15="",AN23,AN23+'c-form'!AE15))</f>
        <v>339.37</v>
      </c>
      <c r="AF23" s="150">
        <f t="shared" si="6"/>
        <v>24</v>
      </c>
      <c r="AM23">
        <f t="shared" si="2"/>
        <v>2.19</v>
      </c>
      <c r="AN23" s="54">
        <f t="shared" si="4"/>
        <v>1.77</v>
      </c>
    </row>
    <row r="24" spans="1:40" ht="22.5" customHeight="1">
      <c r="A24" s="60"/>
      <c r="B24" s="132">
        <v>13</v>
      </c>
      <c r="C24" s="264">
        <v>1.75</v>
      </c>
      <c r="D24" s="264">
        <v>1.73</v>
      </c>
      <c r="E24" s="264">
        <v>1.71</v>
      </c>
      <c r="F24" s="264">
        <v>1.68</v>
      </c>
      <c r="G24" s="264">
        <v>1.65</v>
      </c>
      <c r="H24" s="264">
        <v>1.63</v>
      </c>
      <c r="I24" s="264">
        <v>1.6</v>
      </c>
      <c r="J24" s="264">
        <v>1.57</v>
      </c>
      <c r="K24" s="264">
        <v>1.54</v>
      </c>
      <c r="L24" s="264">
        <v>1.51</v>
      </c>
      <c r="M24" s="264">
        <v>1.48</v>
      </c>
      <c r="N24" s="264">
        <v>1.45</v>
      </c>
      <c r="O24" s="264">
        <v>1.43</v>
      </c>
      <c r="P24" s="264">
        <v>1.41</v>
      </c>
      <c r="Q24" s="264">
        <v>1.38</v>
      </c>
      <c r="R24" s="264">
        <v>1.36</v>
      </c>
      <c r="S24" s="264">
        <v>1.33</v>
      </c>
      <c r="T24" s="264">
        <v>1.31</v>
      </c>
      <c r="U24" s="264">
        <v>1.29</v>
      </c>
      <c r="V24" s="264">
        <v>1.27</v>
      </c>
      <c r="W24" s="264">
        <v>1.25</v>
      </c>
      <c r="X24" s="264">
        <v>1.23</v>
      </c>
      <c r="Y24" s="264">
        <v>1.21</v>
      </c>
      <c r="Z24" s="264">
        <v>1.2</v>
      </c>
      <c r="AA24" s="57">
        <f t="shared" si="0"/>
        <v>1.4570833333333333</v>
      </c>
      <c r="AB24" s="58">
        <f>IF(AA24=" "," ",IF('c-form'!AE15="",AA24,AA24+'c-form'!AE15))</f>
        <v>339.05708333333337</v>
      </c>
      <c r="AC24" s="58">
        <f>IF(AA24=" "," ",IF('c-form'!AE15="",AM24,AM24+'c-form'!AE15))</f>
        <v>339.35</v>
      </c>
      <c r="AD24" s="150">
        <f t="shared" si="5"/>
        <v>1</v>
      </c>
      <c r="AE24" s="58">
        <f>IF(AA24=" "," ",IF('c-form'!AE15="",AN24,AN24+'c-form'!AE15))</f>
        <v>338.8</v>
      </c>
      <c r="AF24" s="150">
        <f t="shared" si="6"/>
        <v>24</v>
      </c>
      <c r="AM24">
        <f t="shared" si="2"/>
        <v>1.75</v>
      </c>
      <c r="AN24" s="54">
        <f t="shared" si="4"/>
        <v>1.2</v>
      </c>
    </row>
    <row r="25" spans="1:40" ht="22.5" customHeight="1">
      <c r="A25" s="60"/>
      <c r="B25" s="132">
        <v>14</v>
      </c>
      <c r="C25" s="264">
        <v>1.18</v>
      </c>
      <c r="D25" s="264">
        <v>1.1599999999999999</v>
      </c>
      <c r="E25" s="264">
        <v>1.1399999999999999</v>
      </c>
      <c r="F25" s="264">
        <v>1.1200000000000001</v>
      </c>
      <c r="G25" s="264">
        <v>1.1100000000000001</v>
      </c>
      <c r="H25" s="264">
        <v>1.1000000000000001</v>
      </c>
      <c r="I25" s="264">
        <v>1.08</v>
      </c>
      <c r="J25" s="264">
        <v>1.07</v>
      </c>
      <c r="K25" s="264">
        <v>1.06</v>
      </c>
      <c r="L25" s="264">
        <v>1.05</v>
      </c>
      <c r="M25" s="264">
        <v>1.04</v>
      </c>
      <c r="N25" s="264">
        <v>1.03</v>
      </c>
      <c r="O25" s="264">
        <v>1.02</v>
      </c>
      <c r="P25" s="264">
        <v>1.02</v>
      </c>
      <c r="Q25" s="264">
        <v>1.01</v>
      </c>
      <c r="R25" s="264">
        <v>1.01</v>
      </c>
      <c r="S25" s="264">
        <v>1</v>
      </c>
      <c r="T25" s="264">
        <v>1</v>
      </c>
      <c r="U25" s="264">
        <v>0.99</v>
      </c>
      <c r="V25" s="264">
        <v>0.99</v>
      </c>
      <c r="W25" s="264">
        <v>0.98</v>
      </c>
      <c r="X25" s="264">
        <v>0.98</v>
      </c>
      <c r="Y25" s="264">
        <v>0.98</v>
      </c>
      <c r="Z25" s="264">
        <v>0.99</v>
      </c>
      <c r="AA25" s="57">
        <f t="shared" si="0"/>
        <v>1.0462499999999999</v>
      </c>
      <c r="AB25" s="58">
        <f>IF(AA25=" "," ",IF('c-form'!AE15="",AA25,AA25+'c-form'!AE15))</f>
        <v>338.64625000000001</v>
      </c>
      <c r="AC25" s="58">
        <f>IF(AA25=" "," ",IF('c-form'!AE15="",AM25,AM25+'c-form'!AE15))</f>
        <v>338.78000000000003</v>
      </c>
      <c r="AD25" s="150">
        <f t="shared" si="5"/>
        <v>1</v>
      </c>
      <c r="AE25" s="58">
        <f>IF(AA25=" "," ",IF('c-form'!AE15="",AN25,AN25+'c-form'!AE15))</f>
        <v>338.58000000000004</v>
      </c>
      <c r="AF25" s="150">
        <f t="shared" si="6"/>
        <v>21</v>
      </c>
      <c r="AM25">
        <f t="shared" si="2"/>
        <v>1.18</v>
      </c>
      <c r="AN25" s="54">
        <f t="shared" si="4"/>
        <v>0.98</v>
      </c>
    </row>
    <row r="26" spans="1:40" ht="22.5" customHeight="1">
      <c r="A26" s="60"/>
      <c r="B26" s="132">
        <v>15</v>
      </c>
      <c r="C26" s="264">
        <v>1</v>
      </c>
      <c r="D26" s="264">
        <v>1.01</v>
      </c>
      <c r="E26" s="264">
        <v>1.02</v>
      </c>
      <c r="F26" s="264">
        <v>1.03</v>
      </c>
      <c r="G26" s="264">
        <v>1.04</v>
      </c>
      <c r="H26" s="264">
        <v>1.05</v>
      </c>
      <c r="I26" s="264">
        <v>1.07</v>
      </c>
      <c r="J26" s="264">
        <v>1.08</v>
      </c>
      <c r="K26" s="264">
        <v>1.0900000000000001</v>
      </c>
      <c r="L26" s="264">
        <v>1.1100000000000001</v>
      </c>
      <c r="M26" s="264">
        <v>1.1200000000000001</v>
      </c>
      <c r="N26" s="264">
        <v>1.1299999999999999</v>
      </c>
      <c r="O26" s="264">
        <v>1.1399999999999999</v>
      </c>
      <c r="P26" s="264">
        <v>1.1499999999999999</v>
      </c>
      <c r="Q26" s="264">
        <v>1.1599999999999999</v>
      </c>
      <c r="R26" s="264">
        <v>1.1599999999999999</v>
      </c>
      <c r="S26" s="264">
        <v>1.1599999999999999</v>
      </c>
      <c r="T26" s="264">
        <v>1.1599999999999999</v>
      </c>
      <c r="U26" s="264">
        <v>1.1599999999999999</v>
      </c>
      <c r="V26" s="264">
        <v>1.1499999999999999</v>
      </c>
      <c r="W26" s="264">
        <v>1.1299999999999999</v>
      </c>
      <c r="X26" s="264">
        <v>1.1100000000000001</v>
      </c>
      <c r="Y26" s="264">
        <v>1.0900000000000001</v>
      </c>
      <c r="Z26" s="264">
        <v>1.07</v>
      </c>
      <c r="AA26" s="57">
        <f t="shared" si="0"/>
        <v>1.0995833333333331</v>
      </c>
      <c r="AB26" s="58">
        <f>IF(AA26=" "," ",IF('c-form'!AE15="",AA26,AA26+'c-form'!AE15))</f>
        <v>338.69958333333335</v>
      </c>
      <c r="AC26" s="58">
        <f>IF(AA26=" "," ",IF('c-form'!AE15="",AM26,AM26+'c-form'!AE15))</f>
        <v>338.76000000000005</v>
      </c>
      <c r="AD26" s="150">
        <f t="shared" si="5"/>
        <v>15</v>
      </c>
      <c r="AE26" s="58">
        <f>IF(AA26=" "," ",IF('c-form'!AE15="",AN26,AN26+'c-form'!AE15))</f>
        <v>338.6</v>
      </c>
      <c r="AF26" s="150">
        <f t="shared" si="6"/>
        <v>1</v>
      </c>
      <c r="AM26">
        <f t="shared" si="2"/>
        <v>1.1599999999999999</v>
      </c>
      <c r="AN26" s="54">
        <f t="shared" si="4"/>
        <v>1</v>
      </c>
    </row>
    <row r="27" spans="1:40" ht="22.5" customHeight="1">
      <c r="A27" s="60"/>
      <c r="B27" s="132">
        <v>16</v>
      </c>
      <c r="C27" s="264">
        <v>1.05</v>
      </c>
      <c r="D27" s="264">
        <v>1.03</v>
      </c>
      <c r="E27" s="264">
        <v>1.01</v>
      </c>
      <c r="F27" s="264">
        <v>0.99</v>
      </c>
      <c r="G27" s="264">
        <v>0.98</v>
      </c>
      <c r="H27" s="264">
        <v>0.97</v>
      </c>
      <c r="I27" s="264">
        <v>0.96</v>
      </c>
      <c r="J27" s="264">
        <v>0.95</v>
      </c>
      <c r="K27" s="264">
        <v>0.94</v>
      </c>
      <c r="L27" s="264">
        <v>0.93</v>
      </c>
      <c r="M27" s="264">
        <v>0.92</v>
      </c>
      <c r="N27" s="264">
        <v>0.91</v>
      </c>
      <c r="O27" s="264">
        <v>0.91</v>
      </c>
      <c r="P27" s="264">
        <v>0.9</v>
      </c>
      <c r="Q27" s="264">
        <v>0.9</v>
      </c>
      <c r="R27" s="264">
        <v>0.89</v>
      </c>
      <c r="S27" s="264">
        <v>0.89</v>
      </c>
      <c r="T27" s="264">
        <v>0.89</v>
      </c>
      <c r="U27" s="264">
        <v>0.88</v>
      </c>
      <c r="V27" s="264">
        <v>0.88</v>
      </c>
      <c r="W27" s="264">
        <v>0.87</v>
      </c>
      <c r="X27" s="264">
        <v>0.87</v>
      </c>
      <c r="Y27" s="264">
        <v>0.87</v>
      </c>
      <c r="Z27" s="264">
        <v>0.87</v>
      </c>
      <c r="AA27" s="57">
        <f t="shared" si="0"/>
        <v>0.92750000000000021</v>
      </c>
      <c r="AB27" s="58">
        <f>IF(AA27=" "," ",IF('c-form'!AE15="",AA27,AA27+'c-form'!AE15))</f>
        <v>338.52750000000003</v>
      </c>
      <c r="AC27" s="58">
        <f>IF(AA27=" "," ",IF('c-form'!AE15="",AM27,AM27+'c-form'!AE15))</f>
        <v>338.65000000000003</v>
      </c>
      <c r="AD27" s="150">
        <f t="shared" si="5"/>
        <v>1</v>
      </c>
      <c r="AE27" s="58">
        <f>IF(AA27=" "," ",IF('c-form'!AE15="",AN27,AN27+'c-form'!AE15))</f>
        <v>338.47</v>
      </c>
      <c r="AF27" s="150">
        <f t="shared" si="6"/>
        <v>21</v>
      </c>
      <c r="AM27">
        <f t="shared" si="2"/>
        <v>1.05</v>
      </c>
      <c r="AN27" s="54">
        <f t="shared" si="4"/>
        <v>0.87</v>
      </c>
    </row>
    <row r="28" spans="1:40" ht="22.5" customHeight="1">
      <c r="A28" s="60"/>
      <c r="B28" s="132">
        <v>17</v>
      </c>
      <c r="C28" s="264">
        <v>0.86</v>
      </c>
      <c r="D28" s="264">
        <v>0.86</v>
      </c>
      <c r="E28" s="264">
        <v>0.86</v>
      </c>
      <c r="F28" s="264">
        <v>0.86</v>
      </c>
      <c r="G28" s="264">
        <v>0.86</v>
      </c>
      <c r="H28" s="264">
        <v>0.85</v>
      </c>
      <c r="I28" s="264">
        <v>0.85</v>
      </c>
      <c r="J28" s="264">
        <v>0.85</v>
      </c>
      <c r="K28" s="264">
        <v>0.84</v>
      </c>
      <c r="L28" s="264">
        <v>0.83</v>
      </c>
      <c r="M28" s="264">
        <v>0.82</v>
      </c>
      <c r="N28" s="264">
        <v>0.81</v>
      </c>
      <c r="O28" s="264">
        <v>0.8</v>
      </c>
      <c r="P28" s="264">
        <v>0.79</v>
      </c>
      <c r="Q28" s="264">
        <v>0.79</v>
      </c>
      <c r="R28" s="264">
        <v>0.78</v>
      </c>
      <c r="S28" s="264">
        <v>0.78</v>
      </c>
      <c r="T28" s="264">
        <v>0.77</v>
      </c>
      <c r="U28" s="264">
        <v>0.77</v>
      </c>
      <c r="V28" s="264">
        <v>0.76</v>
      </c>
      <c r="W28" s="264">
        <v>0.75</v>
      </c>
      <c r="X28" s="264">
        <v>0.74</v>
      </c>
      <c r="Y28" s="264">
        <v>0.74</v>
      </c>
      <c r="Z28" s="264">
        <v>0.73</v>
      </c>
      <c r="AA28" s="57">
        <f t="shared" si="0"/>
        <v>0.8062499999999998</v>
      </c>
      <c r="AB28" s="58">
        <f>IF(AA28=" "," ",IF('c-form'!AE15="",AA28,AA28+'c-form'!AE15))</f>
        <v>338.40625</v>
      </c>
      <c r="AC28" s="58">
        <f>IF(AA28=" "," ",IF('c-form'!AE15="",AM28,AM28+'c-form'!AE15))</f>
        <v>338.46000000000004</v>
      </c>
      <c r="AD28" s="150">
        <f t="shared" si="5"/>
        <v>1</v>
      </c>
      <c r="AE28" s="58">
        <f>IF(AA28=" "," ",IF('c-form'!AE15="",AN28,AN28+'c-form'!AE15))</f>
        <v>338.33000000000004</v>
      </c>
      <c r="AF28" s="150">
        <f t="shared" si="6"/>
        <v>24</v>
      </c>
      <c r="AM28">
        <f t="shared" si="2"/>
        <v>0.86</v>
      </c>
      <c r="AN28" s="54">
        <f t="shared" si="4"/>
        <v>0.73</v>
      </c>
    </row>
    <row r="29" spans="1:40" ht="22.5" customHeight="1">
      <c r="A29" s="60"/>
      <c r="B29" s="132">
        <v>18</v>
      </c>
      <c r="C29" s="264">
        <v>0.73</v>
      </c>
      <c r="D29" s="264">
        <v>0.72</v>
      </c>
      <c r="E29" s="264">
        <v>0.72</v>
      </c>
      <c r="F29" s="264">
        <v>0.71</v>
      </c>
      <c r="G29" s="264">
        <v>0.71</v>
      </c>
      <c r="H29" s="264">
        <v>0.7</v>
      </c>
      <c r="I29" s="264">
        <v>0.7</v>
      </c>
      <c r="J29" s="264">
        <v>0.69</v>
      </c>
      <c r="K29" s="264">
        <v>0.69</v>
      </c>
      <c r="L29" s="264">
        <v>0.68</v>
      </c>
      <c r="M29" s="264">
        <v>0.68</v>
      </c>
      <c r="N29" s="264">
        <v>0.67</v>
      </c>
      <c r="O29" s="264">
        <v>0.67</v>
      </c>
      <c r="P29" s="264">
        <v>0.66</v>
      </c>
      <c r="Q29" s="264">
        <v>0.66</v>
      </c>
      <c r="R29" s="264">
        <v>0.65</v>
      </c>
      <c r="S29" s="264">
        <v>0.65</v>
      </c>
      <c r="T29" s="264">
        <v>0.65</v>
      </c>
      <c r="U29" s="264">
        <v>0.65</v>
      </c>
      <c r="V29" s="264">
        <v>0.64</v>
      </c>
      <c r="W29" s="264">
        <v>0.64</v>
      </c>
      <c r="X29" s="264">
        <v>0.64</v>
      </c>
      <c r="Y29" s="264">
        <v>0.63</v>
      </c>
      <c r="Z29" s="264">
        <v>0.63</v>
      </c>
      <c r="AA29" s="57">
        <f t="shared" si="0"/>
        <v>0.67375000000000007</v>
      </c>
      <c r="AB29" s="58">
        <f>IF(AA29=" "," ",IF('c-form'!AE15="",AA29,AA29+'c-form'!AE15))</f>
        <v>338.27375000000001</v>
      </c>
      <c r="AC29" s="58">
        <f>IF(AA29=" "," ",IF('c-form'!AE15="",AM29,AM29+'c-form'!AE15))</f>
        <v>338.33000000000004</v>
      </c>
      <c r="AD29" s="150">
        <f t="shared" si="5"/>
        <v>1</v>
      </c>
      <c r="AE29" s="58">
        <f>IF(AA29=" "," ",IF('c-form'!AE15="",AN29,AN29+'c-form'!AE15))</f>
        <v>338.23</v>
      </c>
      <c r="AF29" s="150">
        <f t="shared" si="6"/>
        <v>23</v>
      </c>
      <c r="AM29">
        <f>IF(AB29=" "," ",MAX(C29:Z29))</f>
        <v>0.73</v>
      </c>
      <c r="AN29" s="54">
        <f t="shared" si="4"/>
        <v>0.63</v>
      </c>
    </row>
    <row r="30" spans="1:40" ht="22.5" customHeight="1">
      <c r="A30" s="60"/>
      <c r="B30" s="132">
        <v>19</v>
      </c>
      <c r="C30" s="264">
        <v>0.63</v>
      </c>
      <c r="D30" s="264">
        <v>0.63</v>
      </c>
      <c r="E30" s="264">
        <v>0.62</v>
      </c>
      <c r="F30" s="264">
        <v>0.62</v>
      </c>
      <c r="G30" s="264">
        <v>0.62</v>
      </c>
      <c r="H30" s="264">
        <v>0.62</v>
      </c>
      <c r="I30" s="264">
        <v>0.62</v>
      </c>
      <c r="J30" s="264">
        <v>0.62</v>
      </c>
      <c r="K30" s="264">
        <v>0.62</v>
      </c>
      <c r="L30" s="264">
        <v>0.62</v>
      </c>
      <c r="M30" s="264">
        <v>0.62</v>
      </c>
      <c r="N30" s="264">
        <v>0.62</v>
      </c>
      <c r="O30" s="264">
        <v>0.62</v>
      </c>
      <c r="P30" s="264">
        <v>0.62</v>
      </c>
      <c r="Q30" s="264">
        <v>0.62</v>
      </c>
      <c r="R30" s="264">
        <v>0.62</v>
      </c>
      <c r="S30" s="264">
        <v>0.62</v>
      </c>
      <c r="T30" s="264">
        <v>0.62</v>
      </c>
      <c r="U30" s="264">
        <v>0.62</v>
      </c>
      <c r="V30" s="264">
        <v>0.62</v>
      </c>
      <c r="W30" s="264">
        <v>0.62</v>
      </c>
      <c r="X30" s="264">
        <v>0.62</v>
      </c>
      <c r="Y30" s="264">
        <v>0.62</v>
      </c>
      <c r="Z30" s="264">
        <v>0.62</v>
      </c>
      <c r="AA30" s="57">
        <f t="shared" si="0"/>
        <v>0.62083333333333302</v>
      </c>
      <c r="AB30" s="58">
        <f>IF(AA30=" "," ",IF('c-form'!AE15="",AA30,AA30+'c-form'!AE15))</f>
        <v>338.22083333333336</v>
      </c>
      <c r="AC30" s="58">
        <f>IF(AA30=" "," ",IF('c-form'!AE15="",AM30,AM30+'c-form'!AE15))</f>
        <v>338.23</v>
      </c>
      <c r="AD30" s="150">
        <f t="shared" si="5"/>
        <v>1</v>
      </c>
      <c r="AE30" s="58">
        <f>IF(AA30=" "," ",IF('c-form'!AE15="",AN30,AN30+'c-form'!AE15))</f>
        <v>338.22</v>
      </c>
      <c r="AF30" s="150">
        <f t="shared" si="6"/>
        <v>3</v>
      </c>
      <c r="AM30">
        <f t="shared" si="2"/>
        <v>0.63</v>
      </c>
      <c r="AN30" s="54">
        <f t="shared" si="4"/>
        <v>0.62</v>
      </c>
    </row>
    <row r="31" spans="1:40" ht="22.5" customHeight="1">
      <c r="A31" s="60"/>
      <c r="B31" s="132">
        <v>20</v>
      </c>
      <c r="C31" s="264">
        <v>0.61</v>
      </c>
      <c r="D31" s="264">
        <v>0.61</v>
      </c>
      <c r="E31" s="264">
        <v>0.61</v>
      </c>
      <c r="F31" s="264">
        <v>0.61</v>
      </c>
      <c r="G31" s="264">
        <v>0.61</v>
      </c>
      <c r="H31" s="264">
        <v>0.61</v>
      </c>
      <c r="I31" s="264">
        <v>0.61</v>
      </c>
      <c r="J31" s="264">
        <v>0.61</v>
      </c>
      <c r="K31" s="264">
        <v>0.61</v>
      </c>
      <c r="L31" s="264">
        <v>0.61</v>
      </c>
      <c r="M31" s="264">
        <v>0.61</v>
      </c>
      <c r="N31" s="264">
        <v>0.61</v>
      </c>
      <c r="O31" s="264">
        <v>0.61</v>
      </c>
      <c r="P31" s="264">
        <v>0.61</v>
      </c>
      <c r="Q31" s="264">
        <v>0.61</v>
      </c>
      <c r="R31" s="264">
        <v>0.61</v>
      </c>
      <c r="S31" s="264">
        <v>0.61</v>
      </c>
      <c r="T31" s="264">
        <v>0.61</v>
      </c>
      <c r="U31" s="264">
        <v>0.61</v>
      </c>
      <c r="V31" s="264">
        <v>0.61</v>
      </c>
      <c r="W31" s="264">
        <v>0.61</v>
      </c>
      <c r="X31" s="264">
        <v>0.61</v>
      </c>
      <c r="Y31" s="264">
        <v>0.61</v>
      </c>
      <c r="Z31" s="264">
        <v>0.61</v>
      </c>
      <c r="AA31" s="57">
        <f t="shared" si="0"/>
        <v>0.60999999999999976</v>
      </c>
      <c r="AB31" s="58">
        <f>IF(AA31=" "," ",IF('c-form'!AE15="",AA31,AA31+'c-form'!AE15))</f>
        <v>338.21000000000004</v>
      </c>
      <c r="AC31" s="58">
        <f>IF(AA31=" "," ",IF('c-form'!AE15="",AM31,AM31+'c-form'!AE15))</f>
        <v>338.21000000000004</v>
      </c>
      <c r="AD31" s="150">
        <f t="shared" si="5"/>
        <v>1</v>
      </c>
      <c r="AE31" s="58">
        <f>IF(AA31=" "," ",IF('c-form'!AE15="",AN31,AN31+'c-form'!AE15))</f>
        <v>338.21000000000004</v>
      </c>
      <c r="AF31" s="150">
        <f t="shared" si="6"/>
        <v>1</v>
      </c>
      <c r="AM31">
        <f t="shared" si="2"/>
        <v>0.61</v>
      </c>
      <c r="AN31" s="54">
        <f t="shared" si="4"/>
        <v>0.61</v>
      </c>
    </row>
    <row r="32" spans="1:40" ht="22.5" customHeight="1">
      <c r="A32" s="60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39"/>
      <c r="AF32" s="151"/>
      <c r="AM32">
        <f t="shared" si="2"/>
        <v>0</v>
      </c>
      <c r="AN32" s="54">
        <f t="shared" si="4"/>
        <v>0</v>
      </c>
    </row>
    <row r="33" spans="1:40" ht="22.5" customHeight="1">
      <c r="A33" s="60"/>
      <c r="B33" s="132">
        <v>21</v>
      </c>
      <c r="C33" s="264">
        <v>0.61</v>
      </c>
      <c r="D33" s="264">
        <v>0.61</v>
      </c>
      <c r="E33" s="264">
        <v>0.61</v>
      </c>
      <c r="F33" s="264">
        <v>0.61</v>
      </c>
      <c r="G33" s="264">
        <v>0.61</v>
      </c>
      <c r="H33" s="264">
        <v>0.61</v>
      </c>
      <c r="I33" s="264">
        <v>0.6</v>
      </c>
      <c r="J33" s="264">
        <v>0.6</v>
      </c>
      <c r="K33" s="264">
        <v>0.6</v>
      </c>
      <c r="L33" s="264">
        <v>0.6</v>
      </c>
      <c r="M33" s="264">
        <v>0.6</v>
      </c>
      <c r="N33" s="264">
        <v>0.6</v>
      </c>
      <c r="O33" s="264">
        <v>0.6</v>
      </c>
      <c r="P33" s="264">
        <v>0.6</v>
      </c>
      <c r="Q33" s="264">
        <v>0.6</v>
      </c>
      <c r="R33" s="264">
        <v>0.6</v>
      </c>
      <c r="S33" s="264">
        <v>0.6</v>
      </c>
      <c r="T33" s="264">
        <v>0.6</v>
      </c>
      <c r="U33" s="264">
        <v>0.61</v>
      </c>
      <c r="V33" s="264">
        <v>0.61</v>
      </c>
      <c r="W33" s="264">
        <v>0.62</v>
      </c>
      <c r="X33" s="264">
        <v>0.62</v>
      </c>
      <c r="Y33" s="264">
        <v>0.63</v>
      </c>
      <c r="Z33" s="264">
        <v>0.63</v>
      </c>
      <c r="AA33" s="57">
        <f t="shared" si="0"/>
        <v>0.60749999999999982</v>
      </c>
      <c r="AB33" s="58">
        <f>IF(AA33=" "," ",IF('c-form'!AE15="",AA33,AA33+'c-form'!AE15))</f>
        <v>338.20750000000004</v>
      </c>
      <c r="AC33" s="58">
        <f>IF(AA33=" "," ",IF('c-form'!AE15="",AM33,AM33+'c-form'!AE15))</f>
        <v>338.23</v>
      </c>
      <c r="AD33" s="150">
        <f t="shared" ref="AD33:AD41" si="7">IF(AB33=" "," ",MATCH(AM33,C33:Z33,0))</f>
        <v>23</v>
      </c>
      <c r="AE33" s="58">
        <f>IF(AA33=" "," ",IF('c-form'!AE15="",AN33,AN33+'c-form'!AE15))</f>
        <v>338.20000000000005</v>
      </c>
      <c r="AF33" s="150">
        <f t="shared" ref="AF33:AF41" si="8">IF(AD33=" "," ",MATCH(AN33,C33:Z33,0))</f>
        <v>7</v>
      </c>
      <c r="AM33">
        <f t="shared" si="2"/>
        <v>0.63</v>
      </c>
      <c r="AN33" s="54">
        <f t="shared" si="4"/>
        <v>0.6</v>
      </c>
    </row>
    <row r="34" spans="1:40" ht="22.5" customHeight="1">
      <c r="A34" s="60"/>
      <c r="B34" s="132">
        <v>22</v>
      </c>
      <c r="C34" s="264">
        <v>0.64</v>
      </c>
      <c r="D34" s="264">
        <v>0.64</v>
      </c>
      <c r="E34" s="264">
        <v>0.65</v>
      </c>
      <c r="F34" s="264">
        <v>0.65</v>
      </c>
      <c r="G34" s="264">
        <v>0.66</v>
      </c>
      <c r="H34" s="264">
        <v>0.67</v>
      </c>
      <c r="I34" s="264">
        <v>0.67</v>
      </c>
      <c r="J34" s="264">
        <v>0.68</v>
      </c>
      <c r="K34" s="264">
        <v>0.68</v>
      </c>
      <c r="L34" s="264">
        <v>0.69</v>
      </c>
      <c r="M34" s="264">
        <v>0.69</v>
      </c>
      <c r="N34" s="264">
        <v>0.7</v>
      </c>
      <c r="O34" s="264">
        <v>0.71</v>
      </c>
      <c r="P34" s="264">
        <v>0.72</v>
      </c>
      <c r="Q34" s="264">
        <v>0.73</v>
      </c>
      <c r="R34" s="264">
        <v>0.73</v>
      </c>
      <c r="S34" s="264">
        <v>0.74</v>
      </c>
      <c r="T34" s="264">
        <v>0.75</v>
      </c>
      <c r="U34" s="264">
        <v>0.76</v>
      </c>
      <c r="V34" s="264">
        <v>0.77</v>
      </c>
      <c r="W34" s="264">
        <v>0.78</v>
      </c>
      <c r="X34" s="264">
        <v>0.8</v>
      </c>
      <c r="Y34" s="264">
        <v>0.81</v>
      </c>
      <c r="Z34" s="264">
        <v>0.82</v>
      </c>
      <c r="AA34" s="57">
        <f t="shared" si="0"/>
        <v>0.71416666666666651</v>
      </c>
      <c r="AB34" s="58">
        <f>IF(AA34=" "," ",IF('c-form'!AE15="",AA34,AA34+'c-form'!AE15))</f>
        <v>338.31416666666667</v>
      </c>
      <c r="AC34" s="58">
        <f>IF(AA34=" "," ",IF('c-form'!AE15="",AM34,AM34+'c-form'!AE15))</f>
        <v>338.42</v>
      </c>
      <c r="AD34" s="150">
        <f t="shared" si="7"/>
        <v>24</v>
      </c>
      <c r="AE34" s="58">
        <f>IF(AA34=" "," ",IF('c-form'!AE15="",AN34,AN34+'c-form'!AE15))</f>
        <v>338.24</v>
      </c>
      <c r="AF34" s="150">
        <f t="shared" si="8"/>
        <v>1</v>
      </c>
      <c r="AM34">
        <f t="shared" si="2"/>
        <v>0.82</v>
      </c>
      <c r="AN34" s="54">
        <f t="shared" si="4"/>
        <v>0.64</v>
      </c>
    </row>
    <row r="35" spans="1:40" ht="22.5" customHeight="1">
      <c r="A35" s="60"/>
      <c r="B35" s="132">
        <v>23</v>
      </c>
      <c r="C35" s="264">
        <v>0.83</v>
      </c>
      <c r="D35" s="264">
        <v>0.84</v>
      </c>
      <c r="E35" s="264">
        <v>0.85</v>
      </c>
      <c r="F35" s="264">
        <v>0.86</v>
      </c>
      <c r="G35" s="264">
        <v>0.87</v>
      </c>
      <c r="H35" s="264">
        <v>0.89</v>
      </c>
      <c r="I35" s="264">
        <v>0.9</v>
      </c>
      <c r="J35" s="264">
        <v>0.92</v>
      </c>
      <c r="K35" s="264">
        <v>0.93</v>
      </c>
      <c r="L35" s="264">
        <v>0.95</v>
      </c>
      <c r="M35" s="264">
        <v>0.96</v>
      </c>
      <c r="N35" s="264">
        <v>0.97</v>
      </c>
      <c r="O35" s="264">
        <v>0.99</v>
      </c>
      <c r="P35" s="264">
        <v>1.01</v>
      </c>
      <c r="Q35" s="264">
        <v>1.02</v>
      </c>
      <c r="R35" s="264">
        <v>1.03</v>
      </c>
      <c r="S35" s="264">
        <v>1.04</v>
      </c>
      <c r="T35" s="264">
        <v>1.05</v>
      </c>
      <c r="U35" s="264">
        <v>1.06</v>
      </c>
      <c r="V35" s="264">
        <v>1.07</v>
      </c>
      <c r="W35" s="264">
        <v>1.08</v>
      </c>
      <c r="X35" s="264">
        <v>1.0900000000000001</v>
      </c>
      <c r="Y35" s="264">
        <v>1.1000000000000001</v>
      </c>
      <c r="Z35" s="264">
        <v>1.1000000000000001</v>
      </c>
      <c r="AA35" s="57">
        <f t="shared" si="0"/>
        <v>0.97541666666666671</v>
      </c>
      <c r="AB35" s="58">
        <f>IF(AA35=" "," ",IF('c-form'!AE15="",AA35,AA35+'c-form'!AE15))</f>
        <v>338.57541666666668</v>
      </c>
      <c r="AC35" s="58">
        <f>IF(AA35=" "," ",IF('c-form'!AE15="",AM35,AM35+'c-form'!AE15))</f>
        <v>338.70000000000005</v>
      </c>
      <c r="AD35" s="150">
        <f t="shared" si="7"/>
        <v>23</v>
      </c>
      <c r="AE35" s="58">
        <f>IF(AA35=" "," ",IF('c-form'!AE15="",AN35,AN35+'c-form'!AE15))</f>
        <v>338.43</v>
      </c>
      <c r="AF35" s="150">
        <f t="shared" si="8"/>
        <v>1</v>
      </c>
      <c r="AM35">
        <f t="shared" si="2"/>
        <v>1.1000000000000001</v>
      </c>
      <c r="AN35" s="54">
        <f t="shared" si="4"/>
        <v>0.83</v>
      </c>
    </row>
    <row r="36" spans="1:40" ht="22.5" customHeight="1">
      <c r="A36" s="60"/>
      <c r="B36" s="132">
        <v>24</v>
      </c>
      <c r="C36" s="264">
        <v>1.1000000000000001</v>
      </c>
      <c r="D36" s="264">
        <v>1.0900000000000001</v>
      </c>
      <c r="E36" s="264">
        <v>1.08</v>
      </c>
      <c r="F36" s="264">
        <v>1.07</v>
      </c>
      <c r="G36" s="264">
        <v>1.05</v>
      </c>
      <c r="H36" s="264">
        <v>1.04</v>
      </c>
      <c r="I36" s="264">
        <v>1.03</v>
      </c>
      <c r="J36" s="264">
        <v>1.01</v>
      </c>
      <c r="K36" s="264">
        <v>0.99</v>
      </c>
      <c r="L36" s="264">
        <v>0.98</v>
      </c>
      <c r="M36" s="264">
        <v>0.97</v>
      </c>
      <c r="N36" s="264">
        <v>0.95</v>
      </c>
      <c r="O36" s="264">
        <v>0.93</v>
      </c>
      <c r="P36" s="264">
        <v>0.92</v>
      </c>
      <c r="Q36" s="264">
        <v>0.91</v>
      </c>
      <c r="R36" s="264">
        <v>0.9</v>
      </c>
      <c r="S36" s="264">
        <v>0.89</v>
      </c>
      <c r="T36" s="264">
        <v>0.88</v>
      </c>
      <c r="U36" s="264">
        <v>0.86</v>
      </c>
      <c r="V36" s="264">
        <v>0.85</v>
      </c>
      <c r="W36" s="264">
        <v>0.84</v>
      </c>
      <c r="X36" s="264">
        <v>0.83</v>
      </c>
      <c r="Y36" s="264">
        <v>0.82</v>
      </c>
      <c r="Z36" s="264">
        <v>0.81</v>
      </c>
      <c r="AA36" s="57">
        <f t="shared" si="0"/>
        <v>0.94999999999999984</v>
      </c>
      <c r="AB36" s="58">
        <f>IF(AA36=" "," ",IF('c-form'!AE15="",AA36,AA36+'c-form'!AE15))</f>
        <v>338.55</v>
      </c>
      <c r="AC36" s="58">
        <f>IF(AA36=" "," ",IF('c-form'!AE15="",AM36,AM36+'c-form'!AE15))</f>
        <v>338.70000000000005</v>
      </c>
      <c r="AD36" s="150">
        <f t="shared" si="7"/>
        <v>1</v>
      </c>
      <c r="AE36" s="58">
        <f>IF(AA36=" "," ",IF('c-form'!AE15="",AN36,AN36+'c-form'!AE15))</f>
        <v>338.41</v>
      </c>
      <c r="AF36" s="150">
        <f t="shared" si="8"/>
        <v>24</v>
      </c>
      <c r="AM36">
        <f t="shared" si="2"/>
        <v>1.1000000000000001</v>
      </c>
      <c r="AN36" s="54">
        <f t="shared" si="4"/>
        <v>0.81</v>
      </c>
    </row>
    <row r="37" spans="1:40" ht="22.5" customHeight="1">
      <c r="A37" s="60"/>
      <c r="B37" s="132">
        <v>25</v>
      </c>
      <c r="C37" s="264">
        <v>0.8</v>
      </c>
      <c r="D37" s="264">
        <v>0.79</v>
      </c>
      <c r="E37" s="264">
        <v>0.78</v>
      </c>
      <c r="F37" s="264">
        <v>0.78</v>
      </c>
      <c r="G37" s="264">
        <v>0.77</v>
      </c>
      <c r="H37" s="264">
        <v>0.77</v>
      </c>
      <c r="I37" s="264">
        <v>0.77</v>
      </c>
      <c r="J37" s="264">
        <v>0.76</v>
      </c>
      <c r="K37" s="264">
        <v>0.76</v>
      </c>
      <c r="L37" s="264">
        <v>0.76</v>
      </c>
      <c r="M37" s="264">
        <v>0.75</v>
      </c>
      <c r="N37" s="264">
        <v>0.75</v>
      </c>
      <c r="O37" s="264">
        <v>0.75</v>
      </c>
      <c r="P37" s="264">
        <v>0.74</v>
      </c>
      <c r="Q37" s="264">
        <v>0.74</v>
      </c>
      <c r="R37" s="264">
        <v>0.74</v>
      </c>
      <c r="S37" s="264">
        <v>0.74</v>
      </c>
      <c r="T37" s="264">
        <v>0.74</v>
      </c>
      <c r="U37" s="264">
        <v>0.73</v>
      </c>
      <c r="V37" s="264">
        <v>0.73</v>
      </c>
      <c r="W37" s="264">
        <v>0.73</v>
      </c>
      <c r="X37" s="264">
        <v>0.73</v>
      </c>
      <c r="Y37" s="264">
        <v>0.73</v>
      </c>
      <c r="Z37" s="264">
        <v>0.73</v>
      </c>
      <c r="AA37" s="57">
        <f t="shared" si="0"/>
        <v>0.75291666666666679</v>
      </c>
      <c r="AB37" s="58">
        <f>IF(AA37=" "," ",IF('c-form'!AE15="",AA37,AA37+'c-form'!AE15))</f>
        <v>338.35291666666672</v>
      </c>
      <c r="AC37" s="58">
        <f>IF(AA37=" "," ",IF('c-form'!AE15="",AM37,AM37+'c-form'!AE15))</f>
        <v>338.40000000000003</v>
      </c>
      <c r="AD37" s="150">
        <f t="shared" si="7"/>
        <v>1</v>
      </c>
      <c r="AE37" s="58">
        <f>IF(AA37=" "," ",IF('c-form'!AE15="",AN37,AN37+'c-form'!AE15))</f>
        <v>338.33000000000004</v>
      </c>
      <c r="AF37" s="150">
        <f t="shared" si="8"/>
        <v>19</v>
      </c>
      <c r="AM37">
        <f t="shared" si="2"/>
        <v>0.8</v>
      </c>
      <c r="AN37" s="54">
        <f t="shared" si="4"/>
        <v>0.73</v>
      </c>
    </row>
    <row r="38" spans="1:40" ht="22.5" customHeight="1">
      <c r="A38" s="60"/>
      <c r="B38" s="132">
        <v>26</v>
      </c>
      <c r="C38" s="264">
        <v>0.72</v>
      </c>
      <c r="D38" s="264">
        <v>0.72</v>
      </c>
      <c r="E38" s="264">
        <v>0.72</v>
      </c>
      <c r="F38" s="264">
        <v>0.72</v>
      </c>
      <c r="G38" s="264">
        <v>0.72</v>
      </c>
      <c r="H38" s="264">
        <v>0.72</v>
      </c>
      <c r="I38" s="264">
        <v>0.71</v>
      </c>
      <c r="J38" s="264">
        <v>0.71</v>
      </c>
      <c r="K38" s="264">
        <v>0.71</v>
      </c>
      <c r="L38" s="264">
        <v>0.71</v>
      </c>
      <c r="M38" s="264">
        <v>0.71</v>
      </c>
      <c r="N38" s="264">
        <v>0.71</v>
      </c>
      <c r="O38" s="264">
        <v>0.7</v>
      </c>
      <c r="P38" s="264">
        <v>0.7</v>
      </c>
      <c r="Q38" s="264">
        <v>0.7</v>
      </c>
      <c r="R38" s="264">
        <v>0.7</v>
      </c>
      <c r="S38" s="264">
        <v>0.7</v>
      </c>
      <c r="T38" s="264">
        <v>0.7</v>
      </c>
      <c r="U38" s="264">
        <v>0.69</v>
      </c>
      <c r="V38" s="264">
        <v>0.69</v>
      </c>
      <c r="W38" s="264">
        <v>0.69</v>
      </c>
      <c r="X38" s="264">
        <v>0.69</v>
      </c>
      <c r="Y38" s="264">
        <v>0.69</v>
      </c>
      <c r="Z38" s="264">
        <v>0.69</v>
      </c>
      <c r="AA38" s="57">
        <f t="shared" si="0"/>
        <v>0.70499999999999974</v>
      </c>
      <c r="AB38" s="58">
        <f>IF(AA38=" "," ",IF('c-form'!AE15="",AA38,AA38+'c-form'!AE15))</f>
        <v>338.30500000000001</v>
      </c>
      <c r="AC38" s="58">
        <f>IF(AA38=" "," ",IF('c-form'!AE15="",AM38,AM38+'c-form'!AE15))</f>
        <v>338.32000000000005</v>
      </c>
      <c r="AD38" s="150">
        <f t="shared" si="7"/>
        <v>1</v>
      </c>
      <c r="AE38" s="58">
        <f>IF(AA38=" "," ",IF('c-form'!AE15="",AN38,AN38+'c-form'!AE15))</f>
        <v>338.29</v>
      </c>
      <c r="AF38" s="150">
        <f t="shared" si="8"/>
        <v>19</v>
      </c>
      <c r="AM38">
        <f t="shared" si="2"/>
        <v>0.72</v>
      </c>
      <c r="AN38" s="54">
        <f t="shared" si="4"/>
        <v>0.69</v>
      </c>
    </row>
    <row r="39" spans="1:40" ht="22.5" customHeight="1">
      <c r="A39" s="60"/>
      <c r="B39" s="132">
        <v>27</v>
      </c>
      <c r="C39" s="264">
        <v>0.68</v>
      </c>
      <c r="D39" s="264">
        <v>0.68</v>
      </c>
      <c r="E39" s="264">
        <v>0.68</v>
      </c>
      <c r="F39" s="264">
        <v>0.68</v>
      </c>
      <c r="G39" s="264">
        <v>0.68</v>
      </c>
      <c r="H39" s="264">
        <v>0.68</v>
      </c>
      <c r="I39" s="264">
        <v>0.67</v>
      </c>
      <c r="J39" s="264">
        <v>0.67</v>
      </c>
      <c r="K39" s="264">
        <v>0.67</v>
      </c>
      <c r="L39" s="264">
        <v>0.67</v>
      </c>
      <c r="M39" s="264">
        <v>0.67</v>
      </c>
      <c r="N39" s="264">
        <v>0.67</v>
      </c>
      <c r="O39" s="264">
        <v>0.66</v>
      </c>
      <c r="P39" s="264">
        <v>0.66</v>
      </c>
      <c r="Q39" s="264">
        <v>0.66</v>
      </c>
      <c r="R39" s="264">
        <v>0.66</v>
      </c>
      <c r="S39" s="264">
        <v>0.66</v>
      </c>
      <c r="T39" s="264">
        <v>0.66</v>
      </c>
      <c r="U39" s="264">
        <v>0.65</v>
      </c>
      <c r="V39" s="264">
        <v>0.65</v>
      </c>
      <c r="W39" s="264">
        <v>0.65</v>
      </c>
      <c r="X39" s="264">
        <v>0.65</v>
      </c>
      <c r="Y39" s="264">
        <v>0.65</v>
      </c>
      <c r="Z39" s="264">
        <v>0.65</v>
      </c>
      <c r="AA39" s="57">
        <f t="shared" si="0"/>
        <v>0.66500000000000015</v>
      </c>
      <c r="AB39" s="58">
        <f>IF(AA39=" "," ",IF('c-form'!AE15="",AA39,AA39+'c-form'!AE15))</f>
        <v>338.26500000000004</v>
      </c>
      <c r="AC39" s="58">
        <f>IF(AA39=" "," ",IF('c-form'!AE15="",AM39,AM39+'c-form'!AE15))</f>
        <v>338.28000000000003</v>
      </c>
      <c r="AD39" s="150">
        <f t="shared" si="7"/>
        <v>1</v>
      </c>
      <c r="AE39" s="58">
        <f>IF(AA39=" "," ",IF('c-form'!AE15="",AN39,AN39+'c-form'!AE15))</f>
        <v>338.25</v>
      </c>
      <c r="AF39" s="150">
        <f t="shared" si="8"/>
        <v>19</v>
      </c>
      <c r="AM39">
        <f>IF(AB39=" "," ",MAX(C39:Z39))</f>
        <v>0.68</v>
      </c>
      <c r="AN39" s="54">
        <f t="shared" si="4"/>
        <v>0.65</v>
      </c>
    </row>
    <row r="40" spans="1:40" ht="22.5" customHeight="1">
      <c r="A40" s="60"/>
      <c r="B40" s="132">
        <v>28</v>
      </c>
      <c r="C40" s="264">
        <v>0.64</v>
      </c>
      <c r="D40" s="264">
        <v>0.64</v>
      </c>
      <c r="E40" s="264">
        <v>0.64</v>
      </c>
      <c r="F40" s="264">
        <v>0.64</v>
      </c>
      <c r="G40" s="264">
        <v>0.64</v>
      </c>
      <c r="H40" s="264">
        <v>0.64</v>
      </c>
      <c r="I40" s="264">
        <v>0.63</v>
      </c>
      <c r="J40" s="264">
        <v>0.63</v>
      </c>
      <c r="K40" s="264">
        <v>0.63</v>
      </c>
      <c r="L40" s="264">
        <v>0.63</v>
      </c>
      <c r="M40" s="264">
        <v>0.63</v>
      </c>
      <c r="N40" s="264">
        <v>0.63</v>
      </c>
      <c r="O40" s="264">
        <v>0.62</v>
      </c>
      <c r="P40" s="264">
        <v>0.62</v>
      </c>
      <c r="Q40" s="264">
        <v>0.62</v>
      </c>
      <c r="R40" s="264">
        <v>0.62</v>
      </c>
      <c r="S40" s="264">
        <v>0.62</v>
      </c>
      <c r="T40" s="264">
        <v>0.62</v>
      </c>
      <c r="U40" s="264">
        <v>0.61</v>
      </c>
      <c r="V40" s="264">
        <v>0.61</v>
      </c>
      <c r="W40" s="264">
        <v>0.61</v>
      </c>
      <c r="X40" s="264">
        <v>0.61</v>
      </c>
      <c r="Y40" s="264">
        <v>0.61</v>
      </c>
      <c r="Z40" s="264">
        <v>0.61</v>
      </c>
      <c r="AA40" s="57">
        <f t="shared" si="0"/>
        <v>0.62499999999999967</v>
      </c>
      <c r="AB40" s="58">
        <f>IF(AA40=" "," ",IF('c-form'!AE15="",AA40,AA40+'c-form'!AE15))</f>
        <v>338.22500000000002</v>
      </c>
      <c r="AC40" s="58">
        <f>IF(AA40=" "," ",IF('c-form'!AE15="",AM40,AM40+'c-form'!AE15))</f>
        <v>338.24</v>
      </c>
      <c r="AD40" s="150">
        <f t="shared" si="7"/>
        <v>1</v>
      </c>
      <c r="AE40" s="58">
        <f>IF(AA40=" "," ",IF('c-form'!AE15="",AN40,AN40+'c-form'!AE15))</f>
        <v>338.21000000000004</v>
      </c>
      <c r="AF40" s="150">
        <f t="shared" si="8"/>
        <v>19</v>
      </c>
      <c r="AM40">
        <f t="shared" si="2"/>
        <v>0.64</v>
      </c>
      <c r="AN40" s="54">
        <f t="shared" si="4"/>
        <v>0.61</v>
      </c>
    </row>
    <row r="41" spans="1:40" ht="22.5" customHeight="1">
      <c r="A41" s="60"/>
      <c r="B41" s="132">
        <v>29</v>
      </c>
      <c r="C41" s="264">
        <v>0.6</v>
      </c>
      <c r="D41" s="264">
        <v>0.6</v>
      </c>
      <c r="E41" s="264">
        <v>0.6</v>
      </c>
      <c r="F41" s="264">
        <v>0.59</v>
      </c>
      <c r="G41" s="264">
        <v>0.59</v>
      </c>
      <c r="H41" s="264">
        <v>0.57999999999999996</v>
      </c>
      <c r="I41" s="264">
        <v>0.57999999999999996</v>
      </c>
      <c r="J41" s="264">
        <v>0.57999999999999996</v>
      </c>
      <c r="K41" s="264">
        <v>0.57999999999999996</v>
      </c>
      <c r="L41" s="264">
        <v>0.57999999999999996</v>
      </c>
      <c r="M41" s="264">
        <v>0.57999999999999996</v>
      </c>
      <c r="N41" s="264">
        <v>0.57999999999999996</v>
      </c>
      <c r="O41" s="264">
        <v>0.56999999999999995</v>
      </c>
      <c r="P41" s="264">
        <v>0.56999999999999995</v>
      </c>
      <c r="Q41" s="264">
        <v>0.56999999999999995</v>
      </c>
      <c r="R41" s="264">
        <v>0.56999999999999995</v>
      </c>
      <c r="S41" s="264">
        <v>0.56999999999999995</v>
      </c>
      <c r="T41" s="264">
        <v>0.56999999999999995</v>
      </c>
      <c r="U41" s="264">
        <v>0.56000000000000005</v>
      </c>
      <c r="V41" s="264">
        <v>0.56000000000000005</v>
      </c>
      <c r="W41" s="264">
        <v>0.56000000000000005</v>
      </c>
      <c r="X41" s="264">
        <v>0.56000000000000005</v>
      </c>
      <c r="Y41" s="264">
        <v>0.56000000000000005</v>
      </c>
      <c r="Z41" s="264">
        <v>0.56000000000000005</v>
      </c>
      <c r="AA41" s="57">
        <f t="shared" si="0"/>
        <v>0.57583333333333353</v>
      </c>
      <c r="AB41" s="58">
        <f>IF(AA41=" "," ",IF('c-form'!AE15="",AA41,AA41+'c-form'!AE15))</f>
        <v>338.17583333333334</v>
      </c>
      <c r="AC41" s="58">
        <f>IF(AA41=" "," ",IF('c-form'!AE15="",AM41,AM41+'c-form'!AE15))</f>
        <v>338.20000000000005</v>
      </c>
      <c r="AD41" s="150">
        <f t="shared" si="7"/>
        <v>1</v>
      </c>
      <c r="AE41" s="58">
        <f>IF(AA41=" "," ",IF('c-form'!AE15="",AN41,AN41+'c-form'!AE15))</f>
        <v>338.16</v>
      </c>
      <c r="AF41" s="150">
        <f t="shared" si="8"/>
        <v>19</v>
      </c>
      <c r="AM41">
        <f>IF(AB41=" "," ",MAX(C41:Z41))</f>
        <v>0.6</v>
      </c>
      <c r="AN41" s="54">
        <f t="shared" si="4"/>
        <v>0.56000000000000005</v>
      </c>
    </row>
    <row r="42" spans="1:40" ht="22.5" customHeight="1">
      <c r="A42" s="60"/>
      <c r="B42" s="132">
        <v>30</v>
      </c>
      <c r="C42" s="264">
        <v>0.55000000000000004</v>
      </c>
      <c r="D42" s="264">
        <v>0.55000000000000004</v>
      </c>
      <c r="E42" s="264">
        <v>0.55000000000000004</v>
      </c>
      <c r="F42" s="264">
        <v>0.55000000000000004</v>
      </c>
      <c r="G42" s="264">
        <v>0.55000000000000004</v>
      </c>
      <c r="H42" s="264">
        <v>0.54</v>
      </c>
      <c r="I42" s="264">
        <v>0.54</v>
      </c>
      <c r="J42" s="264">
        <v>0.54</v>
      </c>
      <c r="K42" s="264">
        <v>0.54</v>
      </c>
      <c r="L42" s="264">
        <v>0.54</v>
      </c>
      <c r="M42" s="264">
        <v>0.55000000000000004</v>
      </c>
      <c r="N42" s="264">
        <v>0.55000000000000004</v>
      </c>
      <c r="O42" s="264">
        <v>0.56000000000000005</v>
      </c>
      <c r="P42" s="264">
        <v>0.56000000000000005</v>
      </c>
      <c r="Q42" s="264">
        <v>0.56000000000000005</v>
      </c>
      <c r="R42" s="264">
        <v>0.56000000000000005</v>
      </c>
      <c r="S42" s="264">
        <v>0.56000000000000005</v>
      </c>
      <c r="T42" s="264">
        <v>0.56000000000000005</v>
      </c>
      <c r="U42" s="264">
        <v>0.55000000000000004</v>
      </c>
      <c r="V42" s="264">
        <v>0.55000000000000004</v>
      </c>
      <c r="W42" s="264">
        <v>0.55000000000000004</v>
      </c>
      <c r="X42" s="264">
        <v>0.55000000000000004</v>
      </c>
      <c r="Y42" s="264">
        <v>0.55000000000000004</v>
      </c>
      <c r="Z42" s="264">
        <v>0.55000000000000004</v>
      </c>
      <c r="AA42" s="57">
        <f>IF(ISERROR(AVERAGE(C42:Z42))," ",AVERAGE(C42:Z42))</f>
        <v>0.55041666666666689</v>
      </c>
      <c r="AB42" s="58">
        <f>IF(AA42=" "," ",IF('c-form'!AE15="",AA42,AA42+'c-form'!AE15))</f>
        <v>338.15041666666667</v>
      </c>
      <c r="AC42" s="58">
        <f>IF(AM42=" "," ",IF('c-form'!AE15="",AA42,AM42+'c-form'!AE15))</f>
        <v>338.16</v>
      </c>
      <c r="AD42" s="150">
        <f>IF(AB42=" "," ",MATCH(AM42,C42:Z42,0))</f>
        <v>13</v>
      </c>
      <c r="AE42" s="58">
        <f>IF(AN42=" "," ",IF('c-form'!AE15="",AA42,AN42+'c-form'!AE15))</f>
        <v>338.14000000000004</v>
      </c>
      <c r="AF42" s="150">
        <f>IF(AD42=" "," ",MATCH(AN42,C42:Z42,0))</f>
        <v>6</v>
      </c>
      <c r="AM42">
        <f t="shared" si="2"/>
        <v>0.56000000000000005</v>
      </c>
      <c r="AN42" s="54">
        <f t="shared" si="4"/>
        <v>0.54</v>
      </c>
    </row>
    <row r="43" spans="1:40" ht="24.75" customHeight="1">
      <c r="A43" s="60"/>
      <c r="B43" s="132">
        <v>31</v>
      </c>
      <c r="C43" s="264">
        <v>0.54</v>
      </c>
      <c r="D43" s="264">
        <v>0.54</v>
      </c>
      <c r="E43" s="264">
        <v>0.54</v>
      </c>
      <c r="F43" s="264">
        <v>0.54</v>
      </c>
      <c r="G43" s="264">
        <v>0.54</v>
      </c>
      <c r="H43" s="264">
        <v>0.54</v>
      </c>
      <c r="I43" s="264">
        <v>0.54</v>
      </c>
      <c r="J43" s="264">
        <v>0.54</v>
      </c>
      <c r="K43" s="264">
        <v>0.54</v>
      </c>
      <c r="L43" s="264">
        <v>0.54</v>
      </c>
      <c r="M43" s="264">
        <v>0.54</v>
      </c>
      <c r="N43" s="264">
        <v>0.55000000000000004</v>
      </c>
      <c r="O43" s="264">
        <v>0.56000000000000005</v>
      </c>
      <c r="P43" s="264">
        <v>0.56999999999999995</v>
      </c>
      <c r="Q43" s="264">
        <v>0.57999999999999996</v>
      </c>
      <c r="R43" s="264">
        <v>0.6</v>
      </c>
      <c r="S43" s="264">
        <v>0.62</v>
      </c>
      <c r="T43" s="264">
        <v>0.64</v>
      </c>
      <c r="U43" s="264">
        <v>0.67</v>
      </c>
      <c r="V43" s="264">
        <v>0.7</v>
      </c>
      <c r="W43" s="264">
        <v>0.73</v>
      </c>
      <c r="X43" s="264">
        <v>0.76</v>
      </c>
      <c r="Y43" s="264">
        <v>0.8</v>
      </c>
      <c r="Z43" s="264">
        <v>0.84</v>
      </c>
      <c r="AA43" s="57">
        <f>IF(ISERR(AVERAGE(C43:Z43))," ",AVERAGE(C43:Z43))</f>
        <v>0.60666666666666669</v>
      </c>
      <c r="AB43" s="58">
        <f>IF(AA43=" "," ",IF('c-form'!AE15="",AA43,AA43+'c-form'!AE15))</f>
        <v>338.20666666666671</v>
      </c>
      <c r="AC43" s="58">
        <f>IF(AM43=" "," ",IF('c-form'!AE15="",AA43,AM43+'c-form'!AE15))</f>
        <v>338.44</v>
      </c>
      <c r="AD43" s="150">
        <f>IF(AB43=" "," ",MATCH(AM43,C43:Z43,0))</f>
        <v>24</v>
      </c>
      <c r="AE43" s="58">
        <f>IF(AN43=" "," ",IF('c-form'!AE15="",AA43,AN43+'c-form'!AE15))</f>
        <v>338.14000000000004</v>
      </c>
      <c r="AF43" s="150">
        <f>IF(AD43=" "," ",MATCH(AN43,C43:Z43,0))</f>
        <v>1</v>
      </c>
      <c r="AM43">
        <f t="shared" si="2"/>
        <v>0.84</v>
      </c>
      <c r="AN43" s="54">
        <f t="shared" si="4"/>
        <v>0.54</v>
      </c>
    </row>
    <row r="44" spans="1:40" s="60" customFormat="1" ht="9.75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</row>
    <row r="45" spans="1:40" s="80" customFormat="1" ht="23.25" customHeight="1">
      <c r="B45" s="331" t="s">
        <v>68</v>
      </c>
      <c r="C45" s="331"/>
      <c r="D45" s="331"/>
      <c r="E45" s="332">
        <f>IF(COUNT(AC11:AC43)=0," ",MAX(AC11:AC43))</f>
        <v>340.14000000000004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11</v>
      </c>
      <c r="M45" s="69" t="s">
        <v>296</v>
      </c>
      <c r="N45" s="200" t="s">
        <v>288</v>
      </c>
      <c r="O45" s="202">
        <f>IF(COUNT(AC11:AC43)=0," ",INDEX(AD11:AD43,AM45))</f>
        <v>3</v>
      </c>
      <c r="P45" s="331" t="s">
        <v>72</v>
      </c>
      <c r="Q45" s="331"/>
      <c r="R45" s="331"/>
      <c r="S45" s="336">
        <f>IF(COUNT(AC11:AC43)=0," ",AVERAGE(AB11:AB43))</f>
        <v>338.46333333333342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12</v>
      </c>
      <c r="AN45" s="83"/>
    </row>
    <row r="46" spans="1:40" s="80" customFormat="1" ht="20.100000000000001" customHeight="1">
      <c r="B46" s="331" t="s">
        <v>69</v>
      </c>
      <c r="C46" s="331"/>
      <c r="D46" s="331"/>
      <c r="E46" s="332">
        <f>IF(COUNT(AC11:AC43)=0," ",MIN(AE11:AE43))</f>
        <v>338.08000000000004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5</v>
      </c>
      <c r="M46" s="69" t="s">
        <v>296</v>
      </c>
      <c r="N46" s="200" t="s">
        <v>288</v>
      </c>
      <c r="O46" s="202">
        <f>IF(COUNT(AC11:AC43)=0," ",INDEX(AF11:AF43,AM46))</f>
        <v>1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80" t="s">
        <v>74</v>
      </c>
      <c r="AB46" s="84"/>
      <c r="AC46" s="84"/>
      <c r="AD46" s="84"/>
      <c r="AE46" s="84"/>
      <c r="AF46" s="84"/>
      <c r="AM46" s="80">
        <f>MATCH(E46,AE11:AE43,0)</f>
        <v>5</v>
      </c>
    </row>
    <row r="47" spans="1:40" s="101" customFormat="1" ht="20.100000000000001" customHeight="1"/>
    <row r="48" spans="1:40" ht="20.100000000000001" customHeight="1">
      <c r="E48" s="62"/>
      <c r="F48" s="56"/>
    </row>
    <row r="49" ht="20.100000000000001" customHeight="1"/>
  </sheetData>
  <sheetProtection password="D965" sheet="1" objects="1" scenarios="1"/>
  <mergeCells count="33">
    <mergeCell ref="B3:D3"/>
    <mergeCell ref="L7:O7"/>
    <mergeCell ref="AD1:AE1"/>
    <mergeCell ref="B2:D2"/>
    <mergeCell ref="E2:AC2"/>
    <mergeCell ref="G5:H5"/>
    <mergeCell ref="J5:N5"/>
    <mergeCell ref="P5:S5"/>
    <mergeCell ref="U5:W5"/>
    <mergeCell ref="Y5:Z5"/>
    <mergeCell ref="AD9:AF9"/>
    <mergeCell ref="P45:R45"/>
    <mergeCell ref="S45:T45"/>
    <mergeCell ref="B9:B10"/>
    <mergeCell ref="C9:Z9"/>
    <mergeCell ref="AA9:AA10"/>
    <mergeCell ref="AB9:AC9"/>
    <mergeCell ref="B46:D46"/>
    <mergeCell ref="E46:F46"/>
    <mergeCell ref="B45:D45"/>
    <mergeCell ref="E45:F45"/>
    <mergeCell ref="P46:Q46"/>
    <mergeCell ref="AE4:AG4"/>
    <mergeCell ref="AE7:AG7"/>
    <mergeCell ref="AC7:AD7"/>
    <mergeCell ref="C5:E5"/>
    <mergeCell ref="P7:R7"/>
    <mergeCell ref="S7:V7"/>
    <mergeCell ref="W7:X7"/>
    <mergeCell ref="B7:C7"/>
    <mergeCell ref="D7:E7"/>
    <mergeCell ref="G7:H7"/>
    <mergeCell ref="AA5:AC5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5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N49"/>
  <sheetViews>
    <sheetView showGridLines="0" zoomScaleNormal="10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O41" sqref="O41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7.28515625" customWidth="1"/>
    <col min="34" max="34" width="0.140625" customWidth="1"/>
    <col min="35" max="37" width="9.140625" hidden="1" customWidth="1"/>
    <col min="38" max="38" width="0" hidden="1" customWidth="1"/>
    <col min="39" max="39" width="8.5703125" hidden="1" customWidth="1"/>
    <col min="40" max="40" width="9.5703125" hidden="1" customWidth="1"/>
  </cols>
  <sheetData>
    <row r="1" spans="1:40" s="85" customFormat="1" ht="9" customHeight="1">
      <c r="AD1" s="344" t="s">
        <v>108</v>
      </c>
      <c r="AE1" s="345"/>
    </row>
    <row r="2" spans="1:40" s="85" customFormat="1" ht="21.75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s="85" customFormat="1" ht="18.75" customHeight="1">
      <c r="B3" s="343" t="s">
        <v>106</v>
      </c>
      <c r="C3" s="343"/>
      <c r="D3" s="73"/>
      <c r="AA3" s="158"/>
      <c r="AB3" s="158"/>
      <c r="AC3" s="158"/>
      <c r="AD3" s="158"/>
      <c r="AE3" s="158"/>
      <c r="AF3" s="158"/>
    </row>
    <row r="4" spans="1:40" s="85" customFormat="1" ht="20.25" customHeight="1">
      <c r="F4" s="86"/>
      <c r="AA4" s="158"/>
      <c r="AB4" s="158"/>
      <c r="AC4" s="158"/>
      <c r="AD4" s="159" t="s">
        <v>123</v>
      </c>
      <c r="AE4" s="315"/>
      <c r="AF4" s="315"/>
      <c r="AG4" s="353"/>
    </row>
    <row r="5" spans="1:40" s="74" customFormat="1" ht="22.5" customHeight="1">
      <c r="B5" s="75" t="s">
        <v>109</v>
      </c>
      <c r="C5" s="318" t="str">
        <f>IF(ISBLANK(rsteam),"",rsteam)</f>
        <v>Nam  Ping</v>
      </c>
      <c r="D5" s="369"/>
      <c r="E5" s="369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70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</row>
    <row r="6" spans="1:40" s="74" customFormat="1" ht="9.75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0" s="74" customFormat="1" ht="21" customHeight="1">
      <c r="B7" s="324" t="s">
        <v>116</v>
      </c>
      <c r="C7" s="324"/>
      <c r="D7" s="325" t="s">
        <v>57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</row>
    <row r="8" spans="1:40" s="85" customFormat="1" ht="15.75" customHeight="1"/>
    <row r="9" spans="1:40" s="92" customFormat="1" ht="30.75" customHeight="1">
      <c r="A9" s="91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0" s="92" customFormat="1" ht="21" customHeight="1">
      <c r="A10" s="91"/>
      <c r="B10" s="338"/>
      <c r="C10" s="97">
        <v>1</v>
      </c>
      <c r="D10" s="97">
        <v>2</v>
      </c>
      <c r="E10" s="97">
        <v>3</v>
      </c>
      <c r="F10" s="97">
        <v>4</v>
      </c>
      <c r="G10" s="97">
        <v>5</v>
      </c>
      <c r="H10" s="97">
        <v>6</v>
      </c>
      <c r="I10" s="97">
        <v>7</v>
      </c>
      <c r="J10" s="97">
        <v>8</v>
      </c>
      <c r="K10" s="97">
        <v>9</v>
      </c>
      <c r="L10" s="97">
        <v>10</v>
      </c>
      <c r="M10" s="97">
        <v>11</v>
      </c>
      <c r="N10" s="97">
        <v>12</v>
      </c>
      <c r="O10" s="97">
        <v>13</v>
      </c>
      <c r="P10" s="97">
        <v>14</v>
      </c>
      <c r="Q10" s="97">
        <v>15</v>
      </c>
      <c r="R10" s="97">
        <v>16</v>
      </c>
      <c r="S10" s="97">
        <v>17</v>
      </c>
      <c r="T10" s="97">
        <v>18</v>
      </c>
      <c r="U10" s="97">
        <v>19</v>
      </c>
      <c r="V10" s="97">
        <v>20</v>
      </c>
      <c r="W10" s="97">
        <v>21</v>
      </c>
      <c r="X10" s="97">
        <v>22</v>
      </c>
      <c r="Y10" s="97">
        <v>23</v>
      </c>
      <c r="Z10" s="97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60"/>
      <c r="B11" s="132">
        <v>1</v>
      </c>
      <c r="C11" s="264">
        <v>0.23</v>
      </c>
      <c r="D11" s="264">
        <v>0.23</v>
      </c>
      <c r="E11" s="264">
        <v>0.23</v>
      </c>
      <c r="F11" s="264">
        <v>0.23</v>
      </c>
      <c r="G11" s="264">
        <v>0.23</v>
      </c>
      <c r="H11" s="264">
        <v>0.23</v>
      </c>
      <c r="I11" s="264">
        <v>0.23</v>
      </c>
      <c r="J11" s="264">
        <v>0.23</v>
      </c>
      <c r="K11" s="264">
        <v>0.23</v>
      </c>
      <c r="L11" s="264">
        <v>0.23</v>
      </c>
      <c r="M11" s="264">
        <v>0.23</v>
      </c>
      <c r="N11" s="264">
        <v>0.23</v>
      </c>
      <c r="O11" s="264">
        <v>0.23</v>
      </c>
      <c r="P11" s="264">
        <v>0.23</v>
      </c>
      <c r="Q11" s="264">
        <v>0.23</v>
      </c>
      <c r="R11" s="264">
        <v>0.23</v>
      </c>
      <c r="S11" s="264">
        <v>0.23</v>
      </c>
      <c r="T11" s="264">
        <v>0.23</v>
      </c>
      <c r="U11" s="264">
        <v>0.23</v>
      </c>
      <c r="V11" s="264">
        <v>0.23</v>
      </c>
      <c r="W11" s="264">
        <v>0.23</v>
      </c>
      <c r="X11" s="264">
        <v>0.23</v>
      </c>
      <c r="Y11" s="264">
        <v>0.23</v>
      </c>
      <c r="Z11" s="264">
        <v>0.23</v>
      </c>
      <c r="AA11" s="57">
        <f t="shared" ref="AA11:AA41" si="0">IF(ISERROR(AVERAGE(C11:Z11))," ",AVERAGE(C11:Z11))</f>
        <v>0.23000000000000012</v>
      </c>
      <c r="AB11" s="58">
        <f>IF(AA11=" "," ",IF('c-form'!AE15="",AA11,AA11+'c-form'!AE15))</f>
        <v>337.83000000000004</v>
      </c>
      <c r="AC11" s="58">
        <f>IF(AA11=" "," ",IF('c-form'!AE15="",AM11,AM11+'c-form'!AE15))</f>
        <v>337.83000000000004</v>
      </c>
      <c r="AD11" s="150">
        <f>IF(AB11=" "," ",MATCH(AM11,C11:Z11,0))</f>
        <v>1</v>
      </c>
      <c r="AE11" s="58">
        <f>IF(AA11=" "," ",IF('c-form'!AE15="",AN11,AN11+'c-form'!AE15))</f>
        <v>337.83000000000004</v>
      </c>
      <c r="AF11" s="150">
        <f t="shared" ref="AF11:AF20" si="1">IF(AD11=" "," ",MATCH(AN11,C11:Z11,0))</f>
        <v>1</v>
      </c>
      <c r="AG11" s="63"/>
      <c r="AM11">
        <f>IF(AB11=" "," ",MAX(C11:Z11))</f>
        <v>0.23</v>
      </c>
      <c r="AN11" s="54">
        <f>IF(AB11=" "," ",MIN(C11:Z11))</f>
        <v>0.23</v>
      </c>
    </row>
    <row r="12" spans="1:40" ht="22.5" customHeight="1">
      <c r="A12" s="60"/>
      <c r="B12" s="132">
        <v>2</v>
      </c>
      <c r="C12" s="264">
        <v>0.23</v>
      </c>
      <c r="D12" s="264">
        <v>0.23</v>
      </c>
      <c r="E12" s="264">
        <v>0.23</v>
      </c>
      <c r="F12" s="264">
        <v>0.23</v>
      </c>
      <c r="G12" s="264">
        <v>0.23</v>
      </c>
      <c r="H12" s="264">
        <v>0.23</v>
      </c>
      <c r="I12" s="264">
        <v>0.23</v>
      </c>
      <c r="J12" s="264">
        <v>0.23</v>
      </c>
      <c r="K12" s="264">
        <v>0.23</v>
      </c>
      <c r="L12" s="264">
        <v>0.23</v>
      </c>
      <c r="M12" s="264">
        <v>0.23</v>
      </c>
      <c r="N12" s="264">
        <v>0.23</v>
      </c>
      <c r="O12" s="264">
        <v>0.23</v>
      </c>
      <c r="P12" s="264">
        <v>0.23</v>
      </c>
      <c r="Q12" s="264">
        <v>0.23</v>
      </c>
      <c r="R12" s="264">
        <v>0.23</v>
      </c>
      <c r="S12" s="264">
        <v>0.23</v>
      </c>
      <c r="T12" s="264">
        <v>0.23</v>
      </c>
      <c r="U12" s="264">
        <v>0.23</v>
      </c>
      <c r="V12" s="264">
        <v>0.23</v>
      </c>
      <c r="W12" s="264">
        <v>0.23</v>
      </c>
      <c r="X12" s="264">
        <v>0.23</v>
      </c>
      <c r="Y12" s="264">
        <v>0.23</v>
      </c>
      <c r="Z12" s="264">
        <v>0.23</v>
      </c>
      <c r="AA12" s="57">
        <f t="shared" si="0"/>
        <v>0.23000000000000012</v>
      </c>
      <c r="AB12" s="58">
        <f>IF(AA12=" "," ",IF('c-form'!AE15="",AA12,AA12+'c-form'!AE15))</f>
        <v>337.83000000000004</v>
      </c>
      <c r="AC12" s="58">
        <f>IF(AA12=" "," ",IF('c-form'!AE15="",AM12,AM12+'c-form'!AE15))</f>
        <v>337.83000000000004</v>
      </c>
      <c r="AD12" s="150">
        <f>IF(AB12=" "," ",MATCH(AM12,C12:Z12,0))</f>
        <v>1</v>
      </c>
      <c r="AE12" s="58">
        <f>IF(AA12=" "," ",IF('c-form'!AE15="",AN12,AN12+'c-form'!AE15))</f>
        <v>337.83000000000004</v>
      </c>
      <c r="AF12" s="150">
        <f t="shared" si="1"/>
        <v>1</v>
      </c>
      <c r="AG12" s="63"/>
      <c r="AM12">
        <f t="shared" ref="AM12:AM43" si="2">IF(AB12=" "," ",MAX(C12:Z12))</f>
        <v>0.23</v>
      </c>
      <c r="AN12" s="54">
        <f>IF(AB12=" "," ",MIN(C12:Z12))</f>
        <v>0.23</v>
      </c>
    </row>
    <row r="13" spans="1:40" ht="22.5" customHeight="1">
      <c r="A13" s="60"/>
      <c r="B13" s="132">
        <v>3</v>
      </c>
      <c r="C13" s="264">
        <v>0.23</v>
      </c>
      <c r="D13" s="264">
        <v>0.23</v>
      </c>
      <c r="E13" s="264">
        <v>0.23</v>
      </c>
      <c r="F13" s="264">
        <v>0.23</v>
      </c>
      <c r="G13" s="264">
        <v>0.23</v>
      </c>
      <c r="H13" s="264">
        <v>0.23</v>
      </c>
      <c r="I13" s="264">
        <v>0.23</v>
      </c>
      <c r="J13" s="264">
        <v>0.23</v>
      </c>
      <c r="K13" s="264">
        <v>0.23</v>
      </c>
      <c r="L13" s="264">
        <v>0.23</v>
      </c>
      <c r="M13" s="264">
        <v>0.23</v>
      </c>
      <c r="N13" s="264">
        <v>0.23</v>
      </c>
      <c r="O13" s="264">
        <v>0.23</v>
      </c>
      <c r="P13" s="264">
        <v>0.23</v>
      </c>
      <c r="Q13" s="264">
        <v>0.23</v>
      </c>
      <c r="R13" s="264">
        <v>0.23</v>
      </c>
      <c r="S13" s="264">
        <v>0.23</v>
      </c>
      <c r="T13" s="264">
        <v>0.23</v>
      </c>
      <c r="U13" s="264">
        <v>0.23</v>
      </c>
      <c r="V13" s="264">
        <v>0.23</v>
      </c>
      <c r="W13" s="264">
        <v>0.23</v>
      </c>
      <c r="X13" s="264">
        <v>0.23</v>
      </c>
      <c r="Y13" s="264">
        <v>0.23</v>
      </c>
      <c r="Z13" s="264">
        <v>0.23</v>
      </c>
      <c r="AA13" s="57">
        <f t="shared" si="0"/>
        <v>0.23000000000000012</v>
      </c>
      <c r="AB13" s="58">
        <f>IF(AA13=" "," ",IF('c-form'!AE15="",AA13,AA13+'c-form'!AE15))</f>
        <v>337.83000000000004</v>
      </c>
      <c r="AC13" s="58">
        <f>IF(AA13=" "," ",IF('c-form'!AE15="",AM13,AM13+'c-form'!AE15))</f>
        <v>337.83000000000004</v>
      </c>
      <c r="AD13" s="150">
        <f t="shared" ref="AD13:AD20" si="3">IF(AB13=" "," ",MATCH(AM13,C13:Z13,0))</f>
        <v>1</v>
      </c>
      <c r="AE13" s="58">
        <f>IF(AA13=" "," ",IF('c-form'!AE15="",AN13,AN13+'c-form'!AE15))</f>
        <v>337.83000000000004</v>
      </c>
      <c r="AF13" s="150">
        <f t="shared" si="1"/>
        <v>1</v>
      </c>
      <c r="AG13" s="63"/>
      <c r="AM13">
        <f t="shared" si="2"/>
        <v>0.23</v>
      </c>
      <c r="AN13" s="54">
        <f t="shared" ref="AN13:AN43" si="4">IF(AB13=" "," ",MIN(C13:Z13))</f>
        <v>0.23</v>
      </c>
    </row>
    <row r="14" spans="1:40" ht="22.5" customHeight="1">
      <c r="A14" s="60"/>
      <c r="B14" s="132">
        <v>4</v>
      </c>
      <c r="C14" s="264">
        <v>0.24</v>
      </c>
      <c r="D14" s="264">
        <v>0.24</v>
      </c>
      <c r="E14" s="264">
        <v>0.24</v>
      </c>
      <c r="F14" s="264">
        <v>0.24</v>
      </c>
      <c r="G14" s="264">
        <v>0.24</v>
      </c>
      <c r="H14" s="264">
        <v>0.24</v>
      </c>
      <c r="I14" s="264">
        <v>0.24</v>
      </c>
      <c r="J14" s="264">
        <v>0.24</v>
      </c>
      <c r="K14" s="264">
        <v>0.24</v>
      </c>
      <c r="L14" s="264">
        <v>0.24</v>
      </c>
      <c r="M14" s="264">
        <v>0.24</v>
      </c>
      <c r="N14" s="264">
        <v>0.24</v>
      </c>
      <c r="O14" s="264">
        <v>0.25</v>
      </c>
      <c r="P14" s="264">
        <v>0.25</v>
      </c>
      <c r="Q14" s="264">
        <v>0.25</v>
      </c>
      <c r="R14" s="264">
        <v>0.25</v>
      </c>
      <c r="S14" s="264">
        <v>0.25</v>
      </c>
      <c r="T14" s="264">
        <v>0.25</v>
      </c>
      <c r="U14" s="264">
        <v>0.26</v>
      </c>
      <c r="V14" s="264">
        <v>0.26</v>
      </c>
      <c r="W14" s="264">
        <v>0.26</v>
      </c>
      <c r="X14" s="264">
        <v>0.26</v>
      </c>
      <c r="Y14" s="264">
        <v>0.26</v>
      </c>
      <c r="Z14" s="264">
        <v>0.26</v>
      </c>
      <c r="AA14" s="57">
        <f t="shared" si="0"/>
        <v>0.24749999999999997</v>
      </c>
      <c r="AB14" s="58">
        <f>IF(AA14=" "," ",IF('c-form'!AE15="",AA14,AA14+'c-form'!AE15))</f>
        <v>337.84750000000003</v>
      </c>
      <c r="AC14" s="58">
        <f>IF(AA14=" "," ",IF('c-form'!AE15="",AM14,AM14+'c-form'!AE15))</f>
        <v>337.86</v>
      </c>
      <c r="AD14" s="150">
        <f t="shared" si="3"/>
        <v>19</v>
      </c>
      <c r="AE14" s="58">
        <f>IF(AA14=" "," ",IF('c-form'!AE15="",AN14,AN14+'c-form'!AE15))</f>
        <v>337.84000000000003</v>
      </c>
      <c r="AF14" s="150">
        <f t="shared" si="1"/>
        <v>1</v>
      </c>
      <c r="AG14" s="63"/>
      <c r="AM14">
        <f t="shared" si="2"/>
        <v>0.26</v>
      </c>
      <c r="AN14" s="54">
        <f t="shared" si="4"/>
        <v>0.24</v>
      </c>
    </row>
    <row r="15" spans="1:40" ht="22.5" customHeight="1">
      <c r="A15" s="60"/>
      <c r="B15" s="132">
        <v>5</v>
      </c>
      <c r="C15" s="264">
        <v>0.27</v>
      </c>
      <c r="D15" s="264">
        <v>0.27</v>
      </c>
      <c r="E15" s="264">
        <v>0.27</v>
      </c>
      <c r="F15" s="264">
        <v>0.27</v>
      </c>
      <c r="G15" s="264">
        <v>0.27</v>
      </c>
      <c r="H15" s="264">
        <v>0.27</v>
      </c>
      <c r="I15" s="264">
        <v>0.27</v>
      </c>
      <c r="J15" s="264">
        <v>0.27</v>
      </c>
      <c r="K15" s="264">
        <v>0.27</v>
      </c>
      <c r="L15" s="264">
        <v>0.27</v>
      </c>
      <c r="M15" s="264">
        <v>0.27</v>
      </c>
      <c r="N15" s="264">
        <v>0.27</v>
      </c>
      <c r="O15" s="264">
        <v>0.27</v>
      </c>
      <c r="P15" s="264">
        <v>0.27</v>
      </c>
      <c r="Q15" s="264">
        <v>0.27</v>
      </c>
      <c r="R15" s="264">
        <v>0.27</v>
      </c>
      <c r="S15" s="264">
        <v>0.27</v>
      </c>
      <c r="T15" s="264">
        <v>0.27</v>
      </c>
      <c r="U15" s="264">
        <v>0.27</v>
      </c>
      <c r="V15" s="264">
        <v>0.27</v>
      </c>
      <c r="W15" s="264">
        <v>0.27</v>
      </c>
      <c r="X15" s="264">
        <v>0.27</v>
      </c>
      <c r="Y15" s="264">
        <v>0.27</v>
      </c>
      <c r="Z15" s="264">
        <v>0.27</v>
      </c>
      <c r="AA15" s="57">
        <f t="shared" si="0"/>
        <v>0.26999999999999985</v>
      </c>
      <c r="AB15" s="58">
        <f>IF(AA15=" "," ",IF('c-form'!AE15="",AA15,AA15+'c-form'!AE15))</f>
        <v>337.87</v>
      </c>
      <c r="AC15" s="58">
        <f>IF(AA15=" "," ",IF('c-form'!AE15="",AM15,AM15+'c-form'!AE15))</f>
        <v>337.87</v>
      </c>
      <c r="AD15" s="150">
        <f t="shared" si="3"/>
        <v>1</v>
      </c>
      <c r="AE15" s="58">
        <f>IF(AA15=" "," ",IF('c-form'!AE15="",AN15,AN15+'c-form'!AE15))</f>
        <v>337.87</v>
      </c>
      <c r="AF15" s="150">
        <f t="shared" si="1"/>
        <v>1</v>
      </c>
      <c r="AG15" s="63"/>
      <c r="AM15">
        <f t="shared" si="2"/>
        <v>0.27</v>
      </c>
      <c r="AN15" s="54">
        <f t="shared" si="4"/>
        <v>0.27</v>
      </c>
    </row>
    <row r="16" spans="1:40" ht="22.5" customHeight="1">
      <c r="A16" s="60"/>
      <c r="B16" s="132">
        <v>6</v>
      </c>
      <c r="C16" s="264">
        <v>0.27</v>
      </c>
      <c r="D16" s="264">
        <v>0.27</v>
      </c>
      <c r="E16" s="264">
        <v>0.27</v>
      </c>
      <c r="F16" s="264">
        <v>0.27</v>
      </c>
      <c r="G16" s="264">
        <v>0.27</v>
      </c>
      <c r="H16" s="264">
        <v>0.27</v>
      </c>
      <c r="I16" s="264">
        <v>0.26</v>
      </c>
      <c r="J16" s="264">
        <v>0.26</v>
      </c>
      <c r="K16" s="264">
        <v>0.26</v>
      </c>
      <c r="L16" s="264">
        <v>0.26</v>
      </c>
      <c r="M16" s="264">
        <v>0.26</v>
      </c>
      <c r="N16" s="264">
        <v>0.26</v>
      </c>
      <c r="O16" s="264">
        <v>0.25</v>
      </c>
      <c r="P16" s="264">
        <v>0.25</v>
      </c>
      <c r="Q16" s="264">
        <v>0.25</v>
      </c>
      <c r="R16" s="264">
        <v>0.25</v>
      </c>
      <c r="S16" s="264">
        <v>0.25</v>
      </c>
      <c r="T16" s="264">
        <v>0.25</v>
      </c>
      <c r="U16" s="264">
        <v>0.24</v>
      </c>
      <c r="V16" s="264">
        <v>0.24</v>
      </c>
      <c r="W16" s="264">
        <v>0.24</v>
      </c>
      <c r="X16" s="264">
        <v>0.24</v>
      </c>
      <c r="Y16" s="264">
        <v>0.24</v>
      </c>
      <c r="Z16" s="264">
        <v>0.24</v>
      </c>
      <c r="AA16" s="57">
        <f t="shared" si="0"/>
        <v>0.25500000000000006</v>
      </c>
      <c r="AB16" s="58">
        <f>IF(AA16=" "," ",IF('c-form'!AE15="",AA16,AA16+'c-form'!AE15))</f>
        <v>337.85500000000002</v>
      </c>
      <c r="AC16" s="58">
        <f>IF(AA16=" "," ",IF('c-form'!AE15="",AM16,AM16+'c-form'!AE15))</f>
        <v>337.87</v>
      </c>
      <c r="AD16" s="150">
        <f t="shared" si="3"/>
        <v>1</v>
      </c>
      <c r="AE16" s="58">
        <f>IF(AA16=" "," ",IF('c-form'!AE15="",AN16,AN16+'c-form'!AE15))</f>
        <v>337.84000000000003</v>
      </c>
      <c r="AF16" s="150">
        <f t="shared" si="1"/>
        <v>19</v>
      </c>
      <c r="AG16" s="63"/>
      <c r="AM16">
        <f t="shared" si="2"/>
        <v>0.27</v>
      </c>
      <c r="AN16" s="54">
        <f t="shared" si="4"/>
        <v>0.24</v>
      </c>
    </row>
    <row r="17" spans="1:40" ht="22.5" customHeight="1">
      <c r="A17" s="60"/>
      <c r="B17" s="132">
        <v>7</v>
      </c>
      <c r="C17" s="264">
        <v>0.24</v>
      </c>
      <c r="D17" s="264">
        <v>0.24</v>
      </c>
      <c r="E17" s="264">
        <v>0.24</v>
      </c>
      <c r="F17" s="264">
        <v>0.24</v>
      </c>
      <c r="G17" s="264">
        <v>0.24</v>
      </c>
      <c r="H17" s="264">
        <v>0.24</v>
      </c>
      <c r="I17" s="264">
        <v>0.25</v>
      </c>
      <c r="J17" s="264">
        <v>0.25</v>
      </c>
      <c r="K17" s="264">
        <v>0.25</v>
      </c>
      <c r="L17" s="264">
        <v>0.25</v>
      </c>
      <c r="M17" s="264">
        <v>0.25</v>
      </c>
      <c r="N17" s="264">
        <v>0.25</v>
      </c>
      <c r="O17" s="264">
        <v>0.26</v>
      </c>
      <c r="P17" s="264">
        <v>0.26</v>
      </c>
      <c r="Q17" s="264">
        <v>0.26</v>
      </c>
      <c r="R17" s="264">
        <v>0.26</v>
      </c>
      <c r="S17" s="264">
        <v>0.26</v>
      </c>
      <c r="T17" s="264">
        <v>0.26</v>
      </c>
      <c r="U17" s="264">
        <v>0.27</v>
      </c>
      <c r="V17" s="264">
        <v>0.27</v>
      </c>
      <c r="W17" s="264">
        <v>0.27</v>
      </c>
      <c r="X17" s="264">
        <v>0.27</v>
      </c>
      <c r="Y17" s="264">
        <v>0.27</v>
      </c>
      <c r="Z17" s="264">
        <v>0.27</v>
      </c>
      <c r="AA17" s="57">
        <f t="shared" si="0"/>
        <v>0.25499999999999989</v>
      </c>
      <c r="AB17" s="58">
        <f>IF(AA17=" "," ",IF('c-form'!AE15="",AA17,AA17+'c-form'!AE15))</f>
        <v>337.85500000000002</v>
      </c>
      <c r="AC17" s="58">
        <f>IF(AA17=" "," ",IF('c-form'!AE15="",AM17,AM17+'c-form'!AE15))</f>
        <v>337.87</v>
      </c>
      <c r="AD17" s="150">
        <f t="shared" si="3"/>
        <v>19</v>
      </c>
      <c r="AE17" s="58">
        <f>IF(AA17=" "," ",IF('c-form'!AE15="",AN17,AN17+'c-form'!AE15))</f>
        <v>337.84000000000003</v>
      </c>
      <c r="AF17" s="150">
        <f t="shared" si="1"/>
        <v>1</v>
      </c>
      <c r="AG17" s="63"/>
      <c r="AM17">
        <f t="shared" si="2"/>
        <v>0.27</v>
      </c>
      <c r="AN17" s="54">
        <f t="shared" si="4"/>
        <v>0.24</v>
      </c>
    </row>
    <row r="18" spans="1:40" ht="22.5" customHeight="1">
      <c r="A18" s="60"/>
      <c r="B18" s="132">
        <v>8</v>
      </c>
      <c r="C18" s="264">
        <v>0.28000000000000003</v>
      </c>
      <c r="D18" s="264">
        <v>0.28000000000000003</v>
      </c>
      <c r="E18" s="264">
        <v>0.28000000000000003</v>
      </c>
      <c r="F18" s="264">
        <v>0.28000000000000003</v>
      </c>
      <c r="G18" s="264">
        <v>0.28000000000000003</v>
      </c>
      <c r="H18" s="264">
        <v>0.28000000000000003</v>
      </c>
      <c r="I18" s="264">
        <v>0.28000000000000003</v>
      </c>
      <c r="J18" s="264">
        <v>0.28000000000000003</v>
      </c>
      <c r="K18" s="264">
        <v>0.28000000000000003</v>
      </c>
      <c r="L18" s="264">
        <v>0.28000000000000003</v>
      </c>
      <c r="M18" s="264">
        <v>0.28000000000000003</v>
      </c>
      <c r="N18" s="264">
        <v>0.28000000000000003</v>
      </c>
      <c r="O18" s="264">
        <v>0.27</v>
      </c>
      <c r="P18" s="264">
        <v>0.27</v>
      </c>
      <c r="Q18" s="264">
        <v>0.27</v>
      </c>
      <c r="R18" s="264">
        <v>0.27</v>
      </c>
      <c r="S18" s="264">
        <v>0.27</v>
      </c>
      <c r="T18" s="264">
        <v>0.27</v>
      </c>
      <c r="U18" s="264">
        <v>0.27</v>
      </c>
      <c r="V18" s="264">
        <v>0.27</v>
      </c>
      <c r="W18" s="264">
        <v>0.27</v>
      </c>
      <c r="X18" s="264">
        <v>0.27</v>
      </c>
      <c r="Y18" s="264">
        <v>0.27</v>
      </c>
      <c r="Z18" s="264">
        <v>0.27</v>
      </c>
      <c r="AA18" s="57">
        <f t="shared" si="0"/>
        <v>0.27499999999999991</v>
      </c>
      <c r="AB18" s="58">
        <f>IF(AA18=" "," ",IF('c-form'!AE15="",AA18,AA18+'c-form'!AE15))</f>
        <v>337.875</v>
      </c>
      <c r="AC18" s="58">
        <f>IF(AA18=" "," ",IF('c-form'!AE15="",AM18,AM18+'c-form'!AE15))</f>
        <v>337.88</v>
      </c>
      <c r="AD18" s="150">
        <f t="shared" si="3"/>
        <v>1</v>
      </c>
      <c r="AE18" s="58">
        <f>IF(AA18=" "," ",IF('c-form'!AE15="",AN18,AN18+'c-form'!AE15))</f>
        <v>337.87</v>
      </c>
      <c r="AF18" s="150">
        <f t="shared" si="1"/>
        <v>13</v>
      </c>
      <c r="AG18" s="63"/>
      <c r="AM18">
        <f t="shared" si="2"/>
        <v>0.28000000000000003</v>
      </c>
      <c r="AN18" s="54">
        <f t="shared" si="4"/>
        <v>0.27</v>
      </c>
    </row>
    <row r="19" spans="1:40" ht="22.5" customHeight="1">
      <c r="A19" s="60"/>
      <c r="B19" s="132">
        <v>9</v>
      </c>
      <c r="C19" s="264">
        <v>0.26</v>
      </c>
      <c r="D19" s="264">
        <v>0.26</v>
      </c>
      <c r="E19" s="264">
        <v>0.26</v>
      </c>
      <c r="F19" s="264">
        <v>0.26</v>
      </c>
      <c r="G19" s="264">
        <v>0.26</v>
      </c>
      <c r="H19" s="264">
        <v>0.26</v>
      </c>
      <c r="I19" s="264">
        <v>0.26</v>
      </c>
      <c r="J19" s="264">
        <v>0.26</v>
      </c>
      <c r="K19" s="264">
        <v>0.26</v>
      </c>
      <c r="L19" s="264">
        <v>0.26</v>
      </c>
      <c r="M19" s="264">
        <v>0.26</v>
      </c>
      <c r="N19" s="264">
        <v>0.27</v>
      </c>
      <c r="O19" s="264">
        <v>0.27</v>
      </c>
      <c r="P19" s="264">
        <v>0.28000000000000003</v>
      </c>
      <c r="Q19" s="264">
        <v>0.28000000000000003</v>
      </c>
      <c r="R19" s="264">
        <v>0.28999999999999998</v>
      </c>
      <c r="S19" s="264">
        <v>0.28999999999999998</v>
      </c>
      <c r="T19" s="264">
        <v>0.3</v>
      </c>
      <c r="U19" s="264">
        <v>0.3</v>
      </c>
      <c r="V19" s="264">
        <v>0.31</v>
      </c>
      <c r="W19" s="264">
        <v>0.31</v>
      </c>
      <c r="X19" s="264">
        <v>0.32</v>
      </c>
      <c r="Y19" s="264">
        <v>0.32</v>
      </c>
      <c r="Z19" s="264">
        <v>0.33</v>
      </c>
      <c r="AA19" s="57">
        <f>IF(ISERROR(AVERAGE(C19:Z19))," ",AVERAGE(C19:Z19))</f>
        <v>0.28041666666666665</v>
      </c>
      <c r="AB19" s="58">
        <f>IF(AA19=" "," ",IF('c-form'!AE15="",AA19,AA19+'c-form'!AE15))</f>
        <v>337.88041666666669</v>
      </c>
      <c r="AC19" s="58">
        <f>IF(AA19=" "," ",IF('c-form'!AE15="",AM19,AM19+'c-form'!AE15))</f>
        <v>337.93</v>
      </c>
      <c r="AD19" s="150">
        <f t="shared" si="3"/>
        <v>24</v>
      </c>
      <c r="AE19" s="58">
        <f>IF(AA19=" "," ",IF('c-form'!AE15="",AN19,AN19+'c-form'!AE15))</f>
        <v>337.86</v>
      </c>
      <c r="AF19" s="150">
        <f t="shared" si="1"/>
        <v>1</v>
      </c>
      <c r="AG19" s="63"/>
      <c r="AM19">
        <f t="shared" si="2"/>
        <v>0.33</v>
      </c>
      <c r="AN19" s="54">
        <f t="shared" si="4"/>
        <v>0.26</v>
      </c>
    </row>
    <row r="20" spans="1:40" ht="22.5" customHeight="1">
      <c r="A20" s="60"/>
      <c r="B20" s="132">
        <v>10</v>
      </c>
      <c r="C20" s="264">
        <v>0.33</v>
      </c>
      <c r="D20" s="264">
        <v>0.34</v>
      </c>
      <c r="E20" s="264">
        <v>0.35</v>
      </c>
      <c r="F20" s="264">
        <v>0.36</v>
      </c>
      <c r="G20" s="264">
        <v>0.37</v>
      </c>
      <c r="H20" s="264">
        <v>0.37</v>
      </c>
      <c r="I20" s="264">
        <v>0.38</v>
      </c>
      <c r="J20" s="264">
        <v>0.39</v>
      </c>
      <c r="K20" s="264">
        <v>0.39</v>
      </c>
      <c r="L20" s="264">
        <v>0.4</v>
      </c>
      <c r="M20" s="264">
        <v>0.4</v>
      </c>
      <c r="N20" s="264">
        <v>0.41</v>
      </c>
      <c r="O20" s="264">
        <v>0.41</v>
      </c>
      <c r="P20" s="264">
        <v>0.42</v>
      </c>
      <c r="Q20" s="264">
        <v>0.42</v>
      </c>
      <c r="R20" s="264">
        <v>0.43</v>
      </c>
      <c r="S20" s="264">
        <v>0.43</v>
      </c>
      <c r="T20" s="264">
        <v>0.44</v>
      </c>
      <c r="U20" s="264">
        <v>0.44</v>
      </c>
      <c r="V20" s="264">
        <v>0.45</v>
      </c>
      <c r="W20" s="264">
        <v>0.45</v>
      </c>
      <c r="X20" s="264">
        <v>0.46</v>
      </c>
      <c r="Y20" s="264">
        <v>0.46</v>
      </c>
      <c r="Z20" s="264">
        <v>0.47</v>
      </c>
      <c r="AA20" s="57">
        <f>IF(ISERROR(AVERAGE(C20:Z20))," ",AVERAGE(C20:Z20))</f>
        <v>0.40708333333333346</v>
      </c>
      <c r="AB20" s="58">
        <f>IF(AA20=" "," ",IF('c-form'!AE15="",AA20,AA20+'c-form'!AE15))</f>
        <v>338.00708333333336</v>
      </c>
      <c r="AC20" s="58">
        <f>IF(AA20=" "," ",IF('c-form'!AE15="",AM20,AM20+'c-form'!AE15))</f>
        <v>338.07000000000005</v>
      </c>
      <c r="AD20" s="150">
        <f t="shared" si="3"/>
        <v>24</v>
      </c>
      <c r="AE20" s="58">
        <f>IF(AA20=" "," ",IF('c-form'!AE15="",AN20,AN20+'c-form'!AE15))</f>
        <v>337.93</v>
      </c>
      <c r="AF20" s="150">
        <f t="shared" si="1"/>
        <v>1</v>
      </c>
      <c r="AG20" s="63"/>
      <c r="AM20">
        <f t="shared" si="2"/>
        <v>0.47</v>
      </c>
      <c r="AN20" s="54">
        <f t="shared" si="4"/>
        <v>0.33</v>
      </c>
    </row>
    <row r="21" spans="1:40" ht="22.5" customHeight="1">
      <c r="A21" s="60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9"/>
      <c r="AC21" s="139"/>
      <c r="AD21" s="151"/>
      <c r="AE21" s="139"/>
      <c r="AF21" s="151"/>
      <c r="AG21" s="63"/>
      <c r="AM21">
        <f>IF(AB21=" "," ",MAX(C21:Z21))</f>
        <v>0</v>
      </c>
      <c r="AN21" s="54">
        <f t="shared" si="4"/>
        <v>0</v>
      </c>
    </row>
    <row r="22" spans="1:40" ht="22.5" customHeight="1">
      <c r="A22" s="60"/>
      <c r="B22" s="132">
        <v>11</v>
      </c>
      <c r="C22" s="264">
        <v>0.47</v>
      </c>
      <c r="D22" s="264">
        <v>0.47</v>
      </c>
      <c r="E22" s="264">
        <v>0.47</v>
      </c>
      <c r="F22" s="264">
        <v>0.48</v>
      </c>
      <c r="G22" s="264">
        <v>0.48</v>
      </c>
      <c r="H22" s="264">
        <v>0.48</v>
      </c>
      <c r="I22" s="264">
        <v>0.48</v>
      </c>
      <c r="J22" s="264">
        <v>0.48</v>
      </c>
      <c r="K22" s="264">
        <v>0.48</v>
      </c>
      <c r="L22" s="264">
        <v>0.48</v>
      </c>
      <c r="M22" s="264">
        <v>0.48</v>
      </c>
      <c r="N22" s="264">
        <v>0.48</v>
      </c>
      <c r="O22" s="264">
        <v>0.47</v>
      </c>
      <c r="P22" s="264">
        <v>0.47</v>
      </c>
      <c r="Q22" s="264">
        <v>0.47</v>
      </c>
      <c r="R22" s="264">
        <v>0.47</v>
      </c>
      <c r="S22" s="264">
        <v>0.47</v>
      </c>
      <c r="T22" s="264">
        <v>0.47</v>
      </c>
      <c r="U22" s="264">
        <v>0.47</v>
      </c>
      <c r="V22" s="264">
        <v>0.47</v>
      </c>
      <c r="W22" s="264">
        <v>0.47</v>
      </c>
      <c r="X22" s="264">
        <v>0.47</v>
      </c>
      <c r="Y22" s="264">
        <v>0.47</v>
      </c>
      <c r="Z22" s="264">
        <v>0.47</v>
      </c>
      <c r="AA22" s="57">
        <f t="shared" si="0"/>
        <v>0.47375000000000017</v>
      </c>
      <c r="AB22" s="58">
        <f>IF(AA22=" "," ",IF('c-form'!AE15="",AA22,AA22+'c-form'!AE15))</f>
        <v>338.07375000000002</v>
      </c>
      <c r="AC22" s="58">
        <f>IF(AA22=" "," ",IF('c-form'!AE15="",AM22,AM22+'c-form'!AE15))</f>
        <v>338.08000000000004</v>
      </c>
      <c r="AD22" s="150">
        <f t="shared" ref="AD22:AD31" si="5">IF(AB22=" "," ",MATCH(AM22,C22:Z22,0))</f>
        <v>4</v>
      </c>
      <c r="AE22" s="58">
        <f>IF(AA22=" "," ",IF('c-form'!AE15="",AN22,AN22+'c-form'!AE15))</f>
        <v>338.07000000000005</v>
      </c>
      <c r="AF22" s="150">
        <f t="shared" ref="AF22:AF31" si="6">IF(AD22=" "," ",MATCH(AN22,C22:Z22,0))</f>
        <v>1</v>
      </c>
      <c r="AG22" s="63"/>
      <c r="AM22">
        <f t="shared" si="2"/>
        <v>0.48</v>
      </c>
      <c r="AN22" s="54">
        <f t="shared" si="4"/>
        <v>0.47</v>
      </c>
    </row>
    <row r="23" spans="1:40" ht="22.5" customHeight="1">
      <c r="A23" s="60"/>
      <c r="B23" s="132">
        <v>12</v>
      </c>
      <c r="C23" s="264">
        <v>0.47</v>
      </c>
      <c r="D23" s="264">
        <v>0.47</v>
      </c>
      <c r="E23" s="264">
        <v>0.47</v>
      </c>
      <c r="F23" s="264">
        <v>0.47</v>
      </c>
      <c r="G23" s="264">
        <v>0.47</v>
      </c>
      <c r="H23" s="264">
        <v>0.47</v>
      </c>
      <c r="I23" s="264">
        <v>0.47</v>
      </c>
      <c r="J23" s="264">
        <v>0.47</v>
      </c>
      <c r="K23" s="264">
        <v>0.47</v>
      </c>
      <c r="L23" s="264">
        <v>0.47</v>
      </c>
      <c r="M23" s="264">
        <v>0.47</v>
      </c>
      <c r="N23" s="264">
        <v>0.46</v>
      </c>
      <c r="O23" s="264">
        <v>0.46</v>
      </c>
      <c r="P23" s="264">
        <v>0.46</v>
      </c>
      <c r="Q23" s="264">
        <v>0.46</v>
      </c>
      <c r="R23" s="264">
        <v>0.46</v>
      </c>
      <c r="S23" s="264">
        <v>0.46</v>
      </c>
      <c r="T23" s="264">
        <v>0.45</v>
      </c>
      <c r="U23" s="264">
        <v>0.45</v>
      </c>
      <c r="V23" s="264">
        <v>0.45</v>
      </c>
      <c r="W23" s="264">
        <v>0.45</v>
      </c>
      <c r="X23" s="264">
        <v>0.45</v>
      </c>
      <c r="Y23" s="264">
        <v>0.45</v>
      </c>
      <c r="Z23" s="264">
        <v>0.45</v>
      </c>
      <c r="AA23" s="57">
        <f t="shared" si="0"/>
        <v>0.46166666666666639</v>
      </c>
      <c r="AB23" s="58">
        <f>IF(AA23=" "," ",IF('c-form'!AE15="",AA23,AA23+'c-form'!AE15))</f>
        <v>338.06166666666667</v>
      </c>
      <c r="AC23" s="58">
        <f>IF(AA23=" "," ",IF('c-form'!AE15="",AM23,AM23+'c-form'!AE15))</f>
        <v>338.07000000000005</v>
      </c>
      <c r="AD23" s="150">
        <f t="shared" si="5"/>
        <v>1</v>
      </c>
      <c r="AE23" s="58">
        <f>IF(AA23=" "," ",IF('c-form'!AE15="",AN23,AN23+'c-form'!AE15))</f>
        <v>338.05</v>
      </c>
      <c r="AF23" s="150">
        <f t="shared" si="6"/>
        <v>18</v>
      </c>
      <c r="AG23" s="63"/>
      <c r="AM23">
        <f t="shared" si="2"/>
        <v>0.47</v>
      </c>
      <c r="AN23" s="54">
        <f t="shared" si="4"/>
        <v>0.45</v>
      </c>
    </row>
    <row r="24" spans="1:40" ht="22.5" customHeight="1">
      <c r="A24" s="60"/>
      <c r="B24" s="132">
        <v>13</v>
      </c>
      <c r="C24" s="264">
        <v>0.44</v>
      </c>
      <c r="D24" s="264">
        <v>0.44</v>
      </c>
      <c r="E24" s="264">
        <v>0.44</v>
      </c>
      <c r="F24" s="264">
        <v>0.44</v>
      </c>
      <c r="G24" s="264">
        <v>0.44</v>
      </c>
      <c r="H24" s="264">
        <v>0.43</v>
      </c>
      <c r="I24" s="264">
        <v>0.43</v>
      </c>
      <c r="J24" s="264">
        <v>0.43</v>
      </c>
      <c r="K24" s="264">
        <v>0.43</v>
      </c>
      <c r="L24" s="264">
        <v>0.43</v>
      </c>
      <c r="M24" s="264">
        <v>0.42</v>
      </c>
      <c r="N24" s="264">
        <v>0.42</v>
      </c>
      <c r="O24" s="264">
        <v>0.41</v>
      </c>
      <c r="P24" s="264">
        <v>0.41</v>
      </c>
      <c r="Q24" s="264">
        <v>0.4</v>
      </c>
      <c r="R24" s="264">
        <v>0.4</v>
      </c>
      <c r="S24" s="264">
        <v>0.4</v>
      </c>
      <c r="T24" s="264">
        <v>0.39</v>
      </c>
      <c r="U24" s="264">
        <v>0.39</v>
      </c>
      <c r="V24" s="264">
        <v>0.39</v>
      </c>
      <c r="W24" s="264">
        <v>0.38</v>
      </c>
      <c r="X24" s="264">
        <v>0.38</v>
      </c>
      <c r="Y24" s="264">
        <v>0.38</v>
      </c>
      <c r="Z24" s="264">
        <v>0.38</v>
      </c>
      <c r="AA24" s="57">
        <f t="shared" si="0"/>
        <v>0.41250000000000014</v>
      </c>
      <c r="AB24" s="58">
        <f>IF(AA24=" "," ",IF('c-form'!AE15="",AA24,AA24+'c-form'!AE15))</f>
        <v>338.01250000000005</v>
      </c>
      <c r="AC24" s="58">
        <f>IF(AA24=" "," ",IF('c-form'!AE15="",AM24,AM24+'c-form'!AE15))</f>
        <v>338.04</v>
      </c>
      <c r="AD24" s="150">
        <f t="shared" si="5"/>
        <v>1</v>
      </c>
      <c r="AE24" s="58">
        <f>IF(AA24=" "," ",IF('c-form'!AE15="",AN24,AN24+'c-form'!AE15))</f>
        <v>337.98</v>
      </c>
      <c r="AF24" s="150">
        <f t="shared" si="6"/>
        <v>21</v>
      </c>
      <c r="AG24" s="63"/>
      <c r="AM24">
        <f t="shared" si="2"/>
        <v>0.44</v>
      </c>
      <c r="AN24" s="54">
        <f t="shared" si="4"/>
        <v>0.38</v>
      </c>
    </row>
    <row r="25" spans="1:40" ht="22.5" customHeight="1">
      <c r="A25" s="60"/>
      <c r="B25" s="132">
        <v>14</v>
      </c>
      <c r="C25" s="264">
        <v>0.37</v>
      </c>
      <c r="D25" s="264">
        <v>0.37</v>
      </c>
      <c r="E25" s="264">
        <v>0.37</v>
      </c>
      <c r="F25" s="264">
        <v>0.37</v>
      </c>
      <c r="G25" s="264">
        <v>0.37</v>
      </c>
      <c r="H25" s="264">
        <v>0.37</v>
      </c>
      <c r="I25" s="264">
        <v>0.37</v>
      </c>
      <c r="J25" s="264">
        <v>0.37</v>
      </c>
      <c r="K25" s="264">
        <v>0.37</v>
      </c>
      <c r="L25" s="264">
        <v>0.37</v>
      </c>
      <c r="M25" s="264">
        <v>0.37</v>
      </c>
      <c r="N25" s="264">
        <v>0.38</v>
      </c>
      <c r="O25" s="264">
        <v>0.38</v>
      </c>
      <c r="P25" s="264">
        <v>0.38</v>
      </c>
      <c r="Q25" s="264">
        <v>0.39</v>
      </c>
      <c r="R25" s="264">
        <v>0.39</v>
      </c>
      <c r="S25" s="264">
        <v>0.4</v>
      </c>
      <c r="T25" s="264">
        <v>0.41</v>
      </c>
      <c r="U25" s="264">
        <v>0.42</v>
      </c>
      <c r="V25" s="264">
        <v>0.43</v>
      </c>
      <c r="W25" s="264">
        <v>0.44</v>
      </c>
      <c r="X25" s="264">
        <v>0.45</v>
      </c>
      <c r="Y25" s="264">
        <v>0.46</v>
      </c>
      <c r="Z25" s="264">
        <v>0.47</v>
      </c>
      <c r="AA25" s="57">
        <f t="shared" si="0"/>
        <v>0.39458333333333334</v>
      </c>
      <c r="AB25" s="58">
        <f>IF(AA25=" "," ",IF('c-form'!AE15="",AA25,AA25+'c-form'!AE15))</f>
        <v>337.99458333333337</v>
      </c>
      <c r="AC25" s="58">
        <f>IF(AA25=" "," ",IF('c-form'!AE15="",AM25,AM25+'c-form'!AE15))</f>
        <v>338.07000000000005</v>
      </c>
      <c r="AD25" s="150">
        <f t="shared" si="5"/>
        <v>24</v>
      </c>
      <c r="AE25" s="58">
        <f>IF(AA25=" "," ",IF('c-form'!AE15="",AN25,AN25+'c-form'!AE15))</f>
        <v>337.97</v>
      </c>
      <c r="AF25" s="150">
        <f t="shared" si="6"/>
        <v>1</v>
      </c>
      <c r="AG25" s="63"/>
      <c r="AM25">
        <f t="shared" si="2"/>
        <v>0.47</v>
      </c>
      <c r="AN25" s="54">
        <f t="shared" si="4"/>
        <v>0.37</v>
      </c>
    </row>
    <row r="26" spans="1:40" ht="22.5" customHeight="1">
      <c r="A26" s="60"/>
      <c r="B26" s="132">
        <v>15</v>
      </c>
      <c r="C26" s="264">
        <v>0.48</v>
      </c>
      <c r="D26" s="264">
        <v>0.5</v>
      </c>
      <c r="E26" s="264">
        <v>0.51</v>
      </c>
      <c r="F26" s="264">
        <v>0.52</v>
      </c>
      <c r="G26" s="264">
        <v>0.53</v>
      </c>
      <c r="H26" s="264">
        <v>0.54</v>
      </c>
      <c r="I26" s="264">
        <v>0.55000000000000004</v>
      </c>
      <c r="J26" s="264">
        <v>0.56000000000000005</v>
      </c>
      <c r="K26" s="264">
        <v>0.56999999999999995</v>
      </c>
      <c r="L26" s="264">
        <v>0.57999999999999996</v>
      </c>
      <c r="M26" s="264">
        <v>0.59</v>
      </c>
      <c r="N26" s="264">
        <v>0.6</v>
      </c>
      <c r="O26" s="264">
        <v>0.61</v>
      </c>
      <c r="P26" s="264">
        <v>0.62</v>
      </c>
      <c r="Q26" s="264">
        <v>0.62</v>
      </c>
      <c r="R26" s="264">
        <v>0.62</v>
      </c>
      <c r="S26" s="264">
        <v>0.62</v>
      </c>
      <c r="T26" s="264">
        <v>0.61</v>
      </c>
      <c r="U26" s="264">
        <v>0.61</v>
      </c>
      <c r="V26" s="264">
        <v>0.6</v>
      </c>
      <c r="W26" s="264">
        <v>0.6</v>
      </c>
      <c r="X26" s="264">
        <v>0.59</v>
      </c>
      <c r="Y26" s="264">
        <v>0.57999999999999996</v>
      </c>
      <c r="Z26" s="264">
        <v>0.56999999999999995</v>
      </c>
      <c r="AA26" s="57">
        <f t="shared" si="0"/>
        <v>0.57416666666666649</v>
      </c>
      <c r="AB26" s="58">
        <f>IF(AA26=" "," ",IF('c-form'!AE15="",AA26,AA26+'c-form'!AE15))</f>
        <v>338.17416666666668</v>
      </c>
      <c r="AC26" s="58">
        <f>IF(AA26=" "," ",IF('c-form'!AE15="",AM26,AM26+'c-form'!AE15))</f>
        <v>338.22</v>
      </c>
      <c r="AD26" s="150">
        <f t="shared" si="5"/>
        <v>14</v>
      </c>
      <c r="AE26" s="58">
        <f>IF(AA26=" "," ",IF('c-form'!AE15="",AN26,AN26+'c-form'!AE15))</f>
        <v>338.08000000000004</v>
      </c>
      <c r="AF26" s="150">
        <f t="shared" si="6"/>
        <v>1</v>
      </c>
      <c r="AG26" s="63"/>
      <c r="AM26">
        <f t="shared" si="2"/>
        <v>0.62</v>
      </c>
      <c r="AN26" s="54">
        <f t="shared" si="4"/>
        <v>0.48</v>
      </c>
    </row>
    <row r="27" spans="1:40" ht="22.5" customHeight="1">
      <c r="A27" s="60"/>
      <c r="B27" s="132">
        <v>16</v>
      </c>
      <c r="C27" s="264">
        <v>0.56000000000000005</v>
      </c>
      <c r="D27" s="264">
        <v>0.55000000000000004</v>
      </c>
      <c r="E27" s="264">
        <v>0.54</v>
      </c>
      <c r="F27" s="264">
        <v>0.54</v>
      </c>
      <c r="G27" s="264">
        <v>0.53</v>
      </c>
      <c r="H27" s="264">
        <v>0.53</v>
      </c>
      <c r="I27" s="264">
        <v>0.53</v>
      </c>
      <c r="J27" s="264">
        <v>0.52</v>
      </c>
      <c r="K27" s="264">
        <v>0.52</v>
      </c>
      <c r="L27" s="264">
        <v>0.52</v>
      </c>
      <c r="M27" s="264">
        <v>0.51</v>
      </c>
      <c r="N27" s="264">
        <v>0.51</v>
      </c>
      <c r="O27" s="264">
        <v>0.51</v>
      </c>
      <c r="P27" s="264">
        <v>0.5</v>
      </c>
      <c r="Q27" s="264">
        <v>0.5</v>
      </c>
      <c r="R27" s="264">
        <v>0.5</v>
      </c>
      <c r="S27" s="264">
        <v>0.5</v>
      </c>
      <c r="T27" s="264">
        <v>0.5</v>
      </c>
      <c r="U27" s="264">
        <v>0.49</v>
      </c>
      <c r="V27" s="264">
        <v>0.49</v>
      </c>
      <c r="W27" s="264">
        <v>0.49</v>
      </c>
      <c r="X27" s="264">
        <v>0.49</v>
      </c>
      <c r="Y27" s="264">
        <v>0.49</v>
      </c>
      <c r="Z27" s="264">
        <v>0.49</v>
      </c>
      <c r="AA27" s="57">
        <f t="shared" si="0"/>
        <v>0.51291666666666669</v>
      </c>
      <c r="AB27" s="58">
        <f>IF(AA27=" "," ",IF('c-form'!AE15="",AA27,AA27+'c-form'!AE15))</f>
        <v>338.11291666666671</v>
      </c>
      <c r="AC27" s="58">
        <f>IF(AA27=" "," ",IF('c-form'!AE15="",AM27,AM27+'c-form'!AE15))</f>
        <v>338.16</v>
      </c>
      <c r="AD27" s="150">
        <f t="shared" si="5"/>
        <v>1</v>
      </c>
      <c r="AE27" s="58">
        <f>IF(AA27=" "," ",IF('c-form'!AE15="",AN27,AN27+'c-form'!AE15))</f>
        <v>338.09000000000003</v>
      </c>
      <c r="AF27" s="150">
        <f t="shared" si="6"/>
        <v>19</v>
      </c>
      <c r="AG27" s="63"/>
      <c r="AM27">
        <f t="shared" si="2"/>
        <v>0.56000000000000005</v>
      </c>
      <c r="AN27" s="54">
        <f t="shared" si="4"/>
        <v>0.49</v>
      </c>
    </row>
    <row r="28" spans="1:40" ht="22.5" customHeight="1">
      <c r="A28" s="60"/>
      <c r="B28" s="132">
        <v>17</v>
      </c>
      <c r="C28" s="264">
        <v>0.48</v>
      </c>
      <c r="D28" s="264">
        <v>0.48</v>
      </c>
      <c r="E28" s="264">
        <v>0.48</v>
      </c>
      <c r="F28" s="264">
        <v>0.48</v>
      </c>
      <c r="G28" s="264">
        <v>0.48</v>
      </c>
      <c r="H28" s="264">
        <v>0.47</v>
      </c>
      <c r="I28" s="264">
        <v>0.47</v>
      </c>
      <c r="J28" s="264">
        <v>0.47</v>
      </c>
      <c r="K28" s="264">
        <v>0.47</v>
      </c>
      <c r="L28" s="264">
        <v>0.47</v>
      </c>
      <c r="M28" s="264">
        <v>0.47</v>
      </c>
      <c r="N28" s="264">
        <v>0.47</v>
      </c>
      <c r="O28" s="264">
        <v>0.48</v>
      </c>
      <c r="P28" s="264">
        <v>0.48</v>
      </c>
      <c r="Q28" s="264">
        <v>0.48</v>
      </c>
      <c r="R28" s="264">
        <v>0.48</v>
      </c>
      <c r="S28" s="264">
        <v>0.48</v>
      </c>
      <c r="T28" s="264">
        <v>0.48</v>
      </c>
      <c r="U28" s="264">
        <v>0.49</v>
      </c>
      <c r="V28" s="264">
        <v>0.49</v>
      </c>
      <c r="W28" s="264">
        <v>0.49</v>
      </c>
      <c r="X28" s="264">
        <v>0.49</v>
      </c>
      <c r="Y28" s="264">
        <v>0.49</v>
      </c>
      <c r="Z28" s="264">
        <v>0.49</v>
      </c>
      <c r="AA28" s="57">
        <f t="shared" si="0"/>
        <v>0.47958333333333342</v>
      </c>
      <c r="AB28" s="58">
        <f>IF(AA28=" "," ",IF('c-form'!AE15="",AA28,AA28+'c-form'!AE15))</f>
        <v>338.07958333333335</v>
      </c>
      <c r="AC28" s="58">
        <f>IF(AA28=" "," ",IF('c-form'!AE15="",AM28,AM28+'c-form'!AE15))</f>
        <v>338.09000000000003</v>
      </c>
      <c r="AD28" s="150">
        <f t="shared" si="5"/>
        <v>19</v>
      </c>
      <c r="AE28" s="58">
        <f>IF(AA28=" "," ",IF('c-form'!AE15="",AN28,AN28+'c-form'!AE15))</f>
        <v>338.07000000000005</v>
      </c>
      <c r="AF28" s="150">
        <f t="shared" si="6"/>
        <v>6</v>
      </c>
      <c r="AG28" s="63"/>
      <c r="AM28">
        <f t="shared" si="2"/>
        <v>0.49</v>
      </c>
      <c r="AN28" s="54">
        <f t="shared" si="4"/>
        <v>0.47</v>
      </c>
    </row>
    <row r="29" spans="1:40" ht="22.5" customHeight="1">
      <c r="A29" s="60"/>
      <c r="B29" s="132">
        <v>18</v>
      </c>
      <c r="C29" s="264">
        <v>0.5</v>
      </c>
      <c r="D29" s="264">
        <v>0.5</v>
      </c>
      <c r="E29" s="264">
        <v>0.5</v>
      </c>
      <c r="F29" s="264">
        <v>0.5</v>
      </c>
      <c r="G29" s="264">
        <v>0.5</v>
      </c>
      <c r="H29" s="264">
        <v>0.5</v>
      </c>
      <c r="I29" s="264">
        <v>0.49</v>
      </c>
      <c r="J29" s="264">
        <v>0.49</v>
      </c>
      <c r="K29" s="264">
        <v>0.49</v>
      </c>
      <c r="L29" s="264">
        <v>0.49</v>
      </c>
      <c r="M29" s="264">
        <v>0.49</v>
      </c>
      <c r="N29" s="264">
        <v>0.48</v>
      </c>
      <c r="O29" s="264">
        <v>0.48</v>
      </c>
      <c r="P29" s="264">
        <v>0.48</v>
      </c>
      <c r="Q29" s="264">
        <v>0.48</v>
      </c>
      <c r="R29" s="264">
        <v>0.48</v>
      </c>
      <c r="S29" s="264">
        <v>0.48</v>
      </c>
      <c r="T29" s="264">
        <v>0.47</v>
      </c>
      <c r="U29" s="264">
        <v>0.47</v>
      </c>
      <c r="V29" s="264">
        <v>0.47</v>
      </c>
      <c r="W29" s="264">
        <v>0.47</v>
      </c>
      <c r="X29" s="264">
        <v>0.47</v>
      </c>
      <c r="Y29" s="264">
        <v>0.47</v>
      </c>
      <c r="Z29" s="264">
        <v>0.47</v>
      </c>
      <c r="AA29" s="57">
        <f t="shared" si="0"/>
        <v>0.48416666666666702</v>
      </c>
      <c r="AB29" s="58">
        <f>IF(AA29=" "," ",IF('c-form'!AE15="",AA29,AA29+'c-form'!AE15))</f>
        <v>338.0841666666667</v>
      </c>
      <c r="AC29" s="58">
        <f>IF(AA29=" "," ",IF('c-form'!AE15="",AM29,AM29+'c-form'!AE15))</f>
        <v>338.1</v>
      </c>
      <c r="AD29" s="150">
        <f t="shared" si="5"/>
        <v>1</v>
      </c>
      <c r="AE29" s="58">
        <f>IF(AA29=" "," ",IF('c-form'!AE15="",AN29,AN29+'c-form'!AE15))</f>
        <v>338.07000000000005</v>
      </c>
      <c r="AF29" s="150">
        <f t="shared" si="6"/>
        <v>18</v>
      </c>
      <c r="AG29" s="63"/>
      <c r="AM29">
        <f>IF(AB29=" "," ",MAX(C29:Z29))</f>
        <v>0.5</v>
      </c>
      <c r="AN29" s="54">
        <f t="shared" si="4"/>
        <v>0.47</v>
      </c>
    </row>
    <row r="30" spans="1:40" ht="22.5" customHeight="1">
      <c r="A30" s="60"/>
      <c r="B30" s="132">
        <v>19</v>
      </c>
      <c r="C30" s="264">
        <v>0.46</v>
      </c>
      <c r="D30" s="264">
        <v>0.46</v>
      </c>
      <c r="E30" s="264">
        <v>0.46</v>
      </c>
      <c r="F30" s="264">
        <v>0.46</v>
      </c>
      <c r="G30" s="264">
        <v>0.46</v>
      </c>
      <c r="H30" s="264">
        <v>0.45</v>
      </c>
      <c r="I30" s="264">
        <v>0.45</v>
      </c>
      <c r="J30" s="264">
        <v>0.45</v>
      </c>
      <c r="K30" s="264">
        <v>0.45</v>
      </c>
      <c r="L30" s="264">
        <v>0.45</v>
      </c>
      <c r="M30" s="264">
        <v>0.45</v>
      </c>
      <c r="N30" s="264">
        <v>0.45</v>
      </c>
      <c r="O30" s="264">
        <v>0.44</v>
      </c>
      <c r="P30" s="264">
        <v>0.44</v>
      </c>
      <c r="Q30" s="264">
        <v>0.44</v>
      </c>
      <c r="R30" s="264">
        <v>0.43</v>
      </c>
      <c r="S30" s="264">
        <v>0.43</v>
      </c>
      <c r="T30" s="264">
        <v>0.43</v>
      </c>
      <c r="U30" s="264">
        <v>0.42</v>
      </c>
      <c r="V30" s="264">
        <v>0.42</v>
      </c>
      <c r="W30" s="264">
        <v>0.42</v>
      </c>
      <c r="X30" s="264">
        <v>0.41</v>
      </c>
      <c r="Y30" s="264">
        <v>0.41</v>
      </c>
      <c r="Z30" s="264">
        <v>0.41</v>
      </c>
      <c r="AA30" s="57">
        <f t="shared" si="0"/>
        <v>0.43958333333333344</v>
      </c>
      <c r="AB30" s="58">
        <f>IF(AA30=" "," ",IF('c-form'!AE15="",AA30,AA30+'c-form'!AE15))</f>
        <v>338.03958333333338</v>
      </c>
      <c r="AC30" s="58">
        <f>IF(AA30=" "," ",IF('c-form'!AE15="",AM30,AM30+'c-form'!AE15))</f>
        <v>338.06</v>
      </c>
      <c r="AD30" s="150">
        <f t="shared" si="5"/>
        <v>1</v>
      </c>
      <c r="AE30" s="58">
        <f>IF(AA30=" "," ",IF('c-form'!AE15="",AN30,AN30+'c-form'!AE15))</f>
        <v>338.01000000000005</v>
      </c>
      <c r="AF30" s="150">
        <f t="shared" si="6"/>
        <v>22</v>
      </c>
      <c r="AG30" s="63"/>
      <c r="AM30">
        <f t="shared" si="2"/>
        <v>0.46</v>
      </c>
      <c r="AN30" s="54">
        <f t="shared" si="4"/>
        <v>0.41</v>
      </c>
    </row>
    <row r="31" spans="1:40" ht="22.5" customHeight="1">
      <c r="A31" s="60"/>
      <c r="B31" s="132">
        <v>20</v>
      </c>
      <c r="C31" s="264">
        <v>0.4</v>
      </c>
      <c r="D31" s="264">
        <v>0.4</v>
      </c>
      <c r="E31" s="264">
        <v>0.4</v>
      </c>
      <c r="F31" s="264">
        <v>0.4</v>
      </c>
      <c r="G31" s="264">
        <v>0.39</v>
      </c>
      <c r="H31" s="264">
        <v>0.39</v>
      </c>
      <c r="I31" s="264">
        <v>0.39</v>
      </c>
      <c r="J31" s="264">
        <v>0.38</v>
      </c>
      <c r="K31" s="264">
        <v>0.38</v>
      </c>
      <c r="L31" s="264">
        <v>0.38</v>
      </c>
      <c r="M31" s="264">
        <v>0.37</v>
      </c>
      <c r="N31" s="264">
        <v>0.37</v>
      </c>
      <c r="O31" s="264">
        <v>0.37</v>
      </c>
      <c r="P31" s="264">
        <v>0.36</v>
      </c>
      <c r="Q31" s="264">
        <v>0.36</v>
      </c>
      <c r="R31" s="264">
        <v>0.36</v>
      </c>
      <c r="S31" s="264">
        <v>0.36</v>
      </c>
      <c r="T31" s="264">
        <v>0.36</v>
      </c>
      <c r="U31" s="264">
        <v>0.35</v>
      </c>
      <c r="V31" s="264">
        <v>0.35</v>
      </c>
      <c r="W31" s="264">
        <v>0.35</v>
      </c>
      <c r="X31" s="264">
        <v>0.35</v>
      </c>
      <c r="Y31" s="264">
        <v>0.35</v>
      </c>
      <c r="Z31" s="264">
        <v>0.35</v>
      </c>
      <c r="AA31" s="57">
        <f t="shared" si="0"/>
        <v>0.37166666666666665</v>
      </c>
      <c r="AB31" s="58">
        <f>IF(AA31=" "," ",IF('c-form'!AE15="",AA31,AA31+'c-form'!AE15))</f>
        <v>337.97166666666669</v>
      </c>
      <c r="AC31" s="58">
        <f>IF(AA31=" "," ",IF('c-form'!AE15="",AM31,AM31+'c-form'!AE15))</f>
        <v>338</v>
      </c>
      <c r="AD31" s="150">
        <f t="shared" si="5"/>
        <v>1</v>
      </c>
      <c r="AE31" s="58">
        <f>IF(AA31=" "," ",IF('c-form'!AE15="",AN31,AN31+'c-form'!AE15))</f>
        <v>337.95000000000005</v>
      </c>
      <c r="AF31" s="150">
        <f t="shared" si="6"/>
        <v>19</v>
      </c>
      <c r="AG31" s="63"/>
      <c r="AM31">
        <f t="shared" si="2"/>
        <v>0.4</v>
      </c>
      <c r="AN31" s="54">
        <f t="shared" si="4"/>
        <v>0.35</v>
      </c>
    </row>
    <row r="32" spans="1:40" ht="22.5" customHeight="1">
      <c r="A32" s="60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39"/>
      <c r="AF32" s="151"/>
      <c r="AG32" s="63"/>
      <c r="AM32">
        <f t="shared" si="2"/>
        <v>0</v>
      </c>
      <c r="AN32" s="54">
        <f t="shared" si="4"/>
        <v>0</v>
      </c>
    </row>
    <row r="33" spans="1:40" ht="22.5" customHeight="1">
      <c r="A33" s="60"/>
      <c r="B33" s="132">
        <v>21</v>
      </c>
      <c r="C33" s="264">
        <v>0.34</v>
      </c>
      <c r="D33" s="264">
        <v>0.34</v>
      </c>
      <c r="E33" s="264">
        <v>0.34</v>
      </c>
      <c r="F33" s="264">
        <v>0.34</v>
      </c>
      <c r="G33" s="264">
        <v>0.34</v>
      </c>
      <c r="H33" s="264">
        <v>0.34</v>
      </c>
      <c r="I33" s="264">
        <v>0.34</v>
      </c>
      <c r="J33" s="264">
        <v>0.34</v>
      </c>
      <c r="K33" s="264">
        <v>0.34</v>
      </c>
      <c r="L33" s="264">
        <v>0.34</v>
      </c>
      <c r="M33" s="264">
        <v>0.34</v>
      </c>
      <c r="N33" s="264">
        <v>0.34</v>
      </c>
      <c r="O33" s="264">
        <v>0.34</v>
      </c>
      <c r="P33" s="264">
        <v>0.34</v>
      </c>
      <c r="Q33" s="264">
        <v>0.34</v>
      </c>
      <c r="R33" s="264">
        <v>0.34</v>
      </c>
      <c r="S33" s="264">
        <v>0.34</v>
      </c>
      <c r="T33" s="264">
        <v>0.34</v>
      </c>
      <c r="U33" s="264">
        <v>0.34</v>
      </c>
      <c r="V33" s="264">
        <v>0.34</v>
      </c>
      <c r="W33" s="264">
        <v>0.34</v>
      </c>
      <c r="X33" s="264">
        <v>0.34</v>
      </c>
      <c r="Y33" s="264">
        <v>0.34</v>
      </c>
      <c r="Z33" s="264">
        <v>0.34</v>
      </c>
      <c r="AA33" s="57">
        <f t="shared" si="0"/>
        <v>0.33999999999999991</v>
      </c>
      <c r="AB33" s="58">
        <f>IF(AA33=" "," ",IF('c-form'!AE15="",AA33,AA33+'c-form'!AE15))</f>
        <v>337.94</v>
      </c>
      <c r="AC33" s="58">
        <f>IF(AA33=" "," ",IF('c-form'!AE15="",AM33,AM33+'c-form'!AE15))</f>
        <v>337.94</v>
      </c>
      <c r="AD33" s="150">
        <f t="shared" ref="AD33:AD41" si="7">IF(AB33=" "," ",MATCH(AM33,C33:Z33,0))</f>
        <v>1</v>
      </c>
      <c r="AE33" s="58">
        <f>IF(AA33=" "," ",IF('c-form'!AE15="",AN33,AN33+'c-form'!AE15))</f>
        <v>337.94</v>
      </c>
      <c r="AF33" s="150">
        <f t="shared" ref="AF33:AF41" si="8">IF(AD33=" "," ",MATCH(AN33,C33:Z33,0))</f>
        <v>1</v>
      </c>
      <c r="AG33" s="63"/>
      <c r="AM33">
        <f t="shared" si="2"/>
        <v>0.34</v>
      </c>
      <c r="AN33" s="54">
        <f t="shared" si="4"/>
        <v>0.34</v>
      </c>
    </row>
    <row r="34" spans="1:40" ht="22.5" customHeight="1">
      <c r="A34" s="60"/>
      <c r="B34" s="132">
        <v>22</v>
      </c>
      <c r="C34" s="264">
        <v>0.34</v>
      </c>
      <c r="D34" s="264">
        <v>0.34</v>
      </c>
      <c r="E34" s="264">
        <v>0.34</v>
      </c>
      <c r="F34" s="264">
        <v>0.34</v>
      </c>
      <c r="G34" s="264">
        <v>0.34</v>
      </c>
      <c r="H34" s="264">
        <v>0.34</v>
      </c>
      <c r="I34" s="264">
        <v>0.34</v>
      </c>
      <c r="J34" s="264">
        <v>0.34</v>
      </c>
      <c r="K34" s="264">
        <v>0.34</v>
      </c>
      <c r="L34" s="264">
        <v>0.34</v>
      </c>
      <c r="M34" s="264">
        <v>0.34</v>
      </c>
      <c r="N34" s="264">
        <v>0.34</v>
      </c>
      <c r="O34" s="264">
        <v>0.33</v>
      </c>
      <c r="P34" s="264">
        <v>0.33</v>
      </c>
      <c r="Q34" s="264">
        <v>0.33</v>
      </c>
      <c r="R34" s="264">
        <v>0.33</v>
      </c>
      <c r="S34" s="264">
        <v>0.33</v>
      </c>
      <c r="T34" s="264">
        <v>0.33</v>
      </c>
      <c r="U34" s="264">
        <v>0.33</v>
      </c>
      <c r="V34" s="264">
        <v>0.33</v>
      </c>
      <c r="W34" s="264">
        <v>0.33</v>
      </c>
      <c r="X34" s="264">
        <v>0.33</v>
      </c>
      <c r="Y34" s="264">
        <v>0.33</v>
      </c>
      <c r="Z34" s="264">
        <v>0.33</v>
      </c>
      <c r="AA34" s="57">
        <f t="shared" si="0"/>
        <v>0.33499999999999996</v>
      </c>
      <c r="AB34" s="58">
        <f>IF(AA34=" "," ",IF('c-form'!AE15="",AA34,AA34+'c-form'!AE15))</f>
        <v>337.935</v>
      </c>
      <c r="AC34" s="58">
        <f>IF(AA34=" "," ",IF('c-form'!AE15="",AM34,AM34+'c-form'!AE15))</f>
        <v>337.94</v>
      </c>
      <c r="AD34" s="150">
        <f t="shared" si="7"/>
        <v>1</v>
      </c>
      <c r="AE34" s="58">
        <f>IF(AA34=" "," ",IF('c-form'!AE15="",AN34,AN34+'c-form'!AE15))</f>
        <v>337.93</v>
      </c>
      <c r="AF34" s="150">
        <f t="shared" si="8"/>
        <v>13</v>
      </c>
      <c r="AG34" s="63"/>
      <c r="AM34">
        <f t="shared" si="2"/>
        <v>0.34</v>
      </c>
      <c r="AN34" s="54">
        <f t="shared" si="4"/>
        <v>0.33</v>
      </c>
    </row>
    <row r="35" spans="1:40" ht="22.5" customHeight="1">
      <c r="A35" s="60"/>
      <c r="B35" s="132">
        <v>23</v>
      </c>
      <c r="C35" s="264">
        <v>0.32</v>
      </c>
      <c r="D35" s="264">
        <v>0.32</v>
      </c>
      <c r="E35" s="264">
        <v>0.32</v>
      </c>
      <c r="F35" s="264">
        <v>0.32</v>
      </c>
      <c r="G35" s="264">
        <v>0.32</v>
      </c>
      <c r="H35" s="264">
        <v>0.32</v>
      </c>
      <c r="I35" s="264">
        <v>0.32</v>
      </c>
      <c r="J35" s="264">
        <v>0.32</v>
      </c>
      <c r="K35" s="264">
        <v>0.33</v>
      </c>
      <c r="L35" s="264">
        <v>0.33</v>
      </c>
      <c r="M35" s="264">
        <v>0.33</v>
      </c>
      <c r="N35" s="264">
        <v>0.33</v>
      </c>
      <c r="O35" s="264">
        <v>0.34</v>
      </c>
      <c r="P35" s="264">
        <v>0.34</v>
      </c>
      <c r="Q35" s="264">
        <v>0.35</v>
      </c>
      <c r="R35" s="264">
        <v>0.36</v>
      </c>
      <c r="S35" s="264">
        <v>0.37</v>
      </c>
      <c r="T35" s="264">
        <v>0.38</v>
      </c>
      <c r="U35" s="264">
        <v>0.39</v>
      </c>
      <c r="V35" s="264">
        <v>0.4</v>
      </c>
      <c r="W35" s="264">
        <v>0.41</v>
      </c>
      <c r="X35" s="264">
        <v>0.43</v>
      </c>
      <c r="Y35" s="264">
        <v>0.46</v>
      </c>
      <c r="Z35" s="264">
        <v>0.49</v>
      </c>
      <c r="AA35" s="57">
        <f t="shared" si="0"/>
        <v>0.35833333333333339</v>
      </c>
      <c r="AB35" s="58">
        <f>IF(AA35=" "," ",IF('c-form'!AE15="",AA35,AA35+'c-form'!AE15))</f>
        <v>337.95833333333337</v>
      </c>
      <c r="AC35" s="58">
        <f>IF(AA35=" "," ",IF('c-form'!AE15="",AM35,AM35+'c-form'!AE15))</f>
        <v>338.09000000000003</v>
      </c>
      <c r="AD35" s="150">
        <f t="shared" si="7"/>
        <v>24</v>
      </c>
      <c r="AE35" s="58">
        <f>IF(AA35=" "," ",IF('c-form'!AE15="",AN35,AN35+'c-form'!AE15))</f>
        <v>337.92</v>
      </c>
      <c r="AF35" s="150">
        <f t="shared" si="8"/>
        <v>1</v>
      </c>
      <c r="AG35" s="63"/>
      <c r="AM35">
        <f t="shared" si="2"/>
        <v>0.49</v>
      </c>
      <c r="AN35" s="54">
        <f t="shared" si="4"/>
        <v>0.32</v>
      </c>
    </row>
    <row r="36" spans="1:40" ht="22.5" customHeight="1">
      <c r="A36" s="60"/>
      <c r="B36" s="132">
        <v>24</v>
      </c>
      <c r="C36" s="264">
        <v>0.5</v>
      </c>
      <c r="D36" s="264">
        <v>0.51</v>
      </c>
      <c r="E36" s="264">
        <v>0.53</v>
      </c>
      <c r="F36" s="264">
        <v>0.55000000000000004</v>
      </c>
      <c r="G36" s="264">
        <v>0.56999999999999995</v>
      </c>
      <c r="H36" s="264">
        <v>0.57999999999999996</v>
      </c>
      <c r="I36" s="264">
        <v>0.6</v>
      </c>
      <c r="J36" s="264">
        <v>0.61</v>
      </c>
      <c r="K36" s="264">
        <v>0.62</v>
      </c>
      <c r="L36" s="264">
        <v>0.63</v>
      </c>
      <c r="M36" s="264">
        <v>0.64</v>
      </c>
      <c r="N36" s="264">
        <v>0.64</v>
      </c>
      <c r="O36" s="264">
        <v>0.64</v>
      </c>
      <c r="P36" s="264">
        <v>0.63</v>
      </c>
      <c r="Q36" s="264">
        <v>0.62</v>
      </c>
      <c r="R36" s="264">
        <v>0.61</v>
      </c>
      <c r="S36" s="264">
        <v>0.6</v>
      </c>
      <c r="T36" s="264">
        <v>0.59</v>
      </c>
      <c r="U36" s="264">
        <v>0.57999999999999996</v>
      </c>
      <c r="V36" s="264">
        <v>0.56999999999999995</v>
      </c>
      <c r="W36" s="264">
        <v>0.56000000000000005</v>
      </c>
      <c r="X36" s="264">
        <v>0.55000000000000004</v>
      </c>
      <c r="Y36" s="264">
        <v>0.54</v>
      </c>
      <c r="Z36" s="264">
        <v>0.53</v>
      </c>
      <c r="AA36" s="57">
        <f t="shared" si="0"/>
        <v>0.58333333333333326</v>
      </c>
      <c r="AB36" s="58">
        <f>IF(AA36=" "," ",IF('c-form'!AE15="",AA36,AA36+'c-form'!AE15))</f>
        <v>338.18333333333334</v>
      </c>
      <c r="AC36" s="58">
        <f>IF(AA36=" "," ",IF('c-form'!AE15="",AM36,AM36+'c-form'!AE15))</f>
        <v>338.24</v>
      </c>
      <c r="AD36" s="150">
        <f t="shared" si="7"/>
        <v>11</v>
      </c>
      <c r="AE36" s="58">
        <f>IF(AA36=" "," ",IF('c-form'!AE15="",AN36,AN36+'c-form'!AE15))</f>
        <v>338.1</v>
      </c>
      <c r="AF36" s="150">
        <f t="shared" si="8"/>
        <v>1</v>
      </c>
      <c r="AG36" s="63"/>
      <c r="AM36">
        <f t="shared" si="2"/>
        <v>0.64</v>
      </c>
      <c r="AN36" s="54">
        <f t="shared" si="4"/>
        <v>0.5</v>
      </c>
    </row>
    <row r="37" spans="1:40" ht="22.5" customHeight="1">
      <c r="A37" s="60"/>
      <c r="B37" s="132">
        <v>25</v>
      </c>
      <c r="C37" s="264">
        <v>0.52</v>
      </c>
      <c r="D37" s="264">
        <v>0.51</v>
      </c>
      <c r="E37" s="264">
        <v>0.5</v>
      </c>
      <c r="F37" s="264">
        <v>0.5</v>
      </c>
      <c r="G37" s="264">
        <v>0.49</v>
      </c>
      <c r="H37" s="264">
        <v>0.49</v>
      </c>
      <c r="I37" s="264">
        <v>0.48</v>
      </c>
      <c r="J37" s="264">
        <v>0.48</v>
      </c>
      <c r="K37" s="264">
        <v>0.47</v>
      </c>
      <c r="L37" s="264">
        <v>0.47</v>
      </c>
      <c r="M37" s="264">
        <v>0.46</v>
      </c>
      <c r="N37" s="264">
        <v>0.46</v>
      </c>
      <c r="O37" s="264">
        <v>0.45</v>
      </c>
      <c r="P37" s="264">
        <v>0.45</v>
      </c>
      <c r="Q37" s="264">
        <v>0.44</v>
      </c>
      <c r="R37" s="264">
        <v>0.44</v>
      </c>
      <c r="S37" s="264">
        <v>0.44</v>
      </c>
      <c r="T37" s="264">
        <v>0.44</v>
      </c>
      <c r="U37" s="264">
        <v>0.43</v>
      </c>
      <c r="V37" s="264">
        <v>0.43</v>
      </c>
      <c r="W37" s="264">
        <v>0.43</v>
      </c>
      <c r="X37" s="264">
        <v>0.43</v>
      </c>
      <c r="Y37" s="264">
        <v>0.43</v>
      </c>
      <c r="Z37" s="264">
        <v>0.43</v>
      </c>
      <c r="AA37" s="57">
        <f t="shared" si="0"/>
        <v>0.46124999999999994</v>
      </c>
      <c r="AB37" s="58">
        <f>IF(AA37=" "," ",IF('c-form'!AE15="",AA37,AA37+'c-form'!AE15))</f>
        <v>338.06125000000003</v>
      </c>
      <c r="AC37" s="58">
        <f>IF(AA37=" "," ",IF('c-form'!AE15="",AM37,AM37+'c-form'!AE15))</f>
        <v>338.12</v>
      </c>
      <c r="AD37" s="150">
        <f t="shared" si="7"/>
        <v>1</v>
      </c>
      <c r="AE37" s="58">
        <f>IF(AA37=" "," ",IF('c-form'!AE15="",AN37,AN37+'c-form'!AE15))</f>
        <v>338.03000000000003</v>
      </c>
      <c r="AF37" s="150">
        <f t="shared" si="8"/>
        <v>19</v>
      </c>
      <c r="AG37" s="63"/>
      <c r="AM37">
        <f t="shared" si="2"/>
        <v>0.52</v>
      </c>
      <c r="AN37" s="54">
        <f t="shared" si="4"/>
        <v>0.43</v>
      </c>
    </row>
    <row r="38" spans="1:40" ht="22.5" customHeight="1">
      <c r="A38" s="60"/>
      <c r="B38" s="132">
        <v>26</v>
      </c>
      <c r="C38" s="264">
        <v>0.42</v>
      </c>
      <c r="D38" s="264">
        <v>0.42</v>
      </c>
      <c r="E38" s="264">
        <v>0.42</v>
      </c>
      <c r="F38" s="264">
        <v>0.42</v>
      </c>
      <c r="G38" s="264">
        <v>0.42</v>
      </c>
      <c r="H38" s="264">
        <v>0.42</v>
      </c>
      <c r="I38" s="264">
        <v>0.42</v>
      </c>
      <c r="J38" s="264">
        <v>0.42</v>
      </c>
      <c r="K38" s="264">
        <v>0.42</v>
      </c>
      <c r="L38" s="264">
        <v>0.42</v>
      </c>
      <c r="M38" s="264">
        <v>0.42</v>
      </c>
      <c r="N38" s="264">
        <v>0.42</v>
      </c>
      <c r="O38" s="264">
        <v>0.41</v>
      </c>
      <c r="P38" s="264">
        <v>0.41</v>
      </c>
      <c r="Q38" s="264">
        <v>0.41</v>
      </c>
      <c r="R38" s="264">
        <v>0.41</v>
      </c>
      <c r="S38" s="264">
        <v>0.4</v>
      </c>
      <c r="T38" s="264">
        <v>0.4</v>
      </c>
      <c r="U38" s="264">
        <v>0.4</v>
      </c>
      <c r="V38" s="264">
        <v>0.39</v>
      </c>
      <c r="W38" s="264">
        <v>0.39</v>
      </c>
      <c r="X38" s="264">
        <v>0.38</v>
      </c>
      <c r="Y38" s="264">
        <v>0.38</v>
      </c>
      <c r="Z38" s="264">
        <v>0.37</v>
      </c>
      <c r="AA38" s="57">
        <f t="shared" si="0"/>
        <v>0.40791666666666676</v>
      </c>
      <c r="AB38" s="58">
        <f>IF(AA38=" "," ",IF('c-form'!AE15="",AA38,AA38+'c-form'!AE15))</f>
        <v>338.00791666666669</v>
      </c>
      <c r="AC38" s="58">
        <f>IF(AA38=" "," ",IF('c-form'!AE15="",AM38,AM38+'c-form'!AE15))</f>
        <v>338.02000000000004</v>
      </c>
      <c r="AD38" s="150">
        <f t="shared" si="7"/>
        <v>1</v>
      </c>
      <c r="AE38" s="58">
        <f>IF(AA38=" "," ",IF('c-form'!AE15="",AN38,AN38+'c-form'!AE15))</f>
        <v>337.97</v>
      </c>
      <c r="AF38" s="150">
        <f t="shared" si="8"/>
        <v>24</v>
      </c>
      <c r="AG38" s="63"/>
      <c r="AM38">
        <f t="shared" si="2"/>
        <v>0.42</v>
      </c>
      <c r="AN38" s="54">
        <f t="shared" si="4"/>
        <v>0.37</v>
      </c>
    </row>
    <row r="39" spans="1:40" ht="22.5" customHeight="1">
      <c r="A39" s="60"/>
      <c r="B39" s="132">
        <v>27</v>
      </c>
      <c r="C39" s="264">
        <v>0.37</v>
      </c>
      <c r="D39" s="264">
        <v>0.37</v>
      </c>
      <c r="E39" s="264">
        <v>0.36</v>
      </c>
      <c r="F39" s="264">
        <v>0.36</v>
      </c>
      <c r="G39" s="264">
        <v>0.36</v>
      </c>
      <c r="H39" s="264">
        <v>0.35</v>
      </c>
      <c r="I39" s="264">
        <v>0.35</v>
      </c>
      <c r="J39" s="264">
        <v>0.35</v>
      </c>
      <c r="K39" s="264">
        <v>0.34</v>
      </c>
      <c r="L39" s="264">
        <v>0.34</v>
      </c>
      <c r="M39" s="264">
        <v>0.34</v>
      </c>
      <c r="N39" s="264">
        <v>0.34</v>
      </c>
      <c r="O39" s="264">
        <v>0.34</v>
      </c>
      <c r="P39" s="264">
        <v>0.34</v>
      </c>
      <c r="Q39" s="264">
        <v>0.35</v>
      </c>
      <c r="R39" s="264">
        <v>0.35</v>
      </c>
      <c r="S39" s="264">
        <v>0.35</v>
      </c>
      <c r="T39" s="264">
        <v>0.36</v>
      </c>
      <c r="U39" s="264">
        <v>0.36</v>
      </c>
      <c r="V39" s="264">
        <v>0.36</v>
      </c>
      <c r="W39" s="264">
        <v>0.37</v>
      </c>
      <c r="X39" s="264">
        <v>0.37</v>
      </c>
      <c r="Y39" s="264">
        <v>0.37</v>
      </c>
      <c r="Z39" s="264">
        <v>0.37</v>
      </c>
      <c r="AA39" s="57">
        <f t="shared" si="0"/>
        <v>0.35499999999999993</v>
      </c>
      <c r="AB39" s="58">
        <f>IF(AA39=" "," ",IF('c-form'!AE15="",AA39,AA39+'c-form'!AE15))</f>
        <v>337.95500000000004</v>
      </c>
      <c r="AC39" s="58">
        <f>IF(AA39=" "," ",IF('c-form'!AE15="",AM39,AM39+'c-form'!AE15))</f>
        <v>337.97</v>
      </c>
      <c r="AD39" s="150">
        <f t="shared" si="7"/>
        <v>1</v>
      </c>
      <c r="AE39" s="58">
        <f>IF(AA39=" "," ",IF('c-form'!AE15="",AN39,AN39+'c-form'!AE15))</f>
        <v>337.94</v>
      </c>
      <c r="AF39" s="150">
        <f t="shared" si="8"/>
        <v>9</v>
      </c>
      <c r="AG39" s="63"/>
      <c r="AM39">
        <f>IF(AB39=" "," ",MAX(C39:Z39))</f>
        <v>0.37</v>
      </c>
      <c r="AN39" s="54">
        <f t="shared" si="4"/>
        <v>0.34</v>
      </c>
    </row>
    <row r="40" spans="1:40" ht="22.5" customHeight="1">
      <c r="A40" s="60"/>
      <c r="B40" s="132">
        <v>28</v>
      </c>
      <c r="C40" s="264">
        <v>0.37</v>
      </c>
      <c r="D40" s="264">
        <v>0.37</v>
      </c>
      <c r="E40" s="264">
        <v>0.37</v>
      </c>
      <c r="F40" s="264">
        <v>0.37</v>
      </c>
      <c r="G40" s="264">
        <v>0.37</v>
      </c>
      <c r="H40" s="264">
        <v>0.38</v>
      </c>
      <c r="I40" s="264">
        <v>0.38</v>
      </c>
      <c r="J40" s="264">
        <v>0.38</v>
      </c>
      <c r="K40" s="264">
        <v>0.38</v>
      </c>
      <c r="L40" s="264">
        <v>0.38</v>
      </c>
      <c r="M40" s="264">
        <v>0.38</v>
      </c>
      <c r="N40" s="264">
        <v>0.38</v>
      </c>
      <c r="O40" s="264">
        <v>0.39</v>
      </c>
      <c r="P40" s="264">
        <v>0.39</v>
      </c>
      <c r="Q40" s="264">
        <v>0.39</v>
      </c>
      <c r="R40" s="264">
        <v>0.39</v>
      </c>
      <c r="S40" s="264">
        <v>0.39</v>
      </c>
      <c r="T40" s="264">
        <v>0.39</v>
      </c>
      <c r="U40" s="264">
        <v>0.39</v>
      </c>
      <c r="V40" s="264">
        <v>0.39</v>
      </c>
      <c r="W40" s="264">
        <v>0.39</v>
      </c>
      <c r="X40" s="264">
        <v>0.39</v>
      </c>
      <c r="Y40" s="264">
        <v>0.39</v>
      </c>
      <c r="Z40" s="264">
        <v>0.39</v>
      </c>
      <c r="AA40" s="57">
        <f t="shared" si="0"/>
        <v>0.38291666666666663</v>
      </c>
      <c r="AB40" s="58">
        <f>IF(AA40=" "," ",IF('c-form'!AE15="",AA40,AA40+'c-form'!AE15))</f>
        <v>337.98291666666671</v>
      </c>
      <c r="AC40" s="58">
        <f>IF(AA40=" "," ",IF('c-form'!AE15="",AM40,AM40+'c-form'!AE15))</f>
        <v>337.99</v>
      </c>
      <c r="AD40" s="150">
        <f t="shared" si="7"/>
        <v>13</v>
      </c>
      <c r="AE40" s="58">
        <f>IF(AA40=" "," ",IF('c-form'!AE15="",AN40,AN40+'c-form'!AE15))</f>
        <v>337.97</v>
      </c>
      <c r="AF40" s="150">
        <f t="shared" si="8"/>
        <v>1</v>
      </c>
      <c r="AG40" s="63"/>
      <c r="AM40">
        <f t="shared" si="2"/>
        <v>0.39</v>
      </c>
      <c r="AN40" s="54">
        <f t="shared" si="4"/>
        <v>0.37</v>
      </c>
    </row>
    <row r="41" spans="1:40" ht="22.5" customHeight="1">
      <c r="A41" s="60"/>
      <c r="B41" s="132">
        <v>29</v>
      </c>
      <c r="C41" s="264">
        <v>0.4</v>
      </c>
      <c r="D41" s="264">
        <v>0.4</v>
      </c>
      <c r="E41" s="264">
        <v>0.4</v>
      </c>
      <c r="F41" s="264">
        <v>0.4</v>
      </c>
      <c r="G41" s="264">
        <v>0.4</v>
      </c>
      <c r="H41" s="264">
        <v>0.4</v>
      </c>
      <c r="I41" s="264">
        <v>0.41</v>
      </c>
      <c r="J41" s="264">
        <v>0.41</v>
      </c>
      <c r="K41" s="264">
        <v>0.42</v>
      </c>
      <c r="L41" s="264">
        <v>0.42</v>
      </c>
      <c r="M41" s="264">
        <v>0.43</v>
      </c>
      <c r="N41" s="264">
        <v>0.43</v>
      </c>
      <c r="O41" s="264">
        <v>0.43</v>
      </c>
      <c r="P41" s="264">
        <v>0.44</v>
      </c>
      <c r="Q41" s="264">
        <v>0.44</v>
      </c>
      <c r="R41" s="264">
        <v>0.45</v>
      </c>
      <c r="S41" s="264">
        <v>0.45</v>
      </c>
      <c r="T41" s="264">
        <v>0.46</v>
      </c>
      <c r="U41" s="264">
        <v>0.46</v>
      </c>
      <c r="V41" s="264">
        <v>0.47</v>
      </c>
      <c r="W41" s="264">
        <v>0.47</v>
      </c>
      <c r="X41" s="264">
        <v>0.48</v>
      </c>
      <c r="Y41" s="264">
        <v>0.49</v>
      </c>
      <c r="Z41" s="264">
        <v>0.49</v>
      </c>
      <c r="AA41" s="57">
        <f t="shared" si="0"/>
        <v>0.43541666666666679</v>
      </c>
      <c r="AB41" s="58">
        <f>IF(AA41=" "," ",IF('c-form'!AE15="",AA41,AA41+'c-form'!AE15))</f>
        <v>338.03541666666666</v>
      </c>
      <c r="AC41" s="58">
        <f>IF(AA41=" "," ",IF('c-form'!AE15="",AM41,AM41+'c-form'!AE15))</f>
        <v>338.09000000000003</v>
      </c>
      <c r="AD41" s="150">
        <f t="shared" si="7"/>
        <v>23</v>
      </c>
      <c r="AE41" s="58">
        <f>IF(AA41=" "," ",IF('c-form'!AE15="",AN41,AN41+'c-form'!AE15))</f>
        <v>338</v>
      </c>
      <c r="AF41" s="150">
        <f t="shared" si="8"/>
        <v>1</v>
      </c>
      <c r="AG41" s="63"/>
      <c r="AM41">
        <f>IF(AB41=" "," ",MAX(C41:Z41))</f>
        <v>0.49</v>
      </c>
      <c r="AN41" s="54">
        <f t="shared" si="4"/>
        <v>0.4</v>
      </c>
    </row>
    <row r="42" spans="1:40" ht="22.5" customHeight="1">
      <c r="A42" s="60"/>
      <c r="B42" s="132">
        <v>30</v>
      </c>
      <c r="C42" s="264">
        <v>0.5</v>
      </c>
      <c r="D42" s="264">
        <v>0.51</v>
      </c>
      <c r="E42" s="264">
        <v>0.52</v>
      </c>
      <c r="F42" s="264">
        <v>0.53</v>
      </c>
      <c r="G42" s="264">
        <v>0.53</v>
      </c>
      <c r="H42" s="264">
        <v>0.54</v>
      </c>
      <c r="I42" s="264">
        <v>0.54</v>
      </c>
      <c r="J42" s="264">
        <v>0.55000000000000004</v>
      </c>
      <c r="K42" s="264">
        <v>0.55000000000000004</v>
      </c>
      <c r="L42" s="264">
        <v>0.55000000000000004</v>
      </c>
      <c r="M42" s="264">
        <v>0.56000000000000005</v>
      </c>
      <c r="N42" s="264">
        <v>0.56000000000000005</v>
      </c>
      <c r="O42" s="264">
        <v>0.56000000000000005</v>
      </c>
      <c r="P42" s="264">
        <v>0.56999999999999995</v>
      </c>
      <c r="Q42" s="264">
        <v>0.56999999999999995</v>
      </c>
      <c r="R42" s="264">
        <v>0.56999999999999995</v>
      </c>
      <c r="S42" s="264">
        <v>0.57999999999999996</v>
      </c>
      <c r="T42" s="264">
        <v>0.57999999999999996</v>
      </c>
      <c r="U42" s="264">
        <v>0.57999999999999996</v>
      </c>
      <c r="V42" s="264">
        <v>0.59</v>
      </c>
      <c r="W42" s="264">
        <v>0.59</v>
      </c>
      <c r="X42" s="264">
        <v>0.59</v>
      </c>
      <c r="Y42" s="264">
        <v>0.59</v>
      </c>
      <c r="Z42" s="264">
        <v>0.59</v>
      </c>
      <c r="AA42" s="57">
        <f>IF(ISERROR(AVERAGE(C42:Z42))," ",AVERAGE(C42:Z42))</f>
        <v>0.55833333333333335</v>
      </c>
      <c r="AB42" s="58">
        <f>IF(AA42=" "," ",IF('c-form'!AE15="",AA42,AA42+'c-form'!AE15))</f>
        <v>338.15833333333336</v>
      </c>
      <c r="AC42" s="58">
        <f>IF(AM42=" "," ",IF('c-form'!AE15="",AA42,AM42+'c-form'!AE15))</f>
        <v>338.19</v>
      </c>
      <c r="AD42" s="150">
        <f>IF(AB42=" "," ",MATCH(AM42,C42:Z42,0))</f>
        <v>20</v>
      </c>
      <c r="AE42" s="58">
        <f>IF(AN42=" "," ",IF('c-form'!AE15="",AA42,AN42+'c-form'!AE15))</f>
        <v>338.1</v>
      </c>
      <c r="AF42" s="150">
        <f>IF(AD42=" "," ",MATCH(AN42,C42:Z42,0))</f>
        <v>1</v>
      </c>
      <c r="AG42" s="63"/>
      <c r="AM42">
        <f t="shared" si="2"/>
        <v>0.59</v>
      </c>
      <c r="AN42" s="54">
        <f t="shared" si="4"/>
        <v>0.5</v>
      </c>
    </row>
    <row r="43" spans="1:40" ht="24.75" customHeight="1">
      <c r="A43" s="60"/>
      <c r="B43" s="132">
        <v>31</v>
      </c>
      <c r="C43" s="264">
        <v>0.59</v>
      </c>
      <c r="D43" s="264">
        <v>0.59</v>
      </c>
      <c r="E43" s="264">
        <v>0.59</v>
      </c>
      <c r="F43" s="264">
        <v>0.59</v>
      </c>
      <c r="G43" s="264">
        <v>0.59</v>
      </c>
      <c r="H43" s="264">
        <v>0.6</v>
      </c>
      <c r="I43" s="264">
        <v>0.6</v>
      </c>
      <c r="J43" s="264">
        <v>0.6</v>
      </c>
      <c r="K43" s="264">
        <v>0.6</v>
      </c>
      <c r="L43" s="264">
        <v>0.6</v>
      </c>
      <c r="M43" s="264">
        <v>0.6</v>
      </c>
      <c r="N43" s="264">
        <v>0.6</v>
      </c>
      <c r="O43" s="264">
        <v>0.6</v>
      </c>
      <c r="P43" s="264">
        <v>0.6</v>
      </c>
      <c r="Q43" s="264">
        <v>0.6</v>
      </c>
      <c r="R43" s="264">
        <v>0.6</v>
      </c>
      <c r="S43" s="264">
        <v>0.6</v>
      </c>
      <c r="T43" s="264">
        <v>0.6</v>
      </c>
      <c r="U43" s="264">
        <v>0.59</v>
      </c>
      <c r="V43" s="264">
        <v>0.59</v>
      </c>
      <c r="W43" s="264">
        <v>0.59</v>
      </c>
      <c r="X43" s="264">
        <v>0.59</v>
      </c>
      <c r="Y43" s="264">
        <v>0.59</v>
      </c>
      <c r="Z43" s="264">
        <v>0.59</v>
      </c>
      <c r="AA43" s="57">
        <f>IF(ISERR(AVERAGE(C43:Z43))," ",AVERAGE(C43:Z43))</f>
        <v>0.59541666666666648</v>
      </c>
      <c r="AB43" s="58">
        <f>IF(AA43=" "," ",IF('c-form'!AE15="",AA43,AA43+'c-form'!AE15))</f>
        <v>338.19541666666669</v>
      </c>
      <c r="AC43" s="58">
        <f>IF(AM43=" "," ",IF('c-form'!AE15="",AA43,AM43+'c-form'!AE15))</f>
        <v>338.20000000000005</v>
      </c>
      <c r="AD43" s="150">
        <f>IF(AB43=" "," ",MATCH(AM43,C43:Z43,0))</f>
        <v>6</v>
      </c>
      <c r="AE43" s="58">
        <f>IF(AN43=" "," ",IF('c-form'!AE15="",AA43,AN43+'c-form'!AE15))</f>
        <v>338.19</v>
      </c>
      <c r="AF43" s="150">
        <f>IF(AD43=" "," ",MATCH(AN43,C43:Z43,0))</f>
        <v>1</v>
      </c>
      <c r="AG43" s="63"/>
      <c r="AM43">
        <f t="shared" si="2"/>
        <v>0.6</v>
      </c>
      <c r="AN43" s="54">
        <f t="shared" si="4"/>
        <v>0.59</v>
      </c>
    </row>
    <row r="44" spans="1:40" s="60" customFormat="1" ht="9.75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</row>
    <row r="45" spans="1:40" s="80" customFormat="1" ht="23.25" customHeight="1">
      <c r="B45" s="331" t="s">
        <v>68</v>
      </c>
      <c r="C45" s="331"/>
      <c r="D45" s="331"/>
      <c r="E45" s="332">
        <f>IF(COUNT(AC11:AC43)=0," ",MAX(AC11:AC43))</f>
        <v>338.24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24</v>
      </c>
      <c r="M45" s="69" t="s">
        <v>297</v>
      </c>
      <c r="N45" s="200" t="s">
        <v>288</v>
      </c>
      <c r="O45" s="202">
        <f>IF(COUNT(AC11:AC43)=0," ",INDEX(AD11:AD43,AM45))</f>
        <v>11</v>
      </c>
      <c r="P45" s="331" t="s">
        <v>72</v>
      </c>
      <c r="Q45" s="331"/>
      <c r="R45" s="331"/>
      <c r="S45" s="336">
        <f>IF(COUNT(AC11:AC43)=0," ",AVERAGE(AB11:AB43))</f>
        <v>337.99024193548388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26</v>
      </c>
      <c r="AN45" s="83"/>
    </row>
    <row r="46" spans="1:40" s="80" customFormat="1" ht="20.100000000000001" customHeight="1">
      <c r="B46" s="331" t="s">
        <v>69</v>
      </c>
      <c r="C46" s="331"/>
      <c r="D46" s="331"/>
      <c r="E46" s="332">
        <f>IF(COUNT(AC11:AC43)=0," ",MIN(AE11:AE43))</f>
        <v>337.83000000000004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1</v>
      </c>
      <c r="M46" s="69" t="s">
        <v>297</v>
      </c>
      <c r="N46" s="200" t="s">
        <v>288</v>
      </c>
      <c r="O46" s="202">
        <f>IF(COUNT(AC11:AC43)=0," ",INDEX(AF11:AF43,AM46))</f>
        <v>1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80" t="s">
        <v>74</v>
      </c>
      <c r="AB46" s="84"/>
      <c r="AC46" s="84"/>
      <c r="AD46" s="84"/>
      <c r="AE46" s="84"/>
      <c r="AF46" s="84"/>
      <c r="AM46" s="80">
        <f>MATCH(E46,AE11:AE43,0)</f>
        <v>1</v>
      </c>
    </row>
    <row r="47" spans="1:40" s="101" customFormat="1" ht="20.100000000000001" customHeight="1"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</row>
    <row r="48" spans="1:40" ht="20.100000000000001" customHeight="1">
      <c r="E48" s="62"/>
      <c r="F48" s="56"/>
    </row>
    <row r="49" ht="20.100000000000001" customHeight="1"/>
  </sheetData>
  <mergeCells count="33">
    <mergeCell ref="B3:C3"/>
    <mergeCell ref="L7:O7"/>
    <mergeCell ref="AD1:AE1"/>
    <mergeCell ref="B2:D2"/>
    <mergeCell ref="E2:AC2"/>
    <mergeCell ref="G5:H5"/>
    <mergeCell ref="J5:N5"/>
    <mergeCell ref="P5:S5"/>
    <mergeCell ref="U5:W5"/>
    <mergeCell ref="Y5:Z5"/>
    <mergeCell ref="AD9:AF9"/>
    <mergeCell ref="P45:R45"/>
    <mergeCell ref="S45:T45"/>
    <mergeCell ref="B9:B10"/>
    <mergeCell ref="C9:Z9"/>
    <mergeCell ref="AA9:AA10"/>
    <mergeCell ref="AB9:AC9"/>
    <mergeCell ref="B46:D46"/>
    <mergeCell ref="E46:F46"/>
    <mergeCell ref="B45:D45"/>
    <mergeCell ref="E45:F45"/>
    <mergeCell ref="P46:Q46"/>
    <mergeCell ref="AE4:AG4"/>
    <mergeCell ref="AE7:AG7"/>
    <mergeCell ref="AC7:AD7"/>
    <mergeCell ref="C5:E5"/>
    <mergeCell ref="P7:R7"/>
    <mergeCell ref="S7:V7"/>
    <mergeCell ref="W7:X7"/>
    <mergeCell ref="B7:C7"/>
    <mergeCell ref="D7:E7"/>
    <mergeCell ref="G7:H7"/>
    <mergeCell ref="AA5:AC5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5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O60"/>
  <sheetViews>
    <sheetView showGridLines="0" showRowColHeaders="0" zoomScaleNormal="100" workbookViewId="0">
      <pane xSplit="2" ySplit="10" topLeftCell="E32" activePane="bottomRight" state="frozen"/>
      <selection pane="topRight" activeCell="C1" sqref="C1"/>
      <selection pane="bottomLeft" activeCell="A11" sqref="A11"/>
      <selection pane="bottomRight" activeCell="O38" sqref="O38"/>
    </sheetView>
  </sheetViews>
  <sheetFormatPr defaultRowHeight="15"/>
  <cols>
    <col min="1" max="1" width="1.42578125" style="102" customWidth="1"/>
    <col min="2" max="2" width="7" style="102" customWidth="1"/>
    <col min="3" max="27" width="7.85546875" style="102" customWidth="1"/>
    <col min="28" max="28" width="9.5703125" style="102" customWidth="1"/>
    <col min="29" max="29" width="8.42578125" style="102" customWidth="1"/>
    <col min="30" max="30" width="6.85546875" style="102" customWidth="1"/>
    <col min="31" max="31" width="8.140625" style="102" customWidth="1"/>
    <col min="32" max="32" width="7.28515625" style="102" customWidth="1"/>
    <col min="33" max="33" width="9.140625" style="102"/>
    <col min="34" max="34" width="0.140625" style="102" customWidth="1"/>
    <col min="35" max="37" width="9.140625" style="102" hidden="1" customWidth="1"/>
    <col min="38" max="38" width="0" style="102" hidden="1" customWidth="1"/>
    <col min="39" max="39" width="8.5703125" style="102" hidden="1" customWidth="1"/>
    <col min="40" max="40" width="9.5703125" style="102" hidden="1" customWidth="1"/>
    <col min="41" max="16384" width="9.140625" style="102"/>
  </cols>
  <sheetData>
    <row r="1" spans="1:41" s="85" customFormat="1" ht="9" customHeight="1">
      <c r="AD1" s="344" t="s">
        <v>108</v>
      </c>
      <c r="AE1" s="345"/>
    </row>
    <row r="2" spans="1:41" s="85" customFormat="1" ht="20.25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1" s="85" customFormat="1" ht="18.75" customHeight="1">
      <c r="B3" s="73" t="s">
        <v>106</v>
      </c>
      <c r="C3" s="73"/>
      <c r="D3" s="73"/>
      <c r="AA3" s="158"/>
      <c r="AB3" s="158"/>
      <c r="AC3" s="158"/>
      <c r="AD3" s="158"/>
      <c r="AE3" s="158"/>
      <c r="AF3" s="158"/>
    </row>
    <row r="4" spans="1:41" s="85" customFormat="1" ht="18" customHeight="1">
      <c r="F4" s="86"/>
      <c r="AA4" s="158"/>
      <c r="AB4" s="158"/>
      <c r="AC4" s="158"/>
      <c r="AD4" s="159" t="s">
        <v>123</v>
      </c>
      <c r="AE4" s="315"/>
      <c r="AF4" s="315"/>
      <c r="AG4" s="353"/>
    </row>
    <row r="5" spans="1:41" s="74" customFormat="1" ht="21.75" customHeight="1">
      <c r="B5" s="75" t="s">
        <v>109</v>
      </c>
      <c r="C5" s="318" t="str">
        <f>IF(ISBLANK(rsteam),"",rsteam)</f>
        <v>Nam  Ping</v>
      </c>
      <c r="D5" s="369"/>
      <c r="E5" s="369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8" t="s">
        <v>124</v>
      </c>
      <c r="AB5" s="328"/>
      <c r="AC5" s="328"/>
      <c r="AD5" s="160"/>
      <c r="AE5" s="160"/>
      <c r="AF5" s="160"/>
    </row>
    <row r="6" spans="1:41" s="74" customFormat="1" ht="9.75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1" s="74" customFormat="1" ht="21" customHeight="1">
      <c r="B7" s="324" t="s">
        <v>116</v>
      </c>
      <c r="C7" s="324"/>
      <c r="D7" s="325" t="s">
        <v>56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19" t="str">
        <f>IF(TRIM('HourGH-APR'!P7)="","",'HourGH-APR'!P7)</f>
        <v>ล่าง</v>
      </c>
      <c r="Q7" s="320"/>
      <c r="R7" s="320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316"/>
    </row>
    <row r="8" spans="1:41" s="85" customFormat="1" ht="15.75" customHeight="1"/>
    <row r="9" spans="1:41" s="92" customFormat="1" ht="30.75" customHeight="1">
      <c r="A9" s="91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1" s="92" customFormat="1" ht="21" customHeight="1">
      <c r="A10" s="91"/>
      <c r="B10" s="338"/>
      <c r="C10" s="97">
        <v>1</v>
      </c>
      <c r="D10" s="97">
        <v>2</v>
      </c>
      <c r="E10" s="97">
        <v>3</v>
      </c>
      <c r="F10" s="97">
        <v>4</v>
      </c>
      <c r="G10" s="97">
        <v>5</v>
      </c>
      <c r="H10" s="97">
        <v>6</v>
      </c>
      <c r="I10" s="97">
        <v>7</v>
      </c>
      <c r="J10" s="97">
        <v>8</v>
      </c>
      <c r="K10" s="97">
        <v>9</v>
      </c>
      <c r="L10" s="97">
        <v>10</v>
      </c>
      <c r="M10" s="97">
        <v>11</v>
      </c>
      <c r="N10" s="97">
        <v>12</v>
      </c>
      <c r="O10" s="97">
        <v>13</v>
      </c>
      <c r="P10" s="97">
        <v>14</v>
      </c>
      <c r="Q10" s="97">
        <v>15</v>
      </c>
      <c r="R10" s="97">
        <v>16</v>
      </c>
      <c r="S10" s="97">
        <v>17</v>
      </c>
      <c r="T10" s="97">
        <v>18</v>
      </c>
      <c r="U10" s="97">
        <v>19</v>
      </c>
      <c r="V10" s="97">
        <v>20</v>
      </c>
      <c r="W10" s="97">
        <v>21</v>
      </c>
      <c r="X10" s="97">
        <v>22</v>
      </c>
      <c r="Y10" s="97">
        <v>23</v>
      </c>
      <c r="Z10" s="97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1" ht="22.5" customHeight="1">
      <c r="A11" s="103"/>
      <c r="B11" s="142">
        <v>1</v>
      </c>
      <c r="C11" s="264">
        <v>0.23</v>
      </c>
      <c r="D11" s="264">
        <v>0.23</v>
      </c>
      <c r="E11" s="264">
        <v>0.23</v>
      </c>
      <c r="F11" s="264">
        <v>0.23</v>
      </c>
      <c r="G11" s="264">
        <v>0.23</v>
      </c>
      <c r="H11" s="264">
        <v>0.23</v>
      </c>
      <c r="I11" s="264">
        <v>0.23</v>
      </c>
      <c r="J11" s="264">
        <v>0.23</v>
      </c>
      <c r="K11" s="264">
        <v>0.23</v>
      </c>
      <c r="L11" s="264">
        <v>0.23</v>
      </c>
      <c r="M11" s="264">
        <v>0.23</v>
      </c>
      <c r="N11" s="264">
        <v>0.23</v>
      </c>
      <c r="O11" s="264">
        <v>0.23</v>
      </c>
      <c r="P11" s="264">
        <v>0.23</v>
      </c>
      <c r="Q11" s="264">
        <v>0.23</v>
      </c>
      <c r="R11" s="264">
        <v>0.23</v>
      </c>
      <c r="S11" s="264">
        <v>0.23</v>
      </c>
      <c r="T11" s="264">
        <v>0.23</v>
      </c>
      <c r="U11" s="264">
        <v>0.23</v>
      </c>
      <c r="V11" s="264">
        <v>0.23</v>
      </c>
      <c r="W11" s="264">
        <v>0.23</v>
      </c>
      <c r="X11" s="264">
        <v>0.23</v>
      </c>
      <c r="Y11" s="264">
        <v>0.23</v>
      </c>
      <c r="Z11" s="264">
        <v>0.23</v>
      </c>
      <c r="AA11" s="130">
        <f t="shared" ref="AA11:AA41" si="0">IF(ISERROR(AVERAGE(C11:Z11))," ",AVERAGE(C11:Z11))</f>
        <v>0.23000000000000012</v>
      </c>
      <c r="AB11" s="58">
        <f>IF(AA11=" "," ",IF('c-form'!AE15="",AA11,AA11+'c-form'!AE15))</f>
        <v>337.83000000000004</v>
      </c>
      <c r="AC11" s="58">
        <f>IF(AA11=" "," ",IF('c-form'!AE15="",AM11,AM11+'c-form'!AE15))</f>
        <v>337.83000000000004</v>
      </c>
      <c r="AD11" s="150">
        <f>IF(AB11=" "," ",MATCH(AM11,C11:Z11,0))</f>
        <v>1</v>
      </c>
      <c r="AE11" s="58">
        <f>IF(AA11=" "," ",IF('c-form'!AE15="",AN11,AN11+'c-form'!AE15))</f>
        <v>337.83000000000004</v>
      </c>
      <c r="AF11" s="150">
        <f t="shared" ref="AF11:AF20" si="1">IF(AD11=" "," ",MATCH(AN11,C11:Z11,0))</f>
        <v>1</v>
      </c>
      <c r="AG11" s="226"/>
      <c r="AH11" s="226"/>
      <c r="AI11" s="226"/>
      <c r="AJ11" s="226"/>
      <c r="AK11" s="226"/>
      <c r="AL11" s="226"/>
      <c r="AM11" s="226">
        <f>IF(AB11=" "," ",MAX(C11:Z11))</f>
        <v>0.23</v>
      </c>
      <c r="AN11" s="104">
        <f>IF(AB11=" "," ",MIN(C11:Z11))</f>
        <v>0.23</v>
      </c>
      <c r="AO11" s="226"/>
    </row>
    <row r="12" spans="1:41" ht="22.5" customHeight="1">
      <c r="A12" s="103"/>
      <c r="B12" s="142">
        <v>2</v>
      </c>
      <c r="C12" s="264">
        <v>0.23</v>
      </c>
      <c r="D12" s="264">
        <v>0.23</v>
      </c>
      <c r="E12" s="264">
        <v>0.23</v>
      </c>
      <c r="F12" s="264">
        <v>0.23</v>
      </c>
      <c r="G12" s="264">
        <v>0.23</v>
      </c>
      <c r="H12" s="264">
        <v>0.23</v>
      </c>
      <c r="I12" s="264">
        <v>0.23</v>
      </c>
      <c r="J12" s="264">
        <v>0.23</v>
      </c>
      <c r="K12" s="264">
        <v>0.23</v>
      </c>
      <c r="L12" s="264">
        <v>0.23</v>
      </c>
      <c r="M12" s="264">
        <v>0.23</v>
      </c>
      <c r="N12" s="264">
        <v>0.23</v>
      </c>
      <c r="O12" s="264">
        <v>0.22</v>
      </c>
      <c r="P12" s="264">
        <v>0.22</v>
      </c>
      <c r="Q12" s="264">
        <v>0.22</v>
      </c>
      <c r="R12" s="264">
        <v>0.22</v>
      </c>
      <c r="S12" s="264">
        <v>0.22</v>
      </c>
      <c r="T12" s="264">
        <v>0.22</v>
      </c>
      <c r="U12" s="264">
        <v>0.22</v>
      </c>
      <c r="V12" s="264">
        <v>0.22</v>
      </c>
      <c r="W12" s="264">
        <v>0.22</v>
      </c>
      <c r="X12" s="264">
        <v>0.22</v>
      </c>
      <c r="Y12" s="264">
        <v>0.22</v>
      </c>
      <c r="Z12" s="264">
        <v>0.22</v>
      </c>
      <c r="AA12" s="130">
        <f t="shared" si="0"/>
        <v>0.22499999999999998</v>
      </c>
      <c r="AB12" s="58">
        <f>IF(AA12=" "," ",IF('c-form'!AE15="",AA12,AA12+'c-form'!AE15))</f>
        <v>337.82500000000005</v>
      </c>
      <c r="AC12" s="58">
        <f>IF(AA12=" "," ",IF('c-form'!AE15="",AM12,AM12+'c-form'!AE15))</f>
        <v>337.83000000000004</v>
      </c>
      <c r="AD12" s="150">
        <f>IF(AB12=" "," ",MATCH(AM12,C12:Z12,0))</f>
        <v>1</v>
      </c>
      <c r="AE12" s="58">
        <f>IF(AA12=" "," ",IF('c-form'!AE15="",AN12,AN12+'c-form'!AE15))</f>
        <v>337.82000000000005</v>
      </c>
      <c r="AF12" s="150">
        <f t="shared" si="1"/>
        <v>13</v>
      </c>
      <c r="AG12" s="226"/>
      <c r="AH12" s="226"/>
      <c r="AI12" s="226"/>
      <c r="AJ12" s="226"/>
      <c r="AK12" s="226"/>
      <c r="AL12" s="226"/>
      <c r="AM12" s="226">
        <f t="shared" ref="AM12:AM43" si="2">IF(AB12=" "," ",MAX(C12:Z12))</f>
        <v>0.23</v>
      </c>
      <c r="AN12" s="104">
        <f>IF(AB12=" "," ",MIN(C12:Z12))</f>
        <v>0.22</v>
      </c>
      <c r="AO12" s="226"/>
    </row>
    <row r="13" spans="1:41" ht="22.5" customHeight="1">
      <c r="A13" s="103"/>
      <c r="B13" s="142">
        <v>3</v>
      </c>
      <c r="C13" s="264">
        <v>0.21</v>
      </c>
      <c r="D13" s="264">
        <v>0.21</v>
      </c>
      <c r="E13" s="264">
        <v>0.21</v>
      </c>
      <c r="F13" s="264">
        <v>0.21</v>
      </c>
      <c r="G13" s="264">
        <v>0.21</v>
      </c>
      <c r="H13" s="264">
        <v>0.21</v>
      </c>
      <c r="I13" s="264">
        <v>0.22</v>
      </c>
      <c r="J13" s="264">
        <v>0.22</v>
      </c>
      <c r="K13" s="264">
        <v>0.22</v>
      </c>
      <c r="L13" s="264">
        <v>0.23</v>
      </c>
      <c r="M13" s="264">
        <v>0.23</v>
      </c>
      <c r="N13" s="264">
        <v>0.23</v>
      </c>
      <c r="O13" s="264">
        <v>0.24</v>
      </c>
      <c r="P13" s="264">
        <v>0.24</v>
      </c>
      <c r="Q13" s="264">
        <v>0.24</v>
      </c>
      <c r="R13" s="264">
        <v>0.24</v>
      </c>
      <c r="S13" s="264">
        <v>0.24</v>
      </c>
      <c r="T13" s="264">
        <v>0.23</v>
      </c>
      <c r="U13" s="264">
        <v>0.23</v>
      </c>
      <c r="V13" s="264">
        <v>0.23</v>
      </c>
      <c r="W13" s="264">
        <v>0.23</v>
      </c>
      <c r="X13" s="264">
        <v>0.22</v>
      </c>
      <c r="Y13" s="264">
        <v>0.22</v>
      </c>
      <c r="Z13" s="264">
        <v>0.22</v>
      </c>
      <c r="AA13" s="130">
        <f t="shared" si="0"/>
        <v>0.22458333333333338</v>
      </c>
      <c r="AB13" s="58">
        <f>IF(AA13=" "," ",IF('c-form'!AE15="",AA13,AA13+'c-form'!AE15))</f>
        <v>337.82458333333335</v>
      </c>
      <c r="AC13" s="58">
        <f>IF(AA13=" "," ",IF('c-form'!AE15="",AM13,AM13+'c-form'!AE15))</f>
        <v>337.84000000000003</v>
      </c>
      <c r="AD13" s="150">
        <f t="shared" ref="AD13:AD20" si="3">IF(AB13=" "," ",MATCH(AM13,C13:Z13,0))</f>
        <v>13</v>
      </c>
      <c r="AE13" s="58">
        <f>IF(AA13=" "," ",IF('c-form'!AE15="",AN13,AN13+'c-form'!AE15))</f>
        <v>337.81</v>
      </c>
      <c r="AF13" s="150">
        <f t="shared" si="1"/>
        <v>1</v>
      </c>
      <c r="AG13" s="226"/>
      <c r="AH13" s="226"/>
      <c r="AI13" s="226"/>
      <c r="AJ13" s="226"/>
      <c r="AK13" s="226"/>
      <c r="AL13" s="226"/>
      <c r="AM13" s="226">
        <f t="shared" si="2"/>
        <v>0.24</v>
      </c>
      <c r="AN13" s="104">
        <f t="shared" ref="AN13:AN43" si="4">IF(AB13=" "," ",MIN(C13:Z13))</f>
        <v>0.21</v>
      </c>
      <c r="AO13" s="226"/>
    </row>
    <row r="14" spans="1:41" ht="22.5" customHeight="1">
      <c r="A14" s="103"/>
      <c r="B14" s="142">
        <v>4</v>
      </c>
      <c r="C14" s="264">
        <v>0.22</v>
      </c>
      <c r="D14" s="264">
        <v>0.22</v>
      </c>
      <c r="E14" s="264">
        <v>0.22</v>
      </c>
      <c r="F14" s="264">
        <v>0.22</v>
      </c>
      <c r="G14" s="264">
        <v>0.22</v>
      </c>
      <c r="H14" s="264">
        <v>0.22</v>
      </c>
      <c r="I14" s="264">
        <v>0.22</v>
      </c>
      <c r="J14" s="264">
        <v>0.22</v>
      </c>
      <c r="K14" s="264">
        <v>0.22</v>
      </c>
      <c r="L14" s="264">
        <v>0.22</v>
      </c>
      <c r="M14" s="264">
        <v>0.22</v>
      </c>
      <c r="N14" s="264">
        <v>0.22</v>
      </c>
      <c r="O14" s="264">
        <v>0.21</v>
      </c>
      <c r="P14" s="264">
        <v>0.21</v>
      </c>
      <c r="Q14" s="264">
        <v>0.21</v>
      </c>
      <c r="R14" s="264">
        <v>0.21</v>
      </c>
      <c r="S14" s="264">
        <v>0.21</v>
      </c>
      <c r="T14" s="264">
        <v>0.21</v>
      </c>
      <c r="U14" s="264">
        <v>0.2</v>
      </c>
      <c r="V14" s="264">
        <v>0.2</v>
      </c>
      <c r="W14" s="264">
        <v>0.2</v>
      </c>
      <c r="X14" s="264">
        <v>0.2</v>
      </c>
      <c r="Y14" s="264">
        <v>0.2</v>
      </c>
      <c r="Z14" s="264">
        <v>0.2</v>
      </c>
      <c r="AA14" s="130">
        <f t="shared" si="0"/>
        <v>0.21250000000000005</v>
      </c>
      <c r="AB14" s="58">
        <f>IF(AA14=" "," ",IF('c-form'!AE15="",AA14,AA14+'c-form'!AE15))</f>
        <v>337.8125</v>
      </c>
      <c r="AC14" s="58">
        <f>IF(AA14=" "," ",IF('c-form'!AE15="",AM14,AM14+'c-form'!AE15))</f>
        <v>337.82000000000005</v>
      </c>
      <c r="AD14" s="150">
        <f t="shared" si="3"/>
        <v>1</v>
      </c>
      <c r="AE14" s="58">
        <f>IF(AA14=" "," ",IF('c-form'!AE15="",AN14,AN14+'c-form'!AE15))</f>
        <v>337.8</v>
      </c>
      <c r="AF14" s="150">
        <f t="shared" si="1"/>
        <v>19</v>
      </c>
      <c r="AG14" s="226"/>
      <c r="AH14" s="226"/>
      <c r="AI14" s="226"/>
      <c r="AJ14" s="226"/>
      <c r="AK14" s="226"/>
      <c r="AL14" s="226"/>
      <c r="AM14" s="226">
        <f t="shared" si="2"/>
        <v>0.22</v>
      </c>
      <c r="AN14" s="104">
        <f t="shared" si="4"/>
        <v>0.2</v>
      </c>
      <c r="AO14" s="226"/>
    </row>
    <row r="15" spans="1:41" ht="22.5" customHeight="1">
      <c r="A15" s="103"/>
      <c r="B15" s="142">
        <v>5</v>
      </c>
      <c r="C15" s="264">
        <v>0.19</v>
      </c>
      <c r="D15" s="264">
        <v>0.19</v>
      </c>
      <c r="E15" s="264">
        <v>0.19</v>
      </c>
      <c r="F15" s="264">
        <v>0.19</v>
      </c>
      <c r="G15" s="264">
        <v>0.19</v>
      </c>
      <c r="H15" s="264">
        <v>0.19</v>
      </c>
      <c r="I15" s="264">
        <v>0.19</v>
      </c>
      <c r="J15" s="264">
        <v>0.19</v>
      </c>
      <c r="K15" s="264">
        <v>0.19</v>
      </c>
      <c r="L15" s="264">
        <v>0.19</v>
      </c>
      <c r="M15" s="264">
        <v>0.19</v>
      </c>
      <c r="N15" s="264">
        <v>0.19</v>
      </c>
      <c r="O15" s="264">
        <v>0.2</v>
      </c>
      <c r="P15" s="264">
        <v>0.2</v>
      </c>
      <c r="Q15" s="264">
        <v>0.2</v>
      </c>
      <c r="R15" s="264">
        <v>0.2</v>
      </c>
      <c r="S15" s="264">
        <v>0.2</v>
      </c>
      <c r="T15" s="264">
        <v>0.2</v>
      </c>
      <c r="U15" s="264">
        <v>0.2</v>
      </c>
      <c r="V15" s="264">
        <v>0.2</v>
      </c>
      <c r="W15" s="264">
        <v>0.2</v>
      </c>
      <c r="X15" s="264">
        <v>0.2</v>
      </c>
      <c r="Y15" s="264">
        <v>0.2</v>
      </c>
      <c r="Z15" s="264">
        <v>0.2</v>
      </c>
      <c r="AA15" s="130">
        <f t="shared" si="0"/>
        <v>0.19500000000000006</v>
      </c>
      <c r="AB15" s="58">
        <f>IF(AA15=" "," ",IF('c-form'!AE15="",AA15,AA15+'c-form'!AE15))</f>
        <v>337.79500000000002</v>
      </c>
      <c r="AC15" s="58">
        <f>IF(AA15=" "," ",IF('c-form'!AE15="",AM15,AM15+'c-form'!AE15))</f>
        <v>337.8</v>
      </c>
      <c r="AD15" s="150">
        <f t="shared" si="3"/>
        <v>13</v>
      </c>
      <c r="AE15" s="58">
        <f>IF(AA15=" "," ",IF('c-form'!AE15="",AN15,AN15+'c-form'!AE15))</f>
        <v>337.79</v>
      </c>
      <c r="AF15" s="150">
        <f t="shared" si="1"/>
        <v>1</v>
      </c>
      <c r="AG15" s="226"/>
      <c r="AH15" s="226"/>
      <c r="AI15" s="226"/>
      <c r="AJ15" s="226"/>
      <c r="AK15" s="226"/>
      <c r="AL15" s="226"/>
      <c r="AM15" s="226">
        <f t="shared" si="2"/>
        <v>0.2</v>
      </c>
      <c r="AN15" s="104">
        <f t="shared" si="4"/>
        <v>0.19</v>
      </c>
      <c r="AO15" s="226"/>
    </row>
    <row r="16" spans="1:41" ht="22.5" customHeight="1">
      <c r="A16" s="103"/>
      <c r="B16" s="142">
        <v>6</v>
      </c>
      <c r="C16" s="264">
        <v>0.2</v>
      </c>
      <c r="D16" s="264">
        <v>0.2</v>
      </c>
      <c r="E16" s="264">
        <v>0.2</v>
      </c>
      <c r="F16" s="264">
        <v>0.2</v>
      </c>
      <c r="G16" s="264">
        <v>0.2</v>
      </c>
      <c r="H16" s="264">
        <v>0.2</v>
      </c>
      <c r="I16" s="264">
        <v>0.21</v>
      </c>
      <c r="J16" s="264">
        <v>0.21</v>
      </c>
      <c r="K16" s="264">
        <v>0.21</v>
      </c>
      <c r="L16" s="264">
        <v>0.21</v>
      </c>
      <c r="M16" s="264">
        <v>0.21</v>
      </c>
      <c r="N16" s="264">
        <v>0.21</v>
      </c>
      <c r="O16" s="264">
        <v>0.22</v>
      </c>
      <c r="P16" s="264">
        <v>0.22</v>
      </c>
      <c r="Q16" s="264">
        <v>0.22</v>
      </c>
      <c r="R16" s="264">
        <v>0.22</v>
      </c>
      <c r="S16" s="264">
        <v>0.22</v>
      </c>
      <c r="T16" s="264">
        <v>0.22</v>
      </c>
      <c r="U16" s="264">
        <v>0.23</v>
      </c>
      <c r="V16" s="264">
        <v>0.23</v>
      </c>
      <c r="W16" s="264">
        <v>0.23</v>
      </c>
      <c r="X16" s="264">
        <v>0.23</v>
      </c>
      <c r="Y16" s="264">
        <v>0.23</v>
      </c>
      <c r="Z16" s="264">
        <v>0.23</v>
      </c>
      <c r="AA16" s="130">
        <f t="shared" si="0"/>
        <v>0.21500000000000016</v>
      </c>
      <c r="AB16" s="58">
        <f>IF(AA16=" "," ",IF('c-form'!AE15="",AA16,AA16+'c-form'!AE15))</f>
        <v>337.815</v>
      </c>
      <c r="AC16" s="58">
        <f>IF(AA16=" "," ",IF('c-form'!AE15="",AM16,AM16+'c-form'!AE15))</f>
        <v>337.83000000000004</v>
      </c>
      <c r="AD16" s="150">
        <f t="shared" si="3"/>
        <v>19</v>
      </c>
      <c r="AE16" s="58">
        <f>IF(AA16=" "," ",IF('c-form'!AE15="",AN16,AN16+'c-form'!AE15))</f>
        <v>337.8</v>
      </c>
      <c r="AF16" s="150">
        <f t="shared" si="1"/>
        <v>1</v>
      </c>
      <c r="AG16" s="226"/>
      <c r="AH16" s="226"/>
      <c r="AI16" s="226"/>
      <c r="AJ16" s="226"/>
      <c r="AK16" s="226"/>
      <c r="AL16" s="226"/>
      <c r="AM16" s="226">
        <f t="shared" si="2"/>
        <v>0.23</v>
      </c>
      <c r="AN16" s="104">
        <f t="shared" si="4"/>
        <v>0.2</v>
      </c>
      <c r="AO16" s="226"/>
    </row>
    <row r="17" spans="1:41" ht="22.5" customHeight="1">
      <c r="A17" s="103"/>
      <c r="B17" s="142">
        <v>7</v>
      </c>
      <c r="C17" s="264">
        <v>0.24</v>
      </c>
      <c r="D17" s="264">
        <v>0.24</v>
      </c>
      <c r="E17" s="264">
        <v>0.24</v>
      </c>
      <c r="F17" s="264">
        <v>0.24</v>
      </c>
      <c r="G17" s="264">
        <v>0.24</v>
      </c>
      <c r="H17" s="264">
        <v>0.24</v>
      </c>
      <c r="I17" s="264">
        <v>0.24</v>
      </c>
      <c r="J17" s="264">
        <v>0.24</v>
      </c>
      <c r="K17" s="264">
        <v>0.24</v>
      </c>
      <c r="L17" s="264">
        <v>0.24</v>
      </c>
      <c r="M17" s="264">
        <v>0.24</v>
      </c>
      <c r="N17" s="264">
        <v>0.24</v>
      </c>
      <c r="O17" s="264">
        <v>0.24</v>
      </c>
      <c r="P17" s="264">
        <v>0.24</v>
      </c>
      <c r="Q17" s="264">
        <v>0.24</v>
      </c>
      <c r="R17" s="264">
        <v>0.24</v>
      </c>
      <c r="S17" s="264">
        <v>0.24</v>
      </c>
      <c r="T17" s="264">
        <v>0.24</v>
      </c>
      <c r="U17" s="264">
        <v>0.24</v>
      </c>
      <c r="V17" s="264">
        <v>0.24</v>
      </c>
      <c r="W17" s="264">
        <v>0.24</v>
      </c>
      <c r="X17" s="264">
        <v>0.24</v>
      </c>
      <c r="Y17" s="264">
        <v>0.24</v>
      </c>
      <c r="Z17" s="264">
        <v>0.24</v>
      </c>
      <c r="AA17" s="130">
        <f t="shared" si="0"/>
        <v>0.24000000000000013</v>
      </c>
      <c r="AB17" s="58">
        <f>IF(AA17=" "," ",IF('c-form'!AE15="",AA17,AA17+'c-form'!AE15))</f>
        <v>337.84000000000003</v>
      </c>
      <c r="AC17" s="58">
        <f>IF(AA17=" "," ",IF('c-form'!AE15="",AM17,AM17+'c-form'!AE15))</f>
        <v>337.84000000000003</v>
      </c>
      <c r="AD17" s="150">
        <f t="shared" si="3"/>
        <v>1</v>
      </c>
      <c r="AE17" s="58">
        <f>IF(AA17=" "," ",IF('c-form'!AE15="",AN17,AN17+'c-form'!AE15))</f>
        <v>337.84000000000003</v>
      </c>
      <c r="AF17" s="150">
        <f t="shared" si="1"/>
        <v>1</v>
      </c>
      <c r="AG17" s="226"/>
      <c r="AH17" s="226"/>
      <c r="AI17" s="226"/>
      <c r="AJ17" s="226"/>
      <c r="AK17" s="226"/>
      <c r="AL17" s="226"/>
      <c r="AM17" s="226">
        <f t="shared" si="2"/>
        <v>0.24</v>
      </c>
      <c r="AN17" s="104">
        <f t="shared" si="4"/>
        <v>0.24</v>
      </c>
      <c r="AO17" s="226"/>
    </row>
    <row r="18" spans="1:41" ht="22.5" customHeight="1">
      <c r="A18" s="103"/>
      <c r="B18" s="142">
        <v>8</v>
      </c>
      <c r="C18" s="264">
        <v>0.24</v>
      </c>
      <c r="D18" s="264">
        <v>0.24</v>
      </c>
      <c r="E18" s="264">
        <v>0.24</v>
      </c>
      <c r="F18" s="264">
        <v>0.24</v>
      </c>
      <c r="G18" s="264">
        <v>0.24</v>
      </c>
      <c r="H18" s="264">
        <v>0.24</v>
      </c>
      <c r="I18" s="264">
        <v>0.24</v>
      </c>
      <c r="J18" s="264">
        <v>0.24</v>
      </c>
      <c r="K18" s="264">
        <v>0.24</v>
      </c>
      <c r="L18" s="264">
        <v>0.24</v>
      </c>
      <c r="M18" s="264">
        <v>0.24</v>
      </c>
      <c r="N18" s="264">
        <v>0.24</v>
      </c>
      <c r="O18" s="264">
        <v>0.24</v>
      </c>
      <c r="P18" s="264">
        <v>0.24</v>
      </c>
      <c r="Q18" s="264">
        <v>0.24</v>
      </c>
      <c r="R18" s="264">
        <v>0.24</v>
      </c>
      <c r="S18" s="264">
        <v>0.24</v>
      </c>
      <c r="T18" s="264">
        <v>0.24</v>
      </c>
      <c r="U18" s="264">
        <v>0.24</v>
      </c>
      <c r="V18" s="264">
        <v>0.24</v>
      </c>
      <c r="W18" s="264">
        <v>0.24</v>
      </c>
      <c r="X18" s="264">
        <v>0.24</v>
      </c>
      <c r="Y18" s="264">
        <v>0.24</v>
      </c>
      <c r="Z18" s="264">
        <v>0.24</v>
      </c>
      <c r="AA18" s="130">
        <f t="shared" si="0"/>
        <v>0.24000000000000013</v>
      </c>
      <c r="AB18" s="58">
        <f>IF(AA18=" "," ",IF('c-form'!AE15="",AA18,AA18+'c-form'!AE15))</f>
        <v>337.84000000000003</v>
      </c>
      <c r="AC18" s="58">
        <f>IF(AA18=" "," ",IF('c-form'!AE15="",AM18,AM18+'c-form'!AE15))</f>
        <v>337.84000000000003</v>
      </c>
      <c r="AD18" s="150">
        <f t="shared" si="3"/>
        <v>1</v>
      </c>
      <c r="AE18" s="58">
        <f>IF(AA18=" "," ",IF('c-form'!AE15="",AN18,AN18+'c-form'!AE15))</f>
        <v>337.84000000000003</v>
      </c>
      <c r="AF18" s="150">
        <f t="shared" si="1"/>
        <v>1</v>
      </c>
      <c r="AG18" s="226"/>
      <c r="AH18" s="226"/>
      <c r="AI18" s="226"/>
      <c r="AJ18" s="226"/>
      <c r="AK18" s="226"/>
      <c r="AL18" s="226"/>
      <c r="AM18" s="226">
        <f t="shared" si="2"/>
        <v>0.24</v>
      </c>
      <c r="AN18" s="104">
        <f t="shared" si="4"/>
        <v>0.24</v>
      </c>
      <c r="AO18" s="226"/>
    </row>
    <row r="19" spans="1:41" ht="22.5" customHeight="1">
      <c r="A19" s="103"/>
      <c r="B19" s="142">
        <v>9</v>
      </c>
      <c r="C19" s="264">
        <v>0.24</v>
      </c>
      <c r="D19" s="264">
        <v>0.24</v>
      </c>
      <c r="E19" s="264">
        <v>0.24</v>
      </c>
      <c r="F19" s="264">
        <v>0.24</v>
      </c>
      <c r="G19" s="264">
        <v>0.24</v>
      </c>
      <c r="H19" s="264">
        <v>0.24</v>
      </c>
      <c r="I19" s="264">
        <v>0.24</v>
      </c>
      <c r="J19" s="264">
        <v>0.24</v>
      </c>
      <c r="K19" s="264">
        <v>0.23</v>
      </c>
      <c r="L19" s="264">
        <v>0.23</v>
      </c>
      <c r="M19" s="264">
        <v>0.22</v>
      </c>
      <c r="N19" s="264">
        <v>0.22</v>
      </c>
      <c r="O19" s="264">
        <v>0.21</v>
      </c>
      <c r="P19" s="264">
        <v>0.21</v>
      </c>
      <c r="Q19" s="264">
        <v>0.21</v>
      </c>
      <c r="R19" s="264">
        <v>0.21</v>
      </c>
      <c r="S19" s="264">
        <v>0.2</v>
      </c>
      <c r="T19" s="264">
        <v>0.2</v>
      </c>
      <c r="U19" s="264">
        <v>0.2</v>
      </c>
      <c r="V19" s="264">
        <v>0.19</v>
      </c>
      <c r="W19" s="264">
        <v>0.19</v>
      </c>
      <c r="X19" s="264">
        <v>0.19</v>
      </c>
      <c r="Y19" s="264">
        <v>0.19</v>
      </c>
      <c r="Z19" s="264">
        <v>0.18</v>
      </c>
      <c r="AA19" s="130">
        <f t="shared" si="0"/>
        <v>0.21666666666666676</v>
      </c>
      <c r="AB19" s="58">
        <f>IF(AA19=" "," ",IF('c-form'!AE15="",AA19,AA19+'c-form'!AE15))</f>
        <v>337.81666666666666</v>
      </c>
      <c r="AC19" s="58">
        <f>IF(AA19=" "," ",IF('c-form'!AE15="",AM19,AM19+'c-form'!AE15))</f>
        <v>337.84000000000003</v>
      </c>
      <c r="AD19" s="150">
        <f t="shared" si="3"/>
        <v>1</v>
      </c>
      <c r="AE19" s="58">
        <f>IF(AA19=" "," ",IF('c-form'!AE15="",AN19,AN19+'c-form'!AE15))</f>
        <v>337.78000000000003</v>
      </c>
      <c r="AF19" s="150">
        <f t="shared" si="1"/>
        <v>24</v>
      </c>
      <c r="AG19" s="226"/>
      <c r="AH19" s="226"/>
      <c r="AI19" s="226"/>
      <c r="AJ19" s="226"/>
      <c r="AK19" s="226"/>
      <c r="AL19" s="226"/>
      <c r="AM19" s="226">
        <f t="shared" si="2"/>
        <v>0.24</v>
      </c>
      <c r="AN19" s="104">
        <f t="shared" si="4"/>
        <v>0.18</v>
      </c>
      <c r="AO19" s="226"/>
    </row>
    <row r="20" spans="1:41" ht="22.5" customHeight="1">
      <c r="A20" s="103"/>
      <c r="B20" s="142">
        <v>10</v>
      </c>
      <c r="C20" s="264">
        <v>0.18</v>
      </c>
      <c r="D20" s="264">
        <v>0.18</v>
      </c>
      <c r="E20" s="264">
        <v>0.18</v>
      </c>
      <c r="F20" s="264">
        <v>0.17</v>
      </c>
      <c r="G20" s="264">
        <v>0.17</v>
      </c>
      <c r="H20" s="264">
        <v>0.17</v>
      </c>
      <c r="I20" s="264">
        <v>0.17</v>
      </c>
      <c r="J20" s="264">
        <v>0.17</v>
      </c>
      <c r="K20" s="264">
        <v>0.17</v>
      </c>
      <c r="L20" s="264">
        <v>0.17</v>
      </c>
      <c r="M20" s="264">
        <v>0.17</v>
      </c>
      <c r="N20" s="264">
        <v>0.17</v>
      </c>
      <c r="O20" s="264">
        <v>0.16</v>
      </c>
      <c r="P20" s="264">
        <v>0.16</v>
      </c>
      <c r="Q20" s="264">
        <v>0.16</v>
      </c>
      <c r="R20" s="264">
        <v>0.16</v>
      </c>
      <c r="S20" s="264">
        <v>0.16</v>
      </c>
      <c r="T20" s="264">
        <v>0.16</v>
      </c>
      <c r="U20" s="264">
        <v>0.17</v>
      </c>
      <c r="V20" s="264">
        <v>0.17</v>
      </c>
      <c r="W20" s="264">
        <v>0.17</v>
      </c>
      <c r="X20" s="264">
        <v>0.17</v>
      </c>
      <c r="Y20" s="264">
        <v>0.17</v>
      </c>
      <c r="Z20" s="264">
        <v>0.17</v>
      </c>
      <c r="AA20" s="130">
        <f t="shared" si="0"/>
        <v>0.16875000000000004</v>
      </c>
      <c r="AB20" s="58">
        <f>IF(AA20=" "," ",IF('c-form'!AE15="",AA20,AA20+'c-form'!AE15))</f>
        <v>337.76875000000001</v>
      </c>
      <c r="AC20" s="58">
        <f>IF(AA20=" "," ",IF('c-form'!AE15="",AM20,AM20+'c-form'!AE15))</f>
        <v>337.78000000000003</v>
      </c>
      <c r="AD20" s="150">
        <f t="shared" si="3"/>
        <v>1</v>
      </c>
      <c r="AE20" s="58">
        <f>IF(AA20=" "," ",IF('c-form'!AE15="",AN20,AN20+'c-form'!AE15))</f>
        <v>337.76000000000005</v>
      </c>
      <c r="AF20" s="150">
        <f t="shared" si="1"/>
        <v>13</v>
      </c>
      <c r="AG20" s="226"/>
      <c r="AH20" s="226"/>
      <c r="AI20" s="226"/>
      <c r="AJ20" s="226"/>
      <c r="AK20" s="226"/>
      <c r="AL20" s="226"/>
      <c r="AM20" s="226">
        <f t="shared" si="2"/>
        <v>0.18</v>
      </c>
      <c r="AN20" s="104">
        <f t="shared" si="4"/>
        <v>0.16</v>
      </c>
      <c r="AO20" s="226"/>
    </row>
    <row r="21" spans="1:41" ht="22.5" customHeight="1">
      <c r="A21" s="103"/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8"/>
      <c r="AB21" s="139"/>
      <c r="AC21" s="139"/>
      <c r="AD21" s="151"/>
      <c r="AE21" s="139"/>
      <c r="AF21" s="151"/>
      <c r="AG21" s="226"/>
      <c r="AH21" s="226"/>
      <c r="AI21" s="226"/>
      <c r="AJ21" s="226"/>
      <c r="AK21" s="226"/>
      <c r="AL21" s="226"/>
      <c r="AM21" s="226">
        <f>IF(AB21=" "," ",MAX(C21:Z21))</f>
        <v>0</v>
      </c>
      <c r="AN21" s="104">
        <f t="shared" si="4"/>
        <v>0</v>
      </c>
      <c r="AO21" s="226"/>
    </row>
    <row r="22" spans="1:41" ht="22.5" customHeight="1">
      <c r="A22" s="103"/>
      <c r="B22" s="142">
        <v>11</v>
      </c>
      <c r="C22" s="264">
        <v>0.18</v>
      </c>
      <c r="D22" s="264">
        <v>0.18</v>
      </c>
      <c r="E22" s="264">
        <v>0.19</v>
      </c>
      <c r="F22" s="264">
        <v>0.19</v>
      </c>
      <c r="G22" s="264">
        <v>0.2</v>
      </c>
      <c r="H22" s="264">
        <v>0.21</v>
      </c>
      <c r="I22" s="264">
        <v>0.22</v>
      </c>
      <c r="J22" s="264">
        <v>0.23</v>
      </c>
      <c r="K22" s="264">
        <v>0.24</v>
      </c>
      <c r="L22" s="264">
        <v>0.25</v>
      </c>
      <c r="M22" s="264">
        <v>0.26</v>
      </c>
      <c r="N22" s="264">
        <v>0.27</v>
      </c>
      <c r="O22" s="264">
        <v>0.28000000000000003</v>
      </c>
      <c r="P22" s="264">
        <v>0.28999999999999998</v>
      </c>
      <c r="Q22" s="264">
        <v>0.31</v>
      </c>
      <c r="R22" s="264">
        <v>0.33</v>
      </c>
      <c r="S22" s="264">
        <v>0.35</v>
      </c>
      <c r="T22" s="264">
        <v>0.37</v>
      </c>
      <c r="U22" s="264">
        <v>0.39</v>
      </c>
      <c r="V22" s="264">
        <v>0.41</v>
      </c>
      <c r="W22" s="264">
        <v>0.43</v>
      </c>
      <c r="X22" s="264">
        <v>0.46</v>
      </c>
      <c r="Y22" s="264">
        <v>0.49</v>
      </c>
      <c r="Z22" s="264">
        <v>0.52</v>
      </c>
      <c r="AA22" s="130">
        <f t="shared" si="0"/>
        <v>0.30208333333333331</v>
      </c>
      <c r="AB22" s="58">
        <f>IF(AA22=" "," ",IF('c-form'!AE15="",AA22,AA22+'c-form'!AE15))</f>
        <v>337.90208333333334</v>
      </c>
      <c r="AC22" s="58">
        <f>IF(AA22=" "," ",IF('c-form'!AE15="",AM22,AM22+'c-form'!AE15))</f>
        <v>338.12</v>
      </c>
      <c r="AD22" s="150">
        <f t="shared" ref="AD22:AD31" si="5">IF(AB22=" "," ",MATCH(AM22,C22:Z22,0))</f>
        <v>24</v>
      </c>
      <c r="AE22" s="58">
        <f>IF(AA22=" "," ",IF('c-form'!AE15="",AN22,AN22+'c-form'!AE15))</f>
        <v>337.78000000000003</v>
      </c>
      <c r="AF22" s="150">
        <f t="shared" ref="AF22:AF31" si="6">IF(AD22=" "," ",MATCH(AN22,C22:Z22,0))</f>
        <v>1</v>
      </c>
      <c r="AG22" s="226"/>
      <c r="AH22" s="226"/>
      <c r="AI22" s="226"/>
      <c r="AJ22" s="226"/>
      <c r="AK22" s="226"/>
      <c r="AL22" s="226"/>
      <c r="AM22" s="226">
        <f t="shared" si="2"/>
        <v>0.52</v>
      </c>
      <c r="AN22" s="104">
        <f t="shared" si="4"/>
        <v>0.18</v>
      </c>
      <c r="AO22" s="226"/>
    </row>
    <row r="23" spans="1:41" ht="22.5" customHeight="1">
      <c r="A23" s="103"/>
      <c r="B23" s="142">
        <v>12</v>
      </c>
      <c r="C23" s="264">
        <v>0.55000000000000004</v>
      </c>
      <c r="D23" s="264">
        <v>0.59</v>
      </c>
      <c r="E23" s="264">
        <v>0.62</v>
      </c>
      <c r="F23" s="264">
        <v>0.64</v>
      </c>
      <c r="G23" s="264">
        <v>0.66</v>
      </c>
      <c r="H23" s="264">
        <v>0.68</v>
      </c>
      <c r="I23" s="264">
        <v>0.7</v>
      </c>
      <c r="J23" s="264">
        <v>0.72</v>
      </c>
      <c r="K23" s="264">
        <v>0.73</v>
      </c>
      <c r="L23" s="264">
        <v>0.74</v>
      </c>
      <c r="M23" s="264">
        <v>0.74</v>
      </c>
      <c r="N23" s="264">
        <v>0.74</v>
      </c>
      <c r="O23" s="264">
        <v>0.74</v>
      </c>
      <c r="P23" s="264">
        <v>0.73</v>
      </c>
      <c r="Q23" s="264">
        <v>0.72</v>
      </c>
      <c r="R23" s="264">
        <v>0.71</v>
      </c>
      <c r="S23" s="264">
        <v>0.7</v>
      </c>
      <c r="T23" s="264">
        <v>0.68</v>
      </c>
      <c r="U23" s="264">
        <v>0.66</v>
      </c>
      <c r="V23" s="264">
        <v>0.64</v>
      </c>
      <c r="W23" s="264">
        <v>0.62</v>
      </c>
      <c r="X23" s="264">
        <v>0.6</v>
      </c>
      <c r="Y23" s="264">
        <v>0.57999999999999996</v>
      </c>
      <c r="Z23" s="264">
        <v>0.56000000000000005</v>
      </c>
      <c r="AA23" s="130">
        <f t="shared" si="0"/>
        <v>0.66875000000000007</v>
      </c>
      <c r="AB23" s="58">
        <f>IF(AA23=" "," ",IF('c-form'!AE15="",AA23,AA23+'c-form'!AE15))</f>
        <v>338.26875000000001</v>
      </c>
      <c r="AC23" s="58">
        <f>IF(AA23=" "," ",IF('c-form'!AE15="",AM23,AM23+'c-form'!AE15))</f>
        <v>338.34000000000003</v>
      </c>
      <c r="AD23" s="150">
        <f t="shared" si="5"/>
        <v>10</v>
      </c>
      <c r="AE23" s="58">
        <f>IF(AA23=" "," ",IF('c-form'!AE15="",AN23,AN23+'c-form'!AE15))</f>
        <v>338.15000000000003</v>
      </c>
      <c r="AF23" s="150">
        <f t="shared" si="6"/>
        <v>1</v>
      </c>
      <c r="AG23" s="226"/>
      <c r="AH23" s="226"/>
      <c r="AI23" s="226"/>
      <c r="AJ23" s="226"/>
      <c r="AK23" s="226"/>
      <c r="AL23" s="226"/>
      <c r="AM23" s="226">
        <f t="shared" si="2"/>
        <v>0.74</v>
      </c>
      <c r="AN23" s="104">
        <f t="shared" si="4"/>
        <v>0.55000000000000004</v>
      </c>
      <c r="AO23" s="226"/>
    </row>
    <row r="24" spans="1:41" ht="22.5" customHeight="1">
      <c r="A24" s="103"/>
      <c r="B24" s="142">
        <v>13</v>
      </c>
      <c r="C24" s="264">
        <v>0.54</v>
      </c>
      <c r="D24" s="264">
        <v>0.52</v>
      </c>
      <c r="E24" s="264">
        <v>0.5</v>
      </c>
      <c r="F24" s="264">
        <v>0.48</v>
      </c>
      <c r="G24" s="264">
        <v>0.47</v>
      </c>
      <c r="H24" s="264">
        <v>0.45</v>
      </c>
      <c r="I24" s="264">
        <v>0.44</v>
      </c>
      <c r="J24" s="264">
        <v>0.43</v>
      </c>
      <c r="K24" s="264">
        <v>0.42</v>
      </c>
      <c r="L24" s="264">
        <v>0.41</v>
      </c>
      <c r="M24" s="264">
        <v>0.4</v>
      </c>
      <c r="N24" s="264">
        <v>0.39</v>
      </c>
      <c r="O24" s="264">
        <v>0.39</v>
      </c>
      <c r="P24" s="264">
        <v>0.38</v>
      </c>
      <c r="Q24" s="264">
        <v>0.38</v>
      </c>
      <c r="R24" s="264">
        <v>0.37</v>
      </c>
      <c r="S24" s="264">
        <v>0.37</v>
      </c>
      <c r="T24" s="264">
        <v>0.36</v>
      </c>
      <c r="U24" s="264">
        <v>0.36</v>
      </c>
      <c r="V24" s="264">
        <v>0.35</v>
      </c>
      <c r="W24" s="264">
        <v>0.35</v>
      </c>
      <c r="X24" s="264">
        <v>0.35</v>
      </c>
      <c r="Y24" s="264">
        <v>0.34</v>
      </c>
      <c r="Z24" s="264">
        <v>0.34</v>
      </c>
      <c r="AA24" s="130">
        <f t="shared" si="0"/>
        <v>0.40791666666666665</v>
      </c>
      <c r="AB24" s="58">
        <f>IF(AA24=" "," ",IF('c-form'!AE15="",AA24,AA24+'c-form'!AE15))</f>
        <v>338.00791666666669</v>
      </c>
      <c r="AC24" s="58">
        <f>IF(AA24=" "," ",IF('c-form'!AE15="",AM24,AM24+'c-form'!AE15))</f>
        <v>338.14000000000004</v>
      </c>
      <c r="AD24" s="150">
        <f t="shared" si="5"/>
        <v>1</v>
      </c>
      <c r="AE24" s="58">
        <f>IF(AA24=" "," ",IF('c-form'!AE15="",AN24,AN24+'c-form'!AE15))</f>
        <v>337.94</v>
      </c>
      <c r="AF24" s="150">
        <f t="shared" si="6"/>
        <v>23</v>
      </c>
      <c r="AG24" s="226"/>
      <c r="AH24" s="226"/>
      <c r="AI24" s="226"/>
      <c r="AJ24" s="226"/>
      <c r="AK24" s="226"/>
      <c r="AL24" s="226"/>
      <c r="AM24" s="226">
        <f t="shared" si="2"/>
        <v>0.54</v>
      </c>
      <c r="AN24" s="104">
        <f t="shared" si="4"/>
        <v>0.34</v>
      </c>
      <c r="AO24" s="226"/>
    </row>
    <row r="25" spans="1:41" ht="22.5" customHeight="1">
      <c r="A25" s="103"/>
      <c r="B25" s="142">
        <v>14</v>
      </c>
      <c r="C25" s="264">
        <v>0.33</v>
      </c>
      <c r="D25" s="264">
        <v>0.33</v>
      </c>
      <c r="E25" s="264">
        <v>0.32</v>
      </c>
      <c r="F25" s="264">
        <v>0.32</v>
      </c>
      <c r="G25" s="264">
        <v>0.31</v>
      </c>
      <c r="H25" s="264">
        <v>0.3</v>
      </c>
      <c r="I25" s="264">
        <v>0.3</v>
      </c>
      <c r="J25" s="264">
        <v>0.28999999999999998</v>
      </c>
      <c r="K25" s="264">
        <v>0.28999999999999998</v>
      </c>
      <c r="L25" s="264">
        <v>0.28999999999999998</v>
      </c>
      <c r="M25" s="264">
        <v>0.28000000000000003</v>
      </c>
      <c r="N25" s="264">
        <v>0.28000000000000003</v>
      </c>
      <c r="O25" s="264">
        <v>0.28000000000000003</v>
      </c>
      <c r="P25" s="264">
        <v>0.27</v>
      </c>
      <c r="Q25" s="264">
        <v>0.27</v>
      </c>
      <c r="R25" s="264">
        <v>0.26</v>
      </c>
      <c r="S25" s="264">
        <v>0.26</v>
      </c>
      <c r="T25" s="264">
        <v>0.25</v>
      </c>
      <c r="U25" s="264">
        <v>0.25</v>
      </c>
      <c r="V25" s="264">
        <v>0.24</v>
      </c>
      <c r="W25" s="264">
        <v>0.24</v>
      </c>
      <c r="X25" s="264">
        <v>0.24</v>
      </c>
      <c r="Y25" s="264">
        <v>0.24</v>
      </c>
      <c r="Z25" s="264">
        <v>0.23</v>
      </c>
      <c r="AA25" s="130">
        <f t="shared" si="0"/>
        <v>0.27791666666666676</v>
      </c>
      <c r="AB25" s="58">
        <f>IF(AA25=" "," ",IF('c-form'!AE15="",AA25,AA25+'c-form'!AE15))</f>
        <v>337.87791666666669</v>
      </c>
      <c r="AC25" s="58">
        <f>IF(AA25=" "," ",IF('c-form'!AE15="",AM25,AM25+'c-form'!AE15))</f>
        <v>337.93</v>
      </c>
      <c r="AD25" s="150">
        <f t="shared" si="5"/>
        <v>1</v>
      </c>
      <c r="AE25" s="58">
        <f>IF(AA25=" "," ",IF('c-form'!AE15="",AN25,AN25+'c-form'!AE15))</f>
        <v>337.83000000000004</v>
      </c>
      <c r="AF25" s="150">
        <f t="shared" si="6"/>
        <v>24</v>
      </c>
      <c r="AG25" s="226"/>
      <c r="AH25" s="226"/>
      <c r="AI25" s="226"/>
      <c r="AJ25" s="226"/>
      <c r="AK25" s="226"/>
      <c r="AL25" s="226"/>
      <c r="AM25" s="226">
        <f t="shared" si="2"/>
        <v>0.33</v>
      </c>
      <c r="AN25" s="104">
        <f t="shared" si="4"/>
        <v>0.23</v>
      </c>
      <c r="AO25" s="226"/>
    </row>
    <row r="26" spans="1:41" ht="22.5" customHeight="1">
      <c r="A26" s="103"/>
      <c r="B26" s="142">
        <v>15</v>
      </c>
      <c r="C26" s="264">
        <v>0.23</v>
      </c>
      <c r="D26" s="264">
        <v>0.23</v>
      </c>
      <c r="E26" s="264">
        <v>0.23</v>
      </c>
      <c r="F26" s="264">
        <v>0.23</v>
      </c>
      <c r="G26" s="264">
        <v>0.23</v>
      </c>
      <c r="H26" s="264">
        <v>0.22</v>
      </c>
      <c r="I26" s="264">
        <v>0.22</v>
      </c>
      <c r="J26" s="264">
        <v>0.22</v>
      </c>
      <c r="K26" s="264">
        <v>0.22</v>
      </c>
      <c r="L26" s="264">
        <v>0.22</v>
      </c>
      <c r="M26" s="264">
        <v>0.22</v>
      </c>
      <c r="N26" s="264">
        <v>0.22</v>
      </c>
      <c r="O26" s="264">
        <v>0.21</v>
      </c>
      <c r="P26" s="264">
        <v>0.21</v>
      </c>
      <c r="Q26" s="264">
        <v>0.21</v>
      </c>
      <c r="R26" s="264">
        <v>0.21</v>
      </c>
      <c r="S26" s="264">
        <v>0.21</v>
      </c>
      <c r="T26" s="264">
        <v>0.21</v>
      </c>
      <c r="U26" s="264">
        <v>0.21</v>
      </c>
      <c r="V26" s="264">
        <v>0.21</v>
      </c>
      <c r="W26" s="264">
        <v>0.21</v>
      </c>
      <c r="X26" s="264">
        <v>0.21</v>
      </c>
      <c r="Y26" s="264">
        <v>0.21</v>
      </c>
      <c r="Z26" s="264">
        <v>0.21</v>
      </c>
      <c r="AA26" s="130">
        <f t="shared" si="0"/>
        <v>0.21708333333333338</v>
      </c>
      <c r="AB26" s="58">
        <f>IF(AA26=" "," ",IF('c-form'!AE15="",AA26,AA26+'c-form'!AE15))</f>
        <v>337.81708333333336</v>
      </c>
      <c r="AC26" s="58">
        <f>IF(AA26=" "," ",IF('c-form'!AE15="",AM26,AM26+'c-form'!AE15))</f>
        <v>337.83000000000004</v>
      </c>
      <c r="AD26" s="150">
        <f t="shared" si="5"/>
        <v>1</v>
      </c>
      <c r="AE26" s="58">
        <f>IF(AA26=" "," ",IF('c-form'!AE15="",AN26,AN26+'c-form'!AE15))</f>
        <v>337.81</v>
      </c>
      <c r="AF26" s="150">
        <f t="shared" si="6"/>
        <v>13</v>
      </c>
      <c r="AG26" s="226"/>
      <c r="AH26" s="226"/>
      <c r="AI26" s="226"/>
      <c r="AJ26" s="226"/>
      <c r="AK26" s="226"/>
      <c r="AL26" s="226"/>
      <c r="AM26" s="226">
        <f t="shared" si="2"/>
        <v>0.23</v>
      </c>
      <c r="AN26" s="104">
        <f t="shared" si="4"/>
        <v>0.21</v>
      </c>
      <c r="AO26" s="226"/>
    </row>
    <row r="27" spans="1:41" ht="22.5" customHeight="1">
      <c r="A27" s="103"/>
      <c r="B27" s="142">
        <v>16</v>
      </c>
      <c r="C27" s="264">
        <v>0.2</v>
      </c>
      <c r="D27" s="264">
        <v>0.2</v>
      </c>
      <c r="E27" s="264">
        <v>0.2</v>
      </c>
      <c r="F27" s="264">
        <v>0.2</v>
      </c>
      <c r="G27" s="264">
        <v>0.2</v>
      </c>
      <c r="H27" s="264">
        <v>0.2</v>
      </c>
      <c r="I27" s="264">
        <v>0.2</v>
      </c>
      <c r="J27" s="264">
        <v>0.2</v>
      </c>
      <c r="K27" s="264">
        <v>0.2</v>
      </c>
      <c r="L27" s="264">
        <v>0.2</v>
      </c>
      <c r="M27" s="264">
        <v>0.2</v>
      </c>
      <c r="N27" s="264">
        <v>0.2</v>
      </c>
      <c r="O27" s="264">
        <v>0.2</v>
      </c>
      <c r="P27" s="264">
        <v>0.2</v>
      </c>
      <c r="Q27" s="264">
        <v>0.2</v>
      </c>
      <c r="R27" s="264">
        <v>0.2</v>
      </c>
      <c r="S27" s="264">
        <v>0.2</v>
      </c>
      <c r="T27" s="264">
        <v>0.2</v>
      </c>
      <c r="U27" s="264">
        <v>0.2</v>
      </c>
      <c r="V27" s="264">
        <v>0.2</v>
      </c>
      <c r="W27" s="264">
        <v>0.2</v>
      </c>
      <c r="X27" s="264">
        <v>0.2</v>
      </c>
      <c r="Y27" s="264">
        <v>0.2</v>
      </c>
      <c r="Z27" s="264">
        <v>0.2</v>
      </c>
      <c r="AA27" s="130">
        <f t="shared" si="0"/>
        <v>0.20000000000000007</v>
      </c>
      <c r="AB27" s="58">
        <f>IF(AA27=" "," ",IF('c-form'!AE15="",AA27,AA27+'c-form'!AE15))</f>
        <v>337.8</v>
      </c>
      <c r="AC27" s="58">
        <f>IF(AA27=" "," ",IF('c-form'!AE15="",AM27,AM27+'c-form'!AE15))</f>
        <v>337.8</v>
      </c>
      <c r="AD27" s="150">
        <f t="shared" si="5"/>
        <v>1</v>
      </c>
      <c r="AE27" s="58">
        <f>IF(AA27=" "," ",IF('c-form'!AE15="",AN27,AN27+'c-form'!AE15))</f>
        <v>337.8</v>
      </c>
      <c r="AF27" s="150">
        <f t="shared" si="6"/>
        <v>1</v>
      </c>
      <c r="AG27" s="226"/>
      <c r="AH27" s="226"/>
      <c r="AI27" s="226"/>
      <c r="AJ27" s="226"/>
      <c r="AK27" s="226"/>
      <c r="AL27" s="226"/>
      <c r="AM27" s="226">
        <f t="shared" si="2"/>
        <v>0.2</v>
      </c>
      <c r="AN27" s="104">
        <f t="shared" si="4"/>
        <v>0.2</v>
      </c>
      <c r="AO27" s="226"/>
    </row>
    <row r="28" spans="1:41" ht="22.5" customHeight="1">
      <c r="A28" s="103"/>
      <c r="B28" s="142">
        <v>17</v>
      </c>
      <c r="C28" s="264">
        <v>0.2</v>
      </c>
      <c r="D28" s="264">
        <v>0.2</v>
      </c>
      <c r="E28" s="264">
        <v>0.2</v>
      </c>
      <c r="F28" s="264">
        <v>0.2</v>
      </c>
      <c r="G28" s="264">
        <v>0.2</v>
      </c>
      <c r="H28" s="264">
        <v>0.2</v>
      </c>
      <c r="I28" s="264">
        <v>0.2</v>
      </c>
      <c r="J28" s="264">
        <v>0.2</v>
      </c>
      <c r="K28" s="264">
        <v>0.2</v>
      </c>
      <c r="L28" s="264">
        <v>0.2</v>
      </c>
      <c r="M28" s="264">
        <v>0.2</v>
      </c>
      <c r="N28" s="264">
        <v>0.2</v>
      </c>
      <c r="O28" s="264">
        <v>0.2</v>
      </c>
      <c r="P28" s="264">
        <v>0.2</v>
      </c>
      <c r="Q28" s="264">
        <v>0.2</v>
      </c>
      <c r="R28" s="264">
        <v>0.2</v>
      </c>
      <c r="S28" s="264">
        <v>0.2</v>
      </c>
      <c r="T28" s="264">
        <v>0.2</v>
      </c>
      <c r="U28" s="264">
        <v>0.2</v>
      </c>
      <c r="V28" s="264">
        <v>0.2</v>
      </c>
      <c r="W28" s="264">
        <v>0.2</v>
      </c>
      <c r="X28" s="264">
        <v>0.2</v>
      </c>
      <c r="Y28" s="264">
        <v>0.2</v>
      </c>
      <c r="Z28" s="264">
        <v>0.2</v>
      </c>
      <c r="AA28" s="130">
        <f t="shared" si="0"/>
        <v>0.20000000000000007</v>
      </c>
      <c r="AB28" s="58">
        <f>IF(AA28=" "," ",IF('c-form'!AE15="",AA28,AA28+'c-form'!AE15))</f>
        <v>337.8</v>
      </c>
      <c r="AC28" s="58">
        <f>IF(AA28=" "," ",IF('c-form'!AE15="",AM28,AM28+'c-form'!AE15))</f>
        <v>337.8</v>
      </c>
      <c r="AD28" s="150">
        <f t="shared" si="5"/>
        <v>1</v>
      </c>
      <c r="AE28" s="58">
        <f>IF(AA28=" "," ",IF('c-form'!AE15="",AN28,AN28+'c-form'!AE15))</f>
        <v>337.8</v>
      </c>
      <c r="AF28" s="150">
        <f t="shared" si="6"/>
        <v>1</v>
      </c>
      <c r="AG28" s="226"/>
      <c r="AH28" s="226"/>
      <c r="AI28" s="226"/>
      <c r="AJ28" s="226"/>
      <c r="AK28" s="226"/>
      <c r="AL28" s="226"/>
      <c r="AM28" s="226">
        <f t="shared" si="2"/>
        <v>0.2</v>
      </c>
      <c r="AN28" s="104">
        <f t="shared" si="4"/>
        <v>0.2</v>
      </c>
      <c r="AO28" s="226"/>
    </row>
    <row r="29" spans="1:41" ht="22.5" customHeight="1">
      <c r="A29" s="103"/>
      <c r="B29" s="142">
        <v>18</v>
      </c>
      <c r="C29" s="264">
        <v>0.21</v>
      </c>
      <c r="D29" s="264">
        <v>0.21</v>
      </c>
      <c r="E29" s="264">
        <v>0.21</v>
      </c>
      <c r="F29" s="264">
        <v>0.21</v>
      </c>
      <c r="G29" s="264">
        <v>0.21</v>
      </c>
      <c r="H29" s="264">
        <v>0.21</v>
      </c>
      <c r="I29" s="264">
        <v>0.21</v>
      </c>
      <c r="J29" s="264">
        <v>0.21</v>
      </c>
      <c r="K29" s="264">
        <v>0.21</v>
      </c>
      <c r="L29" s="264">
        <v>0.21</v>
      </c>
      <c r="M29" s="264">
        <v>0.21</v>
      </c>
      <c r="N29" s="264">
        <v>0.21</v>
      </c>
      <c r="O29" s="264">
        <v>0.21</v>
      </c>
      <c r="P29" s="264">
        <v>0.21</v>
      </c>
      <c r="Q29" s="264">
        <v>0.21</v>
      </c>
      <c r="R29" s="264">
        <v>0.21</v>
      </c>
      <c r="S29" s="264">
        <v>0.21</v>
      </c>
      <c r="T29" s="264">
        <v>0.21</v>
      </c>
      <c r="U29" s="264">
        <v>0.21</v>
      </c>
      <c r="V29" s="264">
        <v>0.21</v>
      </c>
      <c r="W29" s="264">
        <v>0.21</v>
      </c>
      <c r="X29" s="264">
        <v>0.21</v>
      </c>
      <c r="Y29" s="264">
        <v>0.21</v>
      </c>
      <c r="Z29" s="264">
        <v>0.21</v>
      </c>
      <c r="AA29" s="130">
        <f t="shared" si="0"/>
        <v>0.21</v>
      </c>
      <c r="AB29" s="58">
        <f>IF(AA29=" "," ",IF('c-form'!AE15="",AA29,AA29+'c-form'!AE15))</f>
        <v>337.81</v>
      </c>
      <c r="AC29" s="58">
        <f>IF(AA29=" "," ",IF('c-form'!AE15="",AM29,AM29+'c-form'!AE15))</f>
        <v>337.81</v>
      </c>
      <c r="AD29" s="150">
        <f t="shared" si="5"/>
        <v>1</v>
      </c>
      <c r="AE29" s="58">
        <f>IF(AA29=" "," ",IF('c-form'!AE15="",AN29,AN29+'c-form'!AE15))</f>
        <v>337.81</v>
      </c>
      <c r="AF29" s="150">
        <f t="shared" si="6"/>
        <v>1</v>
      </c>
      <c r="AG29" s="226"/>
      <c r="AH29" s="226"/>
      <c r="AI29" s="226"/>
      <c r="AJ29" s="226"/>
      <c r="AK29" s="226"/>
      <c r="AL29" s="226"/>
      <c r="AM29" s="226">
        <f>IF(AB29=" "," ",MAX(C29:Z29))</f>
        <v>0.21</v>
      </c>
      <c r="AN29" s="104">
        <f t="shared" si="4"/>
        <v>0.21</v>
      </c>
      <c r="AO29" s="226"/>
    </row>
    <row r="30" spans="1:41" ht="22.5" customHeight="1">
      <c r="A30" s="103"/>
      <c r="B30" s="142">
        <v>19</v>
      </c>
      <c r="C30" s="264">
        <v>0.22</v>
      </c>
      <c r="D30" s="264">
        <v>0.22</v>
      </c>
      <c r="E30" s="264">
        <v>0.22</v>
      </c>
      <c r="F30" s="264">
        <v>0.22</v>
      </c>
      <c r="G30" s="264">
        <v>0.22</v>
      </c>
      <c r="H30" s="264">
        <v>0.22</v>
      </c>
      <c r="I30" s="264">
        <v>0.21</v>
      </c>
      <c r="J30" s="264">
        <v>0.21</v>
      </c>
      <c r="K30" s="264">
        <v>0.2</v>
      </c>
      <c r="L30" s="264">
        <v>0.2</v>
      </c>
      <c r="M30" s="264">
        <v>0.2</v>
      </c>
      <c r="N30" s="264">
        <v>0.19</v>
      </c>
      <c r="O30" s="264">
        <v>0.19</v>
      </c>
      <c r="P30" s="264">
        <v>0.19</v>
      </c>
      <c r="Q30" s="264">
        <v>0.19</v>
      </c>
      <c r="R30" s="264">
        <v>0.19</v>
      </c>
      <c r="S30" s="264">
        <v>0.2</v>
      </c>
      <c r="T30" s="264">
        <v>0.2</v>
      </c>
      <c r="U30" s="264">
        <v>0.2</v>
      </c>
      <c r="V30" s="264">
        <v>0.21</v>
      </c>
      <c r="W30" s="264">
        <v>0.21</v>
      </c>
      <c r="X30" s="264">
        <v>0.21</v>
      </c>
      <c r="Y30" s="264">
        <v>0.21</v>
      </c>
      <c r="Z30" s="264">
        <v>0.22</v>
      </c>
      <c r="AA30" s="130">
        <f t="shared" si="0"/>
        <v>0.20625000000000002</v>
      </c>
      <c r="AB30" s="58">
        <f>IF(AA30=" "," ",IF('c-form'!AE15="",AA30,AA30+'c-form'!AE15))</f>
        <v>337.80625000000003</v>
      </c>
      <c r="AC30" s="58">
        <f>IF(AA30=" "," ",IF('c-form'!AE15="",AM30,AM30+'c-form'!AE15))</f>
        <v>337.82000000000005</v>
      </c>
      <c r="AD30" s="150">
        <f t="shared" si="5"/>
        <v>1</v>
      </c>
      <c r="AE30" s="58">
        <f>IF(AA30=" "," ",IF('c-form'!AE15="",AN30,AN30+'c-form'!AE15))</f>
        <v>337.79</v>
      </c>
      <c r="AF30" s="150">
        <f t="shared" si="6"/>
        <v>12</v>
      </c>
      <c r="AG30" s="226"/>
      <c r="AH30" s="226"/>
      <c r="AI30" s="226"/>
      <c r="AJ30" s="226"/>
      <c r="AK30" s="226"/>
      <c r="AL30" s="226"/>
      <c r="AM30" s="226">
        <f t="shared" si="2"/>
        <v>0.22</v>
      </c>
      <c r="AN30" s="104">
        <f t="shared" si="4"/>
        <v>0.19</v>
      </c>
      <c r="AO30" s="226"/>
    </row>
    <row r="31" spans="1:41" ht="22.5" customHeight="1">
      <c r="A31" s="103"/>
      <c r="B31" s="142">
        <v>20</v>
      </c>
      <c r="C31" s="264">
        <v>0.22</v>
      </c>
      <c r="D31" s="264">
        <v>0.23</v>
      </c>
      <c r="E31" s="264">
        <v>0.23</v>
      </c>
      <c r="F31" s="264">
        <v>0.23</v>
      </c>
      <c r="G31" s="264">
        <v>0.23</v>
      </c>
      <c r="H31" s="264">
        <v>0.24</v>
      </c>
      <c r="I31" s="264">
        <v>0.24</v>
      </c>
      <c r="J31" s="264">
        <v>0.24</v>
      </c>
      <c r="K31" s="264">
        <v>0.24</v>
      </c>
      <c r="L31" s="264">
        <v>0.24</v>
      </c>
      <c r="M31" s="264">
        <v>0.24</v>
      </c>
      <c r="N31" s="264">
        <v>0.24</v>
      </c>
      <c r="O31" s="264">
        <v>0.25</v>
      </c>
      <c r="P31" s="264">
        <v>0.25</v>
      </c>
      <c r="Q31" s="264">
        <v>0.25</v>
      </c>
      <c r="R31" s="264">
        <v>0.25</v>
      </c>
      <c r="S31" s="264">
        <v>0.25</v>
      </c>
      <c r="T31" s="264">
        <v>0.25</v>
      </c>
      <c r="U31" s="264">
        <v>0.26</v>
      </c>
      <c r="V31" s="264">
        <v>0.26</v>
      </c>
      <c r="W31" s="264">
        <v>0.26</v>
      </c>
      <c r="X31" s="264">
        <v>0.26</v>
      </c>
      <c r="Y31" s="264">
        <v>0.26</v>
      </c>
      <c r="Z31" s="264">
        <v>0.26</v>
      </c>
      <c r="AA31" s="130">
        <f t="shared" si="0"/>
        <v>0.24499999999999997</v>
      </c>
      <c r="AB31" s="58">
        <f>IF(AA31=" "," ",IF('c-form'!AE15="",AA31,AA31+'c-form'!AE15))</f>
        <v>337.84500000000003</v>
      </c>
      <c r="AC31" s="58">
        <f>IF(AA31=" "," ",IF('c-form'!AE15="",AM31,AM31+'c-form'!AE15))</f>
        <v>337.86</v>
      </c>
      <c r="AD31" s="150">
        <f t="shared" si="5"/>
        <v>19</v>
      </c>
      <c r="AE31" s="58">
        <f>IF(AA31=" "," ",IF('c-form'!AE15="",AN31,AN31+'c-form'!AE15))</f>
        <v>337.82000000000005</v>
      </c>
      <c r="AF31" s="150">
        <f t="shared" si="6"/>
        <v>1</v>
      </c>
      <c r="AG31" s="226"/>
      <c r="AH31" s="226"/>
      <c r="AI31" s="226"/>
      <c r="AJ31" s="226"/>
      <c r="AK31" s="226"/>
      <c r="AL31" s="226"/>
      <c r="AM31" s="226">
        <f t="shared" si="2"/>
        <v>0.26</v>
      </c>
      <c r="AN31" s="104">
        <f t="shared" si="4"/>
        <v>0.22</v>
      </c>
      <c r="AO31" s="226"/>
    </row>
    <row r="32" spans="1:41" ht="22.5" customHeight="1">
      <c r="A32" s="103"/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8"/>
      <c r="AB32" s="139"/>
      <c r="AC32" s="139"/>
      <c r="AD32" s="151"/>
      <c r="AE32" s="139"/>
      <c r="AF32" s="151"/>
      <c r="AG32" s="226"/>
      <c r="AH32" s="226"/>
      <c r="AI32" s="226"/>
      <c r="AJ32" s="226"/>
      <c r="AK32" s="226"/>
      <c r="AL32" s="226"/>
      <c r="AM32" s="226">
        <f t="shared" si="2"/>
        <v>0</v>
      </c>
      <c r="AN32" s="104">
        <f t="shared" si="4"/>
        <v>0</v>
      </c>
      <c r="AO32" s="226"/>
    </row>
    <row r="33" spans="1:41" ht="22.5" customHeight="1">
      <c r="A33" s="103"/>
      <c r="B33" s="142">
        <v>21</v>
      </c>
      <c r="C33" s="264">
        <v>0.27</v>
      </c>
      <c r="D33" s="264">
        <v>0.27</v>
      </c>
      <c r="E33" s="264">
        <v>0.27</v>
      </c>
      <c r="F33" s="264">
        <v>0.27</v>
      </c>
      <c r="G33" s="264">
        <v>0.27</v>
      </c>
      <c r="H33" s="264">
        <v>0.27</v>
      </c>
      <c r="I33" s="264">
        <v>0.27</v>
      </c>
      <c r="J33" s="264">
        <v>0.27</v>
      </c>
      <c r="K33" s="264">
        <v>0.27</v>
      </c>
      <c r="L33" s="264">
        <v>0.27</v>
      </c>
      <c r="M33" s="264">
        <v>0.27</v>
      </c>
      <c r="N33" s="264">
        <v>0.27</v>
      </c>
      <c r="O33" s="264">
        <v>0.26</v>
      </c>
      <c r="P33" s="264">
        <v>0.26</v>
      </c>
      <c r="Q33" s="264">
        <v>0.26</v>
      </c>
      <c r="R33" s="264">
        <v>0.26</v>
      </c>
      <c r="S33" s="264">
        <v>0.26</v>
      </c>
      <c r="T33" s="264">
        <v>0.26</v>
      </c>
      <c r="U33" s="264">
        <v>0.25</v>
      </c>
      <c r="V33" s="264">
        <v>0.25</v>
      </c>
      <c r="W33" s="264">
        <v>0.25</v>
      </c>
      <c r="X33" s="264">
        <v>0.25</v>
      </c>
      <c r="Y33" s="264">
        <v>0.25</v>
      </c>
      <c r="Z33" s="264">
        <v>0.25</v>
      </c>
      <c r="AA33" s="130">
        <f t="shared" si="0"/>
        <v>0.26249999999999996</v>
      </c>
      <c r="AB33" s="58">
        <f>IF(AA33=" "," ",IF('c-form'!AE15="",AA33,AA33+'c-form'!AE15))</f>
        <v>337.86250000000001</v>
      </c>
      <c r="AC33" s="58">
        <f>IF(AA33=" "," ",IF('c-form'!AE15="",AM33,AM33+'c-form'!AE15))</f>
        <v>337.87</v>
      </c>
      <c r="AD33" s="150">
        <f t="shared" ref="AD33:AD41" si="7">IF(AB33=" "," ",MATCH(AM33,C33:Z33,0))</f>
        <v>1</v>
      </c>
      <c r="AE33" s="58">
        <f>IF(AA33=" "," ",IF('c-form'!AE15="",AN33,AN33+'c-form'!AE15))</f>
        <v>337.85</v>
      </c>
      <c r="AF33" s="150">
        <f t="shared" ref="AF33:AF41" si="8">IF(AD33=" "," ",MATCH(AN33,C33:Z33,0))</f>
        <v>19</v>
      </c>
      <c r="AG33" s="226"/>
      <c r="AH33" s="226"/>
      <c r="AI33" s="226"/>
      <c r="AJ33" s="226"/>
      <c r="AK33" s="226"/>
      <c r="AL33" s="226"/>
      <c r="AM33" s="226">
        <f t="shared" si="2"/>
        <v>0.27</v>
      </c>
      <c r="AN33" s="104">
        <f t="shared" si="4"/>
        <v>0.25</v>
      </c>
      <c r="AO33" s="226"/>
    </row>
    <row r="34" spans="1:41" ht="22.5" customHeight="1">
      <c r="A34" s="103"/>
      <c r="B34" s="142">
        <v>22</v>
      </c>
      <c r="C34" s="264">
        <v>0.24</v>
      </c>
      <c r="D34" s="264">
        <v>0.24</v>
      </c>
      <c r="E34" s="264">
        <v>0.24</v>
      </c>
      <c r="F34" s="264">
        <v>0.24</v>
      </c>
      <c r="G34" s="264">
        <v>0.24</v>
      </c>
      <c r="H34" s="264">
        <v>0.24</v>
      </c>
      <c r="I34" s="264">
        <v>0.24</v>
      </c>
      <c r="J34" s="264">
        <v>0.24</v>
      </c>
      <c r="K34" s="264">
        <v>0.24</v>
      </c>
      <c r="L34" s="264">
        <v>0.24</v>
      </c>
      <c r="M34" s="264">
        <v>0.24</v>
      </c>
      <c r="N34" s="264">
        <v>0.24</v>
      </c>
      <c r="O34" s="264">
        <v>0.24</v>
      </c>
      <c r="P34" s="264">
        <v>0.24</v>
      </c>
      <c r="Q34" s="264">
        <v>0.24</v>
      </c>
      <c r="R34" s="264">
        <v>0.24</v>
      </c>
      <c r="S34" s="264">
        <v>0.24</v>
      </c>
      <c r="T34" s="264">
        <v>0.24</v>
      </c>
      <c r="U34" s="264">
        <v>0.24</v>
      </c>
      <c r="V34" s="264">
        <v>0.24</v>
      </c>
      <c r="W34" s="264">
        <v>0.24</v>
      </c>
      <c r="X34" s="264">
        <v>0.24</v>
      </c>
      <c r="Y34" s="264">
        <v>0.24</v>
      </c>
      <c r="Z34" s="264">
        <v>0.24</v>
      </c>
      <c r="AA34" s="130">
        <f t="shared" si="0"/>
        <v>0.24000000000000013</v>
      </c>
      <c r="AB34" s="58">
        <f>IF(AA34=" "," ",IF('c-form'!AE15="",AA34,AA34+'c-form'!AE15))</f>
        <v>337.84000000000003</v>
      </c>
      <c r="AC34" s="58">
        <f>IF(AA34=" "," ",IF('c-form'!AE15="",AM34,AM34+'c-form'!AE15))</f>
        <v>337.84000000000003</v>
      </c>
      <c r="AD34" s="150">
        <f t="shared" si="7"/>
        <v>1</v>
      </c>
      <c r="AE34" s="58">
        <f>IF(AA34=" "," ",IF('c-form'!AE15="",AN34,AN34+'c-form'!AE15))</f>
        <v>337.84000000000003</v>
      </c>
      <c r="AF34" s="150">
        <f t="shared" si="8"/>
        <v>1</v>
      </c>
      <c r="AG34" s="226"/>
      <c r="AH34" s="226"/>
      <c r="AI34" s="226"/>
      <c r="AJ34" s="226"/>
      <c r="AK34" s="226"/>
      <c r="AL34" s="226"/>
      <c r="AM34" s="226">
        <f t="shared" si="2"/>
        <v>0.24</v>
      </c>
      <c r="AN34" s="104">
        <f t="shared" si="4"/>
        <v>0.24</v>
      </c>
      <c r="AO34" s="226"/>
    </row>
    <row r="35" spans="1:41" ht="22.5" customHeight="1">
      <c r="A35" s="103"/>
      <c r="B35" s="142">
        <v>23</v>
      </c>
      <c r="C35" s="264">
        <v>0.23</v>
      </c>
      <c r="D35" s="264">
        <v>0.23</v>
      </c>
      <c r="E35" s="264">
        <v>0.23</v>
      </c>
      <c r="F35" s="264">
        <v>0.23</v>
      </c>
      <c r="G35" s="264">
        <v>0.23</v>
      </c>
      <c r="H35" s="264">
        <v>0.23</v>
      </c>
      <c r="I35" s="264">
        <v>0.23</v>
      </c>
      <c r="J35" s="264">
        <v>0.23</v>
      </c>
      <c r="K35" s="264">
        <v>0.24</v>
      </c>
      <c r="L35" s="264">
        <v>0.25</v>
      </c>
      <c r="M35" s="264">
        <v>0.26</v>
      </c>
      <c r="N35" s="264">
        <v>0.28000000000000003</v>
      </c>
      <c r="O35" s="264">
        <v>0.3</v>
      </c>
      <c r="P35" s="264">
        <v>0.32</v>
      </c>
      <c r="Q35" s="264">
        <v>0.35</v>
      </c>
      <c r="R35" s="264">
        <v>0.38</v>
      </c>
      <c r="S35" s="264">
        <v>0.42</v>
      </c>
      <c r="T35" s="264">
        <v>0.46</v>
      </c>
      <c r="U35" s="264">
        <v>0.5</v>
      </c>
      <c r="V35" s="264">
        <v>0.55000000000000004</v>
      </c>
      <c r="W35" s="264">
        <v>0.59</v>
      </c>
      <c r="X35" s="264">
        <v>0.62</v>
      </c>
      <c r="Y35" s="264">
        <v>0.65</v>
      </c>
      <c r="Z35" s="264">
        <v>0.68</v>
      </c>
      <c r="AA35" s="130">
        <f t="shared" si="0"/>
        <v>0.36208333333333331</v>
      </c>
      <c r="AB35" s="58">
        <f>IF(AA35=" "," ",IF('c-form'!AE15="",AA35,AA35+'c-form'!AE15))</f>
        <v>337.96208333333334</v>
      </c>
      <c r="AC35" s="58">
        <f>IF(AA35=" "," ",IF('c-form'!AE15="",AM35,AM35+'c-form'!AE15))</f>
        <v>338.28000000000003</v>
      </c>
      <c r="AD35" s="150">
        <f t="shared" si="7"/>
        <v>24</v>
      </c>
      <c r="AE35" s="58">
        <f>IF(AA35=" "," ",IF('c-form'!AE15="",AN35,AN35+'c-form'!AE15))</f>
        <v>337.83000000000004</v>
      </c>
      <c r="AF35" s="150">
        <f t="shared" si="8"/>
        <v>1</v>
      </c>
      <c r="AG35" s="226"/>
      <c r="AH35" s="226"/>
      <c r="AI35" s="226"/>
      <c r="AJ35" s="226"/>
      <c r="AK35" s="226"/>
      <c r="AL35" s="226"/>
      <c r="AM35" s="226">
        <f t="shared" si="2"/>
        <v>0.68</v>
      </c>
      <c r="AN35" s="104">
        <f t="shared" si="4"/>
        <v>0.23</v>
      </c>
      <c r="AO35" s="226"/>
    </row>
    <row r="36" spans="1:41" ht="22.5" customHeight="1">
      <c r="A36" s="103"/>
      <c r="B36" s="142">
        <v>24</v>
      </c>
      <c r="C36" s="264">
        <v>0.7</v>
      </c>
      <c r="D36" s="264">
        <v>0.71</v>
      </c>
      <c r="E36" s="264">
        <v>0.72</v>
      </c>
      <c r="F36" s="264">
        <v>0.72</v>
      </c>
      <c r="G36" s="264">
        <v>0.72</v>
      </c>
      <c r="H36" s="264">
        <v>0.72</v>
      </c>
      <c r="I36" s="264">
        <v>0.71</v>
      </c>
      <c r="J36" s="264">
        <v>0.7</v>
      </c>
      <c r="K36" s="264">
        <v>0.69</v>
      </c>
      <c r="L36" s="264">
        <v>0.68</v>
      </c>
      <c r="M36" s="264">
        <v>0.66</v>
      </c>
      <c r="N36" s="264">
        <v>0.64</v>
      </c>
      <c r="O36" s="264">
        <v>0.61</v>
      </c>
      <c r="P36" s="264">
        <v>0.57999999999999996</v>
      </c>
      <c r="Q36" s="264">
        <v>0.54</v>
      </c>
      <c r="R36" s="264">
        <v>0.5</v>
      </c>
      <c r="S36" s="264">
        <v>0.46</v>
      </c>
      <c r="T36" s="264">
        <v>0.43</v>
      </c>
      <c r="U36" s="264">
        <v>0.4</v>
      </c>
      <c r="V36" s="264">
        <v>0.36</v>
      </c>
      <c r="W36" s="264">
        <v>0.34</v>
      </c>
      <c r="X36" s="264">
        <v>0.32</v>
      </c>
      <c r="Y36" s="264">
        <v>0.3</v>
      </c>
      <c r="Z36" s="264">
        <v>0.28000000000000003</v>
      </c>
      <c r="AA36" s="130">
        <f t="shared" si="0"/>
        <v>0.56208333333333327</v>
      </c>
      <c r="AB36" s="58">
        <f>IF(AA36=" "," ",IF('c-form'!AE15="",AA36,AA36+'c-form'!AE15))</f>
        <v>338.16208333333333</v>
      </c>
      <c r="AC36" s="58">
        <f>IF(AA36=" "," ",IF('c-form'!AE15="",AM36,AM36+'c-form'!AE15))</f>
        <v>338.32000000000005</v>
      </c>
      <c r="AD36" s="150">
        <f t="shared" si="7"/>
        <v>3</v>
      </c>
      <c r="AE36" s="58">
        <f>IF(AA36=" "," ",IF('c-form'!AE15="",AN36,AN36+'c-form'!AE15))</f>
        <v>337.88</v>
      </c>
      <c r="AF36" s="150">
        <f t="shared" si="8"/>
        <v>24</v>
      </c>
      <c r="AG36" s="226"/>
      <c r="AH36" s="226"/>
      <c r="AI36" s="226"/>
      <c r="AJ36" s="226"/>
      <c r="AK36" s="226"/>
      <c r="AL36" s="226"/>
      <c r="AM36" s="226">
        <f t="shared" si="2"/>
        <v>0.72</v>
      </c>
      <c r="AN36" s="104">
        <f t="shared" si="4"/>
        <v>0.28000000000000003</v>
      </c>
      <c r="AO36" s="226"/>
    </row>
    <row r="37" spans="1:41" ht="22.5" customHeight="1">
      <c r="A37" s="103"/>
      <c r="B37" s="142">
        <v>25</v>
      </c>
      <c r="C37" s="264">
        <v>0.28000000000000003</v>
      </c>
      <c r="D37" s="264">
        <v>0.27</v>
      </c>
      <c r="E37" s="264">
        <v>0.26</v>
      </c>
      <c r="F37" s="264">
        <v>0.25</v>
      </c>
      <c r="G37" s="264">
        <v>0.24</v>
      </c>
      <c r="H37" s="264">
        <v>0.24</v>
      </c>
      <c r="I37" s="264">
        <v>0.24</v>
      </c>
      <c r="J37" s="264">
        <v>0.24</v>
      </c>
      <c r="K37" s="264">
        <v>0.24</v>
      </c>
      <c r="L37" s="264">
        <v>0.24</v>
      </c>
      <c r="M37" s="264">
        <v>0.24</v>
      </c>
      <c r="N37" s="264">
        <v>0.23</v>
      </c>
      <c r="O37" s="264">
        <v>0.23</v>
      </c>
      <c r="P37" s="264">
        <v>0.23</v>
      </c>
      <c r="Q37" s="264">
        <v>0.23</v>
      </c>
      <c r="R37" s="264">
        <v>0.23</v>
      </c>
      <c r="S37" s="264">
        <v>0.23</v>
      </c>
      <c r="T37" s="264">
        <v>0.24</v>
      </c>
      <c r="U37" s="264">
        <v>0.24</v>
      </c>
      <c r="V37" s="264">
        <v>0.24</v>
      </c>
      <c r="W37" s="264">
        <v>0.24</v>
      </c>
      <c r="X37" s="264">
        <v>0.24</v>
      </c>
      <c r="Y37" s="264">
        <v>0.24</v>
      </c>
      <c r="Z37" s="264">
        <v>0.24</v>
      </c>
      <c r="AA37" s="130">
        <f t="shared" si="0"/>
        <v>0.24166666666666672</v>
      </c>
      <c r="AB37" s="58">
        <f>IF(AA37=" "," ",IF('c-form'!AE15="",AA37,AA37+'c-form'!AE15))</f>
        <v>337.8416666666667</v>
      </c>
      <c r="AC37" s="58">
        <f>IF(AA37=" "," ",IF('c-form'!AE15="",AM37,AM37+'c-form'!AE15))</f>
        <v>337.88</v>
      </c>
      <c r="AD37" s="150">
        <f t="shared" si="7"/>
        <v>1</v>
      </c>
      <c r="AE37" s="58">
        <f>IF(AA37=" "," ",IF('c-form'!AE15="",AN37,AN37+'c-form'!AE15))</f>
        <v>337.83000000000004</v>
      </c>
      <c r="AF37" s="150">
        <f t="shared" si="8"/>
        <v>12</v>
      </c>
      <c r="AG37" s="226"/>
      <c r="AH37" s="226"/>
      <c r="AI37" s="226"/>
      <c r="AJ37" s="226"/>
      <c r="AK37" s="226"/>
      <c r="AL37" s="226"/>
      <c r="AM37" s="226">
        <f t="shared" si="2"/>
        <v>0.28000000000000003</v>
      </c>
      <c r="AN37" s="104">
        <f t="shared" si="4"/>
        <v>0.23</v>
      </c>
      <c r="AO37" s="226"/>
    </row>
    <row r="38" spans="1:41" ht="22.5" customHeight="1">
      <c r="A38" s="103"/>
      <c r="B38" s="142">
        <v>26</v>
      </c>
      <c r="C38" s="264">
        <v>0.25</v>
      </c>
      <c r="D38" s="264">
        <v>0.25</v>
      </c>
      <c r="E38" s="264">
        <v>0.25</v>
      </c>
      <c r="F38" s="264">
        <v>0.25</v>
      </c>
      <c r="G38" s="264">
        <v>0.25</v>
      </c>
      <c r="H38" s="264">
        <v>0.26</v>
      </c>
      <c r="I38" s="264">
        <v>0.26</v>
      </c>
      <c r="J38" s="264">
        <v>0.26</v>
      </c>
      <c r="K38" s="264">
        <v>0.26</v>
      </c>
      <c r="L38" s="264">
        <v>0.26</v>
      </c>
      <c r="M38" s="264">
        <v>0.26</v>
      </c>
      <c r="N38" s="264">
        <v>0.26</v>
      </c>
      <c r="O38" s="264">
        <v>0.25</v>
      </c>
      <c r="P38" s="264">
        <v>0.25</v>
      </c>
      <c r="Q38" s="264">
        <v>0.25</v>
      </c>
      <c r="R38" s="264">
        <v>0.25</v>
      </c>
      <c r="S38" s="264">
        <v>0.25</v>
      </c>
      <c r="T38" s="264">
        <v>0.25</v>
      </c>
      <c r="U38" s="264">
        <v>0.25</v>
      </c>
      <c r="V38" s="264">
        <v>0.26</v>
      </c>
      <c r="W38" s="264">
        <v>0.26</v>
      </c>
      <c r="X38" s="264">
        <v>0.26</v>
      </c>
      <c r="Y38" s="264">
        <v>0.26</v>
      </c>
      <c r="Z38" s="264">
        <v>0.26</v>
      </c>
      <c r="AA38" s="130">
        <f t="shared" si="0"/>
        <v>0.25499999999999995</v>
      </c>
      <c r="AB38" s="58">
        <f>IF(AA38=" "," ",IF('c-form'!AE15="",AA38,AA38+'c-form'!AE15))</f>
        <v>337.85500000000002</v>
      </c>
      <c r="AC38" s="58">
        <f>IF(AA38=" "," ",IF('c-form'!AE15="",AM38,AM38+'c-form'!AE15))</f>
        <v>337.86</v>
      </c>
      <c r="AD38" s="150">
        <f t="shared" si="7"/>
        <v>6</v>
      </c>
      <c r="AE38" s="58">
        <f>IF(AA38=" "," ",IF('c-form'!AE15="",AN38,AN38+'c-form'!AE15))</f>
        <v>337.85</v>
      </c>
      <c r="AF38" s="150">
        <f t="shared" si="8"/>
        <v>1</v>
      </c>
      <c r="AG38" s="226"/>
      <c r="AH38" s="226"/>
      <c r="AI38" s="226"/>
      <c r="AJ38" s="226"/>
      <c r="AK38" s="226"/>
      <c r="AL38" s="226"/>
      <c r="AM38" s="226">
        <f t="shared" si="2"/>
        <v>0.26</v>
      </c>
      <c r="AN38" s="104">
        <f t="shared" si="4"/>
        <v>0.25</v>
      </c>
      <c r="AO38" s="226"/>
    </row>
    <row r="39" spans="1:41" ht="22.5" customHeight="1">
      <c r="A39" s="103"/>
      <c r="B39" s="142">
        <v>27</v>
      </c>
      <c r="C39" s="264">
        <v>0.26</v>
      </c>
      <c r="D39" s="264">
        <v>0.26</v>
      </c>
      <c r="E39" s="264">
        <v>0.26</v>
      </c>
      <c r="F39" s="264">
        <v>0.26</v>
      </c>
      <c r="G39" s="264">
        <v>0.26</v>
      </c>
      <c r="H39" s="264">
        <v>0.26</v>
      </c>
      <c r="I39" s="264">
        <v>0.26</v>
      </c>
      <c r="J39" s="264">
        <v>0.26</v>
      </c>
      <c r="K39" s="264">
        <v>0.26</v>
      </c>
      <c r="L39" s="264">
        <v>0.26</v>
      </c>
      <c r="M39" s="264">
        <v>0.25</v>
      </c>
      <c r="N39" s="264">
        <v>0.25</v>
      </c>
      <c r="O39" s="264">
        <v>0.25</v>
      </c>
      <c r="P39" s="264">
        <v>0.25</v>
      </c>
      <c r="Q39" s="264">
        <v>0.25</v>
      </c>
      <c r="R39" s="264">
        <v>0.25</v>
      </c>
      <c r="S39" s="264">
        <v>0.25</v>
      </c>
      <c r="T39" s="264">
        <v>0.24</v>
      </c>
      <c r="U39" s="264">
        <v>0.24</v>
      </c>
      <c r="V39" s="264">
        <v>0.24</v>
      </c>
      <c r="W39" s="264">
        <v>0.24</v>
      </c>
      <c r="X39" s="264">
        <v>0.24</v>
      </c>
      <c r="Y39" s="264">
        <v>0.24</v>
      </c>
      <c r="Z39" s="264">
        <v>0.24</v>
      </c>
      <c r="AA39" s="130">
        <f t="shared" si="0"/>
        <v>0.25125000000000003</v>
      </c>
      <c r="AB39" s="58">
        <f>IF(AA39=" "," ",IF('c-form'!AE15="",AA39,AA39+'c-form'!AE15))</f>
        <v>337.85125000000005</v>
      </c>
      <c r="AC39" s="58">
        <f>IF(AA39=" "," ",IF('c-form'!AE15="",AM39,AM39+'c-form'!AE15))</f>
        <v>337.86</v>
      </c>
      <c r="AD39" s="150">
        <f t="shared" si="7"/>
        <v>1</v>
      </c>
      <c r="AE39" s="58">
        <f>IF(AA39=" "," ",IF('c-form'!AE15="",AN39,AN39+'c-form'!AE15))</f>
        <v>337.84000000000003</v>
      </c>
      <c r="AF39" s="150">
        <f t="shared" si="8"/>
        <v>18</v>
      </c>
      <c r="AG39" s="226"/>
      <c r="AH39" s="226"/>
      <c r="AI39" s="226"/>
      <c r="AJ39" s="226"/>
      <c r="AK39" s="226"/>
      <c r="AL39" s="226"/>
      <c r="AM39" s="226">
        <f>IF(AB39=" "," ",MAX(C39:Z39))</f>
        <v>0.26</v>
      </c>
      <c r="AN39" s="104">
        <f t="shared" si="4"/>
        <v>0.24</v>
      </c>
      <c r="AO39" s="226"/>
    </row>
    <row r="40" spans="1:41" ht="22.5" customHeight="1">
      <c r="A40" s="103"/>
      <c r="B40" s="142">
        <v>28</v>
      </c>
      <c r="C40" s="264">
        <v>0.23</v>
      </c>
      <c r="D40" s="264">
        <v>0.23</v>
      </c>
      <c r="E40" s="264">
        <v>0.23</v>
      </c>
      <c r="F40" s="264">
        <v>0.23</v>
      </c>
      <c r="G40" s="264">
        <v>0.23</v>
      </c>
      <c r="H40" s="264">
        <v>0.23</v>
      </c>
      <c r="I40" s="264">
        <v>0.23</v>
      </c>
      <c r="J40" s="264">
        <v>0.23</v>
      </c>
      <c r="K40" s="264">
        <v>0.23</v>
      </c>
      <c r="L40" s="264">
        <v>0.23</v>
      </c>
      <c r="M40" s="264">
        <v>0.23</v>
      </c>
      <c r="N40" s="264">
        <v>0.23</v>
      </c>
      <c r="O40" s="264">
        <v>0.23</v>
      </c>
      <c r="P40" s="264">
        <v>0.23</v>
      </c>
      <c r="Q40" s="264">
        <v>0.23</v>
      </c>
      <c r="R40" s="264">
        <v>0.23</v>
      </c>
      <c r="S40" s="264">
        <v>0.23</v>
      </c>
      <c r="T40" s="264">
        <v>0.23</v>
      </c>
      <c r="U40" s="264">
        <v>0.23</v>
      </c>
      <c r="V40" s="264">
        <v>0.23</v>
      </c>
      <c r="W40" s="264">
        <v>0.23</v>
      </c>
      <c r="X40" s="264">
        <v>0.23</v>
      </c>
      <c r="Y40" s="264">
        <v>0.23</v>
      </c>
      <c r="Z40" s="264">
        <v>0.23</v>
      </c>
      <c r="AA40" s="130">
        <f t="shared" si="0"/>
        <v>0.23000000000000012</v>
      </c>
      <c r="AB40" s="58">
        <f>IF(AA40=" "," ",IF('c-form'!AE15="",AA40,AA40+'c-form'!AE15))</f>
        <v>337.83000000000004</v>
      </c>
      <c r="AC40" s="58">
        <f>IF(AA40=" "," ",IF('c-form'!AE15="",AM40,AM40+'c-form'!AE15))</f>
        <v>337.83000000000004</v>
      </c>
      <c r="AD40" s="150">
        <f t="shared" si="7"/>
        <v>1</v>
      </c>
      <c r="AE40" s="58">
        <f>IF(AA40=" "," ",IF('c-form'!AE15="",AN40,AN40+'c-form'!AE15))</f>
        <v>337.83000000000004</v>
      </c>
      <c r="AF40" s="150">
        <f t="shared" si="8"/>
        <v>1</v>
      </c>
      <c r="AG40" s="226"/>
      <c r="AH40" s="226"/>
      <c r="AI40" s="226"/>
      <c r="AJ40" s="226"/>
      <c r="AK40" s="226"/>
      <c r="AL40" s="226"/>
      <c r="AM40" s="226">
        <f t="shared" si="2"/>
        <v>0.23</v>
      </c>
      <c r="AN40" s="104">
        <f t="shared" si="4"/>
        <v>0.23</v>
      </c>
      <c r="AO40" s="226"/>
    </row>
    <row r="41" spans="1:41" ht="22.5" customHeight="1">
      <c r="A41" s="103"/>
      <c r="B41" s="142">
        <v>29</v>
      </c>
      <c r="C41" s="264">
        <v>0.23</v>
      </c>
      <c r="D41" s="264">
        <v>0.23</v>
      </c>
      <c r="E41" s="264">
        <v>0.23</v>
      </c>
      <c r="F41" s="264">
        <v>0.23</v>
      </c>
      <c r="G41" s="264">
        <v>0.23</v>
      </c>
      <c r="H41" s="264">
        <v>0.23</v>
      </c>
      <c r="I41" s="264">
        <v>0.23</v>
      </c>
      <c r="J41" s="264">
        <v>0.23</v>
      </c>
      <c r="K41" s="264">
        <v>0.23</v>
      </c>
      <c r="L41" s="264">
        <v>0.23</v>
      </c>
      <c r="M41" s="264">
        <v>0.23</v>
      </c>
      <c r="N41" s="264">
        <v>0.23</v>
      </c>
      <c r="O41" s="264">
        <v>0.24</v>
      </c>
      <c r="P41" s="264">
        <v>0.24</v>
      </c>
      <c r="Q41" s="264">
        <v>0.24</v>
      </c>
      <c r="R41" s="264">
        <v>0.24</v>
      </c>
      <c r="S41" s="264">
        <v>0.24</v>
      </c>
      <c r="T41" s="264">
        <v>0.24</v>
      </c>
      <c r="U41" s="264">
        <v>0.24</v>
      </c>
      <c r="V41" s="264">
        <v>0.24</v>
      </c>
      <c r="W41" s="264">
        <v>0.24</v>
      </c>
      <c r="X41" s="264">
        <v>0.24</v>
      </c>
      <c r="Y41" s="264">
        <v>0.24</v>
      </c>
      <c r="Z41" s="264">
        <v>0.24</v>
      </c>
      <c r="AA41" s="130">
        <f t="shared" si="0"/>
        <v>0.2350000000000001</v>
      </c>
      <c r="AB41" s="58">
        <f>IF(AA41=" "," ",IF('c-form'!AE15="",AA41,AA41+'c-form'!AE15))</f>
        <v>337.83500000000004</v>
      </c>
      <c r="AC41" s="58">
        <f>IF(AA41=" "," ",IF('c-form'!AE15="",AM41,AM41+'c-form'!AE15))</f>
        <v>337.84000000000003</v>
      </c>
      <c r="AD41" s="150">
        <f t="shared" si="7"/>
        <v>13</v>
      </c>
      <c r="AE41" s="58">
        <f>IF(AA41=" "," ",IF('c-form'!AE15="",AN41,AN41+'c-form'!AE15))</f>
        <v>337.83000000000004</v>
      </c>
      <c r="AF41" s="150">
        <f t="shared" si="8"/>
        <v>1</v>
      </c>
      <c r="AG41" s="226"/>
      <c r="AH41" s="226"/>
      <c r="AI41" s="226"/>
      <c r="AJ41" s="226"/>
      <c r="AK41" s="226"/>
      <c r="AL41" s="226"/>
      <c r="AM41" s="226">
        <f>IF(AB41=" "," ",MAX(C41:Z41))</f>
        <v>0.24</v>
      </c>
      <c r="AN41" s="104">
        <f t="shared" si="4"/>
        <v>0.23</v>
      </c>
      <c r="AO41" s="226"/>
    </row>
    <row r="42" spans="1:41" ht="22.5" customHeight="1">
      <c r="A42" s="103"/>
      <c r="B42" s="142">
        <v>30</v>
      </c>
      <c r="C42" s="264">
        <v>0.25</v>
      </c>
      <c r="D42" s="264">
        <v>0.25</v>
      </c>
      <c r="E42" s="264">
        <v>0.25</v>
      </c>
      <c r="F42" s="264">
        <v>0.25</v>
      </c>
      <c r="G42" s="264">
        <v>0.25</v>
      </c>
      <c r="H42" s="264">
        <v>0.25</v>
      </c>
      <c r="I42" s="264">
        <v>0.25</v>
      </c>
      <c r="J42" s="264">
        <v>0.25</v>
      </c>
      <c r="K42" s="264">
        <v>0.25</v>
      </c>
      <c r="L42" s="264">
        <v>0.25</v>
      </c>
      <c r="M42" s="264">
        <v>0.25</v>
      </c>
      <c r="N42" s="264">
        <v>0.25</v>
      </c>
      <c r="O42" s="264">
        <v>0.24</v>
      </c>
      <c r="P42" s="264">
        <v>0.24</v>
      </c>
      <c r="Q42" s="264">
        <v>0.24</v>
      </c>
      <c r="R42" s="264">
        <v>0.24</v>
      </c>
      <c r="S42" s="264">
        <v>0.24</v>
      </c>
      <c r="T42" s="264">
        <v>0.24</v>
      </c>
      <c r="U42" s="264">
        <v>0.24</v>
      </c>
      <c r="V42" s="264">
        <v>0.24</v>
      </c>
      <c r="W42" s="264">
        <v>0.24</v>
      </c>
      <c r="X42" s="264">
        <v>0.24</v>
      </c>
      <c r="Y42" s="264">
        <v>0.24</v>
      </c>
      <c r="Z42" s="264">
        <v>0.24</v>
      </c>
      <c r="AA42" s="130">
        <f>IF(ISERROR(AVERAGE(C42:Z42))," ",AVERAGE(C42:Z42))</f>
        <v>0.24500000000000011</v>
      </c>
      <c r="AB42" s="58">
        <f>IF(AA42=" "," ",IF('c-form'!AE15="",AA42,AA42+'c-form'!AE15))</f>
        <v>337.84500000000003</v>
      </c>
      <c r="AC42" s="58">
        <f>IF(AM42=" "," ",IF('c-form'!AE15="",AA42,AM42+'c-form'!AE15))</f>
        <v>337.85</v>
      </c>
      <c r="AD42" s="150">
        <f>IF(AB42=" "," ",MATCH(AM42,C42:Z42,0))</f>
        <v>1</v>
      </c>
      <c r="AE42" s="58">
        <f>IF(AN42=" "," ",IF('c-form'!AE15="",AA42,AN42+'c-form'!AE15))</f>
        <v>337.84000000000003</v>
      </c>
      <c r="AF42" s="150">
        <f>IF(AD42=" "," ",MATCH(AN42,C42:Z42,0))</f>
        <v>13</v>
      </c>
      <c r="AG42" s="226"/>
      <c r="AH42" s="226"/>
      <c r="AI42" s="226"/>
      <c r="AJ42" s="226"/>
      <c r="AK42" s="226"/>
      <c r="AL42" s="226"/>
      <c r="AM42" s="226">
        <f t="shared" si="2"/>
        <v>0.25</v>
      </c>
      <c r="AN42" s="104">
        <f t="shared" si="4"/>
        <v>0.24</v>
      </c>
      <c r="AO42" s="226"/>
    </row>
    <row r="43" spans="1:41" ht="25.5" customHeight="1">
      <c r="A43" s="103"/>
      <c r="B43" s="142">
        <v>31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0" t="str">
        <f>IF(ISERR(AVERAGE(C43:Z43))," ",AVERAGE(C43:Z43))</f>
        <v xml:space="preserve"> </v>
      </c>
      <c r="AB43" s="58" t="str">
        <f>IF(AA43=" "," ",IF('c-form'!AE15="",AA43,AA43+'c-form'!AE15))</f>
        <v xml:space="preserve"> </v>
      </c>
      <c r="AC43" s="58" t="str">
        <f>IF(AM43=" "," ",IF('c-form'!AE15="",AA43,AM43+'c-form'!AE15))</f>
        <v xml:space="preserve"> </v>
      </c>
      <c r="AD43" s="150" t="str">
        <f>IF(AB43=" "," ",MATCH(AM43,C43:Z43,0))</f>
        <v xml:space="preserve"> </v>
      </c>
      <c r="AE43" s="58" t="str">
        <f>IF(AN43=" "," ",IF('c-form'!AE15="",AA43,AN43+'c-form'!AE15))</f>
        <v xml:space="preserve"> </v>
      </c>
      <c r="AF43" s="150" t="str">
        <f>IF(AD43=" "," ",MATCH(AN43,C43:Z43,0))</f>
        <v xml:space="preserve"> </v>
      </c>
      <c r="AG43" s="226"/>
      <c r="AH43" s="226"/>
      <c r="AI43" s="226"/>
      <c r="AJ43" s="226"/>
      <c r="AK43" s="226"/>
      <c r="AL43" s="226"/>
      <c r="AM43" s="226" t="str">
        <f t="shared" si="2"/>
        <v xml:space="preserve"> </v>
      </c>
      <c r="AN43" s="104" t="str">
        <f t="shared" si="4"/>
        <v xml:space="preserve"> </v>
      </c>
      <c r="AO43" s="226"/>
    </row>
    <row r="44" spans="1:41" s="103" customFormat="1" ht="9.75" customHeight="1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</row>
    <row r="45" spans="1:41" s="75" customFormat="1" ht="23.25" customHeight="1">
      <c r="A45" s="152"/>
      <c r="B45" s="372" t="s">
        <v>68</v>
      </c>
      <c r="C45" s="372"/>
      <c r="D45" s="372"/>
      <c r="E45" s="371">
        <f>IF(COUNT(AC11:AC43)=0," ",MAX(AC11:AC43))</f>
        <v>338.34000000000003</v>
      </c>
      <c r="F45" s="372"/>
      <c r="G45" s="153" t="s">
        <v>70</v>
      </c>
      <c r="H45" s="154" t="str">
        <f>'c-form'!AF15</f>
        <v>MSL.</v>
      </c>
      <c r="I45" s="152" t="s">
        <v>71</v>
      </c>
      <c r="J45" s="152"/>
      <c r="K45" s="152" t="s">
        <v>127</v>
      </c>
      <c r="L45" s="154">
        <f>IF(COUNT(AC11:AC43)=0," ",INDEX(B11:B43,AM45))</f>
        <v>12</v>
      </c>
      <c r="M45" s="69" t="s">
        <v>298</v>
      </c>
      <c r="N45" s="200" t="s">
        <v>288</v>
      </c>
      <c r="O45" s="202">
        <f>IF(COUNT(AC11:AC43)=0," ",INDEX(AD11:AD43,AM45))</f>
        <v>10</v>
      </c>
      <c r="P45" s="372" t="s">
        <v>72</v>
      </c>
      <c r="Q45" s="372"/>
      <c r="R45" s="372"/>
      <c r="S45" s="373">
        <f>IF(COUNT(AC11:AC43)=0," ",AVERAGE(AB11:AB43))</f>
        <v>337.86623611111105</v>
      </c>
      <c r="T45" s="311"/>
      <c r="U45" s="153" t="s">
        <v>70</v>
      </c>
      <c r="V45" s="154" t="str">
        <f>'c-form'!AF15</f>
        <v>MSL.</v>
      </c>
      <c r="W45" s="152" t="s">
        <v>71</v>
      </c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M45" s="75">
        <f>MATCH(E45,AC11:AC43,0)</f>
        <v>13</v>
      </c>
      <c r="AN45" s="99"/>
    </row>
    <row r="46" spans="1:41" s="75" customFormat="1" ht="20.100000000000001" customHeight="1">
      <c r="A46" s="152"/>
      <c r="B46" s="372" t="s">
        <v>69</v>
      </c>
      <c r="C46" s="372"/>
      <c r="D46" s="372"/>
      <c r="E46" s="371">
        <f>IF(COUNT(AC11:AC43)=0," ",MIN(AE11:AE43))</f>
        <v>337.76000000000005</v>
      </c>
      <c r="F46" s="372"/>
      <c r="G46" s="153" t="s">
        <v>70</v>
      </c>
      <c r="H46" s="154" t="str">
        <f>'c-form'!AF15</f>
        <v>MSL.</v>
      </c>
      <c r="I46" s="152" t="s">
        <v>71</v>
      </c>
      <c r="J46" s="152"/>
      <c r="K46" s="152" t="s">
        <v>127</v>
      </c>
      <c r="L46" s="154">
        <f>IF(COUNT(AC11:AC43)=0," ",INDEX(B11:B43,AM46))</f>
        <v>10</v>
      </c>
      <c r="M46" s="69" t="s">
        <v>298</v>
      </c>
      <c r="N46" s="200" t="s">
        <v>288</v>
      </c>
      <c r="O46" s="202">
        <f>IF(COUNT(AC11:AC43)=0," ",INDEX(AF11:AF43,AM46))</f>
        <v>13</v>
      </c>
      <c r="P46" s="372" t="s">
        <v>73</v>
      </c>
      <c r="Q46" s="372"/>
      <c r="R46" s="152"/>
      <c r="S46" s="152"/>
      <c r="T46" s="152"/>
      <c r="U46" s="152"/>
      <c r="V46" s="152"/>
      <c r="W46" s="152"/>
      <c r="X46" s="152"/>
      <c r="Y46" s="152"/>
      <c r="Z46" s="152"/>
      <c r="AA46" s="152" t="s">
        <v>74</v>
      </c>
      <c r="AB46" s="100"/>
      <c r="AC46" s="100"/>
      <c r="AD46" s="100"/>
      <c r="AE46" s="100"/>
      <c r="AF46" s="100"/>
      <c r="AG46" s="152"/>
      <c r="AM46" s="75">
        <f>MATCH(E46,AE11:AE43,0)</f>
        <v>10</v>
      </c>
    </row>
    <row r="47" spans="1:41" ht="20.100000000000001" customHeight="1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</row>
    <row r="48" spans="1:41" ht="20.100000000000001" customHeight="1">
      <c r="A48" s="155"/>
      <c r="B48" s="155"/>
      <c r="C48" s="155"/>
      <c r="D48" s="155"/>
      <c r="E48" s="156"/>
      <c r="F48" s="157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</row>
    <row r="49" spans="1:33" ht="20.100000000000001" customHeight="1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</row>
    <row r="50" spans="1:33">
      <c r="A50" s="155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</row>
    <row r="51" spans="1:33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</row>
    <row r="52" spans="1:33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</row>
    <row r="53" spans="1:33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</row>
    <row r="54" spans="1:33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</row>
    <row r="55" spans="1:33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</row>
    <row r="56" spans="1:33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</row>
    <row r="57" spans="1:33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</row>
    <row r="58" spans="1:33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</row>
    <row r="59" spans="1:33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</row>
    <row r="60" spans="1:33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</row>
  </sheetData>
  <sheetProtection password="D965" sheet="1" objects="1" scenarios="1"/>
  <mergeCells count="32">
    <mergeCell ref="AE7:AG7"/>
    <mergeCell ref="AE4:AG4"/>
    <mergeCell ref="AD1:AE1"/>
    <mergeCell ref="B2:D2"/>
    <mergeCell ref="E2:AC2"/>
    <mergeCell ref="G5:H5"/>
    <mergeCell ref="J5:N5"/>
    <mergeCell ref="P5:S5"/>
    <mergeCell ref="U5:W5"/>
    <mergeCell ref="Y5:Z5"/>
    <mergeCell ref="B9:B10"/>
    <mergeCell ref="C9:Z9"/>
    <mergeCell ref="AA5:AC5"/>
    <mergeCell ref="C5:E5"/>
    <mergeCell ref="S7:V7"/>
    <mergeCell ref="W7:X7"/>
    <mergeCell ref="AC7:AD7"/>
    <mergeCell ref="P7:R7"/>
    <mergeCell ref="G7:H7"/>
    <mergeCell ref="L7:O7"/>
    <mergeCell ref="AB9:AC9"/>
    <mergeCell ref="AD9:AF9"/>
    <mergeCell ref="B46:D46"/>
    <mergeCell ref="E46:F46"/>
    <mergeCell ref="P46:Q46"/>
    <mergeCell ref="S45:T45"/>
    <mergeCell ref="B45:D45"/>
    <mergeCell ref="E45:F45"/>
    <mergeCell ref="P45:R45"/>
    <mergeCell ref="B7:C7"/>
    <mergeCell ref="D7:E7"/>
    <mergeCell ref="AA9:AA10"/>
  </mergeCells>
  <phoneticPr fontId="0" type="noConversion"/>
  <pageMargins left="0.59055118110236227" right="0.15748031496062992" top="0.39370078740157483" bottom="0.39370078740157483" header="0.31496062992125984" footer="0.31496062992125984"/>
  <pageSetup paperSize="9" scale="55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O49"/>
  <sheetViews>
    <sheetView showGridLines="0" showRowColHeaders="0" zoomScaleNormal="100" workbookViewId="0">
      <pane xSplit="2" ySplit="10" topLeftCell="G30" activePane="bottomRight" state="frozen"/>
      <selection pane="topRight" activeCell="C1" sqref="C1"/>
      <selection pane="bottomLeft" activeCell="A11" sqref="A11"/>
      <selection pane="bottomRight" activeCell="Q38" sqref="Q38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7.28515625" customWidth="1"/>
    <col min="34" max="34" width="0.5703125" hidden="1" customWidth="1"/>
    <col min="35" max="37" width="9.140625" hidden="1" customWidth="1"/>
    <col min="38" max="38" width="0" hidden="1" customWidth="1"/>
    <col min="39" max="39" width="8.5703125" hidden="1" customWidth="1"/>
    <col min="40" max="40" width="9.5703125" hidden="1" customWidth="1"/>
  </cols>
  <sheetData>
    <row r="1" spans="1:40" s="85" customFormat="1" ht="9" customHeight="1">
      <c r="AD1" s="344" t="s">
        <v>108</v>
      </c>
      <c r="AE1" s="345"/>
    </row>
    <row r="2" spans="1:40" s="85" customFormat="1" ht="21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0" s="85" customFormat="1" ht="20.25" customHeight="1">
      <c r="B3" s="343" t="s">
        <v>106</v>
      </c>
      <c r="C3" s="343"/>
      <c r="D3" s="343"/>
    </row>
    <row r="4" spans="1:40" s="85" customFormat="1" ht="20.25" customHeight="1">
      <c r="F4" s="86"/>
      <c r="AD4" s="159" t="s">
        <v>123</v>
      </c>
      <c r="AE4" s="315"/>
      <c r="AF4" s="315"/>
      <c r="AG4" s="353"/>
    </row>
    <row r="5" spans="1:40" s="74" customFormat="1" ht="21.75" customHeight="1">
      <c r="B5" s="75" t="s">
        <v>109</v>
      </c>
      <c r="C5" s="318" t="str">
        <f>IF(ISBLANK(rsteam),"",rsteam)</f>
        <v>Nam  Ping</v>
      </c>
      <c r="D5" s="311"/>
      <c r="E5" s="311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19" t="str">
        <f>IF(TRIM('HourGH-APR'!Y5)="","",'HourGH-APR'!Y5)</f>
        <v>เหนือตอนบน</v>
      </c>
      <c r="Z5" s="320"/>
      <c r="AA5" s="321" t="s">
        <v>124</v>
      </c>
      <c r="AB5" s="321"/>
      <c r="AC5" s="321"/>
      <c r="AD5" s="160"/>
      <c r="AE5" s="160"/>
      <c r="AF5" s="160"/>
    </row>
    <row r="6" spans="1:40" s="74" customFormat="1" ht="12" customHeight="1">
      <c r="B6" s="75"/>
      <c r="C6" s="75"/>
      <c r="D6" s="79"/>
      <c r="E6" s="79"/>
      <c r="F6" s="75"/>
      <c r="G6" s="79"/>
      <c r="AD6" s="160"/>
      <c r="AE6" s="160"/>
      <c r="AF6" s="160"/>
    </row>
    <row r="7" spans="1:40" s="74" customFormat="1" ht="22.5" customHeight="1">
      <c r="B7" s="324" t="s">
        <v>116</v>
      </c>
      <c r="C7" s="324"/>
      <c r="D7" s="325" t="s">
        <v>55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27" t="str">
        <f>IF(TRIM('HourGH-APR'!P7)="","",'HourGH-APR'!P7)</f>
        <v>ล่าง</v>
      </c>
      <c r="Q7" s="322"/>
      <c r="R7" s="322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74" t="s">
        <v>122</v>
      </c>
      <c r="AC7" s="317" t="s">
        <v>125</v>
      </c>
      <c r="AD7" s="300"/>
      <c r="AE7" s="315"/>
      <c r="AF7" s="315"/>
      <c r="AG7" s="316"/>
    </row>
    <row r="8" spans="1:40" s="85" customFormat="1" ht="15.75" customHeight="1"/>
    <row r="9" spans="1:40" s="92" customFormat="1" ht="30.75" customHeight="1">
      <c r="A9" s="91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0" s="92" customFormat="1" ht="21" customHeight="1">
      <c r="A10" s="91"/>
      <c r="B10" s="338"/>
      <c r="C10" s="97">
        <v>1</v>
      </c>
      <c r="D10" s="97">
        <v>2</v>
      </c>
      <c r="E10" s="97">
        <v>3</v>
      </c>
      <c r="F10" s="97">
        <v>4</v>
      </c>
      <c r="G10" s="97">
        <v>5</v>
      </c>
      <c r="H10" s="97">
        <v>6</v>
      </c>
      <c r="I10" s="97">
        <v>7</v>
      </c>
      <c r="J10" s="97">
        <v>8</v>
      </c>
      <c r="K10" s="97">
        <v>9</v>
      </c>
      <c r="L10" s="97">
        <v>10</v>
      </c>
      <c r="M10" s="97">
        <v>11</v>
      </c>
      <c r="N10" s="97">
        <v>12</v>
      </c>
      <c r="O10" s="97">
        <v>13</v>
      </c>
      <c r="P10" s="97">
        <v>14</v>
      </c>
      <c r="Q10" s="97">
        <v>15</v>
      </c>
      <c r="R10" s="97">
        <v>16</v>
      </c>
      <c r="S10" s="97">
        <v>17</v>
      </c>
      <c r="T10" s="97">
        <v>18</v>
      </c>
      <c r="U10" s="97">
        <v>19</v>
      </c>
      <c r="V10" s="97">
        <v>20</v>
      </c>
      <c r="W10" s="97">
        <v>21</v>
      </c>
      <c r="X10" s="97">
        <v>22</v>
      </c>
      <c r="Y10" s="97">
        <v>23</v>
      </c>
      <c r="Z10" s="97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0" ht="22.5" customHeight="1">
      <c r="A11" s="60"/>
      <c r="B11" s="132">
        <v>1</v>
      </c>
      <c r="C11" s="264">
        <v>0.56999999999999995</v>
      </c>
      <c r="D11" s="264">
        <v>0.56999999999999995</v>
      </c>
      <c r="E11" s="264">
        <v>0.56999999999999995</v>
      </c>
      <c r="F11" s="264">
        <v>0.56999999999999995</v>
      </c>
      <c r="G11" s="264">
        <v>0.56999999999999995</v>
      </c>
      <c r="H11" s="264">
        <v>0.56999999999999995</v>
      </c>
      <c r="I11" s="264">
        <v>0.56999999999999995</v>
      </c>
      <c r="J11" s="264">
        <v>0.56999999999999995</v>
      </c>
      <c r="K11" s="264">
        <v>0.56999999999999995</v>
      </c>
      <c r="L11" s="264">
        <v>0.56999999999999995</v>
      </c>
      <c r="M11" s="264">
        <v>0.56999999999999995</v>
      </c>
      <c r="N11" s="264">
        <v>0.56999999999999995</v>
      </c>
      <c r="O11" s="264">
        <v>0.56999999999999995</v>
      </c>
      <c r="P11" s="264">
        <v>0.56999999999999995</v>
      </c>
      <c r="Q11" s="264">
        <v>0.56999999999999995</v>
      </c>
      <c r="R11" s="264">
        <v>0.56999999999999995</v>
      </c>
      <c r="S11" s="264">
        <v>0.56999999999999995</v>
      </c>
      <c r="T11" s="264">
        <v>0.56999999999999995</v>
      </c>
      <c r="U11" s="264">
        <v>0.56999999999999995</v>
      </c>
      <c r="V11" s="264">
        <v>0.56999999999999995</v>
      </c>
      <c r="W11" s="264">
        <v>0.56999999999999995</v>
      </c>
      <c r="X11" s="264">
        <v>0.56999999999999995</v>
      </c>
      <c r="Y11" s="264">
        <v>0.56999999999999995</v>
      </c>
      <c r="Z11" s="264">
        <v>0.56999999999999995</v>
      </c>
      <c r="AA11" s="57">
        <f t="shared" ref="AA11:AA41" si="0">IF(ISERROR(AVERAGE(C11:Z11))," ",AVERAGE(C11:Z11))</f>
        <v>0.57000000000000017</v>
      </c>
      <c r="AB11" s="58">
        <f>IF(AA11=" "," ",IF('c-form'!AE15="",AA11,AA11+'c-form'!AE15))</f>
        <v>338.17</v>
      </c>
      <c r="AC11" s="58">
        <f>IF(AA11=" "," ",IF('c-form'!AE15="",AM11,AM11+'c-form'!AE15))</f>
        <v>338.17</v>
      </c>
      <c r="AD11" s="150">
        <f>IF(AB11=" "," ",MATCH(AM11,C11:Z11,0))</f>
        <v>1</v>
      </c>
      <c r="AE11" s="58">
        <f>IF(AA11=" "," ",IF('c-form'!AE15="",AN11,AN11+'c-form'!AE15))</f>
        <v>338.17</v>
      </c>
      <c r="AF11" s="150">
        <f t="shared" ref="AF11:AF20" si="1">IF(AD11=" "," ",MATCH(AN11,C11:Z11,0))</f>
        <v>1</v>
      </c>
      <c r="AM11">
        <f>IF(AB11=" "," ",MAX(C11:Z11))</f>
        <v>0.56999999999999995</v>
      </c>
      <c r="AN11" s="54">
        <f>IF(AB11=" "," ",MIN(C11:Z11))</f>
        <v>0.56999999999999995</v>
      </c>
    </row>
    <row r="12" spans="1:40" ht="22.5" customHeight="1">
      <c r="A12" s="60"/>
      <c r="B12" s="132">
        <v>2</v>
      </c>
      <c r="C12" s="264">
        <v>0.56999999999999995</v>
      </c>
      <c r="D12" s="264">
        <v>0.56999999999999995</v>
      </c>
      <c r="E12" s="264">
        <v>0.56999999999999995</v>
      </c>
      <c r="F12" s="264">
        <v>0.56999999999999995</v>
      </c>
      <c r="G12" s="264">
        <v>0.56999999999999995</v>
      </c>
      <c r="H12" s="264">
        <v>0.56999999999999995</v>
      </c>
      <c r="I12" s="264">
        <v>0.56999999999999995</v>
      </c>
      <c r="J12" s="264">
        <v>0.56999999999999995</v>
      </c>
      <c r="K12" s="264">
        <v>0.56999999999999995</v>
      </c>
      <c r="L12" s="264">
        <v>0.56999999999999995</v>
      </c>
      <c r="M12" s="264">
        <v>0.56999999999999995</v>
      </c>
      <c r="N12" s="264">
        <v>0.56999999999999995</v>
      </c>
      <c r="O12" s="264">
        <v>0.56999999999999995</v>
      </c>
      <c r="P12" s="264">
        <v>0.56999999999999995</v>
      </c>
      <c r="Q12" s="264">
        <v>0.56999999999999995</v>
      </c>
      <c r="R12" s="264">
        <v>0.56999999999999995</v>
      </c>
      <c r="S12" s="264">
        <v>0.56999999999999995</v>
      </c>
      <c r="T12" s="264">
        <v>0.56999999999999995</v>
      </c>
      <c r="U12" s="264">
        <v>0.56999999999999995</v>
      </c>
      <c r="V12" s="264">
        <v>0.56999999999999995</v>
      </c>
      <c r="W12" s="264">
        <v>0.56999999999999995</v>
      </c>
      <c r="X12" s="264">
        <v>0.56999999999999995</v>
      </c>
      <c r="Y12" s="264">
        <v>0.56999999999999995</v>
      </c>
      <c r="Z12" s="264">
        <v>0.56999999999999995</v>
      </c>
      <c r="AA12" s="57">
        <f t="shared" si="0"/>
        <v>0.57000000000000017</v>
      </c>
      <c r="AB12" s="58">
        <f>IF(AA12=" "," ",IF('c-form'!AE15="",AA12,AA12+'c-form'!AE15))</f>
        <v>338.17</v>
      </c>
      <c r="AC12" s="58">
        <f>IF(AA12=" "," ",IF('c-form'!AE15="",AM12,AM12+'c-form'!AE15))</f>
        <v>338.17</v>
      </c>
      <c r="AD12" s="150">
        <f>IF(AB12=" "," ",MATCH(AM12,C12:Z12,0))</f>
        <v>1</v>
      </c>
      <c r="AE12" s="58">
        <f>IF(AA12=" "," ",IF('c-form'!AE15="",AN12,AN12+'c-form'!AE15))</f>
        <v>338.17</v>
      </c>
      <c r="AF12" s="150">
        <f t="shared" si="1"/>
        <v>1</v>
      </c>
      <c r="AM12">
        <f t="shared" ref="AM12:AM43" si="2">IF(AB12=" "," ",MAX(C12:Z12))</f>
        <v>0.56999999999999995</v>
      </c>
      <c r="AN12" s="54">
        <f>IF(AB12=" "," ",MIN(C12:Z12))</f>
        <v>0.56999999999999995</v>
      </c>
    </row>
    <row r="13" spans="1:40" ht="22.5" customHeight="1">
      <c r="A13" s="60"/>
      <c r="B13" s="132">
        <v>3</v>
      </c>
      <c r="C13" s="264">
        <v>0.57999999999999996</v>
      </c>
      <c r="D13" s="264">
        <v>0.57999999999999996</v>
      </c>
      <c r="E13" s="264">
        <v>0.57999999999999996</v>
      </c>
      <c r="F13" s="264">
        <v>0.57999999999999996</v>
      </c>
      <c r="G13" s="264">
        <v>0.57999999999999996</v>
      </c>
      <c r="H13" s="264">
        <v>0.57999999999999996</v>
      </c>
      <c r="I13" s="264">
        <v>0.57999999999999996</v>
      </c>
      <c r="J13" s="264">
        <v>0.57999999999999996</v>
      </c>
      <c r="K13" s="264">
        <v>0.57999999999999996</v>
      </c>
      <c r="L13" s="264">
        <v>0.57999999999999996</v>
      </c>
      <c r="M13" s="264">
        <v>0.57999999999999996</v>
      </c>
      <c r="N13" s="264">
        <v>0.57999999999999996</v>
      </c>
      <c r="O13" s="264">
        <v>0.57999999999999996</v>
      </c>
      <c r="P13" s="264">
        <v>0.57999999999999996</v>
      </c>
      <c r="Q13" s="264">
        <v>0.57999999999999996</v>
      </c>
      <c r="R13" s="264">
        <v>0.57999999999999996</v>
      </c>
      <c r="S13" s="264">
        <v>0.57999999999999996</v>
      </c>
      <c r="T13" s="264">
        <v>0.57999999999999996</v>
      </c>
      <c r="U13" s="264">
        <v>0.57999999999999996</v>
      </c>
      <c r="V13" s="264">
        <v>0.57999999999999996</v>
      </c>
      <c r="W13" s="264">
        <v>0.57999999999999996</v>
      </c>
      <c r="X13" s="264">
        <v>0.57999999999999996</v>
      </c>
      <c r="Y13" s="264">
        <v>0.57999999999999996</v>
      </c>
      <c r="Z13" s="264">
        <v>0.57999999999999996</v>
      </c>
      <c r="AA13" s="57">
        <f t="shared" si="0"/>
        <v>0.57999999999999996</v>
      </c>
      <c r="AB13" s="58">
        <f>IF(AA13=" "," ",IF('c-form'!AE15="",AA13,AA13+'c-form'!AE15))</f>
        <v>338.18</v>
      </c>
      <c r="AC13" s="58">
        <f>IF(AA13=" "," ",IF('c-form'!AE15="",AM13,AM13+'c-form'!AE15))</f>
        <v>338.18</v>
      </c>
      <c r="AD13" s="150">
        <f t="shared" ref="AD13:AD20" si="3">IF(AB13=" "," ",MATCH(AM13,C13:Z13,0))</f>
        <v>1</v>
      </c>
      <c r="AE13" s="58">
        <f>IF(AA13=" "," ",IF('c-form'!AE15="",AN13,AN13+'c-form'!AE15))</f>
        <v>338.18</v>
      </c>
      <c r="AF13" s="150">
        <f t="shared" si="1"/>
        <v>1</v>
      </c>
      <c r="AM13">
        <f t="shared" si="2"/>
        <v>0.57999999999999996</v>
      </c>
      <c r="AN13" s="54">
        <f t="shared" ref="AN13:AN43" si="4">IF(AB13=" "," ",MIN(C13:Z13))</f>
        <v>0.57999999999999996</v>
      </c>
    </row>
    <row r="14" spans="1:40" ht="22.5" customHeight="1">
      <c r="A14" s="60"/>
      <c r="B14" s="132">
        <v>4</v>
      </c>
      <c r="C14" s="264">
        <v>0.56000000000000005</v>
      </c>
      <c r="D14" s="264">
        <v>0.56000000000000005</v>
      </c>
      <c r="E14" s="264">
        <v>0.56000000000000005</v>
      </c>
      <c r="F14" s="264">
        <v>0.56000000000000005</v>
      </c>
      <c r="G14" s="264">
        <v>0.56000000000000005</v>
      </c>
      <c r="H14" s="264">
        <v>0.56000000000000005</v>
      </c>
      <c r="I14" s="264">
        <v>0.56000000000000005</v>
      </c>
      <c r="J14" s="264">
        <v>0.56000000000000005</v>
      </c>
      <c r="K14" s="264">
        <v>0.56000000000000005</v>
      </c>
      <c r="L14" s="264">
        <v>0.56000000000000005</v>
      </c>
      <c r="M14" s="264">
        <v>0.56000000000000005</v>
      </c>
      <c r="N14" s="264">
        <v>0.56000000000000005</v>
      </c>
      <c r="O14" s="264">
        <v>0.56000000000000005</v>
      </c>
      <c r="P14" s="264">
        <v>0.56000000000000005</v>
      </c>
      <c r="Q14" s="264">
        <v>0.56000000000000005</v>
      </c>
      <c r="R14" s="264">
        <v>0.56000000000000005</v>
      </c>
      <c r="S14" s="264">
        <v>0.56000000000000005</v>
      </c>
      <c r="T14" s="264">
        <v>0.56000000000000005</v>
      </c>
      <c r="U14" s="264">
        <v>0.56000000000000005</v>
      </c>
      <c r="V14" s="264">
        <v>0.56000000000000005</v>
      </c>
      <c r="W14" s="264">
        <v>0.56000000000000005</v>
      </c>
      <c r="X14" s="264">
        <v>0.56000000000000005</v>
      </c>
      <c r="Y14" s="264">
        <v>0.56000000000000005</v>
      </c>
      <c r="Z14" s="264">
        <v>0.56000000000000005</v>
      </c>
      <c r="AA14" s="57">
        <f t="shared" si="0"/>
        <v>0.56000000000000039</v>
      </c>
      <c r="AB14" s="58">
        <f>IF(AA14=" "," ",IF('c-form'!AE15="",AA14,AA14+'c-form'!AE15))</f>
        <v>338.16</v>
      </c>
      <c r="AC14" s="58">
        <f>IF(AA14=" "," ",IF('c-form'!AE15="",AM14,AM14+'c-form'!AE15))</f>
        <v>338.16</v>
      </c>
      <c r="AD14" s="150">
        <f t="shared" si="3"/>
        <v>1</v>
      </c>
      <c r="AE14" s="58">
        <f>IF(AA14=" "," ",IF('c-form'!AE15="",AN14,AN14+'c-form'!AE15))</f>
        <v>338.16</v>
      </c>
      <c r="AF14" s="150">
        <f t="shared" si="1"/>
        <v>1</v>
      </c>
      <c r="AM14">
        <f t="shared" si="2"/>
        <v>0.56000000000000005</v>
      </c>
      <c r="AN14" s="54">
        <f t="shared" si="4"/>
        <v>0.56000000000000005</v>
      </c>
    </row>
    <row r="15" spans="1:40" ht="22.5" customHeight="1">
      <c r="A15" s="60"/>
      <c r="B15" s="132">
        <v>5</v>
      </c>
      <c r="C15" s="264">
        <v>0.56999999999999995</v>
      </c>
      <c r="D15" s="264">
        <v>0.56999999999999995</v>
      </c>
      <c r="E15" s="264">
        <v>0.56999999999999995</v>
      </c>
      <c r="F15" s="264">
        <v>0.56999999999999995</v>
      </c>
      <c r="G15" s="264">
        <v>0.56999999999999995</v>
      </c>
      <c r="H15" s="264">
        <v>0.56999999999999995</v>
      </c>
      <c r="I15" s="264">
        <v>0.56999999999999995</v>
      </c>
      <c r="J15" s="264">
        <v>0.56999999999999995</v>
      </c>
      <c r="K15" s="264">
        <v>0.56999999999999995</v>
      </c>
      <c r="L15" s="264">
        <v>0.56999999999999995</v>
      </c>
      <c r="M15" s="264">
        <v>0.56999999999999995</v>
      </c>
      <c r="N15" s="264">
        <v>0.56999999999999995</v>
      </c>
      <c r="O15" s="264">
        <v>0.56000000000000005</v>
      </c>
      <c r="P15" s="264">
        <v>0.56000000000000005</v>
      </c>
      <c r="Q15" s="264">
        <v>0.56000000000000005</v>
      </c>
      <c r="R15" s="264">
        <v>0.56000000000000005</v>
      </c>
      <c r="S15" s="264">
        <v>0.56000000000000005</v>
      </c>
      <c r="T15" s="264">
        <v>0.56000000000000005</v>
      </c>
      <c r="U15" s="264">
        <v>0.55000000000000004</v>
      </c>
      <c r="V15" s="264">
        <v>0.55000000000000004</v>
      </c>
      <c r="W15" s="264">
        <v>0.55000000000000004</v>
      </c>
      <c r="X15" s="264">
        <v>0.55000000000000004</v>
      </c>
      <c r="Y15" s="264">
        <v>0.55000000000000004</v>
      </c>
      <c r="Z15" s="264">
        <v>0.55000000000000004</v>
      </c>
      <c r="AA15" s="57">
        <f t="shared" si="0"/>
        <v>0.56250000000000033</v>
      </c>
      <c r="AB15" s="58">
        <f>IF(AA15=" "," ",IF('c-form'!AE15="",AA15,AA15+'c-form'!AE15))</f>
        <v>338.16250000000002</v>
      </c>
      <c r="AC15" s="58">
        <f>IF(AA15=" "," ",IF('c-form'!AE15="",AM15,AM15+'c-form'!AE15))</f>
        <v>338.17</v>
      </c>
      <c r="AD15" s="150">
        <f t="shared" si="3"/>
        <v>1</v>
      </c>
      <c r="AE15" s="58">
        <f>IF(AA15=" "," ",IF('c-form'!AE15="",AN15,AN15+'c-form'!AE15))</f>
        <v>338.15000000000003</v>
      </c>
      <c r="AF15" s="150">
        <f t="shared" si="1"/>
        <v>19</v>
      </c>
      <c r="AM15">
        <f t="shared" si="2"/>
        <v>0.56999999999999995</v>
      </c>
      <c r="AN15" s="54">
        <f t="shared" si="4"/>
        <v>0.55000000000000004</v>
      </c>
    </row>
    <row r="16" spans="1:40" ht="22.5" customHeight="1">
      <c r="A16" s="60"/>
      <c r="B16" s="132">
        <v>6</v>
      </c>
      <c r="C16" s="264">
        <v>0.54</v>
      </c>
      <c r="D16" s="264">
        <v>0.54</v>
      </c>
      <c r="E16" s="264">
        <v>0.54</v>
      </c>
      <c r="F16" s="264">
        <v>0.54</v>
      </c>
      <c r="G16" s="264">
        <v>0.54</v>
      </c>
      <c r="H16" s="264">
        <v>0.54</v>
      </c>
      <c r="I16" s="264">
        <v>0.53</v>
      </c>
      <c r="J16" s="264">
        <v>0.53</v>
      </c>
      <c r="K16" s="264">
        <v>0.53</v>
      </c>
      <c r="L16" s="264">
        <v>0.53</v>
      </c>
      <c r="M16" s="264">
        <v>0.52</v>
      </c>
      <c r="N16" s="264">
        <v>0.52</v>
      </c>
      <c r="O16" s="264">
        <v>0.52</v>
      </c>
      <c r="P16" s="264">
        <v>0.52</v>
      </c>
      <c r="Q16" s="264">
        <v>0.51</v>
      </c>
      <c r="R16" s="264">
        <v>0.51</v>
      </c>
      <c r="S16" s="264">
        <v>0.51</v>
      </c>
      <c r="T16" s="264">
        <v>0.51</v>
      </c>
      <c r="U16" s="264">
        <v>0.5</v>
      </c>
      <c r="V16" s="264">
        <v>0.5</v>
      </c>
      <c r="W16" s="264">
        <v>0.5</v>
      </c>
      <c r="X16" s="264">
        <v>0.5</v>
      </c>
      <c r="Y16" s="264">
        <v>0.5</v>
      </c>
      <c r="Z16" s="264">
        <v>0.5</v>
      </c>
      <c r="AA16" s="57">
        <f t="shared" si="0"/>
        <v>0.51999999999999991</v>
      </c>
      <c r="AB16" s="58">
        <f>IF(AA16=" "," ",IF('c-form'!AE15="",AA16,AA16+'c-form'!AE15))</f>
        <v>338.12</v>
      </c>
      <c r="AC16" s="58">
        <f>IF(AA16=" "," ",IF('c-form'!AE15="",AM16,AM16+'c-form'!AE15))</f>
        <v>338.14000000000004</v>
      </c>
      <c r="AD16" s="150">
        <f t="shared" si="3"/>
        <v>1</v>
      </c>
      <c r="AE16" s="58">
        <f>IF(AA16=" "," ",IF('c-form'!AE15="",AN16,AN16+'c-form'!AE15))</f>
        <v>338.1</v>
      </c>
      <c r="AF16" s="150">
        <f t="shared" si="1"/>
        <v>19</v>
      </c>
      <c r="AM16">
        <f t="shared" si="2"/>
        <v>0.54</v>
      </c>
      <c r="AN16" s="54">
        <f t="shared" si="4"/>
        <v>0.5</v>
      </c>
    </row>
    <row r="17" spans="1:40" ht="22.5" customHeight="1">
      <c r="A17" s="60"/>
      <c r="B17" s="132">
        <v>7</v>
      </c>
      <c r="C17" s="264">
        <v>0.49</v>
      </c>
      <c r="D17" s="264">
        <v>0.49</v>
      </c>
      <c r="E17" s="264">
        <v>0.49</v>
      </c>
      <c r="F17" s="264">
        <v>0.49</v>
      </c>
      <c r="G17" s="264">
        <v>0.49</v>
      </c>
      <c r="H17" s="264">
        <v>0.49</v>
      </c>
      <c r="I17" s="264">
        <v>0.49</v>
      </c>
      <c r="J17" s="264">
        <v>0.49</v>
      </c>
      <c r="K17" s="264">
        <v>0.49</v>
      </c>
      <c r="L17" s="264">
        <v>0.49</v>
      </c>
      <c r="M17" s="264">
        <v>0.49</v>
      </c>
      <c r="N17" s="264">
        <v>0.48</v>
      </c>
      <c r="O17" s="264">
        <v>0.48</v>
      </c>
      <c r="P17" s="264">
        <v>0.48</v>
      </c>
      <c r="Q17" s="264">
        <v>0.48</v>
      </c>
      <c r="R17" s="264">
        <v>0.48</v>
      </c>
      <c r="S17" s="264">
        <v>0.48</v>
      </c>
      <c r="T17" s="264">
        <v>0.48</v>
      </c>
      <c r="U17" s="264">
        <v>0.48</v>
      </c>
      <c r="V17" s="264">
        <v>0.48</v>
      </c>
      <c r="W17" s="264">
        <v>0.48</v>
      </c>
      <c r="X17" s="264">
        <v>0.48</v>
      </c>
      <c r="Y17" s="264">
        <v>0.48</v>
      </c>
      <c r="Z17" s="264">
        <v>0.48</v>
      </c>
      <c r="AA17" s="57">
        <f t="shared" si="0"/>
        <v>0.48458333333333359</v>
      </c>
      <c r="AB17" s="58">
        <f>IF(AA17=" "," ",IF('c-form'!AE15="",AA17,AA17+'c-form'!AE15))</f>
        <v>338.08458333333334</v>
      </c>
      <c r="AC17" s="58">
        <f>IF(AA17=" "," ",IF('c-form'!AE15="",AM17,AM17+'c-form'!AE15))</f>
        <v>338.09000000000003</v>
      </c>
      <c r="AD17" s="150">
        <f t="shared" si="3"/>
        <v>1</v>
      </c>
      <c r="AE17" s="58">
        <f>IF(AA17=" "," ",IF('c-form'!AE15="",AN17,AN17+'c-form'!AE15))</f>
        <v>338.08000000000004</v>
      </c>
      <c r="AF17" s="150">
        <f t="shared" si="1"/>
        <v>12</v>
      </c>
      <c r="AM17">
        <f t="shared" si="2"/>
        <v>0.49</v>
      </c>
      <c r="AN17" s="54">
        <f t="shared" si="4"/>
        <v>0.48</v>
      </c>
    </row>
    <row r="18" spans="1:40" ht="22.5" customHeight="1">
      <c r="A18" s="60"/>
      <c r="B18" s="132">
        <v>8</v>
      </c>
      <c r="C18" s="264">
        <v>0.49</v>
      </c>
      <c r="D18" s="264">
        <v>0.49</v>
      </c>
      <c r="E18" s="264">
        <v>0.49</v>
      </c>
      <c r="F18" s="264">
        <v>0.49</v>
      </c>
      <c r="G18" s="264">
        <v>0.49</v>
      </c>
      <c r="H18" s="264">
        <v>0.49</v>
      </c>
      <c r="I18" s="264">
        <v>0.49</v>
      </c>
      <c r="J18" s="264">
        <v>0.49</v>
      </c>
      <c r="K18" s="264">
        <v>0.49</v>
      </c>
      <c r="L18" s="264">
        <v>0.49</v>
      </c>
      <c r="M18" s="264">
        <v>0.49</v>
      </c>
      <c r="N18" s="264">
        <v>0.49</v>
      </c>
      <c r="O18" s="264">
        <v>0.49</v>
      </c>
      <c r="P18" s="264">
        <v>0.49</v>
      </c>
      <c r="Q18" s="264">
        <v>0.49</v>
      </c>
      <c r="R18" s="264">
        <v>0.49</v>
      </c>
      <c r="S18" s="264">
        <v>0.49</v>
      </c>
      <c r="T18" s="264">
        <v>0.49</v>
      </c>
      <c r="U18" s="264">
        <v>0.49</v>
      </c>
      <c r="V18" s="264">
        <v>0.49</v>
      </c>
      <c r="W18" s="264">
        <v>0.49</v>
      </c>
      <c r="X18" s="264">
        <v>0.49</v>
      </c>
      <c r="Y18" s="264">
        <v>0.49</v>
      </c>
      <c r="Z18" s="264">
        <v>0.49</v>
      </c>
      <c r="AA18" s="57">
        <f t="shared" si="0"/>
        <v>0.49000000000000016</v>
      </c>
      <c r="AB18" s="58">
        <f>IF(AA18=" "," ",IF('c-form'!AE15="",AA18,AA18+'c-form'!AE15))</f>
        <v>338.09000000000003</v>
      </c>
      <c r="AC18" s="58">
        <f>IF(AA18=" "," ",IF('c-form'!AE15="",AM18,AM18+'c-form'!AE15))</f>
        <v>338.09000000000003</v>
      </c>
      <c r="AD18" s="150">
        <f t="shared" si="3"/>
        <v>1</v>
      </c>
      <c r="AE18" s="58">
        <f>IF(AA18=" "," ",IF('c-form'!AE15="",AN18,AN18+'c-form'!AE15))</f>
        <v>338.09000000000003</v>
      </c>
      <c r="AF18" s="150">
        <f t="shared" si="1"/>
        <v>1</v>
      </c>
      <c r="AM18">
        <f t="shared" si="2"/>
        <v>0.49</v>
      </c>
      <c r="AN18" s="54">
        <f t="shared" si="4"/>
        <v>0.49</v>
      </c>
    </row>
    <row r="19" spans="1:40" ht="22.5" customHeight="1">
      <c r="A19" s="60"/>
      <c r="B19" s="132">
        <v>9</v>
      </c>
      <c r="C19" s="264">
        <v>0.48</v>
      </c>
      <c r="D19" s="264">
        <v>0.48</v>
      </c>
      <c r="E19" s="264">
        <v>0.48</v>
      </c>
      <c r="F19" s="264">
        <v>0.48</v>
      </c>
      <c r="G19" s="264">
        <v>0.48</v>
      </c>
      <c r="H19" s="264">
        <v>0.48</v>
      </c>
      <c r="I19" s="264">
        <v>0.48</v>
      </c>
      <c r="J19" s="264">
        <v>0.49</v>
      </c>
      <c r="K19" s="264">
        <v>0.49</v>
      </c>
      <c r="L19" s="264">
        <v>0.49</v>
      </c>
      <c r="M19" s="264">
        <v>0.5</v>
      </c>
      <c r="N19" s="264">
        <v>0.5</v>
      </c>
      <c r="O19" s="264">
        <v>0.5</v>
      </c>
      <c r="P19" s="264">
        <v>0.5</v>
      </c>
      <c r="Q19" s="264">
        <v>0.51</v>
      </c>
      <c r="R19" s="264">
        <v>0.51</v>
      </c>
      <c r="S19" s="264">
        <v>0.52</v>
      </c>
      <c r="T19" s="264">
        <v>0.52</v>
      </c>
      <c r="U19" s="264">
        <v>0.53</v>
      </c>
      <c r="V19" s="264">
        <v>0.53</v>
      </c>
      <c r="W19" s="264">
        <v>0.54</v>
      </c>
      <c r="X19" s="264">
        <v>0.54</v>
      </c>
      <c r="Y19" s="264">
        <v>0.55000000000000004</v>
      </c>
      <c r="Z19" s="264">
        <v>0.55000000000000004</v>
      </c>
      <c r="AA19" s="57">
        <f t="shared" si="0"/>
        <v>0.50541666666666663</v>
      </c>
      <c r="AB19" s="58">
        <f>IF(AA19=" "," ",IF('c-form'!AE15="",AA19,AA19+'c-form'!AE15))</f>
        <v>338.10541666666671</v>
      </c>
      <c r="AC19" s="58">
        <f>IF(AA19=" "," ",IF('c-form'!AE15="",AM19,AM19+'c-form'!AE15))</f>
        <v>338.15000000000003</v>
      </c>
      <c r="AD19" s="150">
        <f t="shared" si="3"/>
        <v>23</v>
      </c>
      <c r="AE19" s="58">
        <f>IF(AA19=" "," ",IF('c-form'!AE15="",AN19,AN19+'c-form'!AE15))</f>
        <v>338.08000000000004</v>
      </c>
      <c r="AF19" s="150">
        <f t="shared" si="1"/>
        <v>1</v>
      </c>
      <c r="AM19">
        <f t="shared" si="2"/>
        <v>0.55000000000000004</v>
      </c>
      <c r="AN19" s="54">
        <f t="shared" si="4"/>
        <v>0.48</v>
      </c>
    </row>
    <row r="20" spans="1:40" ht="22.5" customHeight="1">
      <c r="A20" s="60"/>
      <c r="B20" s="132">
        <v>10</v>
      </c>
      <c r="C20" s="264">
        <v>0.56000000000000005</v>
      </c>
      <c r="D20" s="264">
        <v>0.56000000000000005</v>
      </c>
      <c r="E20" s="264">
        <v>0.56999999999999995</v>
      </c>
      <c r="F20" s="264">
        <v>0.56999999999999995</v>
      </c>
      <c r="G20" s="264">
        <v>0.57999999999999996</v>
      </c>
      <c r="H20" s="264">
        <v>0.57999999999999996</v>
      </c>
      <c r="I20" s="264">
        <v>0.57999999999999996</v>
      </c>
      <c r="J20" s="264">
        <v>0.59</v>
      </c>
      <c r="K20" s="264">
        <v>0.59</v>
      </c>
      <c r="L20" s="264">
        <v>0.59</v>
      </c>
      <c r="M20" s="264">
        <v>0.59</v>
      </c>
      <c r="N20" s="264">
        <v>0.59</v>
      </c>
      <c r="O20" s="264">
        <v>0.59</v>
      </c>
      <c r="P20" s="264">
        <v>0.59</v>
      </c>
      <c r="Q20" s="264">
        <v>0.59</v>
      </c>
      <c r="R20" s="264">
        <v>0.59</v>
      </c>
      <c r="S20" s="264">
        <v>0.59</v>
      </c>
      <c r="T20" s="264">
        <v>0.59</v>
      </c>
      <c r="U20" s="264">
        <v>0.57999999999999996</v>
      </c>
      <c r="V20" s="264">
        <v>0.57999999999999996</v>
      </c>
      <c r="W20" s="264">
        <v>0.57999999999999996</v>
      </c>
      <c r="X20" s="264">
        <v>0.57999999999999996</v>
      </c>
      <c r="Y20" s="264">
        <v>0.57999999999999996</v>
      </c>
      <c r="Z20" s="264">
        <v>0.57999999999999996</v>
      </c>
      <c r="AA20" s="57">
        <f t="shared" si="0"/>
        <v>0.58208333333333329</v>
      </c>
      <c r="AB20" s="58">
        <f>IF(AA20=" "," ",IF('c-form'!AE15="",AA20,AA20+'c-form'!AE15))</f>
        <v>338.18208333333337</v>
      </c>
      <c r="AC20" s="58">
        <f>IF(AA20=" "," ",IF('c-form'!AE15="",AM20,AM20+'c-form'!AE15))</f>
        <v>338.19</v>
      </c>
      <c r="AD20" s="150">
        <f t="shared" si="3"/>
        <v>8</v>
      </c>
      <c r="AE20" s="58">
        <f>IF(AA20=" "," ",IF('c-form'!AE15="",AN20,AN20+'c-form'!AE15))</f>
        <v>338.16</v>
      </c>
      <c r="AF20" s="150">
        <f t="shared" si="1"/>
        <v>1</v>
      </c>
      <c r="AM20">
        <f t="shared" si="2"/>
        <v>0.59</v>
      </c>
      <c r="AN20" s="54">
        <f t="shared" si="4"/>
        <v>0.56000000000000005</v>
      </c>
    </row>
    <row r="21" spans="1:40" ht="22.5" customHeight="1">
      <c r="A21" s="60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9"/>
      <c r="AC21" s="139"/>
      <c r="AD21" s="151"/>
      <c r="AE21" s="139"/>
      <c r="AF21" s="151"/>
      <c r="AM21">
        <f>IF(AB21=" "," ",MAX(C21:Z21))</f>
        <v>0</v>
      </c>
      <c r="AN21" s="54">
        <f t="shared" si="4"/>
        <v>0</v>
      </c>
    </row>
    <row r="22" spans="1:40" ht="22.5" customHeight="1">
      <c r="A22" s="60"/>
      <c r="B22" s="132">
        <v>11</v>
      </c>
      <c r="C22" s="264">
        <v>0.57999999999999996</v>
      </c>
      <c r="D22" s="264">
        <v>0.57999999999999996</v>
      </c>
      <c r="E22" s="264">
        <v>0.57999999999999996</v>
      </c>
      <c r="F22" s="264">
        <v>0.57999999999999996</v>
      </c>
      <c r="G22" s="264">
        <v>0.57999999999999996</v>
      </c>
      <c r="H22" s="264">
        <v>0.57999999999999996</v>
      </c>
      <c r="I22" s="264">
        <v>0.57999999999999996</v>
      </c>
      <c r="J22" s="264">
        <v>0.57999999999999996</v>
      </c>
      <c r="K22" s="264">
        <v>0.57999999999999996</v>
      </c>
      <c r="L22" s="264">
        <v>0.57999999999999996</v>
      </c>
      <c r="M22" s="264">
        <v>0.57999999999999996</v>
      </c>
      <c r="N22" s="264">
        <v>0.57999999999999996</v>
      </c>
      <c r="O22" s="264">
        <v>0.57999999999999996</v>
      </c>
      <c r="P22" s="264">
        <v>0.57999999999999996</v>
      </c>
      <c r="Q22" s="264">
        <v>0.57999999999999996</v>
      </c>
      <c r="R22" s="264">
        <v>0.57999999999999996</v>
      </c>
      <c r="S22" s="264">
        <v>0.57999999999999996</v>
      </c>
      <c r="T22" s="264">
        <v>0.57999999999999996</v>
      </c>
      <c r="U22" s="264">
        <v>0.57999999999999996</v>
      </c>
      <c r="V22" s="264">
        <v>0.57999999999999996</v>
      </c>
      <c r="W22" s="264">
        <v>0.57999999999999996</v>
      </c>
      <c r="X22" s="264">
        <v>0.57999999999999996</v>
      </c>
      <c r="Y22" s="264">
        <v>0.57999999999999996</v>
      </c>
      <c r="Z22" s="264">
        <v>0.57999999999999996</v>
      </c>
      <c r="AA22" s="57">
        <f t="shared" si="0"/>
        <v>0.57999999999999996</v>
      </c>
      <c r="AB22" s="58">
        <f>IF(AA22=" "," ",IF('c-form'!AE15="",AA22,AA22+'c-form'!AE15))</f>
        <v>338.18</v>
      </c>
      <c r="AC22" s="58">
        <f>IF(AA22=" "," ",IF('c-form'!AE15="",AM22,AM22+'c-form'!AE15))</f>
        <v>338.18</v>
      </c>
      <c r="AD22" s="150">
        <f t="shared" ref="AD22:AD31" si="5">IF(AB22=" "," ",MATCH(AM22,C22:Z22,0))</f>
        <v>1</v>
      </c>
      <c r="AE22" s="58">
        <f>IF(AA22=" "," ",IF('c-form'!AE15="",AN22,AN22+'c-form'!AE15))</f>
        <v>338.18</v>
      </c>
      <c r="AF22" s="150">
        <f t="shared" ref="AF22:AF31" si="6">IF(AD22=" "," ",MATCH(AN22,C22:Z22,0))</f>
        <v>1</v>
      </c>
      <c r="AM22">
        <f t="shared" si="2"/>
        <v>0.57999999999999996</v>
      </c>
      <c r="AN22" s="54">
        <f t="shared" si="4"/>
        <v>0.57999999999999996</v>
      </c>
    </row>
    <row r="23" spans="1:40" ht="22.5" customHeight="1">
      <c r="A23" s="60"/>
      <c r="B23" s="132">
        <v>12</v>
      </c>
      <c r="C23" s="264">
        <v>0.56999999999999995</v>
      </c>
      <c r="D23" s="264">
        <v>0.56999999999999995</v>
      </c>
      <c r="E23" s="264">
        <v>0.56999999999999995</v>
      </c>
      <c r="F23" s="264">
        <v>0.56999999999999995</v>
      </c>
      <c r="G23" s="264">
        <v>0.56999999999999995</v>
      </c>
      <c r="H23" s="264">
        <v>0.56999999999999995</v>
      </c>
      <c r="I23" s="264">
        <v>0.56999999999999995</v>
      </c>
      <c r="J23" s="264">
        <v>0.56999999999999995</v>
      </c>
      <c r="K23" s="264">
        <v>0.56999999999999995</v>
      </c>
      <c r="L23" s="264">
        <v>0.56999999999999995</v>
      </c>
      <c r="M23" s="264">
        <v>0.56999999999999995</v>
      </c>
      <c r="N23" s="264">
        <v>0.56999999999999995</v>
      </c>
      <c r="O23" s="264">
        <v>0.56999999999999995</v>
      </c>
      <c r="P23" s="264">
        <v>0.56999999999999995</v>
      </c>
      <c r="Q23" s="264">
        <v>0.56999999999999995</v>
      </c>
      <c r="R23" s="264">
        <v>0.56999999999999995</v>
      </c>
      <c r="S23" s="264">
        <v>0.56999999999999995</v>
      </c>
      <c r="T23" s="264">
        <v>0.56999999999999995</v>
      </c>
      <c r="U23" s="264">
        <v>0.56999999999999995</v>
      </c>
      <c r="V23" s="264">
        <v>0.56999999999999995</v>
      </c>
      <c r="W23" s="264">
        <v>0.56999999999999995</v>
      </c>
      <c r="X23" s="264">
        <v>0.56999999999999995</v>
      </c>
      <c r="Y23" s="264">
        <v>0.56999999999999995</v>
      </c>
      <c r="Z23" s="264">
        <v>0.56999999999999995</v>
      </c>
      <c r="AA23" s="57">
        <f t="shared" si="0"/>
        <v>0.57000000000000017</v>
      </c>
      <c r="AB23" s="58">
        <f>IF(AA23=" "," ",IF('c-form'!AE15="",AA23,AA23+'c-form'!AE15))</f>
        <v>338.17</v>
      </c>
      <c r="AC23" s="58">
        <f>IF(AA23=" "," ",IF('c-form'!AE15="",AM23,AM23+'c-form'!AE15))</f>
        <v>338.17</v>
      </c>
      <c r="AD23" s="150">
        <f t="shared" si="5"/>
        <v>1</v>
      </c>
      <c r="AE23" s="58">
        <f>IF(AA23=" "," ",IF('c-form'!AE15="",AN23,AN23+'c-form'!AE15))</f>
        <v>338.17</v>
      </c>
      <c r="AF23" s="150">
        <f t="shared" si="6"/>
        <v>1</v>
      </c>
      <c r="AM23">
        <f t="shared" si="2"/>
        <v>0.56999999999999995</v>
      </c>
      <c r="AN23" s="54">
        <f t="shared" si="4"/>
        <v>0.56999999999999995</v>
      </c>
    </row>
    <row r="24" spans="1:40" ht="22.5" customHeight="1">
      <c r="A24" s="60"/>
      <c r="B24" s="132">
        <v>13</v>
      </c>
      <c r="C24" s="264">
        <v>0.56999999999999995</v>
      </c>
      <c r="D24" s="264">
        <v>0.56999999999999995</v>
      </c>
      <c r="E24" s="264">
        <v>0.56999999999999995</v>
      </c>
      <c r="F24" s="264">
        <v>0.56999999999999995</v>
      </c>
      <c r="G24" s="264">
        <v>0.56999999999999995</v>
      </c>
      <c r="H24" s="264">
        <v>0.56999999999999995</v>
      </c>
      <c r="I24" s="264">
        <v>0.56000000000000005</v>
      </c>
      <c r="J24" s="264">
        <v>0.56000000000000005</v>
      </c>
      <c r="K24" s="264">
        <v>0.56000000000000005</v>
      </c>
      <c r="L24" s="264">
        <v>0.56000000000000005</v>
      </c>
      <c r="M24" s="264">
        <v>0.55000000000000004</v>
      </c>
      <c r="N24" s="264">
        <v>0.55000000000000004</v>
      </c>
      <c r="O24" s="264">
        <v>0.55000000000000004</v>
      </c>
      <c r="P24" s="264">
        <v>0.55000000000000004</v>
      </c>
      <c r="Q24" s="264">
        <v>0.54</v>
      </c>
      <c r="R24" s="264">
        <v>0.54</v>
      </c>
      <c r="S24" s="264">
        <v>0.54</v>
      </c>
      <c r="T24" s="264">
        <v>0.54</v>
      </c>
      <c r="U24" s="264">
        <v>0.53</v>
      </c>
      <c r="V24" s="264">
        <v>0.53</v>
      </c>
      <c r="W24" s="264">
        <v>0.53</v>
      </c>
      <c r="X24" s="264">
        <v>0.53</v>
      </c>
      <c r="Y24" s="264">
        <v>0.52</v>
      </c>
      <c r="Z24" s="264">
        <v>0.52</v>
      </c>
      <c r="AA24" s="57">
        <f t="shared" si="0"/>
        <v>0.54916666666666636</v>
      </c>
      <c r="AB24" s="58">
        <f>IF(AA24=" "," ",IF('c-form'!AE15="",AA24,AA24+'c-form'!AE15))</f>
        <v>338.1491666666667</v>
      </c>
      <c r="AC24" s="58">
        <f>IF(AA24=" "," ",IF('c-form'!AE15="",AM24,AM24+'c-form'!AE15))</f>
        <v>338.17</v>
      </c>
      <c r="AD24" s="150">
        <f t="shared" si="5"/>
        <v>1</v>
      </c>
      <c r="AE24" s="58">
        <f>IF(AA24=" "," ",IF('c-form'!AE15="",AN24,AN24+'c-form'!AE15))</f>
        <v>338.12</v>
      </c>
      <c r="AF24" s="150">
        <f t="shared" si="6"/>
        <v>23</v>
      </c>
      <c r="AM24">
        <f t="shared" si="2"/>
        <v>0.56999999999999995</v>
      </c>
      <c r="AN24" s="54">
        <f t="shared" si="4"/>
        <v>0.52</v>
      </c>
    </row>
    <row r="25" spans="1:40" ht="22.5" customHeight="1">
      <c r="A25" s="60"/>
      <c r="B25" s="132">
        <v>14</v>
      </c>
      <c r="C25" s="264">
        <v>0.52</v>
      </c>
      <c r="D25" s="264">
        <v>0.52</v>
      </c>
      <c r="E25" s="264">
        <v>0.51</v>
      </c>
      <c r="F25" s="264">
        <v>0.51</v>
      </c>
      <c r="G25" s="264">
        <v>0.51</v>
      </c>
      <c r="H25" s="264">
        <v>0.5</v>
      </c>
      <c r="I25" s="264">
        <v>0.5</v>
      </c>
      <c r="J25" s="264">
        <v>0.5</v>
      </c>
      <c r="K25" s="264">
        <v>0.5</v>
      </c>
      <c r="L25" s="264">
        <v>0.5</v>
      </c>
      <c r="M25" s="264">
        <v>0.5</v>
      </c>
      <c r="N25" s="264">
        <v>0.5</v>
      </c>
      <c r="O25" s="264">
        <v>0.5</v>
      </c>
      <c r="P25" s="264">
        <v>0.5</v>
      </c>
      <c r="Q25" s="264">
        <v>0.5</v>
      </c>
      <c r="R25" s="264">
        <v>0.5</v>
      </c>
      <c r="S25" s="264">
        <v>0.5</v>
      </c>
      <c r="T25" s="264">
        <v>0.5</v>
      </c>
      <c r="U25" s="264">
        <v>0.5</v>
      </c>
      <c r="V25" s="264">
        <v>0.5</v>
      </c>
      <c r="W25" s="264">
        <v>0.5</v>
      </c>
      <c r="X25" s="264">
        <v>0.5</v>
      </c>
      <c r="Y25" s="264">
        <v>0.5</v>
      </c>
      <c r="Z25" s="264">
        <v>0.5</v>
      </c>
      <c r="AA25" s="57">
        <f t="shared" si="0"/>
        <v>0.50291666666666668</v>
      </c>
      <c r="AB25" s="58">
        <f>IF(AA25=" "," ",IF('c-form'!AE15="",AA25,AA25+'c-form'!AE15))</f>
        <v>338.10291666666672</v>
      </c>
      <c r="AC25" s="58">
        <f>IF(AA25=" "," ",IF('c-form'!AE15="",AM25,AM25+'c-form'!AE15))</f>
        <v>338.12</v>
      </c>
      <c r="AD25" s="150">
        <f t="shared" si="5"/>
        <v>1</v>
      </c>
      <c r="AE25" s="58">
        <f>IF(AA25=" "," ",IF('c-form'!AE15="",AN25,AN25+'c-form'!AE15))</f>
        <v>338.1</v>
      </c>
      <c r="AF25" s="150">
        <f t="shared" si="6"/>
        <v>6</v>
      </c>
      <c r="AM25">
        <f t="shared" si="2"/>
        <v>0.52</v>
      </c>
      <c r="AN25" s="54">
        <f t="shared" si="4"/>
        <v>0.5</v>
      </c>
    </row>
    <row r="26" spans="1:40" ht="22.5" customHeight="1">
      <c r="A26" s="60"/>
      <c r="B26" s="132">
        <v>15</v>
      </c>
      <c r="C26" s="264">
        <v>0.5</v>
      </c>
      <c r="D26" s="264">
        <v>0.5</v>
      </c>
      <c r="E26" s="264">
        <v>0.5</v>
      </c>
      <c r="F26" s="264">
        <v>0.5</v>
      </c>
      <c r="G26" s="264">
        <v>0.5</v>
      </c>
      <c r="H26" s="264">
        <v>0.5</v>
      </c>
      <c r="I26" s="264">
        <v>0.5</v>
      </c>
      <c r="J26" s="264">
        <v>0.5</v>
      </c>
      <c r="K26" s="264">
        <v>0.5</v>
      </c>
      <c r="L26" s="264">
        <v>0.5</v>
      </c>
      <c r="M26" s="264">
        <v>0.5</v>
      </c>
      <c r="N26" s="264">
        <v>0.5</v>
      </c>
      <c r="O26" s="264">
        <v>0.5</v>
      </c>
      <c r="P26" s="264">
        <v>0.5</v>
      </c>
      <c r="Q26" s="264">
        <v>0.5</v>
      </c>
      <c r="R26" s="264">
        <v>0.5</v>
      </c>
      <c r="S26" s="264">
        <v>0.5</v>
      </c>
      <c r="T26" s="264">
        <v>0.5</v>
      </c>
      <c r="U26" s="264">
        <v>0.5</v>
      </c>
      <c r="V26" s="264">
        <v>0.5</v>
      </c>
      <c r="W26" s="264">
        <v>0.5</v>
      </c>
      <c r="X26" s="264">
        <v>0.5</v>
      </c>
      <c r="Y26" s="264">
        <v>0.5</v>
      </c>
      <c r="Z26" s="264">
        <v>0.5</v>
      </c>
      <c r="AA26" s="57">
        <f t="shared" si="0"/>
        <v>0.5</v>
      </c>
      <c r="AB26" s="58">
        <f>IF(AA26=" "," ",IF('c-form'!AE15="",AA26,AA26+'c-form'!AE15))</f>
        <v>338.1</v>
      </c>
      <c r="AC26" s="58">
        <f>IF(AA26=" "," ",IF('c-form'!AE15="",AM26,AM26+'c-form'!AE15))</f>
        <v>338.1</v>
      </c>
      <c r="AD26" s="150">
        <f t="shared" si="5"/>
        <v>1</v>
      </c>
      <c r="AE26" s="58">
        <f>IF(AA26=" "," ",IF('c-form'!AE15="",AN26,AN26+'c-form'!AE15))</f>
        <v>338.1</v>
      </c>
      <c r="AF26" s="150">
        <f t="shared" si="6"/>
        <v>1</v>
      </c>
      <c r="AM26">
        <f t="shared" si="2"/>
        <v>0.5</v>
      </c>
      <c r="AN26" s="54">
        <f t="shared" si="4"/>
        <v>0.5</v>
      </c>
    </row>
    <row r="27" spans="1:40" ht="22.5" customHeight="1">
      <c r="A27" s="60"/>
      <c r="B27" s="132">
        <v>16</v>
      </c>
      <c r="C27" s="264">
        <v>0.49</v>
      </c>
      <c r="D27" s="264">
        <v>0.49</v>
      </c>
      <c r="E27" s="264">
        <v>0.49</v>
      </c>
      <c r="F27" s="264">
        <v>0.49</v>
      </c>
      <c r="G27" s="264">
        <v>0.49</v>
      </c>
      <c r="H27" s="264">
        <v>0.49</v>
      </c>
      <c r="I27" s="264">
        <v>0.49</v>
      </c>
      <c r="J27" s="264">
        <v>0.49</v>
      </c>
      <c r="K27" s="264">
        <v>0.49</v>
      </c>
      <c r="L27" s="264">
        <v>0.49</v>
      </c>
      <c r="M27" s="264">
        <v>0.49</v>
      </c>
      <c r="N27" s="264">
        <v>0.49</v>
      </c>
      <c r="O27" s="264">
        <v>0.49</v>
      </c>
      <c r="P27" s="264">
        <v>0.49</v>
      </c>
      <c r="Q27" s="264">
        <v>0.49</v>
      </c>
      <c r="R27" s="264">
        <v>0.49</v>
      </c>
      <c r="S27" s="264">
        <v>0.49</v>
      </c>
      <c r="T27" s="264">
        <v>0.49</v>
      </c>
      <c r="U27" s="264">
        <v>0.49</v>
      </c>
      <c r="V27" s="264">
        <v>0.49</v>
      </c>
      <c r="W27" s="264">
        <v>0.49</v>
      </c>
      <c r="X27" s="264">
        <v>0.49</v>
      </c>
      <c r="Y27" s="264">
        <v>0.49</v>
      </c>
      <c r="Z27" s="264">
        <v>0.49</v>
      </c>
      <c r="AA27" s="57">
        <f t="shared" si="0"/>
        <v>0.49000000000000016</v>
      </c>
      <c r="AB27" s="58">
        <f>IF(AA27=" "," ",IF('c-form'!AE15="",AA27,AA27+'c-form'!AE15))</f>
        <v>338.09000000000003</v>
      </c>
      <c r="AC27" s="58">
        <f>IF(AA27=" "," ",IF('c-form'!AE15="",AM27,AM27+'c-form'!AE15))</f>
        <v>338.09000000000003</v>
      </c>
      <c r="AD27" s="150">
        <f t="shared" si="5"/>
        <v>1</v>
      </c>
      <c r="AE27" s="58">
        <f>IF(AA27=" "," ",IF('c-form'!AE15="",AN27,AN27+'c-form'!AE15))</f>
        <v>338.09000000000003</v>
      </c>
      <c r="AF27" s="150">
        <f t="shared" si="6"/>
        <v>1</v>
      </c>
      <c r="AM27">
        <f t="shared" si="2"/>
        <v>0.49</v>
      </c>
      <c r="AN27" s="54">
        <f t="shared" si="4"/>
        <v>0.49</v>
      </c>
    </row>
    <row r="28" spans="1:40" ht="22.5" customHeight="1">
      <c r="A28" s="60"/>
      <c r="B28" s="132">
        <v>17</v>
      </c>
      <c r="C28" s="264">
        <v>0.48</v>
      </c>
      <c r="D28" s="264">
        <v>0.48</v>
      </c>
      <c r="E28" s="264">
        <v>0.48</v>
      </c>
      <c r="F28" s="264">
        <v>0.48</v>
      </c>
      <c r="G28" s="264">
        <v>0.48</v>
      </c>
      <c r="H28" s="264">
        <v>0.48</v>
      </c>
      <c r="I28" s="264">
        <v>0.48</v>
      </c>
      <c r="J28" s="264">
        <v>0.48</v>
      </c>
      <c r="K28" s="264">
        <v>0.48</v>
      </c>
      <c r="L28" s="264">
        <v>0.48</v>
      </c>
      <c r="M28" s="264">
        <v>0.48</v>
      </c>
      <c r="N28" s="264">
        <v>0.48</v>
      </c>
      <c r="O28" s="264">
        <v>0.48</v>
      </c>
      <c r="P28" s="264">
        <v>0.48</v>
      </c>
      <c r="Q28" s="264">
        <v>0.48</v>
      </c>
      <c r="R28" s="264">
        <v>0.48</v>
      </c>
      <c r="S28" s="264">
        <v>0.48</v>
      </c>
      <c r="T28" s="264">
        <v>0.48</v>
      </c>
      <c r="U28" s="264">
        <v>0.48</v>
      </c>
      <c r="V28" s="264">
        <v>0.48</v>
      </c>
      <c r="W28" s="264">
        <v>0.48</v>
      </c>
      <c r="X28" s="264">
        <v>0.48</v>
      </c>
      <c r="Y28" s="264">
        <v>0.48</v>
      </c>
      <c r="Z28" s="264">
        <v>0.48</v>
      </c>
      <c r="AA28" s="57">
        <f t="shared" si="0"/>
        <v>0.48000000000000026</v>
      </c>
      <c r="AB28" s="58">
        <f>IF(AA28=" "," ",IF('c-form'!AE15="",AA28,AA28+'c-form'!AE15))</f>
        <v>338.08000000000004</v>
      </c>
      <c r="AC28" s="58">
        <f>IF(AA28=" "," ",IF('c-form'!AE15="",AM28,AM28+'c-form'!AE15))</f>
        <v>338.08000000000004</v>
      </c>
      <c r="AD28" s="150">
        <f t="shared" si="5"/>
        <v>1</v>
      </c>
      <c r="AE28" s="58">
        <f>IF(AA28=" "," ",IF('c-form'!AE15="",AN28,AN28+'c-form'!AE15))</f>
        <v>338.08000000000004</v>
      </c>
      <c r="AF28" s="150">
        <f t="shared" si="6"/>
        <v>1</v>
      </c>
      <c r="AM28">
        <f t="shared" si="2"/>
        <v>0.48</v>
      </c>
      <c r="AN28" s="54">
        <f t="shared" si="4"/>
        <v>0.48</v>
      </c>
    </row>
    <row r="29" spans="1:40" ht="22.5" customHeight="1">
      <c r="A29" s="60"/>
      <c r="B29" s="132">
        <v>18</v>
      </c>
      <c r="C29" s="264">
        <v>0.48</v>
      </c>
      <c r="D29" s="264">
        <v>0.48</v>
      </c>
      <c r="E29" s="264">
        <v>0.48</v>
      </c>
      <c r="F29" s="264">
        <v>0.48</v>
      </c>
      <c r="G29" s="264">
        <v>0.48</v>
      </c>
      <c r="H29" s="264">
        <v>0.48</v>
      </c>
      <c r="I29" s="264">
        <v>0.48</v>
      </c>
      <c r="J29" s="264">
        <v>0.48</v>
      </c>
      <c r="K29" s="264">
        <v>0.48</v>
      </c>
      <c r="L29" s="264">
        <v>0.48</v>
      </c>
      <c r="M29" s="264">
        <v>0.48</v>
      </c>
      <c r="N29" s="264">
        <v>0.48</v>
      </c>
      <c r="O29" s="264">
        <v>0.48</v>
      </c>
      <c r="P29" s="264">
        <v>0.48</v>
      </c>
      <c r="Q29" s="264">
        <v>0.48</v>
      </c>
      <c r="R29" s="264">
        <v>0.48</v>
      </c>
      <c r="S29" s="264">
        <v>0.48</v>
      </c>
      <c r="T29" s="264">
        <v>0.48</v>
      </c>
      <c r="U29" s="264">
        <v>0.48</v>
      </c>
      <c r="V29" s="264">
        <v>0.48</v>
      </c>
      <c r="W29" s="264">
        <v>0.48</v>
      </c>
      <c r="X29" s="264">
        <v>0.48</v>
      </c>
      <c r="Y29" s="264">
        <v>0.48</v>
      </c>
      <c r="Z29" s="264">
        <v>0.48</v>
      </c>
      <c r="AA29" s="57">
        <f t="shared" si="0"/>
        <v>0.48000000000000026</v>
      </c>
      <c r="AB29" s="58">
        <f>IF(AA29=" "," ",IF('c-form'!AE15="",AA29,AA29+'c-form'!AE15))</f>
        <v>338.08000000000004</v>
      </c>
      <c r="AC29" s="58">
        <f>IF(AA29=" "," ",IF('c-form'!AE15="",AM29,AM29+'c-form'!AE15))</f>
        <v>338.08000000000004</v>
      </c>
      <c r="AD29" s="150">
        <f t="shared" si="5"/>
        <v>1</v>
      </c>
      <c r="AE29" s="58">
        <f>IF(AA29=" "," ",IF('c-form'!AE15="",AN29,AN29+'c-form'!AE15))</f>
        <v>338.08000000000004</v>
      </c>
      <c r="AF29" s="150">
        <f t="shared" si="6"/>
        <v>1</v>
      </c>
      <c r="AM29">
        <f>IF(AB29=" "," ",MAX(C29:Z29))</f>
        <v>0.48</v>
      </c>
      <c r="AN29" s="54">
        <f t="shared" si="4"/>
        <v>0.48</v>
      </c>
    </row>
    <row r="30" spans="1:40" ht="22.5" customHeight="1">
      <c r="A30" s="60"/>
      <c r="B30" s="132">
        <v>19</v>
      </c>
      <c r="C30" s="264">
        <v>0.48</v>
      </c>
      <c r="D30" s="264">
        <v>0.48</v>
      </c>
      <c r="E30" s="264">
        <v>0.48</v>
      </c>
      <c r="F30" s="264">
        <v>0.48</v>
      </c>
      <c r="G30" s="264">
        <v>0.48</v>
      </c>
      <c r="H30" s="264">
        <v>0.48</v>
      </c>
      <c r="I30" s="264">
        <v>0.48</v>
      </c>
      <c r="J30" s="264">
        <v>0.47</v>
      </c>
      <c r="K30" s="264">
        <v>0.46</v>
      </c>
      <c r="L30" s="264">
        <v>0.45</v>
      </c>
      <c r="M30" s="264">
        <v>0.44</v>
      </c>
      <c r="N30" s="264">
        <v>0.43</v>
      </c>
      <c r="O30" s="264">
        <v>0.41</v>
      </c>
      <c r="P30" s="264">
        <v>0.39</v>
      </c>
      <c r="Q30" s="264">
        <v>0.37</v>
      </c>
      <c r="R30" s="264">
        <v>0.35</v>
      </c>
      <c r="S30" s="264">
        <v>0.33</v>
      </c>
      <c r="T30" s="264">
        <v>0.31</v>
      </c>
      <c r="U30" s="264">
        <v>0.28999999999999998</v>
      </c>
      <c r="V30" s="264">
        <v>0.27</v>
      </c>
      <c r="W30" s="264">
        <v>0.25</v>
      </c>
      <c r="X30" s="264">
        <v>0.24</v>
      </c>
      <c r="Y30" s="264">
        <v>0.23</v>
      </c>
      <c r="Z30" s="264">
        <v>0.22</v>
      </c>
      <c r="AA30" s="57">
        <f t="shared" si="0"/>
        <v>0.38624999999999998</v>
      </c>
      <c r="AB30" s="58">
        <f>IF(AA30=" "," ",IF('c-form'!AE15="",AA30,AA30+'c-form'!AE15))</f>
        <v>337.98625000000004</v>
      </c>
      <c r="AC30" s="58">
        <f>IF(AA30=" "," ",IF('c-form'!AE15="",AM30,AM30+'c-form'!AE15))</f>
        <v>338.08000000000004</v>
      </c>
      <c r="AD30" s="150">
        <f t="shared" si="5"/>
        <v>1</v>
      </c>
      <c r="AE30" s="58">
        <f>IF(AA30=" "," ",IF('c-form'!AE15="",AN30,AN30+'c-form'!AE15))</f>
        <v>337.82000000000005</v>
      </c>
      <c r="AF30" s="150">
        <f t="shared" si="6"/>
        <v>24</v>
      </c>
      <c r="AM30">
        <f t="shared" si="2"/>
        <v>0.48</v>
      </c>
      <c r="AN30" s="54">
        <f t="shared" si="4"/>
        <v>0.22</v>
      </c>
    </row>
    <row r="31" spans="1:40" ht="22.5" customHeight="1">
      <c r="A31" s="60"/>
      <c r="B31" s="132">
        <v>20</v>
      </c>
      <c r="C31" s="264">
        <v>0.21</v>
      </c>
      <c r="D31" s="264">
        <v>0.2</v>
      </c>
      <c r="E31" s="264">
        <v>0.19</v>
      </c>
      <c r="F31" s="264">
        <v>0.18</v>
      </c>
      <c r="G31" s="264">
        <v>0.17</v>
      </c>
      <c r="H31" s="264">
        <v>0.16</v>
      </c>
      <c r="I31" s="264">
        <v>0.15</v>
      </c>
      <c r="J31" s="264">
        <v>0.14000000000000001</v>
      </c>
      <c r="K31" s="264">
        <v>0.14000000000000001</v>
      </c>
      <c r="L31" s="264">
        <v>0.14000000000000001</v>
      </c>
      <c r="M31" s="264">
        <v>0.14000000000000001</v>
      </c>
      <c r="N31" s="264">
        <v>0.13</v>
      </c>
      <c r="O31" s="264">
        <v>0.13</v>
      </c>
      <c r="P31" s="264">
        <v>0.13</v>
      </c>
      <c r="Q31" s="264">
        <v>0.13</v>
      </c>
      <c r="R31" s="264">
        <v>0.13</v>
      </c>
      <c r="S31" s="264">
        <v>0.13</v>
      </c>
      <c r="T31" s="264">
        <v>0.14000000000000001</v>
      </c>
      <c r="U31" s="264">
        <v>0.14000000000000001</v>
      </c>
      <c r="V31" s="264">
        <v>0.14000000000000001</v>
      </c>
      <c r="W31" s="264">
        <v>0.15</v>
      </c>
      <c r="X31" s="264">
        <v>0.15</v>
      </c>
      <c r="Y31" s="264">
        <v>0.16</v>
      </c>
      <c r="Z31" s="264">
        <v>0.16</v>
      </c>
      <c r="AA31" s="57">
        <f t="shared" si="0"/>
        <v>0.15166666666666667</v>
      </c>
      <c r="AB31" s="58">
        <f>IF(AA31=" "," ",IF('c-form'!AE15="",AA31,AA31+'c-form'!AE15))</f>
        <v>337.75166666666667</v>
      </c>
      <c r="AC31" s="58">
        <f>IF(AA31=" "," ",IF('c-form'!AE15="",AM31,AM31+'c-form'!AE15))</f>
        <v>337.81</v>
      </c>
      <c r="AD31" s="150">
        <f t="shared" si="5"/>
        <v>1</v>
      </c>
      <c r="AE31" s="58">
        <f>IF(AA31=" "," ",IF('c-form'!AE15="",AN31,AN31+'c-form'!AE15))</f>
        <v>337.73</v>
      </c>
      <c r="AF31" s="150">
        <f t="shared" si="6"/>
        <v>12</v>
      </c>
      <c r="AM31">
        <f t="shared" si="2"/>
        <v>0.21</v>
      </c>
      <c r="AN31" s="54">
        <f t="shared" si="4"/>
        <v>0.13</v>
      </c>
    </row>
    <row r="32" spans="1:40" ht="22.5" customHeight="1">
      <c r="A32" s="60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39"/>
      <c r="AF32" s="151"/>
      <c r="AM32">
        <f t="shared" si="2"/>
        <v>0</v>
      </c>
      <c r="AN32" s="54">
        <f t="shared" si="4"/>
        <v>0</v>
      </c>
    </row>
    <row r="33" spans="1:41" ht="22.5" customHeight="1">
      <c r="A33" s="60"/>
      <c r="B33" s="132">
        <v>21</v>
      </c>
      <c r="C33" s="264">
        <v>0.17</v>
      </c>
      <c r="D33" s="264">
        <v>0.17</v>
      </c>
      <c r="E33" s="264">
        <v>0.18</v>
      </c>
      <c r="F33" s="264">
        <v>0.18</v>
      </c>
      <c r="G33" s="264">
        <v>0.19</v>
      </c>
      <c r="H33" s="264">
        <v>0.19</v>
      </c>
      <c r="I33" s="264">
        <v>0.2</v>
      </c>
      <c r="J33" s="264">
        <v>0.2</v>
      </c>
      <c r="K33" s="264">
        <v>0.21</v>
      </c>
      <c r="L33" s="264">
        <v>0.21</v>
      </c>
      <c r="M33" s="264">
        <v>0.22</v>
      </c>
      <c r="N33" s="264">
        <v>0.22</v>
      </c>
      <c r="O33" s="264">
        <v>0.23</v>
      </c>
      <c r="P33" s="264">
        <v>0.24</v>
      </c>
      <c r="Q33" s="264">
        <v>0.25</v>
      </c>
      <c r="R33" s="264">
        <v>0.25</v>
      </c>
      <c r="S33" s="264">
        <v>0.25</v>
      </c>
      <c r="T33" s="264">
        <v>0.25</v>
      </c>
      <c r="U33" s="264">
        <v>0.25</v>
      </c>
      <c r="V33" s="264">
        <v>0.25</v>
      </c>
      <c r="W33" s="264">
        <v>0.25</v>
      </c>
      <c r="X33" s="264">
        <v>0.25</v>
      </c>
      <c r="Y33" s="264">
        <v>0.24</v>
      </c>
      <c r="Z33" s="264">
        <v>0.24</v>
      </c>
      <c r="AA33" s="57">
        <f t="shared" si="0"/>
        <v>0.22041666666666668</v>
      </c>
      <c r="AB33" s="58">
        <f>IF(AA33=" "," ",IF('c-form'!AE15="",AA33,AA33+'c-form'!AE15))</f>
        <v>337.82041666666669</v>
      </c>
      <c r="AC33" s="58">
        <f>IF(AA33=" "," ",IF('c-form'!AE15="",AM33,AM33+'c-form'!AE15))</f>
        <v>337.85</v>
      </c>
      <c r="AD33" s="150">
        <f t="shared" ref="AD33:AD41" si="7">IF(AB33=" "," ",MATCH(AM33,C33:Z33,0))</f>
        <v>15</v>
      </c>
      <c r="AE33" s="58">
        <f>IF(AA33=" "," ",IF('c-form'!AE15="",AN33,AN33+'c-form'!AE15))</f>
        <v>337.77000000000004</v>
      </c>
      <c r="AF33" s="150">
        <f t="shared" ref="AF33:AF41" si="8">IF(AD33=" "," ",MATCH(AN33,C33:Z33,0))</f>
        <v>1</v>
      </c>
      <c r="AM33">
        <f t="shared" si="2"/>
        <v>0.25</v>
      </c>
      <c r="AN33" s="54">
        <f t="shared" si="4"/>
        <v>0.17</v>
      </c>
    </row>
    <row r="34" spans="1:41" ht="22.5" customHeight="1">
      <c r="A34" s="60"/>
      <c r="B34" s="132">
        <v>22</v>
      </c>
      <c r="C34" s="264">
        <v>0.23</v>
      </c>
      <c r="D34" s="264">
        <v>0.23</v>
      </c>
      <c r="E34" s="264">
        <v>0.22</v>
      </c>
      <c r="F34" s="264">
        <v>0.22</v>
      </c>
      <c r="G34" s="264">
        <v>0.21</v>
      </c>
      <c r="H34" s="264">
        <v>0.2</v>
      </c>
      <c r="I34" s="264">
        <v>0.2</v>
      </c>
      <c r="J34" s="264">
        <v>0.2</v>
      </c>
      <c r="K34" s="264">
        <v>0.2</v>
      </c>
      <c r="L34" s="264">
        <v>0.2</v>
      </c>
      <c r="M34" s="264">
        <v>0.2</v>
      </c>
      <c r="N34" s="264">
        <v>0.19</v>
      </c>
      <c r="O34" s="264">
        <v>0.19</v>
      </c>
      <c r="P34" s="264">
        <v>0.19</v>
      </c>
      <c r="Q34" s="264">
        <v>0.19</v>
      </c>
      <c r="R34" s="264">
        <v>0.19</v>
      </c>
      <c r="S34" s="264">
        <v>0.19</v>
      </c>
      <c r="T34" s="264">
        <v>0.19</v>
      </c>
      <c r="U34" s="264">
        <v>0.18</v>
      </c>
      <c r="V34" s="264">
        <v>0.18</v>
      </c>
      <c r="W34" s="264">
        <v>0.18</v>
      </c>
      <c r="X34" s="264">
        <v>0.18</v>
      </c>
      <c r="Y34" s="264">
        <v>0.18</v>
      </c>
      <c r="Z34" s="264">
        <v>0.18</v>
      </c>
      <c r="AA34" s="57">
        <f t="shared" si="0"/>
        <v>0.19666666666666663</v>
      </c>
      <c r="AB34" s="58">
        <f>IF(AA34=" "," ",IF('c-form'!AE15="",AA34,AA34+'c-form'!AE15))</f>
        <v>337.79666666666668</v>
      </c>
      <c r="AC34" s="58">
        <f>IF(AA34=" "," ",IF('c-form'!AE15="",AM34,AM34+'c-form'!AE15))</f>
        <v>337.83000000000004</v>
      </c>
      <c r="AD34" s="150">
        <f t="shared" si="7"/>
        <v>1</v>
      </c>
      <c r="AE34" s="58">
        <f>IF(AA34=" "," ",IF('c-form'!AE15="",AN34,AN34+'c-form'!AE15))</f>
        <v>337.78000000000003</v>
      </c>
      <c r="AF34" s="150">
        <f t="shared" si="8"/>
        <v>19</v>
      </c>
      <c r="AM34">
        <f t="shared" si="2"/>
        <v>0.23</v>
      </c>
      <c r="AN34" s="54">
        <f t="shared" si="4"/>
        <v>0.18</v>
      </c>
    </row>
    <row r="35" spans="1:41" ht="22.5" customHeight="1">
      <c r="A35" s="60"/>
      <c r="B35" s="132">
        <v>23</v>
      </c>
      <c r="C35" s="264">
        <v>0.19</v>
      </c>
      <c r="D35" s="264">
        <v>0.19</v>
      </c>
      <c r="E35" s="264">
        <v>0.19</v>
      </c>
      <c r="F35" s="264">
        <v>0.19</v>
      </c>
      <c r="G35" s="264">
        <v>0.2</v>
      </c>
      <c r="H35" s="264">
        <v>0.2</v>
      </c>
      <c r="I35" s="264">
        <v>0.2</v>
      </c>
      <c r="J35" s="264">
        <v>0.2</v>
      </c>
      <c r="K35" s="264">
        <v>0.2</v>
      </c>
      <c r="L35" s="264">
        <v>0.19</v>
      </c>
      <c r="M35" s="264">
        <v>0.19</v>
      </c>
      <c r="N35" s="264">
        <v>0.18</v>
      </c>
      <c r="O35" s="264">
        <v>0.18</v>
      </c>
      <c r="P35" s="264">
        <v>0.18</v>
      </c>
      <c r="Q35" s="264">
        <v>0.18</v>
      </c>
      <c r="R35" s="264">
        <v>0.18</v>
      </c>
      <c r="S35" s="264">
        <v>0.18</v>
      </c>
      <c r="T35" s="264">
        <v>0.18</v>
      </c>
      <c r="U35" s="264">
        <v>0.19</v>
      </c>
      <c r="V35" s="264">
        <v>0.19</v>
      </c>
      <c r="W35" s="264">
        <v>0.19</v>
      </c>
      <c r="X35" s="264">
        <v>0.19</v>
      </c>
      <c r="Y35" s="264">
        <v>0.2</v>
      </c>
      <c r="Z35" s="264">
        <v>0.2</v>
      </c>
      <c r="AA35" s="57">
        <f t="shared" si="0"/>
        <v>0.19000000000000006</v>
      </c>
      <c r="AB35" s="58">
        <f>IF(AA35=" "," ",IF('c-form'!AE15="",AA35,AA35+'c-form'!AE15))</f>
        <v>337.79</v>
      </c>
      <c r="AC35" s="58">
        <f>IF(AA35=" "," ",IF('c-form'!AE15="",AM35,AM35+'c-form'!AE15))</f>
        <v>337.8</v>
      </c>
      <c r="AD35" s="150">
        <f t="shared" si="7"/>
        <v>5</v>
      </c>
      <c r="AE35" s="58">
        <f>IF(AA35=" "," ",IF('c-form'!AE15="",AN35,AN35+'c-form'!AE15))</f>
        <v>337.78000000000003</v>
      </c>
      <c r="AF35" s="150">
        <f t="shared" si="8"/>
        <v>12</v>
      </c>
      <c r="AM35">
        <f t="shared" si="2"/>
        <v>0.2</v>
      </c>
      <c r="AN35" s="54">
        <f t="shared" si="4"/>
        <v>0.18</v>
      </c>
    </row>
    <row r="36" spans="1:41" ht="22.5" customHeight="1">
      <c r="A36" s="60"/>
      <c r="B36" s="132">
        <v>24</v>
      </c>
      <c r="C36" s="264">
        <v>0.2</v>
      </c>
      <c r="D36" s="264">
        <v>0.21</v>
      </c>
      <c r="E36" s="264">
        <v>0.21</v>
      </c>
      <c r="F36" s="264">
        <v>0.21</v>
      </c>
      <c r="G36" s="264">
        <v>0.21</v>
      </c>
      <c r="H36" s="264">
        <v>0.22</v>
      </c>
      <c r="I36" s="264">
        <v>0.22</v>
      </c>
      <c r="J36" s="264">
        <v>0.22</v>
      </c>
      <c r="K36" s="264">
        <v>0.22</v>
      </c>
      <c r="L36" s="264">
        <v>0.22</v>
      </c>
      <c r="M36" s="264">
        <v>0.22</v>
      </c>
      <c r="N36" s="264">
        <v>0.22</v>
      </c>
      <c r="O36" s="264">
        <v>0.21</v>
      </c>
      <c r="P36" s="264">
        <v>0.21</v>
      </c>
      <c r="Q36" s="264">
        <v>0.21</v>
      </c>
      <c r="R36" s="264">
        <v>0.21</v>
      </c>
      <c r="S36" s="264">
        <v>0.21</v>
      </c>
      <c r="T36" s="264">
        <v>0.21</v>
      </c>
      <c r="U36" s="264">
        <v>0.2</v>
      </c>
      <c r="V36" s="264">
        <v>0.2</v>
      </c>
      <c r="W36" s="264">
        <v>0.2</v>
      </c>
      <c r="X36" s="264">
        <v>0.2</v>
      </c>
      <c r="Y36" s="264">
        <v>0.2</v>
      </c>
      <c r="Z36" s="264">
        <v>0.2</v>
      </c>
      <c r="AA36" s="57">
        <f t="shared" si="0"/>
        <v>0.21000000000000005</v>
      </c>
      <c r="AB36" s="58">
        <f>IF(AA36=" "," ",IF('c-form'!AE15="",AA36,AA36+'c-form'!AE15))</f>
        <v>337.81</v>
      </c>
      <c r="AC36" s="58">
        <f>IF(AA36=" "," ",IF('c-form'!AE15="",AM36,AM36+'c-form'!AE15))</f>
        <v>337.82000000000005</v>
      </c>
      <c r="AD36" s="150">
        <f t="shared" si="7"/>
        <v>6</v>
      </c>
      <c r="AE36" s="58">
        <f>IF(AA36=" "," ",IF('c-form'!AE15="",AN36,AN36+'c-form'!AE15))</f>
        <v>337.8</v>
      </c>
      <c r="AF36" s="150">
        <f t="shared" si="8"/>
        <v>1</v>
      </c>
      <c r="AM36">
        <f t="shared" si="2"/>
        <v>0.22</v>
      </c>
      <c r="AN36" s="54">
        <f t="shared" si="4"/>
        <v>0.2</v>
      </c>
    </row>
    <row r="37" spans="1:41" ht="22.5" customHeight="1">
      <c r="A37" s="60"/>
      <c r="B37" s="132">
        <v>25</v>
      </c>
      <c r="C37" s="264">
        <v>0.19</v>
      </c>
      <c r="D37" s="264">
        <v>0.19</v>
      </c>
      <c r="E37" s="264">
        <v>0.19</v>
      </c>
      <c r="F37" s="264">
        <v>0.19</v>
      </c>
      <c r="G37" s="264">
        <v>0.19</v>
      </c>
      <c r="H37" s="264">
        <v>0.19</v>
      </c>
      <c r="I37" s="264">
        <v>0.18</v>
      </c>
      <c r="J37" s="264">
        <v>0.18</v>
      </c>
      <c r="K37" s="264">
        <v>0.18</v>
      </c>
      <c r="L37" s="264">
        <v>0.18</v>
      </c>
      <c r="M37" s="264">
        <v>0.18</v>
      </c>
      <c r="N37" s="264">
        <v>0.18</v>
      </c>
      <c r="O37" s="264">
        <v>0.17</v>
      </c>
      <c r="P37" s="264">
        <v>0.17</v>
      </c>
      <c r="Q37" s="264">
        <v>0.17</v>
      </c>
      <c r="R37" s="264">
        <v>0.17</v>
      </c>
      <c r="S37" s="264">
        <v>0.17</v>
      </c>
      <c r="T37" s="264">
        <v>0.17</v>
      </c>
      <c r="U37" s="264">
        <v>0.16</v>
      </c>
      <c r="V37" s="264">
        <v>0.16</v>
      </c>
      <c r="W37" s="264">
        <v>0.16</v>
      </c>
      <c r="X37" s="264">
        <v>0.16</v>
      </c>
      <c r="Y37" s="264">
        <v>0.16</v>
      </c>
      <c r="Z37" s="264">
        <v>0.16</v>
      </c>
      <c r="AA37" s="57">
        <f t="shared" si="0"/>
        <v>0.17500000000000002</v>
      </c>
      <c r="AB37" s="58">
        <f>IF(AA37=" "," ",IF('c-form'!AE15="",AA37,AA37+'c-form'!AE15))</f>
        <v>337.77500000000003</v>
      </c>
      <c r="AC37" s="58">
        <f>IF(AA37=" "," ",IF('c-form'!AE15="",AM37,AM37+'c-form'!AE15))</f>
        <v>337.79</v>
      </c>
      <c r="AD37" s="150">
        <f t="shared" si="7"/>
        <v>1</v>
      </c>
      <c r="AE37" s="58">
        <f>IF(AA37=" "," ",IF('c-form'!AE15="",AN37,AN37+'c-form'!AE15))</f>
        <v>337.76000000000005</v>
      </c>
      <c r="AF37" s="150">
        <f t="shared" si="8"/>
        <v>19</v>
      </c>
      <c r="AM37">
        <f t="shared" si="2"/>
        <v>0.19</v>
      </c>
      <c r="AN37" s="54">
        <f t="shared" si="4"/>
        <v>0.16</v>
      </c>
    </row>
    <row r="38" spans="1:41" ht="22.5" customHeight="1">
      <c r="A38" s="60"/>
      <c r="B38" s="132">
        <v>26</v>
      </c>
      <c r="C38" s="264">
        <v>0.15</v>
      </c>
      <c r="D38" s="264">
        <v>0.15</v>
      </c>
      <c r="E38" s="264">
        <v>0.15</v>
      </c>
      <c r="F38" s="264">
        <v>0.15</v>
      </c>
      <c r="G38" s="264">
        <v>0.15</v>
      </c>
      <c r="H38" s="264">
        <v>0.14000000000000001</v>
      </c>
      <c r="I38" s="264">
        <v>0.14000000000000001</v>
      </c>
      <c r="J38" s="264">
        <v>0.14000000000000001</v>
      </c>
      <c r="K38" s="264">
        <v>0.14000000000000001</v>
      </c>
      <c r="L38" s="264">
        <v>0.14000000000000001</v>
      </c>
      <c r="M38" s="264">
        <v>0.14000000000000001</v>
      </c>
      <c r="N38" s="264">
        <v>0.14000000000000001</v>
      </c>
      <c r="O38" s="264">
        <v>0.15</v>
      </c>
      <c r="P38" s="264">
        <v>0.15</v>
      </c>
      <c r="Q38" s="264">
        <v>0.15</v>
      </c>
      <c r="R38" s="264">
        <v>0.15</v>
      </c>
      <c r="S38" s="264">
        <v>0.15</v>
      </c>
      <c r="T38" s="264">
        <v>0.15</v>
      </c>
      <c r="U38" s="264">
        <v>0.16</v>
      </c>
      <c r="V38" s="264">
        <v>0.16</v>
      </c>
      <c r="W38" s="264">
        <v>0.16</v>
      </c>
      <c r="X38" s="264">
        <v>0.16</v>
      </c>
      <c r="Y38" s="264">
        <v>0.16</v>
      </c>
      <c r="Z38" s="264">
        <v>0.16</v>
      </c>
      <c r="AA38" s="57">
        <f t="shared" si="0"/>
        <v>0.14958333333333337</v>
      </c>
      <c r="AB38" s="58">
        <f>IF(AA38=" "," ",IF('c-form'!AE15="",AA38,AA38+'c-form'!AE15))</f>
        <v>337.74958333333336</v>
      </c>
      <c r="AC38" s="58">
        <f>IF(AA38=" "," ",IF('c-form'!AE15="",AM38,AM38+'c-form'!AE15))</f>
        <v>337.76000000000005</v>
      </c>
      <c r="AD38" s="150">
        <f t="shared" si="7"/>
        <v>19</v>
      </c>
      <c r="AE38" s="58">
        <f>IF(AA38=" "," ",IF('c-form'!AE15="",AN38,AN38+'c-form'!AE15))</f>
        <v>337.74</v>
      </c>
      <c r="AF38" s="150">
        <f t="shared" si="8"/>
        <v>6</v>
      </c>
      <c r="AM38">
        <f t="shared" si="2"/>
        <v>0.16</v>
      </c>
      <c r="AN38" s="54">
        <f t="shared" si="4"/>
        <v>0.14000000000000001</v>
      </c>
    </row>
    <row r="39" spans="1:41" ht="22.5" customHeight="1">
      <c r="A39" s="60"/>
      <c r="B39" s="132">
        <v>27</v>
      </c>
      <c r="C39" s="264">
        <v>0.17</v>
      </c>
      <c r="D39" s="264">
        <v>0.17</v>
      </c>
      <c r="E39" s="264">
        <v>0.17</v>
      </c>
      <c r="F39" s="264">
        <v>0.17</v>
      </c>
      <c r="G39" s="264">
        <v>0.17</v>
      </c>
      <c r="H39" s="264">
        <v>0.18</v>
      </c>
      <c r="I39" s="264">
        <v>0.18</v>
      </c>
      <c r="J39" s="264">
        <v>0.18</v>
      </c>
      <c r="K39" s="264">
        <v>0.18</v>
      </c>
      <c r="L39" s="264">
        <v>0.18</v>
      </c>
      <c r="M39" s="264">
        <v>0.18</v>
      </c>
      <c r="N39" s="264">
        <v>0.18</v>
      </c>
      <c r="O39" s="264">
        <v>0.18</v>
      </c>
      <c r="P39" s="264">
        <v>0.18</v>
      </c>
      <c r="Q39" s="264">
        <v>0.18</v>
      </c>
      <c r="R39" s="264">
        <v>0.18</v>
      </c>
      <c r="S39" s="264">
        <v>0.18</v>
      </c>
      <c r="T39" s="264">
        <v>0.18</v>
      </c>
      <c r="U39" s="264">
        <v>0.18</v>
      </c>
      <c r="V39" s="264">
        <v>0.18</v>
      </c>
      <c r="W39" s="264">
        <v>0.18</v>
      </c>
      <c r="X39" s="264">
        <v>0.18</v>
      </c>
      <c r="Y39" s="264">
        <v>0.18</v>
      </c>
      <c r="Z39" s="264">
        <v>0.18</v>
      </c>
      <c r="AA39" s="57">
        <f t="shared" si="0"/>
        <v>0.17791666666666672</v>
      </c>
      <c r="AB39" s="58">
        <f>IF(AA39=" "," ",IF('c-form'!AE15="",AA39,AA39+'c-form'!AE15))</f>
        <v>337.77791666666667</v>
      </c>
      <c r="AC39" s="58">
        <f>IF(AA39=" "," ",IF('c-form'!AE15="",AM39,AM39+'c-form'!AE15))</f>
        <v>337.78000000000003</v>
      </c>
      <c r="AD39" s="150">
        <f t="shared" si="7"/>
        <v>6</v>
      </c>
      <c r="AE39" s="58">
        <f>IF(AA39=" "," ",IF('c-form'!AE15="",AN39,AN39+'c-form'!AE15))</f>
        <v>337.77000000000004</v>
      </c>
      <c r="AF39" s="150">
        <f t="shared" si="8"/>
        <v>1</v>
      </c>
      <c r="AM39">
        <f>IF(AB39=" "," ",MAX(C39:Z39))</f>
        <v>0.18</v>
      </c>
      <c r="AN39" s="54">
        <f t="shared" si="4"/>
        <v>0.17</v>
      </c>
    </row>
    <row r="40" spans="1:41" ht="22.5" customHeight="1">
      <c r="A40" s="60"/>
      <c r="B40" s="132">
        <v>28</v>
      </c>
      <c r="C40" s="264">
        <v>0.18</v>
      </c>
      <c r="D40" s="264">
        <v>0.18</v>
      </c>
      <c r="E40" s="264">
        <v>0.18</v>
      </c>
      <c r="F40" s="264">
        <v>0.18</v>
      </c>
      <c r="G40" s="264">
        <v>0.18</v>
      </c>
      <c r="H40" s="264">
        <v>0.18</v>
      </c>
      <c r="I40" s="264">
        <v>0.18</v>
      </c>
      <c r="J40" s="264">
        <v>0.18</v>
      </c>
      <c r="K40" s="264">
        <v>0.18</v>
      </c>
      <c r="L40" s="264">
        <v>0.18</v>
      </c>
      <c r="M40" s="264">
        <v>0.18</v>
      </c>
      <c r="N40" s="264">
        <v>0.18</v>
      </c>
      <c r="O40" s="264">
        <v>0.18</v>
      </c>
      <c r="P40" s="264">
        <v>0.18</v>
      </c>
      <c r="Q40" s="264">
        <v>0.18</v>
      </c>
      <c r="R40" s="264">
        <v>0.18</v>
      </c>
      <c r="S40" s="264">
        <v>0.18</v>
      </c>
      <c r="T40" s="264">
        <v>0.18</v>
      </c>
      <c r="U40" s="264">
        <v>0.18</v>
      </c>
      <c r="V40" s="264">
        <v>0.18</v>
      </c>
      <c r="W40" s="264">
        <v>0.18</v>
      </c>
      <c r="X40" s="264">
        <v>0.18</v>
      </c>
      <c r="Y40" s="264">
        <v>0.18</v>
      </c>
      <c r="Z40" s="264">
        <v>0.18</v>
      </c>
      <c r="AA40" s="57">
        <f t="shared" si="0"/>
        <v>0.18000000000000005</v>
      </c>
      <c r="AB40" s="58">
        <f>IF(AA40=" "," ",IF('c-form'!AE15="",AA40,AA40+'c-form'!AE15))</f>
        <v>337.78000000000003</v>
      </c>
      <c r="AC40" s="58">
        <f>IF(AA40=" "," ",IF('c-form'!AE15="",AM40,AM40+'c-form'!AE15))</f>
        <v>337.78000000000003</v>
      </c>
      <c r="AD40" s="150">
        <f t="shared" si="7"/>
        <v>1</v>
      </c>
      <c r="AE40" s="58">
        <f>IF(AA40=" "," ",IF('c-form'!AE15="",AN40,AN40+'c-form'!AE15))</f>
        <v>337.78000000000003</v>
      </c>
      <c r="AF40" s="150">
        <f t="shared" si="8"/>
        <v>1</v>
      </c>
      <c r="AM40">
        <f t="shared" si="2"/>
        <v>0.18</v>
      </c>
      <c r="AN40" s="54">
        <f t="shared" si="4"/>
        <v>0.18</v>
      </c>
    </row>
    <row r="41" spans="1:41" ht="22.5" customHeight="1">
      <c r="A41" s="60"/>
      <c r="B41" s="132">
        <v>29</v>
      </c>
      <c r="C41" s="264">
        <v>0.18</v>
      </c>
      <c r="D41" s="264">
        <v>0.18</v>
      </c>
      <c r="E41" s="264">
        <v>0.18</v>
      </c>
      <c r="F41" s="264">
        <v>0.18</v>
      </c>
      <c r="G41" s="264">
        <v>0.18</v>
      </c>
      <c r="H41" s="264">
        <v>0.18</v>
      </c>
      <c r="I41" s="264">
        <v>0.19</v>
      </c>
      <c r="J41" s="264">
        <v>0.19</v>
      </c>
      <c r="K41" s="264">
        <v>0.19</v>
      </c>
      <c r="L41" s="264">
        <v>0.19</v>
      </c>
      <c r="M41" s="264">
        <v>0.19</v>
      </c>
      <c r="N41" s="264">
        <v>0.19</v>
      </c>
      <c r="O41" s="264">
        <v>0.19</v>
      </c>
      <c r="P41" s="264">
        <v>0.19</v>
      </c>
      <c r="Q41" s="264">
        <v>0.19</v>
      </c>
      <c r="R41" s="264">
        <v>0.19</v>
      </c>
      <c r="S41" s="264">
        <v>0.19</v>
      </c>
      <c r="T41" s="264">
        <v>0.19</v>
      </c>
      <c r="U41" s="264">
        <v>0.2</v>
      </c>
      <c r="V41" s="264">
        <v>0.2</v>
      </c>
      <c r="W41" s="264">
        <v>0.2</v>
      </c>
      <c r="X41" s="264">
        <v>0.2</v>
      </c>
      <c r="Y41" s="264">
        <v>0.2</v>
      </c>
      <c r="Z41" s="264">
        <v>0.2</v>
      </c>
      <c r="AA41" s="57">
        <f t="shared" si="0"/>
        <v>0.19000000000000003</v>
      </c>
      <c r="AB41" s="58">
        <f>IF(AA41=" "," ",IF('c-form'!AE15="",AA41,AA41+'c-form'!AE15))</f>
        <v>337.79</v>
      </c>
      <c r="AC41" s="58">
        <f>IF(AA41=" "," ",IF('c-form'!AE15="",AM41,AM41+'c-form'!AE15))</f>
        <v>337.8</v>
      </c>
      <c r="AD41" s="150">
        <f t="shared" si="7"/>
        <v>19</v>
      </c>
      <c r="AE41" s="58">
        <f>IF(AA41=" "," ",IF('c-form'!AE15="",AN41,AN41+'c-form'!AE15))</f>
        <v>337.78000000000003</v>
      </c>
      <c r="AF41" s="150">
        <f t="shared" si="8"/>
        <v>1</v>
      </c>
      <c r="AM41">
        <f>IF(AB41=" "," ",MAX(C41:Z41))</f>
        <v>0.2</v>
      </c>
      <c r="AN41" s="54">
        <f t="shared" si="4"/>
        <v>0.18</v>
      </c>
    </row>
    <row r="42" spans="1:41" ht="22.5" customHeight="1">
      <c r="A42" s="60"/>
      <c r="B42" s="132">
        <v>30</v>
      </c>
      <c r="C42" s="264">
        <v>0.2</v>
      </c>
      <c r="D42" s="264">
        <v>0.2</v>
      </c>
      <c r="E42" s="264">
        <v>0.2</v>
      </c>
      <c r="F42" s="264">
        <v>0.2</v>
      </c>
      <c r="G42" s="264">
        <v>0.2</v>
      </c>
      <c r="H42" s="264">
        <v>0.2</v>
      </c>
      <c r="I42" s="264">
        <v>0.21</v>
      </c>
      <c r="J42" s="264">
        <v>0.21</v>
      </c>
      <c r="K42" s="264">
        <v>0.21</v>
      </c>
      <c r="L42" s="264">
        <v>0.21</v>
      </c>
      <c r="M42" s="264">
        <v>0.21</v>
      </c>
      <c r="N42" s="264">
        <v>0.21</v>
      </c>
      <c r="O42" s="264">
        <v>0.21</v>
      </c>
      <c r="P42" s="264">
        <v>0.21</v>
      </c>
      <c r="Q42" s="264">
        <v>0.21</v>
      </c>
      <c r="R42" s="264">
        <v>0.21</v>
      </c>
      <c r="S42" s="264">
        <v>0.21</v>
      </c>
      <c r="T42" s="264">
        <v>0.21</v>
      </c>
      <c r="U42" s="264">
        <v>0.22</v>
      </c>
      <c r="V42" s="264">
        <v>0.22</v>
      </c>
      <c r="W42" s="264">
        <v>0.22</v>
      </c>
      <c r="X42" s="264">
        <v>0.22</v>
      </c>
      <c r="Y42" s="264">
        <v>0.22</v>
      </c>
      <c r="Z42" s="264">
        <v>0.22</v>
      </c>
      <c r="AA42" s="57">
        <f>IF(ISERROR(AVERAGE(C42:Z42))," ",AVERAGE(C42:Z42))</f>
        <v>0.20999999999999996</v>
      </c>
      <c r="AB42" s="58">
        <f>IF(AA42=" "," ",IF('c-form'!AE15="",AA42,AA42+'c-form'!AE15))</f>
        <v>337.81</v>
      </c>
      <c r="AC42" s="58">
        <f>IF(AM42=" "," ",IF('c-form'!AE15="",AA42,AM42+'c-form'!AE15))</f>
        <v>337.82000000000005</v>
      </c>
      <c r="AD42" s="150">
        <f>IF(AB42=" "," ",MATCH(AM42,C42:Z42,0))</f>
        <v>19</v>
      </c>
      <c r="AE42" s="58">
        <f>IF(AN42=" "," ",IF('c-form'!AE15="",AA42,AN42+'c-form'!AE15))</f>
        <v>337.8</v>
      </c>
      <c r="AF42" s="150">
        <f>IF(AD42=" "," ",MATCH(AN42,C42:Z42,0))</f>
        <v>1</v>
      </c>
      <c r="AM42">
        <f t="shared" si="2"/>
        <v>0.22</v>
      </c>
      <c r="AN42" s="54">
        <f t="shared" si="4"/>
        <v>0.2</v>
      </c>
    </row>
    <row r="43" spans="1:41" ht="25.5" customHeight="1">
      <c r="A43" s="60"/>
      <c r="B43" s="132">
        <v>31</v>
      </c>
      <c r="C43" s="264">
        <v>0.23</v>
      </c>
      <c r="D43" s="264">
        <v>0.23</v>
      </c>
      <c r="E43" s="264">
        <v>0.23</v>
      </c>
      <c r="F43" s="264">
        <v>0.23</v>
      </c>
      <c r="G43" s="264">
        <v>0.23</v>
      </c>
      <c r="H43" s="264">
        <v>0.23</v>
      </c>
      <c r="I43" s="264">
        <v>0.23</v>
      </c>
      <c r="J43" s="264">
        <v>0.23</v>
      </c>
      <c r="K43" s="264">
        <v>0.23</v>
      </c>
      <c r="L43" s="264">
        <v>0.23</v>
      </c>
      <c r="M43" s="264">
        <v>0.23</v>
      </c>
      <c r="N43" s="264">
        <v>0.23</v>
      </c>
      <c r="O43" s="264">
        <v>0.23</v>
      </c>
      <c r="P43" s="264">
        <v>0.23</v>
      </c>
      <c r="Q43" s="264">
        <v>0.23</v>
      </c>
      <c r="R43" s="264">
        <v>0.23</v>
      </c>
      <c r="S43" s="264">
        <v>0.23</v>
      </c>
      <c r="T43" s="264">
        <v>0.23</v>
      </c>
      <c r="U43" s="264">
        <v>0.23</v>
      </c>
      <c r="V43" s="264">
        <v>0.23</v>
      </c>
      <c r="W43" s="264">
        <v>0.23</v>
      </c>
      <c r="X43" s="264">
        <v>0.23</v>
      </c>
      <c r="Y43" s="264">
        <v>0.23</v>
      </c>
      <c r="Z43" s="264">
        <v>0.23</v>
      </c>
      <c r="AA43" s="57">
        <f>IF(ISERR(AVERAGE(C43:Z43))," ",AVERAGE(C43:Z43))</f>
        <v>0.23000000000000012</v>
      </c>
      <c r="AB43" s="58">
        <f>IF(AA43=" "," ",IF('c-form'!AE15="",AA43,AA43+'c-form'!AE15))</f>
        <v>337.83000000000004</v>
      </c>
      <c r="AC43" s="58">
        <f>IF(AM43=" "," ",IF('c-form'!AE15="",AA43,AM43+'c-form'!AE15))</f>
        <v>337.83000000000004</v>
      </c>
      <c r="AD43" s="150">
        <f>IF(AB43=" "," ",MATCH(AM43,C43:Z43,0))</f>
        <v>1</v>
      </c>
      <c r="AE43" s="58">
        <f>IF(AN43=" "," ",IF('c-form'!AE15="",AA43,AN43+'c-form'!AE15))</f>
        <v>337.83000000000004</v>
      </c>
      <c r="AF43" s="150">
        <f>IF(AD43=" "," ",MATCH(AN43,C43:Z43,0))</f>
        <v>1</v>
      </c>
      <c r="AM43">
        <f t="shared" si="2"/>
        <v>0.23</v>
      </c>
      <c r="AN43" s="54">
        <f t="shared" si="4"/>
        <v>0.23</v>
      </c>
    </row>
    <row r="44" spans="1:41" s="60" customFormat="1" ht="9.75" customHeight="1"/>
    <row r="45" spans="1:41" s="80" customFormat="1" ht="23.25" customHeight="1">
      <c r="B45" s="331" t="s">
        <v>68</v>
      </c>
      <c r="C45" s="331"/>
      <c r="D45" s="331"/>
      <c r="E45" s="332">
        <f>IF(COUNT(AC11:AC43)=0," ",MAX(AC11:AC43))</f>
        <v>338.19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10</v>
      </c>
      <c r="M45" s="69" t="s">
        <v>254</v>
      </c>
      <c r="N45" s="82" t="s">
        <v>288</v>
      </c>
      <c r="O45" s="202">
        <f>IF(COUNT(AC11:AC43)=0," ",INDEX(AD11:AD43,AM45))</f>
        <v>8</v>
      </c>
      <c r="P45" s="331" t="s">
        <v>72</v>
      </c>
      <c r="Q45" s="331"/>
      <c r="R45" s="331"/>
      <c r="S45" s="336">
        <f>IF(COUNT(AC11:AC43)=0," ",AVERAGE(AB11:AB43))</f>
        <v>337.99497311827969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10</v>
      </c>
      <c r="AN45" s="83"/>
    </row>
    <row r="46" spans="1:41" s="80" customFormat="1" ht="20.100000000000001" customHeight="1">
      <c r="B46" s="331" t="s">
        <v>69</v>
      </c>
      <c r="C46" s="331"/>
      <c r="D46" s="331"/>
      <c r="E46" s="332">
        <f>IF(COUNT(AC11:AC43)=0," ",MIN(AE11:AE43))</f>
        <v>337.73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20</v>
      </c>
      <c r="M46" s="69" t="s">
        <v>254</v>
      </c>
      <c r="N46" s="82" t="s">
        <v>288</v>
      </c>
      <c r="O46" s="202">
        <f>IF(COUNT(AC11:AC43)=0," ",INDEX(AF11:AF43,AM46))</f>
        <v>12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75" t="s">
        <v>74</v>
      </c>
      <c r="AB46" s="84"/>
      <c r="AC46" s="84"/>
      <c r="AD46" s="84"/>
      <c r="AE46" s="84"/>
      <c r="AF46" s="84"/>
      <c r="AM46" s="80">
        <f>MATCH(E46,AE11:AE43,0)</f>
        <v>21</v>
      </c>
    </row>
    <row r="47" spans="1:41" ht="20.100000000000001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</row>
    <row r="48" spans="1:41" ht="20.100000000000001" customHeight="1">
      <c r="B48" s="63"/>
      <c r="C48" s="63"/>
      <c r="D48" s="63"/>
      <c r="E48" s="62"/>
      <c r="F48" s="56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</row>
    <row r="49" ht="20.100000000000001" customHeight="1"/>
  </sheetData>
  <sheetProtection password="D965" sheet="1" objects="1" scenarios="1"/>
  <mergeCells count="33">
    <mergeCell ref="B3:D3"/>
    <mergeCell ref="L7:O7"/>
    <mergeCell ref="AD1:AE1"/>
    <mergeCell ref="B2:D2"/>
    <mergeCell ref="E2:AC2"/>
    <mergeCell ref="G5:H5"/>
    <mergeCell ref="J5:N5"/>
    <mergeCell ref="P5:S5"/>
    <mergeCell ref="U5:W5"/>
    <mergeCell ref="Y5:Z5"/>
    <mergeCell ref="AD9:AF9"/>
    <mergeCell ref="P45:R45"/>
    <mergeCell ref="S45:T45"/>
    <mergeCell ref="B9:B10"/>
    <mergeCell ref="C9:Z9"/>
    <mergeCell ref="AA9:AA10"/>
    <mergeCell ref="AB9:AC9"/>
    <mergeCell ref="B46:D46"/>
    <mergeCell ref="E46:F46"/>
    <mergeCell ref="B45:D45"/>
    <mergeCell ref="E45:F45"/>
    <mergeCell ref="P46:Q46"/>
    <mergeCell ref="AE4:AG4"/>
    <mergeCell ref="AE7:AG7"/>
    <mergeCell ref="AC7:AD7"/>
    <mergeCell ref="C5:E5"/>
    <mergeCell ref="P7:R7"/>
    <mergeCell ref="S7:V7"/>
    <mergeCell ref="W7:X7"/>
    <mergeCell ref="B7:C7"/>
    <mergeCell ref="D7:E7"/>
    <mergeCell ref="G7:H7"/>
    <mergeCell ref="AA5:AC5"/>
  </mergeCells>
  <phoneticPr fontId="0" type="noConversion"/>
  <pageMargins left="0.59055118110236227" right="0.15748031496062992" top="0.39370078740157483" bottom="0.31496062992125984" header="0.31496062992125984" footer="0.51181102362204722"/>
  <pageSetup paperSize="9" scale="55"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P49"/>
  <sheetViews>
    <sheetView showGridLines="0" topLeftCell="A4" zoomScaleNormal="100" workbookViewId="0">
      <pane xSplit="2" ySplit="7" topLeftCell="F11" activePane="bottomRight" state="frozen"/>
      <selection activeCell="A4" sqref="A4"/>
      <selection pane="topRight" activeCell="C4" sqref="C4"/>
      <selection pane="bottomLeft" activeCell="A11" sqref="A11"/>
      <selection pane="bottomRight" activeCell="I16" sqref="I16"/>
    </sheetView>
  </sheetViews>
  <sheetFormatPr defaultRowHeight="12.75"/>
  <cols>
    <col min="1" max="1" width="1.42578125" customWidth="1"/>
    <col min="2" max="2" width="7" customWidth="1"/>
    <col min="3" max="27" width="7.85546875" customWidth="1"/>
    <col min="28" max="28" width="9.5703125" customWidth="1"/>
    <col min="29" max="29" width="8.42578125" customWidth="1"/>
    <col min="30" max="30" width="6.85546875" customWidth="1"/>
    <col min="31" max="31" width="8.140625" customWidth="1"/>
    <col min="32" max="32" width="7.28515625" customWidth="1"/>
    <col min="34" max="34" width="19" hidden="1" customWidth="1"/>
    <col min="35" max="37" width="9.140625" hidden="1" customWidth="1"/>
    <col min="38" max="38" width="0" hidden="1" customWidth="1"/>
    <col min="39" max="39" width="8.5703125" hidden="1" customWidth="1"/>
    <col min="40" max="40" width="4.28515625" hidden="1" customWidth="1"/>
    <col min="41" max="42" width="0" hidden="1" customWidth="1"/>
  </cols>
  <sheetData>
    <row r="1" spans="1:42" s="85" customFormat="1" ht="9" customHeight="1">
      <c r="AD1" s="344" t="s">
        <v>108</v>
      </c>
      <c r="AE1" s="345"/>
    </row>
    <row r="2" spans="1:42" s="85" customFormat="1" ht="21.75" customHeight="1">
      <c r="B2" s="346" t="s">
        <v>105</v>
      </c>
      <c r="C2" s="346"/>
      <c r="D2" s="346"/>
      <c r="E2" s="347" t="s">
        <v>107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42" s="85" customFormat="1" ht="19.5" customHeight="1">
      <c r="B3" s="73" t="s">
        <v>106</v>
      </c>
      <c r="C3" s="73"/>
      <c r="D3" s="73"/>
      <c r="AA3" s="158"/>
      <c r="AB3" s="158"/>
      <c r="AC3" s="158"/>
      <c r="AD3" s="158"/>
      <c r="AE3" s="158"/>
      <c r="AF3" s="158"/>
    </row>
    <row r="4" spans="1:42" s="88" customFormat="1" ht="18.75" customHeight="1">
      <c r="F4" s="90"/>
      <c r="AA4" s="161"/>
      <c r="AB4" s="161"/>
      <c r="AC4" s="161"/>
      <c r="AD4" s="159" t="s">
        <v>123</v>
      </c>
      <c r="AE4" s="315"/>
      <c r="AF4" s="315"/>
      <c r="AG4" s="353"/>
    </row>
    <row r="5" spans="1:42" s="74" customFormat="1" ht="18.75" customHeight="1">
      <c r="B5" s="75" t="s">
        <v>109</v>
      </c>
      <c r="C5" s="318" t="str">
        <f>IF(ISBLANK(rsteam),"",rsteam)</f>
        <v>Nam  Ping</v>
      </c>
      <c r="D5" s="311"/>
      <c r="E5" s="311"/>
      <c r="F5" s="77" t="s">
        <v>110</v>
      </c>
      <c r="G5" s="327" t="str">
        <f>IF(ISBLANK(name),"",[0]!name)</f>
        <v>P.75</v>
      </c>
      <c r="H5" s="322"/>
      <c r="I5" s="77" t="s">
        <v>111</v>
      </c>
      <c r="J5" s="348" t="str">
        <f>IF([0]!stampv="","",MID([0]!stampv,1,FIND(",",[0]!stampv)-1))</f>
        <v>Ban Cho Lae</v>
      </c>
      <c r="K5" s="349"/>
      <c r="L5" s="349"/>
      <c r="M5" s="349"/>
      <c r="N5" s="349"/>
      <c r="O5" s="77" t="s">
        <v>113</v>
      </c>
      <c r="P5" s="348" t="str">
        <f>IF('c-form'!AG5="","",MID('c-form'!AG5,1,FIND(",",'c-form'!AG5)-1))</f>
        <v xml:space="preserve">  Mae Taeng</v>
      </c>
      <c r="Q5" s="349"/>
      <c r="R5" s="349"/>
      <c r="S5" s="349"/>
      <c r="T5" s="78" t="s">
        <v>114</v>
      </c>
      <c r="U5" s="327" t="str">
        <f>IF('c-form'!AG6="","",MID('c-form'!AG6,1,FIND(",",'c-form'!AG6)-1))</f>
        <v xml:space="preserve"> Chiang Mai</v>
      </c>
      <c r="V5" s="322"/>
      <c r="W5" s="322"/>
      <c r="X5" s="77" t="s">
        <v>115</v>
      </c>
      <c r="Y5" s="374" t="s">
        <v>326</v>
      </c>
      <c r="Z5" s="375"/>
      <c r="AA5" s="328" t="s">
        <v>124</v>
      </c>
      <c r="AB5" s="328"/>
      <c r="AC5" s="328"/>
      <c r="AD5" s="160"/>
      <c r="AE5" s="160"/>
      <c r="AF5" s="160"/>
    </row>
    <row r="6" spans="1:42" s="74" customFormat="1" ht="9" customHeight="1">
      <c r="B6" s="75"/>
      <c r="C6" s="75"/>
      <c r="D6" s="79"/>
      <c r="E6" s="79"/>
      <c r="F6" s="75"/>
      <c r="G6" s="79"/>
      <c r="AA6" s="160"/>
      <c r="AB6" s="160"/>
      <c r="AC6" s="160"/>
      <c r="AD6" s="160"/>
      <c r="AE6" s="160"/>
      <c r="AF6" s="160"/>
    </row>
    <row r="7" spans="1:42" s="74" customFormat="1" ht="21" customHeight="1">
      <c r="B7" s="324" t="s">
        <v>116</v>
      </c>
      <c r="C7" s="324"/>
      <c r="D7" s="325" t="s">
        <v>118</v>
      </c>
      <c r="E7" s="326"/>
      <c r="F7" s="77" t="s">
        <v>117</v>
      </c>
      <c r="G7" s="327">
        <f>IF('c-form'!C7="","",'c-form'!C7+543)</f>
        <v>2556</v>
      </c>
      <c r="H7" s="322"/>
      <c r="L7" s="321" t="s">
        <v>119</v>
      </c>
      <c r="M7" s="322"/>
      <c r="N7" s="322"/>
      <c r="O7" s="322"/>
      <c r="P7" s="374" t="s">
        <v>126</v>
      </c>
      <c r="Q7" s="375"/>
      <c r="R7" s="375"/>
      <c r="S7" s="321" t="s">
        <v>120</v>
      </c>
      <c r="T7" s="322"/>
      <c r="U7" s="322"/>
      <c r="V7" s="322"/>
      <c r="W7" s="323">
        <f>'c-form'!AE15</f>
        <v>337.6</v>
      </c>
      <c r="X7" s="323"/>
      <c r="Y7" s="71" t="s">
        <v>121</v>
      </c>
      <c r="Z7" s="76" t="str">
        <f>'c-form'!AF15</f>
        <v>MSL.</v>
      </c>
      <c r="AA7" s="160" t="s">
        <v>122</v>
      </c>
      <c r="AB7" s="160"/>
      <c r="AC7" s="317" t="s">
        <v>125</v>
      </c>
      <c r="AD7" s="300"/>
      <c r="AE7" s="315"/>
      <c r="AF7" s="315"/>
      <c r="AG7" s="280"/>
    </row>
    <row r="8" spans="1:42" s="85" customFormat="1" ht="15.75" customHeight="1">
      <c r="AA8" s="158"/>
      <c r="AB8" s="158"/>
      <c r="AC8" s="158"/>
      <c r="AD8" s="158"/>
      <c r="AE8" s="158"/>
      <c r="AF8" s="158"/>
    </row>
    <row r="9" spans="1:42" s="52" customFormat="1" ht="30.75" customHeight="1">
      <c r="A9" s="55"/>
      <c r="B9" s="337" t="s">
        <v>127</v>
      </c>
      <c r="C9" s="339" t="s">
        <v>129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40"/>
      <c r="AA9" s="341" t="s">
        <v>128</v>
      </c>
      <c r="AB9" s="329" t="s">
        <v>134</v>
      </c>
      <c r="AC9" s="330"/>
      <c r="AD9" s="350" t="str">
        <f>'c-form'!AF15</f>
        <v>MSL.</v>
      </c>
      <c r="AE9" s="351"/>
      <c r="AF9" s="330"/>
    </row>
    <row r="10" spans="1:42" s="52" customFormat="1" ht="21" customHeight="1">
      <c r="A10" s="55"/>
      <c r="B10" s="338"/>
      <c r="C10" s="61">
        <v>1</v>
      </c>
      <c r="D10" s="61">
        <v>2</v>
      </c>
      <c r="E10" s="61">
        <v>3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  <c r="M10" s="61">
        <v>11</v>
      </c>
      <c r="N10" s="61">
        <v>12</v>
      </c>
      <c r="O10" s="61">
        <v>13</v>
      </c>
      <c r="P10" s="61">
        <v>14</v>
      </c>
      <c r="Q10" s="61">
        <v>15</v>
      </c>
      <c r="R10" s="61">
        <v>16</v>
      </c>
      <c r="S10" s="61">
        <v>17</v>
      </c>
      <c r="T10" s="61">
        <v>18</v>
      </c>
      <c r="U10" s="61">
        <v>19</v>
      </c>
      <c r="V10" s="61">
        <v>20</v>
      </c>
      <c r="W10" s="61">
        <v>21</v>
      </c>
      <c r="X10" s="61">
        <v>22</v>
      </c>
      <c r="Y10" s="61">
        <v>23</v>
      </c>
      <c r="Z10" s="61">
        <v>24</v>
      </c>
      <c r="AA10" s="342"/>
      <c r="AB10" s="72" t="s">
        <v>130</v>
      </c>
      <c r="AC10" s="72" t="s">
        <v>131</v>
      </c>
      <c r="AD10" s="72" t="s">
        <v>132</v>
      </c>
      <c r="AE10" s="72" t="s">
        <v>133</v>
      </c>
      <c r="AF10" s="72" t="s">
        <v>132</v>
      </c>
    </row>
    <row r="11" spans="1:42" s="63" customFormat="1" ht="22.5" customHeight="1">
      <c r="A11" s="225"/>
      <c r="B11" s="132">
        <v>1</v>
      </c>
      <c r="C11" s="264">
        <v>0.34</v>
      </c>
      <c r="D11" s="264">
        <v>0.36</v>
      </c>
      <c r="E11" s="264">
        <v>0.38</v>
      </c>
      <c r="F11" s="264">
        <v>0.4</v>
      </c>
      <c r="G11" s="264">
        <v>0.42</v>
      </c>
      <c r="H11" s="264">
        <v>0.44</v>
      </c>
      <c r="I11" s="264">
        <v>0.44</v>
      </c>
      <c r="J11" s="264">
        <v>0.44</v>
      </c>
      <c r="K11" s="264">
        <v>0.44</v>
      </c>
      <c r="L11" s="264">
        <v>0.44</v>
      </c>
      <c r="M11" s="264">
        <v>0.44</v>
      </c>
      <c r="N11" s="264">
        <v>0.44</v>
      </c>
      <c r="O11" s="264">
        <v>0.44</v>
      </c>
      <c r="P11" s="264">
        <v>0.45</v>
      </c>
      <c r="Q11" s="264">
        <v>0.45</v>
      </c>
      <c r="R11" s="264">
        <v>0.46</v>
      </c>
      <c r="S11" s="264">
        <v>0.47</v>
      </c>
      <c r="T11" s="264">
        <v>0.48</v>
      </c>
      <c r="U11" s="264">
        <v>0.5</v>
      </c>
      <c r="V11" s="264">
        <v>0.51</v>
      </c>
      <c r="W11" s="264">
        <v>0.52</v>
      </c>
      <c r="X11" s="264">
        <v>0.53</v>
      </c>
      <c r="Y11" s="264">
        <v>0.55000000000000004</v>
      </c>
      <c r="Z11" s="264">
        <v>0.56000000000000005</v>
      </c>
      <c r="AA11" s="57">
        <f t="shared" ref="AA11:AA17" si="0">IF(ISERROR(AVERAGE(C11:Z11))," ",AVERAGE(C11:Z11))</f>
        <v>0.45416666666666666</v>
      </c>
      <c r="AB11" s="58">
        <f>IF(AA11=" "," ",IF('c-form'!AE15="",AA11,AA11+'c-form'!AE15))</f>
        <v>338.05416666666667</v>
      </c>
      <c r="AC11" s="58">
        <f>IF(AA11=" "," ",IF('c-form'!AE15="",AM11,AM11+'c-form'!AE15))</f>
        <v>338.16</v>
      </c>
      <c r="AD11" s="150">
        <f>IF(AB11=" "," ",MATCH(AM11,C11:Z11,0))</f>
        <v>24</v>
      </c>
      <c r="AE11" s="137">
        <f>IF(AA11=" "," ",IF('c-form'!AE15="",AN11,AN11+'c-form'!AE15))</f>
        <v>337.94</v>
      </c>
      <c r="AF11" s="150">
        <f t="shared" ref="AF11:AF20" si="1">IF(AD11=" "," ",MATCH(AN11,C11:Z11,0))</f>
        <v>1</v>
      </c>
      <c r="AM11" s="63">
        <f>IF(AB11=" "," ",MAX(C11:Z11))</f>
        <v>0.56000000000000005</v>
      </c>
      <c r="AN11" s="54">
        <f>IF(AB11=" "," ",MIN(C11:Z11))</f>
        <v>0.34</v>
      </c>
      <c r="AP11" s="63">
        <f>'c-form'!AE15</f>
        <v>337.6</v>
      </c>
    </row>
    <row r="12" spans="1:42" s="63" customFormat="1" ht="22.5" customHeight="1">
      <c r="A12" s="225"/>
      <c r="B12" s="132">
        <v>2</v>
      </c>
      <c r="C12" s="264">
        <v>0.57999999999999996</v>
      </c>
      <c r="D12" s="264">
        <v>0.6</v>
      </c>
      <c r="E12" s="264">
        <v>0.62</v>
      </c>
      <c r="F12" s="264">
        <v>0.64</v>
      </c>
      <c r="G12" s="264">
        <v>0.65</v>
      </c>
      <c r="H12" s="264">
        <v>0.67</v>
      </c>
      <c r="I12" s="264">
        <v>0.69</v>
      </c>
      <c r="J12" s="264">
        <v>0.7</v>
      </c>
      <c r="K12" s="264">
        <v>0.71</v>
      </c>
      <c r="L12" s="264">
        <v>0.72</v>
      </c>
      <c r="M12" s="264">
        <v>0.73</v>
      </c>
      <c r="N12" s="264">
        <v>0.74</v>
      </c>
      <c r="O12" s="264">
        <v>0.75</v>
      </c>
      <c r="P12" s="264">
        <v>0.76</v>
      </c>
      <c r="Q12" s="264">
        <v>0.77</v>
      </c>
      <c r="R12" s="264">
        <v>0.77</v>
      </c>
      <c r="S12" s="264">
        <v>0.77</v>
      </c>
      <c r="T12" s="264">
        <v>0.77</v>
      </c>
      <c r="U12" s="264">
        <v>0.77</v>
      </c>
      <c r="V12" s="264">
        <v>0.77</v>
      </c>
      <c r="W12" s="264">
        <v>0.77</v>
      </c>
      <c r="X12" s="264">
        <v>0.76</v>
      </c>
      <c r="Y12" s="264">
        <v>0.75</v>
      </c>
      <c r="Z12" s="264">
        <v>0.74</v>
      </c>
      <c r="AA12" s="57">
        <f t="shared" si="0"/>
        <v>0.71666666666666634</v>
      </c>
      <c r="AB12" s="58">
        <f>IF(AA12=" "," ",IF('c-form'!AE15="",AA12,AA12+'c-form'!AE15))</f>
        <v>338.31666666666666</v>
      </c>
      <c r="AC12" s="58">
        <f>IF(AA12=" "," ",IF('c-form'!AE15="",AM12,AM12+'c-form'!AE15))</f>
        <v>338.37</v>
      </c>
      <c r="AD12" s="150">
        <f>IF(AB12=" "," ",MATCH(AM12,C12:Z12,0))</f>
        <v>15</v>
      </c>
      <c r="AE12" s="137">
        <f>IF(AA12=" "," ",IF('c-form'!AE15="",AN12,AN12+'c-form'!AE15))</f>
        <v>338.18</v>
      </c>
      <c r="AF12" s="150">
        <f t="shared" si="1"/>
        <v>1</v>
      </c>
      <c r="AM12" s="63">
        <f t="shared" ref="AM12:AM43" si="2">IF(AB12=" "," ",MAX(C12:Z12))</f>
        <v>0.77</v>
      </c>
      <c r="AN12" s="54">
        <f>IF(AB12=" "," ",MIN(C12:Z12))</f>
        <v>0.57999999999999996</v>
      </c>
    </row>
    <row r="13" spans="1:42" s="63" customFormat="1" ht="22.5" customHeight="1">
      <c r="A13" s="225"/>
      <c r="B13" s="132">
        <v>3</v>
      </c>
      <c r="C13" s="264">
        <v>0.73</v>
      </c>
      <c r="D13" s="264">
        <v>0.72</v>
      </c>
      <c r="E13" s="264">
        <v>0.71</v>
      </c>
      <c r="F13" s="264">
        <v>0.7</v>
      </c>
      <c r="G13" s="264">
        <v>0.7</v>
      </c>
      <c r="H13" s="264">
        <v>0.69</v>
      </c>
      <c r="I13" s="264">
        <v>0.68</v>
      </c>
      <c r="J13" s="264">
        <v>0.66</v>
      </c>
      <c r="K13" s="264">
        <v>0.65</v>
      </c>
      <c r="L13" s="264">
        <v>0.63</v>
      </c>
      <c r="M13" s="264">
        <v>0.62</v>
      </c>
      <c r="N13" s="264">
        <v>0.61</v>
      </c>
      <c r="O13" s="264">
        <v>0.6</v>
      </c>
      <c r="P13" s="264">
        <v>0.59</v>
      </c>
      <c r="Q13" s="264">
        <v>0.57999999999999996</v>
      </c>
      <c r="R13" s="264">
        <v>0.56999999999999995</v>
      </c>
      <c r="S13" s="264">
        <v>0.56000000000000005</v>
      </c>
      <c r="T13" s="264">
        <v>0.55000000000000004</v>
      </c>
      <c r="U13" s="264">
        <v>0.54</v>
      </c>
      <c r="V13" s="264">
        <v>0.53</v>
      </c>
      <c r="W13" s="264">
        <v>0.53</v>
      </c>
      <c r="X13" s="264">
        <v>0.52</v>
      </c>
      <c r="Y13" s="264">
        <v>0.52</v>
      </c>
      <c r="Z13" s="264">
        <v>0.51</v>
      </c>
      <c r="AA13" s="57">
        <f t="shared" si="0"/>
        <v>0.61249999999999993</v>
      </c>
      <c r="AB13" s="58">
        <f>IF(AA13=" "," ",IF('c-form'!AE15="",AA13,AA13+'c-form'!AE15))</f>
        <v>338.21250000000003</v>
      </c>
      <c r="AC13" s="58">
        <f>IF(AA13=" "," ",IF('c-form'!AE15="",AM13,AM13+'c-form'!AE15))</f>
        <v>338.33000000000004</v>
      </c>
      <c r="AD13" s="150">
        <f t="shared" ref="AD13:AD20" si="3">IF(AB13=" "," ",MATCH(AM13,C13:Z13,0))</f>
        <v>1</v>
      </c>
      <c r="AE13" s="137">
        <f>IF(AA13=" "," ",IF('c-form'!AE15="",AN13,AN13+'c-form'!AE15))</f>
        <v>338.11</v>
      </c>
      <c r="AF13" s="150">
        <f t="shared" si="1"/>
        <v>24</v>
      </c>
      <c r="AM13" s="63">
        <f t="shared" si="2"/>
        <v>0.73</v>
      </c>
      <c r="AN13" s="54">
        <f t="shared" ref="AN13:AN43" si="4">IF(AB13=" "," ",MIN(C13:Z13))</f>
        <v>0.51</v>
      </c>
    </row>
    <row r="14" spans="1:42" s="63" customFormat="1" ht="22.5" customHeight="1">
      <c r="A14" s="225"/>
      <c r="B14" s="132">
        <v>4</v>
      </c>
      <c r="C14" s="264">
        <v>0.51</v>
      </c>
      <c r="D14" s="264">
        <v>0.5</v>
      </c>
      <c r="E14" s="264">
        <v>0.5</v>
      </c>
      <c r="F14" s="264">
        <v>0.5</v>
      </c>
      <c r="G14" s="264">
        <v>0.5</v>
      </c>
      <c r="H14" s="264">
        <v>0.51</v>
      </c>
      <c r="I14" s="264">
        <v>0.51</v>
      </c>
      <c r="J14" s="264">
        <v>0.51</v>
      </c>
      <c r="K14" s="264">
        <v>0.52</v>
      </c>
      <c r="L14" s="264">
        <v>0.52</v>
      </c>
      <c r="M14" s="264">
        <v>0.53</v>
      </c>
      <c r="N14" s="264">
        <v>0.54</v>
      </c>
      <c r="O14" s="264">
        <v>0.55000000000000004</v>
      </c>
      <c r="P14" s="264">
        <v>0.56000000000000005</v>
      </c>
      <c r="Q14" s="264">
        <v>0.56000000000000005</v>
      </c>
      <c r="R14" s="264">
        <v>0.56999999999999995</v>
      </c>
      <c r="S14" s="264">
        <v>0.56999999999999995</v>
      </c>
      <c r="T14" s="264">
        <v>0.57999999999999996</v>
      </c>
      <c r="U14" s="264">
        <v>0.57999999999999996</v>
      </c>
      <c r="V14" s="264">
        <v>0.59</v>
      </c>
      <c r="W14" s="264">
        <v>0.59</v>
      </c>
      <c r="X14" s="264">
        <v>0.6</v>
      </c>
      <c r="Y14" s="264">
        <v>0.6</v>
      </c>
      <c r="Z14" s="264">
        <v>0.6</v>
      </c>
      <c r="AA14" s="57">
        <f t="shared" si="0"/>
        <v>0.54583333333333328</v>
      </c>
      <c r="AB14" s="58">
        <f>IF(AA14=" "," ",IF('c-form'!AE15="",AA14,AA14+'c-form'!AE15))</f>
        <v>338.14583333333337</v>
      </c>
      <c r="AC14" s="58">
        <f>IF(AA14=" "," ",IF('c-form'!AE15="",AM14,AM14+'c-form'!AE15))</f>
        <v>338.20000000000005</v>
      </c>
      <c r="AD14" s="150">
        <f t="shared" si="3"/>
        <v>22</v>
      </c>
      <c r="AE14" s="137">
        <f>IF(AA14=" "," ",IF('c-form'!AE15="",AN14,AN14+'c-form'!AE15))</f>
        <v>338.1</v>
      </c>
      <c r="AF14" s="150">
        <f t="shared" si="1"/>
        <v>2</v>
      </c>
      <c r="AM14" s="63">
        <f t="shared" si="2"/>
        <v>0.6</v>
      </c>
      <c r="AN14" s="54">
        <f t="shared" si="4"/>
        <v>0.5</v>
      </c>
    </row>
    <row r="15" spans="1:42" s="63" customFormat="1" ht="22.5" customHeight="1">
      <c r="A15" s="225"/>
      <c r="B15" s="132">
        <v>5</v>
      </c>
      <c r="C15" s="264">
        <v>0.6</v>
      </c>
      <c r="D15" s="264">
        <v>0.6</v>
      </c>
      <c r="E15" s="264">
        <v>0.6</v>
      </c>
      <c r="F15" s="264">
        <v>0.59</v>
      </c>
      <c r="G15" s="264">
        <v>0.59</v>
      </c>
      <c r="H15" s="264">
        <v>0.59</v>
      </c>
      <c r="I15" s="264">
        <v>0.59</v>
      </c>
      <c r="J15" s="264">
        <v>0.59</v>
      </c>
      <c r="K15" s="264">
        <v>0.57999999999999996</v>
      </c>
      <c r="L15" s="264">
        <v>0.57999999999999996</v>
      </c>
      <c r="M15" s="264">
        <v>0.57999999999999996</v>
      </c>
      <c r="N15" s="264">
        <v>0.57999999999999996</v>
      </c>
      <c r="O15" s="264">
        <v>0.56999999999999995</v>
      </c>
      <c r="P15" s="264">
        <v>0.56999999999999995</v>
      </c>
      <c r="Q15" s="264">
        <v>0.56999999999999995</v>
      </c>
      <c r="R15" s="264">
        <v>0.56999999999999995</v>
      </c>
      <c r="S15" s="264">
        <v>0.56000000000000005</v>
      </c>
      <c r="T15" s="264">
        <v>0.56000000000000005</v>
      </c>
      <c r="U15" s="264">
        <v>0.56000000000000005</v>
      </c>
      <c r="V15" s="264">
        <v>0.56000000000000005</v>
      </c>
      <c r="W15" s="264">
        <v>0.56000000000000005</v>
      </c>
      <c r="X15" s="264">
        <v>0.56000000000000005</v>
      </c>
      <c r="Y15" s="264">
        <v>0.56000000000000005</v>
      </c>
      <c r="Z15" s="264">
        <v>0.56000000000000005</v>
      </c>
      <c r="AA15" s="57">
        <f t="shared" si="0"/>
        <v>0.57625000000000015</v>
      </c>
      <c r="AB15" s="58">
        <f>IF(AA15=" "," ",IF('c-form'!AE15="",AA15,AA15+'c-form'!AE15))</f>
        <v>338.17625000000004</v>
      </c>
      <c r="AC15" s="58">
        <f>IF(AA15=" "," ",IF('c-form'!AE15="",AM15,AM15+'c-form'!AE15))</f>
        <v>338.20000000000005</v>
      </c>
      <c r="AD15" s="150">
        <f t="shared" si="3"/>
        <v>1</v>
      </c>
      <c r="AE15" s="137">
        <f>IF(AA15=" "," ",IF('c-form'!AE15="",AN15,AN15+'c-form'!AE15))</f>
        <v>338.16</v>
      </c>
      <c r="AF15" s="150">
        <f t="shared" si="1"/>
        <v>17</v>
      </c>
      <c r="AM15" s="63">
        <f t="shared" si="2"/>
        <v>0.6</v>
      </c>
      <c r="AN15" s="54">
        <f t="shared" si="4"/>
        <v>0.56000000000000005</v>
      </c>
    </row>
    <row r="16" spans="1:42" s="63" customFormat="1" ht="22.5" customHeight="1">
      <c r="A16" s="225"/>
      <c r="B16" s="132">
        <v>6</v>
      </c>
      <c r="C16" s="264">
        <v>0.56000000000000005</v>
      </c>
      <c r="D16" s="264">
        <v>0.56000000000000005</v>
      </c>
      <c r="E16" s="264">
        <v>0.56999999999999995</v>
      </c>
      <c r="F16" s="264">
        <v>0.56999999999999995</v>
      </c>
      <c r="G16" s="264">
        <v>0.56999999999999995</v>
      </c>
      <c r="H16" s="264">
        <v>0.56999999999999995</v>
      </c>
      <c r="I16" s="264">
        <v>0.56999999999999995</v>
      </c>
      <c r="J16" s="264">
        <v>0.56999999999999995</v>
      </c>
      <c r="K16" s="264">
        <v>0.57999999999999996</v>
      </c>
      <c r="L16" s="264">
        <v>0.57999999999999996</v>
      </c>
      <c r="M16" s="264">
        <v>0.57999999999999996</v>
      </c>
      <c r="N16" s="264">
        <v>0.59</v>
      </c>
      <c r="O16" s="264">
        <v>0.59</v>
      </c>
      <c r="P16" s="264">
        <v>0.6</v>
      </c>
      <c r="Q16" s="264">
        <v>0.6</v>
      </c>
      <c r="R16" s="264">
        <v>0.61</v>
      </c>
      <c r="S16" s="264">
        <v>0.61</v>
      </c>
      <c r="T16" s="264">
        <v>0.62</v>
      </c>
      <c r="U16" s="264">
        <v>0.62</v>
      </c>
      <c r="V16" s="264">
        <v>0.63</v>
      </c>
      <c r="W16" s="264">
        <v>0.63</v>
      </c>
      <c r="X16" s="264">
        <v>0.64</v>
      </c>
      <c r="Y16" s="264">
        <v>0.65</v>
      </c>
      <c r="Z16" s="264">
        <v>0.66</v>
      </c>
      <c r="AA16" s="57">
        <f t="shared" si="0"/>
        <v>0.5970833333333333</v>
      </c>
      <c r="AB16" s="58">
        <f>IF(AA16=" "," ",IF('c-form'!AE15="",AA16,AA16+'c-form'!AE15))</f>
        <v>338.19708333333335</v>
      </c>
      <c r="AC16" s="58">
        <f>IF(AA16=" "," ",IF('c-form'!AE15="",AM16,AM16+'c-form'!AE15))</f>
        <v>338.26000000000005</v>
      </c>
      <c r="AD16" s="150">
        <f t="shared" si="3"/>
        <v>24</v>
      </c>
      <c r="AE16" s="137">
        <f>IF(AA16=" "," ",IF('c-form'!AE15="",AN16,AN16+'c-form'!AE15))</f>
        <v>338.16</v>
      </c>
      <c r="AF16" s="150">
        <f t="shared" si="1"/>
        <v>1</v>
      </c>
      <c r="AM16" s="63">
        <f t="shared" si="2"/>
        <v>0.66</v>
      </c>
      <c r="AN16" s="54">
        <f t="shared" si="4"/>
        <v>0.56000000000000005</v>
      </c>
    </row>
    <row r="17" spans="1:40" s="63" customFormat="1" ht="22.5" customHeight="1">
      <c r="A17" s="225"/>
      <c r="B17" s="132">
        <v>7</v>
      </c>
      <c r="C17" s="264">
        <v>0.66</v>
      </c>
      <c r="D17" s="264">
        <v>0.67</v>
      </c>
      <c r="E17" s="264">
        <v>0.67</v>
      </c>
      <c r="F17" s="264">
        <v>0.68</v>
      </c>
      <c r="G17" s="264">
        <v>0.68</v>
      </c>
      <c r="H17" s="264">
        <v>0.69</v>
      </c>
      <c r="I17" s="264">
        <v>0.69</v>
      </c>
      <c r="J17" s="264">
        <v>0.69</v>
      </c>
      <c r="K17" s="264">
        <v>0.7</v>
      </c>
      <c r="L17" s="264">
        <v>0.7</v>
      </c>
      <c r="M17" s="264">
        <v>0.7</v>
      </c>
      <c r="N17" s="264">
        <v>0.71</v>
      </c>
      <c r="O17" s="264">
        <v>0.71</v>
      </c>
      <c r="P17" s="264">
        <v>0.71</v>
      </c>
      <c r="Q17" s="264">
        <v>0.71</v>
      </c>
      <c r="R17" s="264">
        <v>0.71</v>
      </c>
      <c r="S17" s="264">
        <v>0.71</v>
      </c>
      <c r="T17" s="264">
        <v>0.71</v>
      </c>
      <c r="U17" s="264">
        <v>0.7</v>
      </c>
      <c r="V17" s="264">
        <v>0.7</v>
      </c>
      <c r="W17" s="264">
        <v>0.69</v>
      </c>
      <c r="X17" s="264">
        <v>0.69</v>
      </c>
      <c r="Y17" s="264">
        <v>0.68</v>
      </c>
      <c r="Z17" s="264">
        <v>0.68</v>
      </c>
      <c r="AA17" s="57">
        <f t="shared" si="0"/>
        <v>0.69333333333333336</v>
      </c>
      <c r="AB17" s="58">
        <f>IF(AA17=" "," ",IF('c-form'!AE15="",AA17,AA17+'c-form'!AE15))</f>
        <v>338.29333333333335</v>
      </c>
      <c r="AC17" s="58">
        <f>IF(AA17=" "," ",IF('c-form'!AE15="",AM17,AM17+'c-form'!AE15))</f>
        <v>338.31</v>
      </c>
      <c r="AD17" s="150">
        <f t="shared" si="3"/>
        <v>12</v>
      </c>
      <c r="AE17" s="137">
        <f>IF(AA17=" "," ",IF('c-form'!AE15="",AN17,AN17+'c-form'!AE15))</f>
        <v>338.26000000000005</v>
      </c>
      <c r="AF17" s="150">
        <f t="shared" si="1"/>
        <v>1</v>
      </c>
      <c r="AM17" s="63">
        <f t="shared" si="2"/>
        <v>0.71</v>
      </c>
      <c r="AN17" s="54">
        <f t="shared" si="4"/>
        <v>0.66</v>
      </c>
    </row>
    <row r="18" spans="1:40" s="63" customFormat="1" ht="22.5" customHeight="1">
      <c r="A18" s="225"/>
      <c r="B18" s="132">
        <v>8</v>
      </c>
      <c r="C18" s="264">
        <v>0.67</v>
      </c>
      <c r="D18" s="264">
        <v>0.67</v>
      </c>
      <c r="E18" s="264">
        <v>0.66</v>
      </c>
      <c r="F18" s="264">
        <v>0.66</v>
      </c>
      <c r="G18" s="264">
        <v>0.65</v>
      </c>
      <c r="H18" s="264">
        <v>0.65</v>
      </c>
      <c r="I18" s="264">
        <v>0.65</v>
      </c>
      <c r="J18" s="264">
        <v>0.64</v>
      </c>
      <c r="K18" s="264">
        <v>0.64</v>
      </c>
      <c r="L18" s="264">
        <v>0.64</v>
      </c>
      <c r="M18" s="264">
        <v>0.63</v>
      </c>
      <c r="N18" s="264">
        <v>0.63</v>
      </c>
      <c r="O18" s="264">
        <v>0.63</v>
      </c>
      <c r="P18" s="264">
        <v>0.63</v>
      </c>
      <c r="Q18" s="264">
        <v>0.63</v>
      </c>
      <c r="R18" s="264">
        <v>0.62</v>
      </c>
      <c r="S18" s="264">
        <v>0.62</v>
      </c>
      <c r="T18" s="264">
        <v>0.62</v>
      </c>
      <c r="U18" s="264">
        <v>0.62</v>
      </c>
      <c r="V18" s="264">
        <v>0.61</v>
      </c>
      <c r="W18" s="264">
        <v>0.61</v>
      </c>
      <c r="X18" s="264">
        <v>0.61</v>
      </c>
      <c r="Y18" s="264">
        <v>0.61</v>
      </c>
      <c r="Z18" s="264">
        <v>0.61</v>
      </c>
      <c r="AA18" s="57">
        <f>IF(ISERROR(AVERAGE(C18:Z18))," ",AVERAGE(C18:Z18))</f>
        <v>0.63374999999999981</v>
      </c>
      <c r="AB18" s="58">
        <f>IF(AA18=" "," ",IF('c-form'!AE15="",AA18,AA18+'c-form'!AE15))</f>
        <v>338.23375000000004</v>
      </c>
      <c r="AC18" s="58">
        <f>IF(AA18=" "," ",IF('c-form'!AE15="",AM18,AM18+'c-form'!AE15))</f>
        <v>338.27000000000004</v>
      </c>
      <c r="AD18" s="150">
        <f t="shared" si="3"/>
        <v>1</v>
      </c>
      <c r="AE18" s="137">
        <f>IF(AA18=" "," ",IF('c-form'!AE15="",AN18,AN18+'c-form'!AE15))</f>
        <v>338.21000000000004</v>
      </c>
      <c r="AF18" s="150">
        <f t="shared" si="1"/>
        <v>20</v>
      </c>
      <c r="AM18" s="63">
        <f t="shared" si="2"/>
        <v>0.67</v>
      </c>
      <c r="AN18" s="54">
        <f t="shared" si="4"/>
        <v>0.61</v>
      </c>
    </row>
    <row r="19" spans="1:40" s="63" customFormat="1" ht="22.5" customHeight="1">
      <c r="A19" s="225"/>
      <c r="B19" s="132">
        <v>9</v>
      </c>
      <c r="C19" s="264">
        <v>0.6</v>
      </c>
      <c r="D19" s="264">
        <v>0.6</v>
      </c>
      <c r="E19" s="264">
        <v>0.6</v>
      </c>
      <c r="F19" s="264">
        <v>0.6</v>
      </c>
      <c r="G19" s="264">
        <v>0.6</v>
      </c>
      <c r="H19" s="264">
        <v>0.6</v>
      </c>
      <c r="I19" s="264">
        <v>0.6</v>
      </c>
      <c r="J19" s="264">
        <v>0.6</v>
      </c>
      <c r="K19" s="264">
        <v>0.6</v>
      </c>
      <c r="L19" s="264">
        <v>0.6</v>
      </c>
      <c r="M19" s="264">
        <v>0.6</v>
      </c>
      <c r="N19" s="264">
        <v>0.6</v>
      </c>
      <c r="O19" s="264">
        <v>0.6</v>
      </c>
      <c r="P19" s="264">
        <v>0.6</v>
      </c>
      <c r="Q19" s="264">
        <v>0.6</v>
      </c>
      <c r="R19" s="264">
        <v>0.6</v>
      </c>
      <c r="S19" s="264">
        <v>0.6</v>
      </c>
      <c r="T19" s="264">
        <v>0.6</v>
      </c>
      <c r="U19" s="264">
        <v>0.6</v>
      </c>
      <c r="V19" s="264">
        <v>0.6</v>
      </c>
      <c r="W19" s="264">
        <v>0.6</v>
      </c>
      <c r="X19" s="264">
        <v>0.6</v>
      </c>
      <c r="Y19" s="264">
        <v>0.6</v>
      </c>
      <c r="Z19" s="264">
        <v>0.6</v>
      </c>
      <c r="AA19" s="57">
        <f>IF(ISERROR(AVERAGE(C19:Z19))," ",AVERAGE(C19:Z19))</f>
        <v>0.59999999999999976</v>
      </c>
      <c r="AB19" s="58">
        <f>IF(AA19=" "," ",IF('c-form'!AE15="",AA19,AA19+'c-form'!AE15))</f>
        <v>338.20000000000005</v>
      </c>
      <c r="AC19" s="58">
        <f>IF(AA19=" "," ",IF('c-form'!AE15="",AM19,AM19+'c-form'!AE15))</f>
        <v>338.20000000000005</v>
      </c>
      <c r="AD19" s="150">
        <f t="shared" si="3"/>
        <v>1</v>
      </c>
      <c r="AE19" s="137">
        <f>IF(AA19=" "," ",IF('c-form'!AE15="",AN19,AN19+'c-form'!AE15))</f>
        <v>338.20000000000005</v>
      </c>
      <c r="AF19" s="150">
        <f t="shared" si="1"/>
        <v>1</v>
      </c>
      <c r="AM19" s="63">
        <f t="shared" si="2"/>
        <v>0.6</v>
      </c>
      <c r="AN19" s="54">
        <f t="shared" si="4"/>
        <v>0.6</v>
      </c>
    </row>
    <row r="20" spans="1:40" s="63" customFormat="1" ht="22.5" customHeight="1">
      <c r="A20" s="225"/>
      <c r="B20" s="132">
        <v>10</v>
      </c>
      <c r="C20" s="264">
        <v>0.6</v>
      </c>
      <c r="D20" s="264">
        <v>0.6</v>
      </c>
      <c r="E20" s="264">
        <v>0.6</v>
      </c>
      <c r="F20" s="264">
        <v>0.6</v>
      </c>
      <c r="G20" s="264">
        <v>0.6</v>
      </c>
      <c r="H20" s="264">
        <v>0.6</v>
      </c>
      <c r="I20" s="264">
        <v>0.6</v>
      </c>
      <c r="J20" s="264">
        <v>0.6</v>
      </c>
      <c r="K20" s="264">
        <v>0.6</v>
      </c>
      <c r="L20" s="264">
        <v>0.6</v>
      </c>
      <c r="M20" s="264">
        <v>0.6</v>
      </c>
      <c r="N20" s="264">
        <v>0.6</v>
      </c>
      <c r="O20" s="264">
        <v>0.61</v>
      </c>
      <c r="P20" s="264">
        <v>0.61</v>
      </c>
      <c r="Q20" s="264">
        <v>0.61</v>
      </c>
      <c r="R20" s="264">
        <v>0.61</v>
      </c>
      <c r="S20" s="264">
        <v>0.61</v>
      </c>
      <c r="T20" s="264">
        <v>0.61</v>
      </c>
      <c r="U20" s="264">
        <v>0.61</v>
      </c>
      <c r="V20" s="264">
        <v>0.61</v>
      </c>
      <c r="W20" s="264">
        <v>0.61</v>
      </c>
      <c r="X20" s="264">
        <v>0.61</v>
      </c>
      <c r="Y20" s="264">
        <v>0.61</v>
      </c>
      <c r="Z20" s="264">
        <v>0.61</v>
      </c>
      <c r="AA20" s="57">
        <f>IF(ISERROR(AVERAGE(C20:Z20))," ",AVERAGE(C20:Z20))</f>
        <v>0.60499999999999965</v>
      </c>
      <c r="AB20" s="58">
        <f>IF(AA20=" "," ",IF('c-form'!AE15="",AA20,AA20+'c-form'!AE15))</f>
        <v>338.20500000000004</v>
      </c>
      <c r="AC20" s="58">
        <f>IF(AA20=" "," ",IF('c-form'!AE15="",AM20,AM20+'c-form'!AE15))</f>
        <v>338.21000000000004</v>
      </c>
      <c r="AD20" s="150">
        <f t="shared" si="3"/>
        <v>13</v>
      </c>
      <c r="AE20" s="137">
        <f>IF(AA20=" "," ",IF('c-form'!AE15="",AN20,AN20+'c-form'!AE15))</f>
        <v>338.20000000000005</v>
      </c>
      <c r="AF20" s="150">
        <f t="shared" si="1"/>
        <v>1</v>
      </c>
      <c r="AM20" s="63">
        <f t="shared" si="2"/>
        <v>0.61</v>
      </c>
      <c r="AN20" s="54">
        <f t="shared" si="4"/>
        <v>0.6</v>
      </c>
    </row>
    <row r="21" spans="1:40" s="63" customFormat="1" ht="22.5" customHeight="1">
      <c r="A21" s="225"/>
      <c r="B21" s="14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9"/>
      <c r="AC21" s="139"/>
      <c r="AD21" s="151"/>
      <c r="AE21" s="140"/>
      <c r="AF21" s="151"/>
      <c r="AM21" s="63">
        <f>IF(AB21=" "," ",MAX(C21:Z21))</f>
        <v>0</v>
      </c>
      <c r="AN21" s="54">
        <f t="shared" si="4"/>
        <v>0</v>
      </c>
    </row>
    <row r="22" spans="1:40" s="63" customFormat="1" ht="22.5" customHeight="1">
      <c r="A22" s="225"/>
      <c r="B22" s="132">
        <v>11</v>
      </c>
      <c r="C22" s="264">
        <v>0.62</v>
      </c>
      <c r="D22" s="264">
        <v>0.62</v>
      </c>
      <c r="E22" s="264">
        <v>0.62</v>
      </c>
      <c r="F22" s="264">
        <v>0.62</v>
      </c>
      <c r="G22" s="264">
        <v>0.62</v>
      </c>
      <c r="H22" s="264">
        <v>0.62</v>
      </c>
      <c r="I22" s="264">
        <v>0.62</v>
      </c>
      <c r="J22" s="264">
        <v>0.62</v>
      </c>
      <c r="K22" s="264">
        <v>0.62</v>
      </c>
      <c r="L22" s="264">
        <v>0.62</v>
      </c>
      <c r="M22" s="264">
        <v>0.62</v>
      </c>
      <c r="N22" s="264">
        <v>0.62</v>
      </c>
      <c r="O22" s="264">
        <v>0.61</v>
      </c>
      <c r="P22" s="264">
        <v>0.61</v>
      </c>
      <c r="Q22" s="264">
        <v>0.61</v>
      </c>
      <c r="R22" s="264">
        <v>0.61</v>
      </c>
      <c r="S22" s="264">
        <v>0.61</v>
      </c>
      <c r="T22" s="264">
        <v>0.61</v>
      </c>
      <c r="U22" s="264">
        <v>0.61</v>
      </c>
      <c r="V22" s="264">
        <v>0.61</v>
      </c>
      <c r="W22" s="264">
        <v>0.61</v>
      </c>
      <c r="X22" s="264">
        <v>0.61</v>
      </c>
      <c r="Y22" s="264">
        <v>0.61</v>
      </c>
      <c r="Z22" s="264">
        <v>0.61</v>
      </c>
      <c r="AA22" s="57">
        <f t="shared" ref="AA22:AA31" si="5">IF(ISERROR(AVERAGE(C22:Z22))," ",AVERAGE(C22:Z22))</f>
        <v>0.61499999999999977</v>
      </c>
      <c r="AB22" s="58">
        <f>IF(AA22=" "," ",IF('c-form'!AE15="",AA22,AA22+'c-form'!AE15))</f>
        <v>338.21500000000003</v>
      </c>
      <c r="AC22" s="58">
        <f>IF(AA22=" "," ",IF('c-form'!AE15="",AM22,AM22+'c-form'!AE15))</f>
        <v>338.22</v>
      </c>
      <c r="AD22" s="150">
        <f t="shared" ref="AD22:AD31" si="6">IF(AB22=" "," ",MATCH(AM22,C22:Z22,0))</f>
        <v>1</v>
      </c>
      <c r="AE22" s="137">
        <f>IF(AA22=" "," ",IF('c-form'!AE15="",AN22,AN22+'c-form'!AE15))</f>
        <v>338.21000000000004</v>
      </c>
      <c r="AF22" s="150">
        <f t="shared" ref="AF22:AF31" si="7">IF(AD22=" "," ",MATCH(AN22,C22:Z22,0))</f>
        <v>13</v>
      </c>
      <c r="AM22" s="63">
        <f t="shared" si="2"/>
        <v>0.62</v>
      </c>
      <c r="AN22" s="54">
        <f t="shared" si="4"/>
        <v>0.61</v>
      </c>
    </row>
    <row r="23" spans="1:40" s="63" customFormat="1" ht="22.5" customHeight="1">
      <c r="A23" s="225"/>
      <c r="B23" s="132">
        <v>12</v>
      </c>
      <c r="C23" s="264">
        <v>0.6</v>
      </c>
      <c r="D23" s="264">
        <v>0.6</v>
      </c>
      <c r="E23" s="264">
        <v>0.6</v>
      </c>
      <c r="F23" s="264">
        <v>0.6</v>
      </c>
      <c r="G23" s="264">
        <v>0.6</v>
      </c>
      <c r="H23" s="264">
        <v>0.6</v>
      </c>
      <c r="I23" s="264">
        <v>0.6</v>
      </c>
      <c r="J23" s="264">
        <v>0.59</v>
      </c>
      <c r="K23" s="264">
        <v>0.59</v>
      </c>
      <c r="L23" s="264">
        <v>0.59</v>
      </c>
      <c r="M23" s="264">
        <v>0.57999999999999996</v>
      </c>
      <c r="N23" s="264">
        <v>0.57999999999999996</v>
      </c>
      <c r="O23" s="264">
        <v>0.57999999999999996</v>
      </c>
      <c r="P23" s="264">
        <v>0.56999999999999995</v>
      </c>
      <c r="Q23" s="264">
        <v>0.56999999999999995</v>
      </c>
      <c r="R23" s="264">
        <v>0.56999999999999995</v>
      </c>
      <c r="S23" s="264">
        <v>0.56000000000000005</v>
      </c>
      <c r="T23" s="264">
        <v>0.56000000000000005</v>
      </c>
      <c r="U23" s="264">
        <v>0.56000000000000005</v>
      </c>
      <c r="V23" s="264">
        <v>0.56000000000000005</v>
      </c>
      <c r="W23" s="264">
        <v>0.55000000000000004</v>
      </c>
      <c r="X23" s="264">
        <v>0.55000000000000004</v>
      </c>
      <c r="Y23" s="264">
        <v>0.55000000000000004</v>
      </c>
      <c r="Z23" s="264">
        <v>0.55000000000000004</v>
      </c>
      <c r="AA23" s="57">
        <f t="shared" si="5"/>
        <v>0.57750000000000024</v>
      </c>
      <c r="AB23" s="58">
        <f>IF(AA23=" "," ",IF('c-form'!AE15="",AA23,AA23+'c-form'!AE15))</f>
        <v>338.17750000000001</v>
      </c>
      <c r="AC23" s="58">
        <f>IF(AA23=" "," ",IF('c-form'!AE15="",AM23,AM23+'c-form'!AE15))</f>
        <v>338.20000000000005</v>
      </c>
      <c r="AD23" s="150">
        <f t="shared" si="6"/>
        <v>1</v>
      </c>
      <c r="AE23" s="137">
        <f>IF(AA23=" "," ",IF('c-form'!AE15="",AN23,AN23+'c-form'!AE15))</f>
        <v>338.15000000000003</v>
      </c>
      <c r="AF23" s="150">
        <f t="shared" si="7"/>
        <v>21</v>
      </c>
      <c r="AM23" s="63">
        <f t="shared" si="2"/>
        <v>0.6</v>
      </c>
      <c r="AN23" s="54">
        <f t="shared" si="4"/>
        <v>0.55000000000000004</v>
      </c>
    </row>
    <row r="24" spans="1:40" s="63" customFormat="1" ht="22.5" customHeight="1">
      <c r="A24" s="225"/>
      <c r="B24" s="132">
        <v>13</v>
      </c>
      <c r="C24" s="264">
        <v>0.54</v>
      </c>
      <c r="D24" s="264">
        <v>0.54</v>
      </c>
      <c r="E24" s="264">
        <v>0.54</v>
      </c>
      <c r="F24" s="264">
        <v>0.54</v>
      </c>
      <c r="G24" s="264">
        <v>0.54</v>
      </c>
      <c r="H24" s="264">
        <v>0.54</v>
      </c>
      <c r="I24" s="264">
        <v>0.55000000000000004</v>
      </c>
      <c r="J24" s="264">
        <v>0.55000000000000004</v>
      </c>
      <c r="K24" s="264">
        <v>0.55000000000000004</v>
      </c>
      <c r="L24" s="264">
        <v>0.56000000000000005</v>
      </c>
      <c r="M24" s="264">
        <v>0.56000000000000005</v>
      </c>
      <c r="N24" s="264">
        <v>0.56000000000000005</v>
      </c>
      <c r="O24" s="264">
        <v>0.56000000000000005</v>
      </c>
      <c r="P24" s="264">
        <v>0.56999999999999995</v>
      </c>
      <c r="Q24" s="264">
        <v>0.56999999999999995</v>
      </c>
      <c r="R24" s="264">
        <v>0.56999999999999995</v>
      </c>
      <c r="S24" s="264">
        <v>0.56999999999999995</v>
      </c>
      <c r="T24" s="264">
        <v>0.57999999999999996</v>
      </c>
      <c r="U24" s="264">
        <v>0.57999999999999996</v>
      </c>
      <c r="V24" s="264">
        <v>0.57999999999999996</v>
      </c>
      <c r="W24" s="264">
        <v>0.57999999999999996</v>
      </c>
      <c r="X24" s="264">
        <v>0.59</v>
      </c>
      <c r="Y24" s="264">
        <v>0.59</v>
      </c>
      <c r="Z24" s="264">
        <v>0.59</v>
      </c>
      <c r="AA24" s="57">
        <f t="shared" si="5"/>
        <v>0.56250000000000011</v>
      </c>
      <c r="AB24" s="58">
        <f>IF(AA24=" "," ",IF('c-form'!AE15="",AA24,AA24+'c-form'!AE15))</f>
        <v>338.16250000000002</v>
      </c>
      <c r="AC24" s="58">
        <f>IF(AA24=" "," ",IF('c-form'!AE15="",AM24,AM24+'c-form'!AE15))</f>
        <v>338.19</v>
      </c>
      <c r="AD24" s="150">
        <f t="shared" si="6"/>
        <v>22</v>
      </c>
      <c r="AE24" s="137">
        <f>IF(AA24=" "," ",IF('c-form'!AE15="",AN24,AN24+'c-form'!AE15))</f>
        <v>338.14000000000004</v>
      </c>
      <c r="AF24" s="150">
        <f t="shared" si="7"/>
        <v>1</v>
      </c>
      <c r="AM24" s="63">
        <f t="shared" si="2"/>
        <v>0.59</v>
      </c>
      <c r="AN24" s="54">
        <f t="shared" si="4"/>
        <v>0.54</v>
      </c>
    </row>
    <row r="25" spans="1:40" s="63" customFormat="1" ht="22.5" customHeight="1">
      <c r="A25" s="225"/>
      <c r="B25" s="132">
        <v>14</v>
      </c>
      <c r="C25" s="264">
        <v>0.6</v>
      </c>
      <c r="D25" s="264">
        <v>0.6</v>
      </c>
      <c r="E25" s="264">
        <v>0.6</v>
      </c>
      <c r="F25" s="264">
        <v>0.6</v>
      </c>
      <c r="G25" s="264">
        <v>0.6</v>
      </c>
      <c r="H25" s="264">
        <v>0.6</v>
      </c>
      <c r="I25" s="264">
        <v>0.6</v>
      </c>
      <c r="J25" s="264">
        <v>0.6</v>
      </c>
      <c r="K25" s="264">
        <v>0.6</v>
      </c>
      <c r="L25" s="264">
        <v>0.6</v>
      </c>
      <c r="M25" s="264">
        <v>0.6</v>
      </c>
      <c r="N25" s="264">
        <v>0.6</v>
      </c>
      <c r="O25" s="264">
        <v>0.6</v>
      </c>
      <c r="P25" s="264">
        <v>0.6</v>
      </c>
      <c r="Q25" s="264">
        <v>0.6</v>
      </c>
      <c r="R25" s="264">
        <v>0.6</v>
      </c>
      <c r="S25" s="264">
        <v>0.6</v>
      </c>
      <c r="T25" s="264">
        <v>0.6</v>
      </c>
      <c r="U25" s="264">
        <v>0.6</v>
      </c>
      <c r="V25" s="264">
        <v>0.6</v>
      </c>
      <c r="W25" s="264">
        <v>0.6</v>
      </c>
      <c r="X25" s="264">
        <v>0.6</v>
      </c>
      <c r="Y25" s="264">
        <v>0.6</v>
      </c>
      <c r="Z25" s="264">
        <v>0.6</v>
      </c>
      <c r="AA25" s="57">
        <f t="shared" si="5"/>
        <v>0.59999999999999976</v>
      </c>
      <c r="AB25" s="58">
        <f>IF(AA25=" "," ",IF('c-form'!AE15="",AA25,AA25+'c-form'!AE15))</f>
        <v>338.20000000000005</v>
      </c>
      <c r="AC25" s="58">
        <f>IF(AA25=" "," ",IF('c-form'!AE15="",AM25,AM25+'c-form'!AE15))</f>
        <v>338.20000000000005</v>
      </c>
      <c r="AD25" s="150">
        <f t="shared" si="6"/>
        <v>1</v>
      </c>
      <c r="AE25" s="137">
        <f>IF(AA25=" "," ",IF('c-form'!AE15="",AN25,AN25+'c-form'!AE15))</f>
        <v>338.20000000000005</v>
      </c>
      <c r="AF25" s="150">
        <f t="shared" si="7"/>
        <v>1</v>
      </c>
      <c r="AM25" s="63">
        <f t="shared" si="2"/>
        <v>0.6</v>
      </c>
      <c r="AN25" s="54">
        <f t="shared" si="4"/>
        <v>0.6</v>
      </c>
    </row>
    <row r="26" spans="1:40" s="63" customFormat="1" ht="22.5" customHeight="1">
      <c r="A26" s="225"/>
      <c r="B26" s="132">
        <v>15</v>
      </c>
      <c r="C26" s="264">
        <v>0.6</v>
      </c>
      <c r="D26" s="264">
        <v>0.6</v>
      </c>
      <c r="E26" s="264">
        <v>0.6</v>
      </c>
      <c r="F26" s="264">
        <v>0.6</v>
      </c>
      <c r="G26" s="264">
        <v>0.6</v>
      </c>
      <c r="H26" s="264">
        <v>0.6</v>
      </c>
      <c r="I26" s="264">
        <v>0.6</v>
      </c>
      <c r="J26" s="264">
        <v>0.6</v>
      </c>
      <c r="K26" s="264">
        <v>0.6</v>
      </c>
      <c r="L26" s="264">
        <v>0.6</v>
      </c>
      <c r="M26" s="264">
        <v>0.6</v>
      </c>
      <c r="N26" s="264">
        <v>0.6</v>
      </c>
      <c r="O26" s="264">
        <v>0.6</v>
      </c>
      <c r="P26" s="264">
        <v>0.6</v>
      </c>
      <c r="Q26" s="264">
        <v>0.6</v>
      </c>
      <c r="R26" s="264">
        <v>0.6</v>
      </c>
      <c r="S26" s="264">
        <v>0.6</v>
      </c>
      <c r="T26" s="264">
        <v>0.6</v>
      </c>
      <c r="U26" s="264">
        <v>0.6</v>
      </c>
      <c r="V26" s="264">
        <v>0.6</v>
      </c>
      <c r="W26" s="264">
        <v>0.6</v>
      </c>
      <c r="X26" s="264">
        <v>0.6</v>
      </c>
      <c r="Y26" s="264">
        <v>0.6</v>
      </c>
      <c r="Z26" s="264">
        <v>0.6</v>
      </c>
      <c r="AA26" s="57">
        <f t="shared" si="5"/>
        <v>0.59999999999999976</v>
      </c>
      <c r="AB26" s="58">
        <f>IF(AA26=" "," ",IF('c-form'!AE15="",AA26,AA26+'c-form'!AE15))</f>
        <v>338.20000000000005</v>
      </c>
      <c r="AC26" s="58">
        <f>IF(AA26=" "," ",IF('c-form'!AE15="",AM26,AM26+'c-form'!AE15))</f>
        <v>338.20000000000005</v>
      </c>
      <c r="AD26" s="150">
        <f t="shared" si="6"/>
        <v>1</v>
      </c>
      <c r="AE26" s="137">
        <f>IF(AA26=" "," ",IF('c-form'!AE15="",AN26,AN26+'c-form'!AE15))</f>
        <v>338.20000000000005</v>
      </c>
      <c r="AF26" s="150">
        <f t="shared" si="7"/>
        <v>1</v>
      </c>
      <c r="AM26" s="63">
        <f t="shared" si="2"/>
        <v>0.6</v>
      </c>
      <c r="AN26" s="54">
        <f t="shared" si="4"/>
        <v>0.6</v>
      </c>
    </row>
    <row r="27" spans="1:40" s="63" customFormat="1" ht="22.5" customHeight="1">
      <c r="A27" s="225"/>
      <c r="B27" s="132">
        <v>16</v>
      </c>
      <c r="C27" s="264">
        <v>0.6</v>
      </c>
      <c r="D27" s="264">
        <v>0.6</v>
      </c>
      <c r="E27" s="264">
        <v>0.6</v>
      </c>
      <c r="F27" s="264">
        <v>0.6</v>
      </c>
      <c r="G27" s="264">
        <v>0.6</v>
      </c>
      <c r="H27" s="264">
        <v>0.6</v>
      </c>
      <c r="I27" s="264">
        <v>0.6</v>
      </c>
      <c r="J27" s="264">
        <v>0.6</v>
      </c>
      <c r="K27" s="264">
        <v>0.6</v>
      </c>
      <c r="L27" s="264">
        <v>0.6</v>
      </c>
      <c r="M27" s="264">
        <v>0.6</v>
      </c>
      <c r="N27" s="264">
        <v>0.6</v>
      </c>
      <c r="O27" s="264">
        <v>0.6</v>
      </c>
      <c r="P27" s="264">
        <v>0.6</v>
      </c>
      <c r="Q27" s="264">
        <v>0.6</v>
      </c>
      <c r="R27" s="264">
        <v>0.6</v>
      </c>
      <c r="S27" s="264">
        <v>0.6</v>
      </c>
      <c r="T27" s="264">
        <v>0.6</v>
      </c>
      <c r="U27" s="264">
        <v>0.6</v>
      </c>
      <c r="V27" s="264">
        <v>0.6</v>
      </c>
      <c r="W27" s="264">
        <v>0.6</v>
      </c>
      <c r="X27" s="264">
        <v>0.6</v>
      </c>
      <c r="Y27" s="264">
        <v>0.6</v>
      </c>
      <c r="Z27" s="264">
        <v>0.6</v>
      </c>
      <c r="AA27" s="57">
        <f t="shared" si="5"/>
        <v>0.59999999999999976</v>
      </c>
      <c r="AB27" s="58">
        <f>IF(AA27=" "," ",IF('c-form'!AE15="",AA27,AA27+'c-form'!AE15))</f>
        <v>338.20000000000005</v>
      </c>
      <c r="AC27" s="58">
        <f>IF(AA27=" "," ",IF('c-form'!AE15="",AM27,AM27+'c-form'!AE15))</f>
        <v>338.20000000000005</v>
      </c>
      <c r="AD27" s="150">
        <f t="shared" si="6"/>
        <v>1</v>
      </c>
      <c r="AE27" s="137">
        <f>IF(AA27=" "," ",IF('c-form'!AE15="",AN27,AN27+'c-form'!AE15))</f>
        <v>338.20000000000005</v>
      </c>
      <c r="AF27" s="150">
        <f t="shared" si="7"/>
        <v>1</v>
      </c>
      <c r="AM27" s="63">
        <f t="shared" si="2"/>
        <v>0.6</v>
      </c>
      <c r="AN27" s="54">
        <f t="shared" si="4"/>
        <v>0.6</v>
      </c>
    </row>
    <row r="28" spans="1:40" s="63" customFormat="1" ht="22.5" customHeight="1">
      <c r="A28" s="225"/>
      <c r="B28" s="132">
        <v>17</v>
      </c>
      <c r="C28" s="264">
        <v>0.6</v>
      </c>
      <c r="D28" s="264">
        <v>0.6</v>
      </c>
      <c r="E28" s="264">
        <v>0.6</v>
      </c>
      <c r="F28" s="264">
        <v>0.6</v>
      </c>
      <c r="G28" s="264">
        <v>0.6</v>
      </c>
      <c r="H28" s="264">
        <v>0.6</v>
      </c>
      <c r="I28" s="264">
        <v>0.6</v>
      </c>
      <c r="J28" s="264">
        <v>0.6</v>
      </c>
      <c r="K28" s="264">
        <v>0.6</v>
      </c>
      <c r="L28" s="264">
        <v>0.6</v>
      </c>
      <c r="M28" s="264">
        <v>0.6</v>
      </c>
      <c r="N28" s="264">
        <v>0.6</v>
      </c>
      <c r="O28" s="264">
        <v>0.6</v>
      </c>
      <c r="P28" s="264">
        <v>0.6</v>
      </c>
      <c r="Q28" s="264">
        <v>0.6</v>
      </c>
      <c r="R28" s="264">
        <v>0.6</v>
      </c>
      <c r="S28" s="264">
        <v>0.6</v>
      </c>
      <c r="T28" s="264">
        <v>0.6</v>
      </c>
      <c r="U28" s="264">
        <v>0.6</v>
      </c>
      <c r="V28" s="264">
        <v>0.6</v>
      </c>
      <c r="W28" s="264">
        <v>0.6</v>
      </c>
      <c r="X28" s="264">
        <v>0.6</v>
      </c>
      <c r="Y28" s="264">
        <v>0.6</v>
      </c>
      <c r="Z28" s="264">
        <v>0.6</v>
      </c>
      <c r="AA28" s="57">
        <f t="shared" si="5"/>
        <v>0.59999999999999976</v>
      </c>
      <c r="AB28" s="58">
        <f>IF(AA28=" "," ",IF('c-form'!AE15="",AA28,AA28+'c-form'!AE15))</f>
        <v>338.20000000000005</v>
      </c>
      <c r="AC28" s="58">
        <f>IF(AA28=" "," ",IF('c-form'!AE15="",AM28,AM28+'c-form'!AE15))</f>
        <v>338.20000000000005</v>
      </c>
      <c r="AD28" s="150">
        <f t="shared" si="6"/>
        <v>1</v>
      </c>
      <c r="AE28" s="137">
        <f>IF(AA28=" "," ",IF('c-form'!AE15="",AN28,AN28+'c-form'!AE15))</f>
        <v>338.20000000000005</v>
      </c>
      <c r="AF28" s="150">
        <f t="shared" si="7"/>
        <v>1</v>
      </c>
      <c r="AM28" s="63">
        <f t="shared" si="2"/>
        <v>0.6</v>
      </c>
      <c r="AN28" s="54">
        <f t="shared" si="4"/>
        <v>0.6</v>
      </c>
    </row>
    <row r="29" spans="1:40" s="63" customFormat="1" ht="22.5" customHeight="1">
      <c r="A29" s="225"/>
      <c r="B29" s="132">
        <v>18</v>
      </c>
      <c r="C29" s="264">
        <v>0.6</v>
      </c>
      <c r="D29" s="264">
        <v>0.6</v>
      </c>
      <c r="E29" s="264">
        <v>0.6</v>
      </c>
      <c r="F29" s="264">
        <v>0.6</v>
      </c>
      <c r="G29" s="264">
        <v>0.6</v>
      </c>
      <c r="H29" s="264">
        <v>0.6</v>
      </c>
      <c r="I29" s="264">
        <v>0.6</v>
      </c>
      <c r="J29" s="264">
        <v>0.6</v>
      </c>
      <c r="K29" s="264">
        <v>0.6</v>
      </c>
      <c r="L29" s="264">
        <v>0.6</v>
      </c>
      <c r="M29" s="264">
        <v>0.6</v>
      </c>
      <c r="N29" s="264">
        <v>0.6</v>
      </c>
      <c r="O29" s="264">
        <v>0.6</v>
      </c>
      <c r="P29" s="264">
        <v>0.6</v>
      </c>
      <c r="Q29" s="264">
        <v>0.6</v>
      </c>
      <c r="R29" s="264">
        <v>0.6</v>
      </c>
      <c r="S29" s="264">
        <v>0.6</v>
      </c>
      <c r="T29" s="264">
        <v>0.6</v>
      </c>
      <c r="U29" s="264">
        <v>0.6</v>
      </c>
      <c r="V29" s="264">
        <v>0.6</v>
      </c>
      <c r="W29" s="264">
        <v>0.6</v>
      </c>
      <c r="X29" s="264">
        <v>0.6</v>
      </c>
      <c r="Y29" s="264">
        <v>0.6</v>
      </c>
      <c r="Z29" s="264">
        <v>0.6</v>
      </c>
      <c r="AA29" s="57">
        <f t="shared" si="5"/>
        <v>0.59999999999999976</v>
      </c>
      <c r="AB29" s="58">
        <f>IF(AA29=" "," ",IF('c-form'!AE15="",AA29,AA29+'c-form'!AE15))</f>
        <v>338.20000000000005</v>
      </c>
      <c r="AC29" s="58">
        <f>IF(AA29=" "," ",IF('c-form'!AE15="",AM29,AM29+'c-form'!AE15))</f>
        <v>338.20000000000005</v>
      </c>
      <c r="AD29" s="150">
        <f t="shared" si="6"/>
        <v>1</v>
      </c>
      <c r="AE29" s="137">
        <f>IF(AA29=" "," ",IF('c-form'!AE15="",AN29,AN29+'c-form'!AE15))</f>
        <v>338.20000000000005</v>
      </c>
      <c r="AF29" s="150">
        <f t="shared" si="7"/>
        <v>1</v>
      </c>
      <c r="AM29" s="63">
        <f>IF(AB29=" "," ",MAX(C29:Z29))</f>
        <v>0.6</v>
      </c>
      <c r="AN29" s="54">
        <f t="shared" si="4"/>
        <v>0.6</v>
      </c>
    </row>
    <row r="30" spans="1:40" s="63" customFormat="1" ht="22.5" customHeight="1">
      <c r="A30" s="225"/>
      <c r="B30" s="132">
        <v>19</v>
      </c>
      <c r="C30" s="264">
        <v>0.6</v>
      </c>
      <c r="D30" s="264">
        <v>0.6</v>
      </c>
      <c r="E30" s="264">
        <v>0.6</v>
      </c>
      <c r="F30" s="264">
        <v>0.6</v>
      </c>
      <c r="G30" s="264">
        <v>0.6</v>
      </c>
      <c r="H30" s="264">
        <v>0.6</v>
      </c>
      <c r="I30" s="264">
        <v>0.59</v>
      </c>
      <c r="J30" s="264">
        <v>0.59</v>
      </c>
      <c r="K30" s="264">
        <v>0.59</v>
      </c>
      <c r="L30" s="264">
        <v>0.59</v>
      </c>
      <c r="M30" s="264">
        <v>0.59</v>
      </c>
      <c r="N30" s="264">
        <v>0.59</v>
      </c>
      <c r="O30" s="264">
        <v>0.59</v>
      </c>
      <c r="P30" s="264">
        <v>0.59</v>
      </c>
      <c r="Q30" s="264">
        <v>0.59</v>
      </c>
      <c r="R30" s="264">
        <v>0.59</v>
      </c>
      <c r="S30" s="264">
        <v>0.59</v>
      </c>
      <c r="T30" s="264">
        <v>0.57999999999999996</v>
      </c>
      <c r="U30" s="264">
        <v>0.57999999999999996</v>
      </c>
      <c r="V30" s="264">
        <v>0.57999999999999996</v>
      </c>
      <c r="W30" s="264">
        <v>0.57999999999999996</v>
      </c>
      <c r="X30" s="264">
        <v>0.57999999999999996</v>
      </c>
      <c r="Y30" s="264">
        <v>0.57999999999999996</v>
      </c>
      <c r="Z30" s="264">
        <v>0.57999999999999996</v>
      </c>
      <c r="AA30" s="57">
        <f t="shared" si="5"/>
        <v>0.58958333333333335</v>
      </c>
      <c r="AB30" s="58">
        <f>IF(AA30=" "," ",IF('c-form'!AE15="",AA30,AA30+'c-form'!AE15))</f>
        <v>338.18958333333336</v>
      </c>
      <c r="AC30" s="58">
        <f>IF(AA30=" "," ",IF('c-form'!AE15="",AM30,AM30+'c-form'!AE15))</f>
        <v>338.20000000000005</v>
      </c>
      <c r="AD30" s="150">
        <f t="shared" si="6"/>
        <v>1</v>
      </c>
      <c r="AE30" s="137">
        <f>IF(AA30=" "," ",IF('c-form'!AE15="",AN30,AN30+'c-form'!AE15))</f>
        <v>338.18</v>
      </c>
      <c r="AF30" s="150">
        <f t="shared" si="7"/>
        <v>18</v>
      </c>
      <c r="AM30" s="63">
        <f t="shared" si="2"/>
        <v>0.6</v>
      </c>
      <c r="AN30" s="54">
        <f t="shared" si="4"/>
        <v>0.57999999999999996</v>
      </c>
    </row>
    <row r="31" spans="1:40" s="63" customFormat="1" ht="22.5" customHeight="1">
      <c r="A31" s="225"/>
      <c r="B31" s="132">
        <v>20</v>
      </c>
      <c r="C31" s="264">
        <v>0.56999999999999995</v>
      </c>
      <c r="D31" s="264">
        <v>0.56999999999999995</v>
      </c>
      <c r="E31" s="264">
        <v>0.56999999999999995</v>
      </c>
      <c r="F31" s="264">
        <v>0.56999999999999995</v>
      </c>
      <c r="G31" s="264">
        <v>0.56999999999999995</v>
      </c>
      <c r="H31" s="264">
        <v>0.56999999999999995</v>
      </c>
      <c r="I31" s="264">
        <v>0.56999999999999995</v>
      </c>
      <c r="J31" s="264">
        <v>0.56999999999999995</v>
      </c>
      <c r="K31" s="264">
        <v>0.56999999999999995</v>
      </c>
      <c r="L31" s="264">
        <v>0.56999999999999995</v>
      </c>
      <c r="M31" s="264">
        <v>0.56999999999999995</v>
      </c>
      <c r="N31" s="264">
        <v>0.56999999999999995</v>
      </c>
      <c r="O31" s="264">
        <v>0.56999999999999995</v>
      </c>
      <c r="P31" s="264">
        <v>0.56999999999999995</v>
      </c>
      <c r="Q31" s="264">
        <v>0.56999999999999995</v>
      </c>
      <c r="R31" s="264">
        <v>0.56999999999999995</v>
      </c>
      <c r="S31" s="264">
        <v>0.56999999999999995</v>
      </c>
      <c r="T31" s="264">
        <v>0.56999999999999995</v>
      </c>
      <c r="U31" s="264">
        <v>0.56999999999999995</v>
      </c>
      <c r="V31" s="264">
        <v>0.56999999999999995</v>
      </c>
      <c r="W31" s="264">
        <v>0.56999999999999995</v>
      </c>
      <c r="X31" s="264">
        <v>0.56999999999999995</v>
      </c>
      <c r="Y31" s="264">
        <v>0.56999999999999995</v>
      </c>
      <c r="Z31" s="264">
        <v>0.56999999999999995</v>
      </c>
      <c r="AA31" s="57">
        <f t="shared" si="5"/>
        <v>0.57000000000000017</v>
      </c>
      <c r="AB31" s="58">
        <f>IF(AA31=" "," ",IF('c-form'!AE15="",AA31,AA31+'c-form'!AE15))</f>
        <v>338.17</v>
      </c>
      <c r="AC31" s="58">
        <f>IF(AA31=" "," ",IF('c-form'!AE15="",AM31,AM31+'c-form'!AE15))</f>
        <v>338.17</v>
      </c>
      <c r="AD31" s="150">
        <f t="shared" si="6"/>
        <v>1</v>
      </c>
      <c r="AE31" s="137">
        <f>IF(AA31=" "," ",IF('c-form'!AE15="",AN31,AN31+'c-form'!AE15))</f>
        <v>338.17</v>
      </c>
      <c r="AF31" s="150">
        <f t="shared" si="7"/>
        <v>1</v>
      </c>
      <c r="AM31" s="63">
        <f t="shared" si="2"/>
        <v>0.56999999999999995</v>
      </c>
      <c r="AN31" s="54">
        <f t="shared" si="4"/>
        <v>0.56999999999999995</v>
      </c>
    </row>
    <row r="32" spans="1:40" s="63" customFormat="1" ht="22.5" customHeight="1">
      <c r="A32" s="225"/>
      <c r="B32" s="141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51"/>
      <c r="AE32" s="140"/>
      <c r="AF32" s="151"/>
      <c r="AM32" s="63">
        <f t="shared" si="2"/>
        <v>0</v>
      </c>
      <c r="AN32" s="54">
        <f t="shared" si="4"/>
        <v>0</v>
      </c>
    </row>
    <row r="33" spans="1:40" s="63" customFormat="1" ht="22.5" customHeight="1">
      <c r="A33" s="225"/>
      <c r="B33" s="132">
        <v>21</v>
      </c>
      <c r="C33" s="264">
        <v>0.56999999999999995</v>
      </c>
      <c r="D33" s="264">
        <v>0.56999999999999995</v>
      </c>
      <c r="E33" s="264">
        <v>0.56999999999999995</v>
      </c>
      <c r="F33" s="264">
        <v>0.56999999999999995</v>
      </c>
      <c r="G33" s="264">
        <v>0.56999999999999995</v>
      </c>
      <c r="H33" s="264">
        <v>0.56999999999999995</v>
      </c>
      <c r="I33" s="264">
        <v>0.56999999999999995</v>
      </c>
      <c r="J33" s="264">
        <v>0.56999999999999995</v>
      </c>
      <c r="K33" s="264">
        <v>0.56999999999999995</v>
      </c>
      <c r="L33" s="264">
        <v>0.56999999999999995</v>
      </c>
      <c r="M33" s="264">
        <v>0.56999999999999995</v>
      </c>
      <c r="N33" s="264">
        <v>0.56999999999999995</v>
      </c>
      <c r="O33" s="264">
        <v>0.56999999999999995</v>
      </c>
      <c r="P33" s="264">
        <v>0.56999999999999995</v>
      </c>
      <c r="Q33" s="264">
        <v>0.56999999999999995</v>
      </c>
      <c r="R33" s="264">
        <v>0.56999999999999995</v>
      </c>
      <c r="S33" s="264">
        <v>0.56999999999999995</v>
      </c>
      <c r="T33" s="264">
        <v>0.56999999999999995</v>
      </c>
      <c r="U33" s="264">
        <v>0.56999999999999995</v>
      </c>
      <c r="V33" s="264">
        <v>0.56999999999999995</v>
      </c>
      <c r="W33" s="264">
        <v>0.56999999999999995</v>
      </c>
      <c r="X33" s="264">
        <v>0.56999999999999995</v>
      </c>
      <c r="Y33" s="264">
        <v>0.56999999999999995</v>
      </c>
      <c r="Z33" s="264">
        <v>0.56999999999999995</v>
      </c>
      <c r="AA33" s="57">
        <f t="shared" ref="AA33:AA41" si="8">IF(ISERROR(AVERAGE(C33:Z33))," ",AVERAGE(C33:Z33))</f>
        <v>0.57000000000000017</v>
      </c>
      <c r="AB33" s="58">
        <f>IF(AA33=" "," ",IF('c-form'!AE15="",AA33,AA33+'c-form'!AE15))</f>
        <v>338.17</v>
      </c>
      <c r="AC33" s="58">
        <f>IF(AA33=" "," ",IF('c-form'!AE15="",AM33,AM33+'c-form'!AE15))</f>
        <v>338.17</v>
      </c>
      <c r="AD33" s="150">
        <f t="shared" ref="AD33:AD41" si="9">IF(AB33=" "," ",MATCH(AM33,C33:Z33,0))</f>
        <v>1</v>
      </c>
      <c r="AE33" s="137">
        <f>IF(AA33=" "," ",IF('c-form'!AE15="",AN33,AN33+'c-form'!AE15))</f>
        <v>338.17</v>
      </c>
      <c r="AF33" s="150">
        <f t="shared" ref="AF33:AF41" si="10">IF(AD33=" "," ",MATCH(AN33,C33:Z33,0))</f>
        <v>1</v>
      </c>
      <c r="AM33" s="63">
        <f t="shared" si="2"/>
        <v>0.56999999999999995</v>
      </c>
      <c r="AN33" s="54">
        <f t="shared" si="4"/>
        <v>0.56999999999999995</v>
      </c>
    </row>
    <row r="34" spans="1:40" s="63" customFormat="1" ht="22.5" customHeight="1">
      <c r="A34" s="225"/>
      <c r="B34" s="132">
        <v>22</v>
      </c>
      <c r="C34" s="264">
        <v>0.56999999999999995</v>
      </c>
      <c r="D34" s="264">
        <v>0.56999999999999995</v>
      </c>
      <c r="E34" s="264">
        <v>0.56999999999999995</v>
      </c>
      <c r="F34" s="264">
        <v>0.56999999999999995</v>
      </c>
      <c r="G34" s="264">
        <v>0.56999999999999995</v>
      </c>
      <c r="H34" s="264">
        <v>0.56999999999999995</v>
      </c>
      <c r="I34" s="264">
        <v>0.57999999999999996</v>
      </c>
      <c r="J34" s="264">
        <v>0.57999999999999996</v>
      </c>
      <c r="K34" s="264">
        <v>0.57999999999999996</v>
      </c>
      <c r="L34" s="264">
        <v>0.57999999999999996</v>
      </c>
      <c r="M34" s="264">
        <v>0.57999999999999996</v>
      </c>
      <c r="N34" s="264">
        <v>0.57999999999999996</v>
      </c>
      <c r="O34" s="264">
        <v>0.59</v>
      </c>
      <c r="P34" s="264">
        <v>0.59</v>
      </c>
      <c r="Q34" s="264">
        <v>0.59</v>
      </c>
      <c r="R34" s="264">
        <v>0.59</v>
      </c>
      <c r="S34" s="264">
        <v>0.59</v>
      </c>
      <c r="T34" s="264">
        <v>0.59</v>
      </c>
      <c r="U34" s="264">
        <v>0.59</v>
      </c>
      <c r="V34" s="264">
        <v>0.59</v>
      </c>
      <c r="W34" s="264">
        <v>0.59</v>
      </c>
      <c r="X34" s="264">
        <v>0.59</v>
      </c>
      <c r="Y34" s="264">
        <v>0.59</v>
      </c>
      <c r="Z34" s="264">
        <v>0.59</v>
      </c>
      <c r="AA34" s="57">
        <f t="shared" si="8"/>
        <v>0.58249999999999991</v>
      </c>
      <c r="AB34" s="58">
        <f>IF(AA34=" "," ",IF('c-form'!AE15="",AA34,AA34+'c-form'!AE15))</f>
        <v>338.1825</v>
      </c>
      <c r="AC34" s="58">
        <f>IF(AA34=" "," ",IF('c-form'!AE15="",AM34,AM34+'c-form'!AE15))</f>
        <v>338.19</v>
      </c>
      <c r="AD34" s="150">
        <f t="shared" si="9"/>
        <v>13</v>
      </c>
      <c r="AE34" s="137">
        <f>IF(AA34=" "," ",IF('c-form'!AE15="",AN34,AN34+'c-form'!AE15))</f>
        <v>338.17</v>
      </c>
      <c r="AF34" s="150">
        <f t="shared" si="10"/>
        <v>1</v>
      </c>
      <c r="AM34" s="63">
        <f t="shared" si="2"/>
        <v>0.59</v>
      </c>
      <c r="AN34" s="54">
        <f t="shared" si="4"/>
        <v>0.56999999999999995</v>
      </c>
    </row>
    <row r="35" spans="1:40" s="63" customFormat="1" ht="22.5" customHeight="1">
      <c r="A35" s="225"/>
      <c r="B35" s="132">
        <v>23</v>
      </c>
      <c r="C35" s="264">
        <v>0.57999999999999996</v>
      </c>
      <c r="D35" s="264">
        <v>0.57999999999999996</v>
      </c>
      <c r="E35" s="264">
        <v>0.57999999999999996</v>
      </c>
      <c r="F35" s="264">
        <v>0.57999999999999996</v>
      </c>
      <c r="G35" s="264">
        <v>0.57999999999999996</v>
      </c>
      <c r="H35" s="264">
        <v>0.56999999999999995</v>
      </c>
      <c r="I35" s="264">
        <v>0.56999999999999995</v>
      </c>
      <c r="J35" s="264">
        <v>0.56999999999999995</v>
      </c>
      <c r="K35" s="264">
        <v>0.56999999999999995</v>
      </c>
      <c r="L35" s="264">
        <v>0.56999999999999995</v>
      </c>
      <c r="M35" s="264">
        <v>0.56999999999999995</v>
      </c>
      <c r="N35" s="264">
        <v>0.56999999999999995</v>
      </c>
      <c r="O35" s="264">
        <v>0.56999999999999995</v>
      </c>
      <c r="P35" s="264">
        <v>0.56999999999999995</v>
      </c>
      <c r="Q35" s="264">
        <v>0.56999999999999995</v>
      </c>
      <c r="R35" s="264">
        <v>0.56999999999999995</v>
      </c>
      <c r="S35" s="264">
        <v>0.56999999999999995</v>
      </c>
      <c r="T35" s="264">
        <v>0.56999999999999995</v>
      </c>
      <c r="U35" s="264">
        <v>0.56999999999999995</v>
      </c>
      <c r="V35" s="264">
        <v>0.56999999999999995</v>
      </c>
      <c r="W35" s="264">
        <v>0.56999999999999995</v>
      </c>
      <c r="X35" s="264">
        <v>0.56999999999999995</v>
      </c>
      <c r="Y35" s="264">
        <v>0.56999999999999995</v>
      </c>
      <c r="Z35" s="264">
        <v>0.56999999999999995</v>
      </c>
      <c r="AA35" s="57">
        <f t="shared" si="8"/>
        <v>0.5720833333333335</v>
      </c>
      <c r="AB35" s="58">
        <f>IF(AA35=" "," ",IF('c-form'!AE15="",AA35,AA35+'c-form'!AE15))</f>
        <v>338.17208333333338</v>
      </c>
      <c r="AC35" s="58">
        <f>IF(AA35=" "," ",IF('c-form'!AE15="",AM35,AM35+'c-form'!AE15))</f>
        <v>338.18</v>
      </c>
      <c r="AD35" s="150">
        <f t="shared" si="9"/>
        <v>1</v>
      </c>
      <c r="AE35" s="137">
        <f>IF(AA35=" "," ",IF('c-form'!AE15="",AN35,AN35+'c-form'!AE15))</f>
        <v>338.17</v>
      </c>
      <c r="AF35" s="150">
        <f t="shared" si="10"/>
        <v>6</v>
      </c>
      <c r="AM35" s="63">
        <f t="shared" si="2"/>
        <v>0.57999999999999996</v>
      </c>
      <c r="AN35" s="54">
        <f t="shared" si="4"/>
        <v>0.56999999999999995</v>
      </c>
    </row>
    <row r="36" spans="1:40" s="63" customFormat="1" ht="22.5" customHeight="1">
      <c r="A36" s="225"/>
      <c r="B36" s="132">
        <v>24</v>
      </c>
      <c r="C36" s="264">
        <v>0.56999999999999995</v>
      </c>
      <c r="D36" s="264">
        <v>0.56999999999999995</v>
      </c>
      <c r="E36" s="264">
        <v>0.56999999999999995</v>
      </c>
      <c r="F36" s="264">
        <v>0.56999999999999995</v>
      </c>
      <c r="G36" s="264">
        <v>0.56999999999999995</v>
      </c>
      <c r="H36" s="264">
        <v>0.56999999999999995</v>
      </c>
      <c r="I36" s="264">
        <v>0.56999999999999995</v>
      </c>
      <c r="J36" s="264">
        <v>0.56999999999999995</v>
      </c>
      <c r="K36" s="264">
        <v>0.56999999999999995</v>
      </c>
      <c r="L36" s="264">
        <v>0.56999999999999995</v>
      </c>
      <c r="M36" s="264">
        <v>0.56999999999999995</v>
      </c>
      <c r="N36" s="264">
        <v>0.56999999999999995</v>
      </c>
      <c r="O36" s="264">
        <v>0.56999999999999995</v>
      </c>
      <c r="P36" s="264">
        <v>0.56999999999999995</v>
      </c>
      <c r="Q36" s="264">
        <v>0.56999999999999995</v>
      </c>
      <c r="R36" s="264">
        <v>0.56999999999999995</v>
      </c>
      <c r="S36" s="264">
        <v>0.56999999999999995</v>
      </c>
      <c r="T36" s="264">
        <v>0.56999999999999995</v>
      </c>
      <c r="U36" s="264">
        <v>0.56999999999999995</v>
      </c>
      <c r="V36" s="264">
        <v>0.56999999999999995</v>
      </c>
      <c r="W36" s="264">
        <v>0.56999999999999995</v>
      </c>
      <c r="X36" s="264">
        <v>0.56999999999999995</v>
      </c>
      <c r="Y36" s="264">
        <v>0.56999999999999995</v>
      </c>
      <c r="Z36" s="264">
        <v>0.56999999999999995</v>
      </c>
      <c r="AA36" s="57">
        <f t="shared" si="8"/>
        <v>0.57000000000000017</v>
      </c>
      <c r="AB36" s="58">
        <f>IF(AA36=" "," ",IF('c-form'!AE15="",AA36,AA36+'c-form'!AE15))</f>
        <v>338.17</v>
      </c>
      <c r="AC36" s="58">
        <f>IF(AA36=" "," ",IF('c-form'!AE15="",AM36,AM36+'c-form'!AE15))</f>
        <v>338.17</v>
      </c>
      <c r="AD36" s="150">
        <f t="shared" si="9"/>
        <v>1</v>
      </c>
      <c r="AE36" s="137">
        <f>IF(AA36=" "," ",IF('c-form'!AE15="",AN36,AN36+'c-form'!AE15))</f>
        <v>338.17</v>
      </c>
      <c r="AF36" s="150">
        <f t="shared" si="10"/>
        <v>1</v>
      </c>
      <c r="AM36" s="63">
        <f t="shared" si="2"/>
        <v>0.56999999999999995</v>
      </c>
      <c r="AN36" s="54">
        <f t="shared" si="4"/>
        <v>0.56999999999999995</v>
      </c>
    </row>
    <row r="37" spans="1:40" s="63" customFormat="1" ht="22.5" customHeight="1">
      <c r="A37" s="225"/>
      <c r="B37" s="132">
        <v>25</v>
      </c>
      <c r="C37" s="264">
        <v>0.56999999999999995</v>
      </c>
      <c r="D37" s="264">
        <v>0.56999999999999995</v>
      </c>
      <c r="E37" s="264">
        <v>0.56999999999999995</v>
      </c>
      <c r="F37" s="264">
        <v>0.56999999999999995</v>
      </c>
      <c r="G37" s="264">
        <v>0.56999999999999995</v>
      </c>
      <c r="H37" s="264">
        <v>0.56999999999999995</v>
      </c>
      <c r="I37" s="264">
        <v>0.56999999999999995</v>
      </c>
      <c r="J37" s="264">
        <v>0.56999999999999995</v>
      </c>
      <c r="K37" s="264">
        <v>0.56999999999999995</v>
      </c>
      <c r="L37" s="264">
        <v>0.56999999999999995</v>
      </c>
      <c r="M37" s="264">
        <v>0.56999999999999995</v>
      </c>
      <c r="N37" s="264">
        <v>0.56999999999999995</v>
      </c>
      <c r="O37" s="264">
        <v>0.56999999999999995</v>
      </c>
      <c r="P37" s="264">
        <v>0.56999999999999995</v>
      </c>
      <c r="Q37" s="264">
        <v>0.56999999999999995</v>
      </c>
      <c r="R37" s="264">
        <v>0.56999999999999995</v>
      </c>
      <c r="S37" s="264">
        <v>0.56999999999999995</v>
      </c>
      <c r="T37" s="264">
        <v>0.56999999999999995</v>
      </c>
      <c r="U37" s="264">
        <v>0.56999999999999995</v>
      </c>
      <c r="V37" s="264">
        <v>0.56999999999999995</v>
      </c>
      <c r="W37" s="264">
        <v>0.56999999999999995</v>
      </c>
      <c r="X37" s="264">
        <v>0.56999999999999995</v>
      </c>
      <c r="Y37" s="264">
        <v>0.56999999999999995</v>
      </c>
      <c r="Z37" s="264">
        <v>0.56999999999999995</v>
      </c>
      <c r="AA37" s="57">
        <f t="shared" si="8"/>
        <v>0.57000000000000017</v>
      </c>
      <c r="AB37" s="58">
        <f>IF(AA37=" "," ",IF('c-form'!AE15="",AA37,AA37+'c-form'!AE15))</f>
        <v>338.17</v>
      </c>
      <c r="AC37" s="58">
        <f>IF(AA37=" "," ",IF('c-form'!AE15="",AM37,AM37+'c-form'!AE15))</f>
        <v>338.17</v>
      </c>
      <c r="AD37" s="150">
        <f t="shared" si="9"/>
        <v>1</v>
      </c>
      <c r="AE37" s="137">
        <f>IF(AA37=" "," ",IF('c-form'!AE15="",AN37,AN37+'c-form'!AE15))</f>
        <v>338.17</v>
      </c>
      <c r="AF37" s="150">
        <f t="shared" si="10"/>
        <v>1</v>
      </c>
      <c r="AM37" s="63">
        <f t="shared" si="2"/>
        <v>0.56999999999999995</v>
      </c>
      <c r="AN37" s="54">
        <f t="shared" si="4"/>
        <v>0.56999999999999995</v>
      </c>
    </row>
    <row r="38" spans="1:40" s="63" customFormat="1" ht="22.5" customHeight="1">
      <c r="A38" s="225"/>
      <c r="B38" s="132">
        <v>26</v>
      </c>
      <c r="C38" s="264">
        <v>0.56000000000000005</v>
      </c>
      <c r="D38" s="264">
        <v>0.56000000000000005</v>
      </c>
      <c r="E38" s="264">
        <v>0.56000000000000005</v>
      </c>
      <c r="F38" s="264">
        <v>0.56000000000000005</v>
      </c>
      <c r="G38" s="264">
        <v>0.56000000000000005</v>
      </c>
      <c r="H38" s="264">
        <v>0.56000000000000005</v>
      </c>
      <c r="I38" s="264">
        <v>0.56000000000000005</v>
      </c>
      <c r="J38" s="264">
        <v>0.56000000000000005</v>
      </c>
      <c r="K38" s="264">
        <v>0.56000000000000005</v>
      </c>
      <c r="L38" s="264">
        <v>0.56000000000000005</v>
      </c>
      <c r="M38" s="264">
        <v>0.56000000000000005</v>
      </c>
      <c r="N38" s="264">
        <v>0.56000000000000005</v>
      </c>
      <c r="O38" s="264">
        <v>0.56000000000000005</v>
      </c>
      <c r="P38" s="264">
        <v>0.56000000000000005</v>
      </c>
      <c r="Q38" s="264">
        <v>0.56000000000000005</v>
      </c>
      <c r="R38" s="264">
        <v>0.56000000000000005</v>
      </c>
      <c r="S38" s="264">
        <v>0.56000000000000005</v>
      </c>
      <c r="T38" s="264">
        <v>0.56000000000000005</v>
      </c>
      <c r="U38" s="264">
        <v>0.56000000000000005</v>
      </c>
      <c r="V38" s="264">
        <v>0.56000000000000005</v>
      </c>
      <c r="W38" s="264">
        <v>0.56000000000000005</v>
      </c>
      <c r="X38" s="264">
        <v>0.56000000000000005</v>
      </c>
      <c r="Y38" s="264">
        <v>0.56000000000000005</v>
      </c>
      <c r="Z38" s="264">
        <v>0.56000000000000005</v>
      </c>
      <c r="AA38" s="57">
        <f t="shared" si="8"/>
        <v>0.56000000000000039</v>
      </c>
      <c r="AB38" s="58">
        <f>IF(AA38=" "," ",IF('c-form'!AE15="",AA38,AA38+'c-form'!AE15))</f>
        <v>338.16</v>
      </c>
      <c r="AC38" s="58">
        <f>IF(AA38=" "," ",IF('c-form'!AE15="",AM38,AM38+'c-form'!AE15))</f>
        <v>338.16</v>
      </c>
      <c r="AD38" s="150">
        <f t="shared" si="9"/>
        <v>1</v>
      </c>
      <c r="AE38" s="137">
        <f>IF(AA38=" "," ",IF('c-form'!AE15="",AN38,AN38+'c-form'!AE15))</f>
        <v>338.16</v>
      </c>
      <c r="AF38" s="150">
        <f t="shared" si="10"/>
        <v>1</v>
      </c>
      <c r="AM38" s="63">
        <f t="shared" si="2"/>
        <v>0.56000000000000005</v>
      </c>
      <c r="AN38" s="54">
        <f t="shared" si="4"/>
        <v>0.56000000000000005</v>
      </c>
    </row>
    <row r="39" spans="1:40" s="63" customFormat="1" ht="22.5" customHeight="1">
      <c r="A39" s="225"/>
      <c r="B39" s="132">
        <v>27</v>
      </c>
      <c r="C39" s="264">
        <v>0.56000000000000005</v>
      </c>
      <c r="D39" s="264">
        <v>0.56000000000000005</v>
      </c>
      <c r="E39" s="264">
        <v>0.56000000000000005</v>
      </c>
      <c r="F39" s="264">
        <v>0.56000000000000005</v>
      </c>
      <c r="G39" s="264">
        <v>0.56000000000000005</v>
      </c>
      <c r="H39" s="264">
        <v>0.56000000000000005</v>
      </c>
      <c r="I39" s="264">
        <v>0.56000000000000005</v>
      </c>
      <c r="J39" s="264">
        <v>0.56000000000000005</v>
      </c>
      <c r="K39" s="264">
        <v>0.56000000000000005</v>
      </c>
      <c r="L39" s="264">
        <v>0.56000000000000005</v>
      </c>
      <c r="M39" s="264">
        <v>0.56000000000000005</v>
      </c>
      <c r="N39" s="264">
        <v>0.56000000000000005</v>
      </c>
      <c r="O39" s="264">
        <v>0.56000000000000005</v>
      </c>
      <c r="P39" s="264">
        <v>0.56000000000000005</v>
      </c>
      <c r="Q39" s="264">
        <v>0.56000000000000005</v>
      </c>
      <c r="R39" s="264">
        <v>0.56000000000000005</v>
      </c>
      <c r="S39" s="264">
        <v>0.56000000000000005</v>
      </c>
      <c r="T39" s="264">
        <v>0.56000000000000005</v>
      </c>
      <c r="U39" s="264">
        <v>0.56000000000000005</v>
      </c>
      <c r="V39" s="264">
        <v>0.56000000000000005</v>
      </c>
      <c r="W39" s="264">
        <v>0.56000000000000005</v>
      </c>
      <c r="X39" s="264">
        <v>0.56000000000000005</v>
      </c>
      <c r="Y39" s="264">
        <v>0.56000000000000005</v>
      </c>
      <c r="Z39" s="264">
        <v>0.56000000000000005</v>
      </c>
      <c r="AA39" s="57">
        <f t="shared" si="8"/>
        <v>0.56000000000000039</v>
      </c>
      <c r="AB39" s="58">
        <f>IF(AA39=" "," ",IF('c-form'!AE15="",AA39,AA39+'c-form'!AE15))</f>
        <v>338.16</v>
      </c>
      <c r="AC39" s="58">
        <f>IF(AA39=" "," ",IF('c-form'!AE15="",AM39,AM39+'c-form'!AE15))</f>
        <v>338.16</v>
      </c>
      <c r="AD39" s="150">
        <f t="shared" si="9"/>
        <v>1</v>
      </c>
      <c r="AE39" s="137">
        <f>IF(AA39=" "," ",IF('c-form'!AE15="",AN39,AN39+'c-form'!AE15))</f>
        <v>338.16</v>
      </c>
      <c r="AF39" s="150">
        <f t="shared" si="10"/>
        <v>1</v>
      </c>
      <c r="AM39" s="63">
        <f>IF(AB39=" "," ",MAX(C39:Z39))</f>
        <v>0.56000000000000005</v>
      </c>
      <c r="AN39" s="54">
        <f t="shared" si="4"/>
        <v>0.56000000000000005</v>
      </c>
    </row>
    <row r="40" spans="1:40" s="63" customFormat="1" ht="22.5" customHeight="1">
      <c r="A40" s="225"/>
      <c r="B40" s="132">
        <v>28</v>
      </c>
      <c r="C40" s="264">
        <v>0.56000000000000005</v>
      </c>
      <c r="D40" s="264">
        <v>0.56000000000000005</v>
      </c>
      <c r="E40" s="264">
        <v>0.56000000000000005</v>
      </c>
      <c r="F40" s="264">
        <v>0.56000000000000005</v>
      </c>
      <c r="G40" s="264">
        <v>0.56000000000000005</v>
      </c>
      <c r="H40" s="264">
        <v>0.56000000000000005</v>
      </c>
      <c r="I40" s="264">
        <v>0.56000000000000005</v>
      </c>
      <c r="J40" s="264">
        <v>0.56000000000000005</v>
      </c>
      <c r="K40" s="264">
        <v>0.56000000000000005</v>
      </c>
      <c r="L40" s="264">
        <v>0.56000000000000005</v>
      </c>
      <c r="M40" s="264">
        <v>0.56000000000000005</v>
      </c>
      <c r="N40" s="264">
        <v>0.56000000000000005</v>
      </c>
      <c r="O40" s="264">
        <v>0.56000000000000005</v>
      </c>
      <c r="P40" s="264">
        <v>0.56000000000000005</v>
      </c>
      <c r="Q40" s="264">
        <v>0.56000000000000005</v>
      </c>
      <c r="R40" s="264">
        <v>0.56000000000000005</v>
      </c>
      <c r="S40" s="264">
        <v>0.56000000000000005</v>
      </c>
      <c r="T40" s="264">
        <v>0.56000000000000005</v>
      </c>
      <c r="U40" s="264">
        <v>0.56000000000000005</v>
      </c>
      <c r="V40" s="264">
        <v>0.56000000000000005</v>
      </c>
      <c r="W40" s="264">
        <v>0.56000000000000005</v>
      </c>
      <c r="X40" s="264">
        <v>0.56000000000000005</v>
      </c>
      <c r="Y40" s="264">
        <v>0.56000000000000005</v>
      </c>
      <c r="Z40" s="264">
        <v>0.56000000000000005</v>
      </c>
      <c r="AA40" s="57">
        <f t="shared" si="8"/>
        <v>0.56000000000000039</v>
      </c>
      <c r="AB40" s="58">
        <f>IF(AA40=" "," ",IF('c-form'!AE15="",AA40,AA40+'c-form'!AE15))</f>
        <v>338.16</v>
      </c>
      <c r="AC40" s="58">
        <f>IF(AA40=" "," ",IF('c-form'!AE15="",AM40,AM40+'c-form'!AE15))</f>
        <v>338.16</v>
      </c>
      <c r="AD40" s="150">
        <f t="shared" si="9"/>
        <v>1</v>
      </c>
      <c r="AE40" s="137">
        <f>IF(AA40=" "," ",IF('c-form'!AE15="",AN40,AN40+'c-form'!AE15))</f>
        <v>338.16</v>
      </c>
      <c r="AF40" s="150">
        <f t="shared" si="10"/>
        <v>1</v>
      </c>
      <c r="AM40" s="63">
        <f t="shared" si="2"/>
        <v>0.56000000000000005</v>
      </c>
      <c r="AN40" s="54">
        <f t="shared" si="4"/>
        <v>0.56000000000000005</v>
      </c>
    </row>
    <row r="41" spans="1:40" s="63" customFormat="1" ht="22.5" customHeight="1">
      <c r="A41" s="225"/>
      <c r="B41" s="132">
        <v>29</v>
      </c>
      <c r="C41" s="264">
        <v>0.56000000000000005</v>
      </c>
      <c r="D41" s="264">
        <v>0.56000000000000005</v>
      </c>
      <c r="E41" s="264">
        <v>0.56000000000000005</v>
      </c>
      <c r="F41" s="264">
        <v>0.56000000000000005</v>
      </c>
      <c r="G41" s="264">
        <v>0.56000000000000005</v>
      </c>
      <c r="H41" s="264">
        <v>0.56000000000000005</v>
      </c>
      <c r="I41" s="264">
        <v>0.56000000000000005</v>
      </c>
      <c r="J41" s="264">
        <v>0.56000000000000005</v>
      </c>
      <c r="K41" s="264">
        <v>0.56000000000000005</v>
      </c>
      <c r="L41" s="264">
        <v>0.56000000000000005</v>
      </c>
      <c r="M41" s="264">
        <v>0.56000000000000005</v>
      </c>
      <c r="N41" s="264">
        <v>0.56000000000000005</v>
      </c>
      <c r="O41" s="264">
        <v>0.56000000000000005</v>
      </c>
      <c r="P41" s="264">
        <v>0.56000000000000005</v>
      </c>
      <c r="Q41" s="264">
        <v>0.56000000000000005</v>
      </c>
      <c r="R41" s="264">
        <v>0.56000000000000005</v>
      </c>
      <c r="S41" s="264">
        <v>0.56000000000000005</v>
      </c>
      <c r="T41" s="264">
        <v>0.56000000000000005</v>
      </c>
      <c r="U41" s="264">
        <v>0.56000000000000005</v>
      </c>
      <c r="V41" s="264">
        <v>0.56000000000000005</v>
      </c>
      <c r="W41" s="264">
        <v>0.56000000000000005</v>
      </c>
      <c r="X41" s="264">
        <v>0.56000000000000005</v>
      </c>
      <c r="Y41" s="264">
        <v>0.56000000000000005</v>
      </c>
      <c r="Z41" s="264">
        <v>0.56000000000000005</v>
      </c>
      <c r="AA41" s="57">
        <f t="shared" si="8"/>
        <v>0.56000000000000039</v>
      </c>
      <c r="AB41" s="58">
        <f>IF(AA41=" "," ",IF('c-form'!AE15="",AA41,AA41+'c-form'!AE15))</f>
        <v>338.16</v>
      </c>
      <c r="AC41" s="58">
        <f>IF(AA41=" "," ",IF('c-form'!AE15="",AM41,AM41+'c-form'!AE15))</f>
        <v>338.16</v>
      </c>
      <c r="AD41" s="150">
        <f t="shared" si="9"/>
        <v>1</v>
      </c>
      <c r="AE41" s="137">
        <f>IF(AA41=" "," ",IF('c-form'!AE15="",AN41,AN41+'c-form'!AE15))</f>
        <v>338.16</v>
      </c>
      <c r="AF41" s="150">
        <f t="shared" si="10"/>
        <v>1</v>
      </c>
      <c r="AM41" s="63">
        <f>IF(AB41=" "," ",MAX(C41:Z41))</f>
        <v>0.56000000000000005</v>
      </c>
      <c r="AN41" s="54">
        <f t="shared" si="4"/>
        <v>0.56000000000000005</v>
      </c>
    </row>
    <row r="42" spans="1:40" s="63" customFormat="1" ht="22.5" customHeight="1">
      <c r="A42" s="225"/>
      <c r="B42" s="132">
        <v>30</v>
      </c>
      <c r="C42" s="264">
        <v>0.56000000000000005</v>
      </c>
      <c r="D42" s="264">
        <v>0.56000000000000005</v>
      </c>
      <c r="E42" s="264">
        <v>0.56000000000000005</v>
      </c>
      <c r="F42" s="264">
        <v>0.56000000000000005</v>
      </c>
      <c r="G42" s="264">
        <v>0.56000000000000005</v>
      </c>
      <c r="H42" s="264">
        <v>0.56000000000000005</v>
      </c>
      <c r="I42" s="264">
        <v>0.56000000000000005</v>
      </c>
      <c r="J42" s="264">
        <v>0.56000000000000005</v>
      </c>
      <c r="K42" s="264">
        <v>0.56000000000000005</v>
      </c>
      <c r="L42" s="264">
        <v>0.56000000000000005</v>
      </c>
      <c r="M42" s="264">
        <v>0.56000000000000005</v>
      </c>
      <c r="N42" s="264">
        <v>0.56000000000000005</v>
      </c>
      <c r="O42" s="264">
        <v>0.56000000000000005</v>
      </c>
      <c r="P42" s="264">
        <v>0.56000000000000005</v>
      </c>
      <c r="Q42" s="264">
        <v>0.56000000000000005</v>
      </c>
      <c r="R42" s="264">
        <v>0.56000000000000005</v>
      </c>
      <c r="S42" s="264">
        <v>0.56000000000000005</v>
      </c>
      <c r="T42" s="264">
        <v>0.56000000000000005</v>
      </c>
      <c r="U42" s="264">
        <v>0.56000000000000005</v>
      </c>
      <c r="V42" s="264">
        <v>0.56000000000000005</v>
      </c>
      <c r="W42" s="264">
        <v>0.56000000000000005</v>
      </c>
      <c r="X42" s="264">
        <v>0.56000000000000005</v>
      </c>
      <c r="Y42" s="264">
        <v>0.56000000000000005</v>
      </c>
      <c r="Z42" s="264">
        <v>0.56000000000000005</v>
      </c>
      <c r="AA42" s="57">
        <f>IF(ISERROR(AVERAGE(C42:Z42))," ",AVERAGE(C42:Z42))</f>
        <v>0.56000000000000039</v>
      </c>
      <c r="AB42" s="58">
        <f>IF(AA42=" "," ",IF('c-form'!AE15="",AA42,AA42+'c-form'!AE15))</f>
        <v>338.16</v>
      </c>
      <c r="AC42" s="58">
        <f>IF(AM42=" "," ",IF('c-form'!AE15="",AA42,AM42+'c-form'!AE15))</f>
        <v>338.16</v>
      </c>
      <c r="AD42" s="150">
        <f>IF(AB42=" "," ",MATCH(AM42,C42:Z42,0))</f>
        <v>1</v>
      </c>
      <c r="AE42" s="137">
        <f>IF(AN42=" "," ",IF('c-form'!AE15="",AA42,AN42+'c-form'!AE15))</f>
        <v>338.16</v>
      </c>
      <c r="AF42" s="150">
        <f>IF(AD42=" "," ",MATCH(AN42,C42:Z42,0))</f>
        <v>1</v>
      </c>
      <c r="AM42" s="63">
        <f t="shared" si="2"/>
        <v>0.56000000000000005</v>
      </c>
      <c r="AN42" s="54">
        <f t="shared" si="4"/>
        <v>0.56000000000000005</v>
      </c>
    </row>
    <row r="43" spans="1:40" s="63" customFormat="1" ht="24.75" customHeight="1">
      <c r="A43" s="225"/>
      <c r="B43" s="132">
        <v>31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 t="str">
        <f>IF(ISERR(AVERAGE(C43:Z43))," ",AVERAGE(C43:Z43))</f>
        <v xml:space="preserve"> </v>
      </c>
      <c r="AB43" s="58" t="str">
        <f>IF(AA43=" "," ",IF('c-form'!AE15="",AA43,AA43+'c-form'!AE15))</f>
        <v xml:space="preserve"> </v>
      </c>
      <c r="AC43" s="58" t="str">
        <f>IF(AM43=" "," ",IF('c-form'!AE15="",AA43,AM43+'c-form'!AE15))</f>
        <v xml:space="preserve"> </v>
      </c>
      <c r="AD43" s="150" t="str">
        <f>IF(AB43=" "," ",MATCH(AM43,C43:Z43,0))</f>
        <v xml:space="preserve"> </v>
      </c>
      <c r="AE43" s="137" t="str">
        <f>IF(AN43=" "," ",IF('c-form'!AE15="",AA43,AN43+'c-form'!AE15))</f>
        <v xml:space="preserve"> </v>
      </c>
      <c r="AF43" s="150" t="str">
        <f>IF(AD43=" "," ",MATCH(AN43,C43:Z43,0))</f>
        <v xml:space="preserve"> </v>
      </c>
      <c r="AM43" s="63" t="str">
        <f t="shared" si="2"/>
        <v xml:space="preserve"> </v>
      </c>
      <c r="AN43" s="54" t="str">
        <f t="shared" si="4"/>
        <v xml:space="preserve"> </v>
      </c>
    </row>
    <row r="44" spans="1:40" s="225" customFormat="1" ht="9.75" customHeight="1"/>
    <row r="45" spans="1:40" s="80" customFormat="1" ht="23.25" customHeight="1">
      <c r="B45" s="331" t="s">
        <v>68</v>
      </c>
      <c r="C45" s="331"/>
      <c r="D45" s="331"/>
      <c r="E45" s="332">
        <f>IF(COUNT(AC11:AC43)=0," ",MAX(AC11:AC43))</f>
        <v>338.37</v>
      </c>
      <c r="F45" s="331"/>
      <c r="G45" s="81" t="s">
        <v>70</v>
      </c>
      <c r="H45" s="82" t="str">
        <f>'c-form'!AF15</f>
        <v>MSL.</v>
      </c>
      <c r="I45" s="80" t="s">
        <v>71</v>
      </c>
      <c r="K45" s="80" t="s">
        <v>127</v>
      </c>
      <c r="L45" s="82">
        <f>IF(COUNT(AC11:AC43)=0," ",INDEX(B11:B43,AM45))</f>
        <v>2</v>
      </c>
      <c r="M45" s="193" t="s">
        <v>299</v>
      </c>
      <c r="N45" s="82" t="s">
        <v>288</v>
      </c>
      <c r="O45" s="202">
        <f>IF(COUNT(AC11:AC43)=0," ",INDEX(AD11:AD43,AM45))</f>
        <v>15</v>
      </c>
      <c r="P45" s="331" t="s">
        <v>72</v>
      </c>
      <c r="Q45" s="331"/>
      <c r="R45" s="331"/>
      <c r="S45" s="336">
        <f>IF(COUNT(AC11:AC43)=0," ",AVERAGE(AB11:AB43))</f>
        <v>338.18712500000004</v>
      </c>
      <c r="T45" s="311"/>
      <c r="U45" s="81" t="s">
        <v>70</v>
      </c>
      <c r="V45" s="82" t="str">
        <f>'c-form'!AF15</f>
        <v>MSL.</v>
      </c>
      <c r="W45" s="80" t="s">
        <v>71</v>
      </c>
      <c r="AM45" s="80">
        <f>MATCH(E45,AC11:AC43,0)</f>
        <v>2</v>
      </c>
      <c r="AN45" s="83"/>
    </row>
    <row r="46" spans="1:40" s="80" customFormat="1" ht="20.100000000000001" customHeight="1">
      <c r="B46" s="331" t="s">
        <v>69</v>
      </c>
      <c r="C46" s="331"/>
      <c r="D46" s="331"/>
      <c r="E46" s="332">
        <f>IF(COUNT(AC11:AC43)=0," ",MIN(AE11:AE43))</f>
        <v>337.94</v>
      </c>
      <c r="F46" s="331"/>
      <c r="G46" s="81" t="s">
        <v>70</v>
      </c>
      <c r="H46" s="82" t="str">
        <f>'c-form'!AF15</f>
        <v>MSL.</v>
      </c>
      <c r="I46" s="80" t="s">
        <v>71</v>
      </c>
      <c r="K46" s="80" t="s">
        <v>127</v>
      </c>
      <c r="L46" s="82">
        <f>IF(COUNT(AC11:AC43)=0," ",INDEX(B11:B43,AM46))</f>
        <v>1</v>
      </c>
      <c r="M46" s="193" t="s">
        <v>299</v>
      </c>
      <c r="N46" s="82" t="s">
        <v>288</v>
      </c>
      <c r="O46" s="202">
        <f>IF(COUNT(AC11:AC43)=0," ",INDEX(AF11:AF43,AM46))</f>
        <v>1</v>
      </c>
      <c r="P46" s="331" t="s">
        <v>73</v>
      </c>
      <c r="Q46" s="331"/>
      <c r="R46" s="84"/>
      <c r="S46" s="84"/>
      <c r="T46" s="84"/>
      <c r="U46" s="84"/>
      <c r="V46" s="84"/>
      <c r="W46" s="84"/>
      <c r="X46" s="84"/>
      <c r="AA46" s="80" t="s">
        <v>74</v>
      </c>
      <c r="AB46" s="84"/>
      <c r="AC46" s="84"/>
      <c r="AD46" s="84"/>
      <c r="AE46" s="84"/>
      <c r="AF46" s="84"/>
      <c r="AM46" s="80">
        <f>MATCH(E46,AE11:AE43,0)</f>
        <v>1</v>
      </c>
    </row>
    <row r="47" spans="1:40" ht="20.100000000000001" customHeight="1"/>
    <row r="48" spans="1:40" ht="20.100000000000001" customHeight="1"/>
    <row r="49" ht="20.100000000000001" customHeight="1"/>
  </sheetData>
  <sheetProtection password="D965" sheet="1" objects="1" scenarios="1"/>
  <mergeCells count="32">
    <mergeCell ref="AD1:AE1"/>
    <mergeCell ref="B9:B10"/>
    <mergeCell ref="AA9:AA10"/>
    <mergeCell ref="C9:Z9"/>
    <mergeCell ref="B7:C7"/>
    <mergeCell ref="D7:E7"/>
    <mergeCell ref="P5:S5"/>
    <mergeCell ref="J5:N5"/>
    <mergeCell ref="B2:D2"/>
    <mergeCell ref="G7:H7"/>
    <mergeCell ref="E2:AC2"/>
    <mergeCell ref="G5:H5"/>
    <mergeCell ref="L7:O7"/>
    <mergeCell ref="P7:R7"/>
    <mergeCell ref="C5:E5"/>
    <mergeCell ref="W7:X7"/>
    <mergeCell ref="AA5:AC5"/>
    <mergeCell ref="Y5:Z5"/>
    <mergeCell ref="U5:W5"/>
    <mergeCell ref="S7:V7"/>
    <mergeCell ref="S45:T45"/>
    <mergeCell ref="B45:D45"/>
    <mergeCell ref="B46:D46"/>
    <mergeCell ref="P46:Q46"/>
    <mergeCell ref="E46:F46"/>
    <mergeCell ref="E45:F45"/>
    <mergeCell ref="P45:R45"/>
    <mergeCell ref="AE4:AG4"/>
    <mergeCell ref="AC7:AD7"/>
    <mergeCell ref="AD9:AF9"/>
    <mergeCell ref="AB9:AC9"/>
    <mergeCell ref="AE7:AG7"/>
  </mergeCells>
  <phoneticPr fontId="0" type="noConversion"/>
  <pageMargins left="0.59055118110236204" right="0" top="0.66929133858267698" bottom="0.59055118110236204" header="0.511811023622047" footer="0.511811023622047"/>
  <pageSetup paperSize="9" scale="53" orientation="landscape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Y79"/>
  <sheetViews>
    <sheetView showGridLines="0" showRowColHeaders="0" topLeftCell="C4" zoomScaleNormal="100" workbookViewId="0">
      <pane xSplit="23160" topLeftCell="AZ1"/>
      <selection activeCell="BC27" sqref="BC27"/>
      <selection pane="topRight" activeCell="AT1" sqref="AT1"/>
    </sheetView>
  </sheetViews>
  <sheetFormatPr defaultRowHeight="12.75"/>
  <cols>
    <col min="1" max="1" width="3.140625" style="37" customWidth="1"/>
    <col min="2" max="2" width="9.5703125" style="9" customWidth="1"/>
    <col min="3" max="3" width="1.7109375" style="9" customWidth="1"/>
    <col min="4" max="4" width="10.85546875" style="9" customWidth="1"/>
    <col min="5" max="5" width="6.140625" style="9" customWidth="1"/>
    <col min="6" max="6" width="4" style="9" customWidth="1"/>
    <col min="7" max="7" width="12.28515625" style="9" customWidth="1"/>
    <col min="8" max="8" width="12.7109375" style="9" customWidth="1"/>
    <col min="9" max="9" width="2.28515625" style="9" customWidth="1"/>
    <col min="10" max="11" width="5.42578125" style="9" customWidth="1"/>
    <col min="12" max="12" width="4.140625" style="9" customWidth="1"/>
    <col min="13" max="13" width="5.5703125" style="9" customWidth="1"/>
    <col min="14" max="14" width="6.5703125" style="9" customWidth="1"/>
    <col min="15" max="15" width="5.28515625" style="9" customWidth="1"/>
    <col min="16" max="16" width="6.7109375" style="9" customWidth="1"/>
    <col min="17" max="17" width="11.42578125" style="9" customWidth="1"/>
    <col min="18" max="18" width="11.85546875" style="9" customWidth="1"/>
    <col min="19" max="19" width="4.85546875" style="9" customWidth="1"/>
    <col min="20" max="20" width="2.140625" style="9" customWidth="1"/>
    <col min="21" max="21" width="5.28515625" style="9" customWidth="1"/>
    <col min="22" max="22" width="10" style="9" customWidth="1"/>
    <col min="23" max="23" width="5.5703125" style="9" customWidth="1"/>
    <col min="24" max="24" width="4.85546875" style="9" customWidth="1"/>
    <col min="25" max="25" width="1" style="9" customWidth="1"/>
    <col min="26" max="26" width="7.140625" style="9" customWidth="1"/>
    <col min="27" max="27" width="10.85546875" style="9" customWidth="1"/>
    <col min="28" max="28" width="6.28515625" style="9" customWidth="1"/>
    <col min="29" max="29" width="4.42578125" style="7" customWidth="1"/>
    <col min="30" max="38" width="7.85546875" style="7" hidden="1" customWidth="1"/>
    <col min="39" max="48" width="7.85546875" style="9" hidden="1" customWidth="1"/>
    <col min="49" max="49" width="4.28515625" style="9" hidden="1" customWidth="1"/>
    <col min="50" max="51" width="3.140625" style="9" hidden="1" customWidth="1"/>
    <col min="52" max="16384" width="9.140625" style="9"/>
  </cols>
  <sheetData>
    <row r="1" spans="1:51" s="7" customFormat="1">
      <c r="A1" s="33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51" ht="15" customHeight="1">
      <c r="A2" s="33"/>
      <c r="B2" s="481" t="s">
        <v>6</v>
      </c>
      <c r="C2" s="482"/>
      <c r="D2" s="482"/>
      <c r="E2" s="482"/>
      <c r="F2" s="482"/>
      <c r="G2" s="482"/>
      <c r="H2" s="46"/>
      <c r="I2" s="46"/>
      <c r="J2" s="46"/>
      <c r="K2" s="46"/>
      <c r="L2" s="46"/>
      <c r="M2" s="46"/>
      <c r="N2" s="46"/>
      <c r="O2" s="46"/>
      <c r="P2" s="46"/>
      <c r="Q2" s="46"/>
      <c r="R2" s="483" t="s">
        <v>9</v>
      </c>
      <c r="S2" s="483"/>
      <c r="T2" s="483"/>
      <c r="U2" s="483"/>
      <c r="V2" s="483"/>
      <c r="W2" s="483"/>
      <c r="X2" s="47"/>
      <c r="Y2" s="47"/>
      <c r="Z2" s="485" t="s">
        <v>10</v>
      </c>
      <c r="AA2" s="485"/>
      <c r="AB2" s="48"/>
      <c r="AC2" s="8"/>
      <c r="AU2" s="9" t="str">
        <f>IF(TRIM(Z15)&lt;&gt;"",Z15&amp;"  "&amp;AA15&amp;",  "&amp;C7,"")</f>
        <v>OCT  19,  2013</v>
      </c>
    </row>
    <row r="3" spans="1:51" ht="12.75" customHeight="1">
      <c r="A3" s="33"/>
      <c r="B3" s="486" t="s">
        <v>7</v>
      </c>
      <c r="C3" s="487"/>
      <c r="D3" s="487"/>
      <c r="E3" s="487"/>
      <c r="F3" s="487"/>
      <c r="G3" s="487"/>
      <c r="H3" s="38"/>
      <c r="I3" s="38"/>
      <c r="J3" s="38"/>
      <c r="K3" s="38"/>
      <c r="L3" s="38"/>
      <c r="M3" s="38"/>
      <c r="N3" s="38"/>
      <c r="O3" s="38"/>
      <c r="P3" s="38"/>
      <c r="Q3" s="38"/>
      <c r="R3" s="484"/>
      <c r="S3" s="484"/>
      <c r="T3" s="484"/>
      <c r="U3" s="484"/>
      <c r="V3" s="484"/>
      <c r="W3" s="484"/>
      <c r="X3" s="27"/>
      <c r="Y3" s="27"/>
      <c r="Z3" s="27"/>
      <c r="AA3" s="27"/>
      <c r="AB3" s="49"/>
      <c r="AC3" s="6"/>
      <c r="AG3" s="7" t="str">
        <f>IF(TRIM(C12)="",C54,C12)</f>
        <v>Nam  Ping</v>
      </c>
      <c r="AH3" s="7" t="str">
        <f>IF(TRIM(N12)="",N54,N12)</f>
        <v>Ping</v>
      </c>
      <c r="AI3" s="7" t="str">
        <f>IF(TRIM(T12)="",N54,T12)</f>
        <v>Ping</v>
      </c>
      <c r="AJ3" s="7">
        <f>IF(TRIM(C7)="",C49,C7)</f>
        <v>2013</v>
      </c>
      <c r="AU3" s="167" t="str">
        <f>IF(TRIM(Z57)&lt;&gt;"",Z57&amp;"  "&amp;AA57&amp;",  "&amp;C49,"")</f>
        <v>OCT  19,  2013</v>
      </c>
    </row>
    <row r="4" spans="1:51" ht="16.5" customHeight="1">
      <c r="A4" s="33"/>
      <c r="B4" s="70" t="s">
        <v>11</v>
      </c>
      <c r="C4" s="39"/>
      <c r="D4" s="39"/>
      <c r="E4" s="39"/>
      <c r="F4" s="39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27"/>
      <c r="S4" s="27"/>
      <c r="T4" s="27"/>
      <c r="U4" s="27"/>
      <c r="V4" s="27"/>
      <c r="W4" s="27"/>
      <c r="X4" s="27"/>
      <c r="Y4" s="27"/>
      <c r="Z4" s="27"/>
      <c r="AA4" s="27"/>
      <c r="AB4" s="49"/>
      <c r="AC4" s="6"/>
      <c r="AG4" s="7" t="str">
        <f>IF(TRIM(C10)="",C52,C10)</f>
        <v>Ban Cho Lae,  Mae Taeng, Chiang Mai,P.75</v>
      </c>
    </row>
    <row r="5" spans="1:51" ht="21" customHeight="1">
      <c r="A5" s="33"/>
      <c r="B5" s="40" t="s">
        <v>24</v>
      </c>
      <c r="C5" s="467" t="s">
        <v>25</v>
      </c>
      <c r="D5" s="468"/>
      <c r="E5" s="51"/>
      <c r="F5" s="51"/>
      <c r="G5" s="38"/>
      <c r="H5" s="469" t="s">
        <v>8</v>
      </c>
      <c r="I5" s="469"/>
      <c r="J5" s="469"/>
      <c r="K5" s="469"/>
      <c r="L5" s="469"/>
      <c r="M5" s="469"/>
      <c r="N5" s="469"/>
      <c r="O5" s="469"/>
      <c r="P5" s="469"/>
      <c r="Q5" s="469"/>
      <c r="R5" s="27"/>
      <c r="S5" s="27"/>
      <c r="T5" s="27"/>
      <c r="U5" s="27"/>
      <c r="V5" s="27"/>
      <c r="W5" s="41"/>
      <c r="X5" s="41"/>
      <c r="Y5" s="41"/>
      <c r="Z5" s="41"/>
      <c r="AA5" s="27"/>
      <c r="AB5" s="49"/>
      <c r="AC5" s="6"/>
      <c r="AE5" s="7">
        <v>1156</v>
      </c>
      <c r="AG5" s="7" t="str">
        <f>IF([0]!stampv="","",MID([0]!stampv,FIND(",",[0]!stampv)+1,LEN([0]!stampv)))</f>
        <v xml:space="preserve">  Mae Taeng, Chiang Mai,P.75</v>
      </c>
    </row>
    <row r="6" spans="1:51" ht="25.5" customHeight="1">
      <c r="A6" s="33"/>
      <c r="B6" s="2" t="s">
        <v>12</v>
      </c>
      <c r="C6" s="470" t="s">
        <v>13</v>
      </c>
      <c r="D6" s="471"/>
      <c r="E6" s="26"/>
      <c r="F6" s="26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27"/>
      <c r="S6" s="27"/>
      <c r="T6" s="472"/>
      <c r="U6" s="472"/>
      <c r="V6" s="472"/>
      <c r="W6" s="472"/>
      <c r="X6" s="27"/>
      <c r="Y6" s="27"/>
      <c r="Z6" s="42"/>
      <c r="AA6" s="27"/>
      <c r="AB6" s="49"/>
      <c r="AC6" s="6"/>
      <c r="AG6" s="7" t="str">
        <f>IF(AG5="","",MID(AG5,FIND(",",AG5)+1,LEN(AG5)))</f>
        <v xml:space="preserve"> Chiang Mai,P.75</v>
      </c>
    </row>
    <row r="7" spans="1:51" ht="19.5" customHeight="1">
      <c r="A7" s="33"/>
      <c r="B7" s="120" t="s">
        <v>321</v>
      </c>
      <c r="C7" s="500">
        <v>2013</v>
      </c>
      <c r="D7" s="501"/>
      <c r="E7" s="27"/>
      <c r="F7" s="2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27"/>
      <c r="S7" s="27"/>
      <c r="T7" s="42"/>
      <c r="U7" s="42"/>
      <c r="V7" s="27"/>
      <c r="W7" s="42"/>
      <c r="X7" s="27"/>
      <c r="Y7" s="27"/>
      <c r="Z7" s="27"/>
      <c r="AA7" s="27"/>
      <c r="AB7" s="50"/>
      <c r="AC7" s="6"/>
    </row>
    <row r="8" spans="1:51" s="12" customFormat="1" ht="15" customHeight="1">
      <c r="A8" s="34"/>
      <c r="B8" s="488" t="s">
        <v>1</v>
      </c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90"/>
      <c r="AC8" s="10"/>
      <c r="AD8" s="11"/>
      <c r="AE8" s="11"/>
      <c r="AF8" s="11"/>
      <c r="AG8" s="11"/>
      <c r="AH8" s="11"/>
      <c r="AI8" s="11"/>
      <c r="AJ8" s="11"/>
      <c r="AK8" s="11"/>
      <c r="AL8" s="11"/>
    </row>
    <row r="9" spans="1:51" s="15" customFormat="1" ht="21" customHeight="1">
      <c r="A9" s="35"/>
      <c r="B9" s="43" t="s">
        <v>26</v>
      </c>
      <c r="C9" s="491" t="s">
        <v>87</v>
      </c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3"/>
      <c r="AC9" s="13"/>
      <c r="AD9" s="14"/>
      <c r="AE9" s="14"/>
      <c r="AF9" s="14"/>
      <c r="AG9" s="14"/>
      <c r="AH9" s="14"/>
      <c r="AI9" s="14"/>
      <c r="AJ9" s="14"/>
      <c r="AK9" s="14"/>
      <c r="AL9" s="14"/>
    </row>
    <row r="10" spans="1:51" ht="16.5" customHeight="1">
      <c r="A10" s="33"/>
      <c r="B10" s="44" t="s">
        <v>27</v>
      </c>
      <c r="C10" s="383" t="s">
        <v>322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113"/>
      <c r="X10" s="113"/>
      <c r="Y10" s="113"/>
      <c r="Z10" s="113"/>
      <c r="AA10" s="113"/>
      <c r="AB10" s="114"/>
      <c r="AC10" s="6"/>
    </row>
    <row r="11" spans="1:51" ht="21.75" customHeight="1">
      <c r="A11" s="33"/>
      <c r="B11" s="45"/>
      <c r="C11" s="448" t="s">
        <v>28</v>
      </c>
      <c r="D11" s="449"/>
      <c r="E11" s="449"/>
      <c r="F11" s="449"/>
      <c r="G11" s="449"/>
      <c r="H11" s="449"/>
      <c r="I11" s="449"/>
      <c r="J11" s="449"/>
      <c r="K11" s="449"/>
      <c r="L11" s="449"/>
      <c r="M11" s="450"/>
      <c r="N11" s="400" t="s">
        <v>103</v>
      </c>
      <c r="O11" s="401"/>
      <c r="P11" s="401"/>
      <c r="Q11" s="401"/>
      <c r="R11" s="401"/>
      <c r="S11" s="402"/>
      <c r="T11" s="400" t="s">
        <v>269</v>
      </c>
      <c r="U11" s="401"/>
      <c r="V11" s="401"/>
      <c r="W11" s="401"/>
      <c r="X11" s="401"/>
      <c r="Y11" s="401"/>
      <c r="Z11" s="401"/>
      <c r="AA11" s="401"/>
      <c r="AB11" s="403"/>
      <c r="AC11" s="6"/>
      <c r="AF11" s="16"/>
    </row>
    <row r="12" spans="1:51" ht="18" customHeight="1">
      <c r="A12" s="33"/>
      <c r="B12" s="44" t="s">
        <v>29</v>
      </c>
      <c r="C12" s="404" t="s">
        <v>324</v>
      </c>
      <c r="D12" s="384"/>
      <c r="E12" s="384"/>
      <c r="F12" s="384"/>
      <c r="G12" s="384"/>
      <c r="H12" s="384"/>
      <c r="I12" s="384"/>
      <c r="J12" s="384"/>
      <c r="K12" s="384"/>
      <c r="L12" s="384"/>
      <c r="M12" s="458"/>
      <c r="N12" s="407" t="s">
        <v>323</v>
      </c>
      <c r="O12" s="502"/>
      <c r="P12" s="502"/>
      <c r="Q12" s="502"/>
      <c r="R12" s="502"/>
      <c r="S12" s="503"/>
      <c r="T12" s="404" t="s">
        <v>323</v>
      </c>
      <c r="U12" s="384"/>
      <c r="V12" s="384"/>
      <c r="W12" s="384"/>
      <c r="X12" s="384"/>
      <c r="Y12" s="384"/>
      <c r="Z12" s="384"/>
      <c r="AA12" s="384"/>
      <c r="AB12" s="458"/>
      <c r="AC12" s="6"/>
    </row>
    <row r="13" spans="1:51" ht="17.25" customHeight="1">
      <c r="A13" s="33"/>
      <c r="B13" s="473"/>
      <c r="C13" s="475" t="s">
        <v>31</v>
      </c>
      <c r="D13" s="476"/>
      <c r="E13" s="477" t="str">
        <f>" A.D.  MSL. " &amp; AE13</f>
        <v xml:space="preserve"> A.D.  MSL. </v>
      </c>
      <c r="F13" s="428"/>
      <c r="G13" s="427" t="s">
        <v>32</v>
      </c>
      <c r="H13" s="436"/>
      <c r="I13" s="428"/>
      <c r="J13" s="427" t="s">
        <v>34</v>
      </c>
      <c r="K13" s="451"/>
      <c r="L13" s="428"/>
      <c r="M13" s="427" t="s">
        <v>36</v>
      </c>
      <c r="N13" s="428"/>
      <c r="O13" s="427" t="s">
        <v>0</v>
      </c>
      <c r="P13" s="429"/>
      <c r="Q13" s="412" t="s">
        <v>37</v>
      </c>
      <c r="R13" s="425"/>
      <c r="S13" s="425"/>
      <c r="T13" s="382"/>
      <c r="U13" s="412" t="s">
        <v>41</v>
      </c>
      <c r="V13" s="425"/>
      <c r="W13" s="425"/>
      <c r="X13" s="425"/>
      <c r="Y13" s="425"/>
      <c r="Z13" s="425"/>
      <c r="AA13" s="382"/>
      <c r="AB13" s="479" t="s">
        <v>46</v>
      </c>
      <c r="AC13" s="6"/>
      <c r="AE13" s="1" t="str">
        <f>IF(ISBLANK(E15),"",IF(E15&lt;&gt;"A.D.",IF(E15&lt;&gt;"MSL.","errors",""),""))</f>
        <v/>
      </c>
    </row>
    <row r="14" spans="1:51" ht="17.25" customHeight="1">
      <c r="A14" s="33"/>
      <c r="B14" s="474"/>
      <c r="C14" s="460" t="s">
        <v>30</v>
      </c>
      <c r="D14" s="461"/>
      <c r="E14" s="478"/>
      <c r="F14" s="466"/>
      <c r="G14" s="462" t="s">
        <v>33</v>
      </c>
      <c r="H14" s="463"/>
      <c r="I14" s="464"/>
      <c r="J14" s="462" t="s">
        <v>35</v>
      </c>
      <c r="K14" s="465"/>
      <c r="L14" s="466"/>
      <c r="M14" s="462" t="s">
        <v>35</v>
      </c>
      <c r="N14" s="466"/>
      <c r="O14" s="462" t="s">
        <v>35</v>
      </c>
      <c r="P14" s="466"/>
      <c r="Q14" s="17" t="s">
        <v>38</v>
      </c>
      <c r="R14" s="18" t="s">
        <v>39</v>
      </c>
      <c r="S14" s="426" t="s">
        <v>40</v>
      </c>
      <c r="T14" s="382"/>
      <c r="U14" s="426" t="s">
        <v>42</v>
      </c>
      <c r="V14" s="382"/>
      <c r="W14" s="426" t="s">
        <v>43</v>
      </c>
      <c r="X14" s="382"/>
      <c r="Y14" s="452"/>
      <c r="Z14" s="18" t="s">
        <v>44</v>
      </c>
      <c r="AA14" s="18" t="s">
        <v>45</v>
      </c>
      <c r="AB14" s="480"/>
      <c r="AC14" s="6"/>
      <c r="AF14" s="16"/>
    </row>
    <row r="15" spans="1:51" ht="19.5" customHeight="1">
      <c r="A15" s="33"/>
      <c r="B15" s="44" t="s">
        <v>47</v>
      </c>
      <c r="C15" s="454">
        <v>337.6</v>
      </c>
      <c r="D15" s="455"/>
      <c r="E15" s="456" t="s">
        <v>325</v>
      </c>
      <c r="F15" s="447"/>
      <c r="G15" s="457">
        <v>3090</v>
      </c>
      <c r="H15" s="384"/>
      <c r="I15" s="458"/>
      <c r="J15" s="437">
        <v>345.12</v>
      </c>
      <c r="K15" s="441"/>
      <c r="L15" s="438"/>
      <c r="M15" s="437">
        <v>345.16</v>
      </c>
      <c r="N15" s="438"/>
      <c r="O15" s="437">
        <v>337.34</v>
      </c>
      <c r="P15" s="438"/>
      <c r="Q15" s="203">
        <v>337.6</v>
      </c>
      <c r="R15" s="5">
        <v>1</v>
      </c>
      <c r="S15" s="459">
        <v>12</v>
      </c>
      <c r="T15" s="438"/>
      <c r="U15" s="437">
        <v>340.23</v>
      </c>
      <c r="V15" s="438"/>
      <c r="W15" s="439">
        <v>10</v>
      </c>
      <c r="X15" s="389"/>
      <c r="Y15" s="453"/>
      <c r="Z15" s="29" t="s">
        <v>241</v>
      </c>
      <c r="AA15" s="29">
        <v>19</v>
      </c>
      <c r="AB15" s="29">
        <v>2</v>
      </c>
      <c r="AC15" s="6"/>
      <c r="AE15" s="201">
        <f>IF(TRIM(C15)="",IF(TRIM(C57)="","",C57),C15)</f>
        <v>337.6</v>
      </c>
      <c r="AF15" s="7" t="str">
        <f>IF(TRIM(E57)="",IF(TRIM(E15)="","",TRIM(E15)),TRIM(E57))</f>
        <v>MSL.</v>
      </c>
      <c r="AG15" s="7" t="str">
        <f>IF(TRIM(G57)="",IF(TRIM(G15)="","",TRIM(G15)),TRIM(G57))</f>
        <v>3090</v>
      </c>
      <c r="AH15" s="7" t="str">
        <f>IF(TRIM(J57)="",IF(TRIM(J15)="","",TRIM(J15)),TRIM(J57))</f>
        <v>345.12</v>
      </c>
      <c r="AI15" s="7" t="str">
        <f>IF(TRIM(M57)="",IF(TRIM(M15)="","",TRIM(M15)),TRIM(M57))</f>
        <v>345.16</v>
      </c>
      <c r="AJ15" s="7" t="str">
        <f>IF(TRIM(O57)="",IF(TRIM(O15)="","",TRIM(O15)),TRIM(O57))</f>
        <v>337.34</v>
      </c>
      <c r="AK15" s="7" t="str">
        <f>IF(TRIM(Q57)="",IF(TRIM(Q15)="","",TRIM(Q15)),TRIM(Q57))</f>
        <v>337.6</v>
      </c>
      <c r="AL15" s="7" t="str">
        <f>IF(TRIM(R57)="",IF(TRIM(R15)="","",TRIM(R15)),TRIM(R57))</f>
        <v>1</v>
      </c>
      <c r="AM15" s="7" t="str">
        <f>IF(TRIM(S57)="",IF(TRIM(S15)="","",TRIM(S15)),TRIM(S57))</f>
        <v>12</v>
      </c>
      <c r="AN15" s="7" t="str">
        <f>IF(TRIM(U57)="",IF(TRIM(U15)="","",TRIM(U15)),TRIM(U57))</f>
        <v>340.23</v>
      </c>
      <c r="AO15" s="7" t="str">
        <f>IF(TRIM(W57)="",IF(TRIM(W15)="","",TRIM(W15)),TRIM(W57))</f>
        <v>10</v>
      </c>
      <c r="AP15" s="7" t="str">
        <f>IF(TRIM(Z57)="",IF(TRIM(Z15)="","",TRIM(Z15)),TRIM(Z57))</f>
        <v>OCT</v>
      </c>
      <c r="AQ15" s="7" t="str">
        <f>IF(TRIM(AA57)="",IF(TRIM(AA15)="","",TRIM(AA15)),TRIM(AA57))</f>
        <v>19</v>
      </c>
      <c r="AR15" s="7" t="str">
        <f>IF(TRIM(AB57)="",IF(TRIM(AB15)="","",TRIM(AB15)),TRIM(AB57))</f>
        <v>2</v>
      </c>
      <c r="AT15" s="7" t="str">
        <f>IF(TRIM(T57)="",IF(TRIM(T15)="","",TRIM(T15)),TRIM(T57))</f>
        <v/>
      </c>
      <c r="AV15" s="7" t="s">
        <v>99</v>
      </c>
      <c r="AX15" s="7" t="s">
        <v>99</v>
      </c>
      <c r="AY15" s="7" t="s">
        <v>99</v>
      </c>
    </row>
    <row r="16" spans="1:51" ht="17.25" customHeight="1">
      <c r="A16" s="33"/>
      <c r="B16" s="442"/>
      <c r="C16" s="426" t="s">
        <v>48</v>
      </c>
      <c r="D16" s="431"/>
      <c r="E16" s="431"/>
      <c r="F16" s="431"/>
      <c r="G16" s="431"/>
      <c r="H16" s="430"/>
      <c r="I16" s="444" t="s">
        <v>2</v>
      </c>
      <c r="J16" s="426" t="s">
        <v>50</v>
      </c>
      <c r="K16" s="382"/>
      <c r="L16" s="412" t="s">
        <v>100</v>
      </c>
      <c r="M16" s="419"/>
      <c r="N16" s="435" t="s">
        <v>51</v>
      </c>
      <c r="O16" s="436"/>
      <c r="P16" s="428"/>
      <c r="Q16" s="426" t="s">
        <v>52</v>
      </c>
      <c r="R16" s="430"/>
      <c r="S16" s="426" t="s">
        <v>51</v>
      </c>
      <c r="T16" s="425"/>
      <c r="U16" s="425"/>
      <c r="V16" s="382"/>
      <c r="W16" s="426" t="s">
        <v>52</v>
      </c>
      <c r="X16" s="431"/>
      <c r="Y16" s="431"/>
      <c r="Z16" s="430"/>
      <c r="AA16" s="426" t="s">
        <v>51</v>
      </c>
      <c r="AB16" s="430"/>
      <c r="AC16" s="6"/>
    </row>
    <row r="17" spans="1:46" ht="15" customHeight="1">
      <c r="A17" s="33"/>
      <c r="B17" s="443"/>
      <c r="C17" s="426" t="s">
        <v>49</v>
      </c>
      <c r="D17" s="431"/>
      <c r="E17" s="431"/>
      <c r="F17" s="431"/>
      <c r="G17" s="431"/>
      <c r="H17" s="430"/>
      <c r="I17" s="445"/>
      <c r="J17" s="28" t="s">
        <v>51</v>
      </c>
      <c r="K17" s="30" t="s">
        <v>52</v>
      </c>
      <c r="L17" s="412" t="s">
        <v>101</v>
      </c>
      <c r="M17" s="432"/>
      <c r="N17" s="433" t="s">
        <v>39</v>
      </c>
      <c r="O17" s="382"/>
      <c r="P17" s="19" t="s">
        <v>40</v>
      </c>
      <c r="Q17" s="20" t="s">
        <v>39</v>
      </c>
      <c r="R17" s="20" t="s">
        <v>40</v>
      </c>
      <c r="S17" s="20"/>
      <c r="T17" s="20" t="s">
        <v>39</v>
      </c>
      <c r="U17" s="20"/>
      <c r="V17" s="20" t="s">
        <v>40</v>
      </c>
      <c r="W17" s="434" t="s">
        <v>39</v>
      </c>
      <c r="X17" s="382"/>
      <c r="Y17" s="434" t="s">
        <v>40</v>
      </c>
      <c r="Z17" s="382"/>
      <c r="AA17" s="20" t="s">
        <v>39</v>
      </c>
      <c r="AB17" s="21" t="s">
        <v>40</v>
      </c>
      <c r="AC17" s="6"/>
      <c r="AJ17" s="7">
        <f>LEN(AJ18)</f>
        <v>3</v>
      </c>
    </row>
    <row r="18" spans="1:46" ht="18" customHeight="1">
      <c r="A18" s="33"/>
      <c r="B18" s="44" t="s">
        <v>53</v>
      </c>
      <c r="C18" s="440" t="s">
        <v>327</v>
      </c>
      <c r="D18" s="441"/>
      <c r="E18" s="441"/>
      <c r="F18" s="441"/>
      <c r="G18" s="441"/>
      <c r="H18" s="438"/>
      <c r="I18" s="31">
        <v>1</v>
      </c>
      <c r="J18" s="3">
        <v>14</v>
      </c>
      <c r="K18" s="31"/>
      <c r="L18" s="496">
        <v>112</v>
      </c>
      <c r="M18" s="447"/>
      <c r="N18" s="446">
        <v>101</v>
      </c>
      <c r="O18" s="447"/>
      <c r="P18" s="32">
        <v>3112</v>
      </c>
      <c r="Q18" s="31"/>
      <c r="R18" s="31"/>
      <c r="S18" s="496"/>
      <c r="T18" s="499"/>
      <c r="U18" s="447"/>
      <c r="V18" s="31"/>
      <c r="W18" s="496"/>
      <c r="X18" s="447"/>
      <c r="Y18" s="496"/>
      <c r="Z18" s="447"/>
      <c r="AA18" s="4"/>
      <c r="AB18" s="31"/>
      <c r="AC18" s="6"/>
      <c r="AE18" s="7" t="str">
        <f>IF(TRIM(C60)="",IF(TRIM(C18)="","",TRIM(C18)),TRIM(C60))</f>
        <v>HC.1/2424</v>
      </c>
      <c r="AF18" s="7" t="str">
        <f>IF(TRIM(C60)="",IF(TRIM(I18)=""," ",TRIM(I18)),TRIM(C60))</f>
        <v>HC.1/2424</v>
      </c>
      <c r="AG18" s="7" t="str">
        <f>IF(TRIM(J60)="",IF(TRIM(J18)="","",TRIM(J18)),TRIM(J60))</f>
        <v>14</v>
      </c>
      <c r="AH18" s="7" t="str">
        <f>IF(TRIM(K60)="",IF(TRIM(K18)="","",TRIM(K18)),TRIM(K60))</f>
        <v/>
      </c>
      <c r="AI18" s="7" t="str">
        <f>IF(TRIM(L60)="",IF(TRIM(L18)="","   ",TRIM(L18)),TRIM(L6))</f>
        <v/>
      </c>
      <c r="AJ18" s="7" t="str">
        <f>IF(TRIM(N60)="",IF(TRIM(N18)="","",TRIM(N18)),TRIM(N60))</f>
        <v>101</v>
      </c>
      <c r="AK18" s="7" t="str">
        <f>IF(TRIM(P60)="",IF(TRIM(P18)="","",TRIM(P18)),TRIM(P60))</f>
        <v>3112</v>
      </c>
      <c r="AL18" s="7" t="str">
        <f>IF(TRIM(Q18)="",IF(TRIM(Q60)="","",TRIM(Q60)),TRIM(Q18))</f>
        <v/>
      </c>
      <c r="AM18" s="7" t="str">
        <f>IF(TRIM(R18)="",IF(TRIM(R60)="","",TRIM(R60)),TRIM(R18))</f>
        <v/>
      </c>
      <c r="AN18" s="7" t="str">
        <f>IF(TRIM(S18)="",IF(TRIM(S60)="","",TRIM(S60)),TRIM(S18))</f>
        <v/>
      </c>
      <c r="AO18" s="7" t="str">
        <f>IF(TRIM(V18)="",IF(TRIM(V60)="","",TRIM(V60)),TRIM(V18))</f>
        <v/>
      </c>
      <c r="AP18" s="7" t="str">
        <f>IF(TRIM(W18)="",IF(TRIM(W60)="","",TRIM(W60)),TRIM(W18))</f>
        <v/>
      </c>
      <c r="AQ18" s="7" t="str">
        <f>IF(TRIM(Y18)="",IF(TRIM(Y60)="","",TRIM(Y60)),TRIM(Y18))</f>
        <v/>
      </c>
      <c r="AR18" s="7" t="str">
        <f>IF(TRIM(AA18)="",IF(TRIM(AA60)="","",TRIM(AA60)),TRIM(AA18))</f>
        <v/>
      </c>
      <c r="AS18" s="9" t="str">
        <f>IF(TRIM(AB18)="",IF(TRIM(AB60)="","",TRIM(AB60)),TRIM(AB18))</f>
        <v/>
      </c>
    </row>
    <row r="19" spans="1:46" s="24" customFormat="1">
      <c r="A19" s="36"/>
      <c r="B19" s="126"/>
      <c r="C19" s="420">
        <v>1</v>
      </c>
      <c r="D19" s="422"/>
      <c r="E19" s="422"/>
      <c r="F19" s="422"/>
      <c r="G19" s="421"/>
      <c r="H19" s="412">
        <v>2</v>
      </c>
      <c r="I19" s="418"/>
      <c r="J19" s="418"/>
      <c r="K19" s="418"/>
      <c r="L19" s="495"/>
      <c r="M19" s="420">
        <v>3</v>
      </c>
      <c r="N19" s="422"/>
      <c r="O19" s="497"/>
      <c r="P19" s="497"/>
      <c r="Q19" s="498"/>
      <c r="R19" s="412">
        <v>4</v>
      </c>
      <c r="S19" s="494"/>
      <c r="T19" s="494"/>
      <c r="U19" s="494"/>
      <c r="V19" s="495"/>
      <c r="W19" s="412">
        <v>5</v>
      </c>
      <c r="X19" s="418"/>
      <c r="Y19" s="418"/>
      <c r="Z19" s="418"/>
      <c r="AA19" s="494"/>
      <c r="AB19" s="495"/>
      <c r="AC19" s="22"/>
      <c r="AD19" s="23"/>
      <c r="AE19" s="122" t="str">
        <f>IF(LEN(AE18)=0,"               ",IF(LEN(AE18)=1,AE18&amp;"              ",IF(LEN(AE18)=2,AE18&amp;"             ",IF(LEN(AE18)=3,AE18&amp;"            ",IF(LEN(AE18)=4,AE18&amp;"           ",AE18)))))</f>
        <v>HC.1/2424</v>
      </c>
      <c r="AF19" s="23"/>
      <c r="AG19" s="122" t="str">
        <f>IF(LEN(AE19)=5,"          ",IF(LEN(AE19)=6,AE19&amp;"         ",IF(LEN(AE19)=7,AE19&amp;"        ",IF(LEN(AE19)=8,AE19&amp;"       ",IF(LEN(AE19)=9,AE19&amp;"      ",AE19)))))</f>
        <v xml:space="preserve">HC.1/2424      </v>
      </c>
      <c r="AH19" s="23" t="str">
        <f>IF(LEN(AF18)=0," ",AF18)</f>
        <v>HC.1/2424</v>
      </c>
      <c r="AI19" s="23" t="str">
        <f>IF(AND(LEN(AG18)=0,LEN(AH18)=0),AH19&amp;" "&amp;" ",IF(AND(LEN(AG18)&gt;0,LEN(AH18)=0),AH19&amp;AG18&amp;" ",IF(AND(LEN(AG18)=0,LEN(AH18)&gt;0),AH19&amp;" "&amp;AH18,AH19&amp;AG18&amp;AH18)))</f>
        <v xml:space="preserve">HC.1/242414 </v>
      </c>
      <c r="AJ19" s="23" t="str">
        <f t="shared" ref="AJ19:AP19" si="0">IF(LEN(AJ18)=0,"    ",IF(LEN(AJ18)=1,"000"&amp;AJ18,IF(LEN(AJ18)=2,"00"&amp;LEFT(AJ18,2),IF(LEN(AJ18)=3,"0"&amp;AJ18,AJ18))))</f>
        <v>0101</v>
      </c>
      <c r="AK19" s="23" t="str">
        <f t="shared" si="0"/>
        <v>3112</v>
      </c>
      <c r="AL19" s="23" t="str">
        <f t="shared" si="0"/>
        <v xml:space="preserve">    </v>
      </c>
      <c r="AM19" s="23" t="str">
        <f t="shared" si="0"/>
        <v xml:space="preserve">    </v>
      </c>
      <c r="AN19" s="23" t="str">
        <f t="shared" si="0"/>
        <v xml:space="preserve">    </v>
      </c>
      <c r="AO19" s="23" t="str">
        <f t="shared" si="0"/>
        <v xml:space="preserve">    </v>
      </c>
      <c r="AP19" s="23" t="str">
        <f t="shared" si="0"/>
        <v xml:space="preserve">    </v>
      </c>
      <c r="AQ19" s="23" t="str">
        <f>IF(LEN(AQ18)=0,"    ",IF(LEN(AQ18)=1,"000"&amp;AQ18,IF(LEN(AQ18)=2,"00"&amp;LEFT(AQ18,2),IF(LEN(AQ18)=3,"0"&amp;AQ18,AQ18))))</f>
        <v xml:space="preserve">    </v>
      </c>
      <c r="AR19" s="23" t="str">
        <f>IF(LEN(AR18)=0,"    ",IF(LEN(AR18)=1,"000"&amp;AR18,IF(LEN(AR18)=2,"00"&amp;LEFT(AR18,2),IF(LEN(AR18)=3,"0"&amp;AR18,AR18))))</f>
        <v xml:space="preserve">    </v>
      </c>
      <c r="AS19" s="24" t="str">
        <f>IF(LEN(AS18)=0,"    ",IF(LEN(AS18)=1,"000"&amp;AS18,IF(LEN(AS18)=2,"00"&amp;LEFT(AS18,2),IF(LEN(AS18)=3,"0"&amp;AS18,AS18))))</f>
        <v xml:space="preserve">    </v>
      </c>
      <c r="AT19" s="24" t="str">
        <f>IF(LEN(AT18)=0,"    ",IF(LEN(AT18)=1,"000"&amp;AT18,IF(LEN(AT18)=2,"00"&amp;LEFT(AT18,2),IF(LEN(AT18)=3,"0"&amp;AT18,AT18))))</f>
        <v xml:space="preserve">    </v>
      </c>
    </row>
    <row r="20" spans="1:46" s="24" customFormat="1">
      <c r="A20" s="36"/>
      <c r="B20" s="126"/>
      <c r="C20" s="412" t="s">
        <v>4</v>
      </c>
      <c r="D20" s="418"/>
      <c r="E20" s="495"/>
      <c r="F20" s="412" t="s">
        <v>5</v>
      </c>
      <c r="G20" s="495"/>
      <c r="H20" s="412" t="s">
        <v>4</v>
      </c>
      <c r="I20" s="495"/>
      <c r="J20" s="412" t="s">
        <v>5</v>
      </c>
      <c r="K20" s="494"/>
      <c r="L20" s="495"/>
      <c r="M20" s="412" t="s">
        <v>4</v>
      </c>
      <c r="N20" s="418"/>
      <c r="O20" s="419"/>
      <c r="P20" s="420" t="s">
        <v>5</v>
      </c>
      <c r="Q20" s="421"/>
      <c r="R20" s="412" t="s">
        <v>4</v>
      </c>
      <c r="S20" s="419"/>
      <c r="T20" s="412" t="s">
        <v>5</v>
      </c>
      <c r="U20" s="418"/>
      <c r="V20" s="419"/>
      <c r="W20" s="412" t="s">
        <v>4</v>
      </c>
      <c r="X20" s="494"/>
      <c r="Y20" s="494"/>
      <c r="Z20" s="495"/>
      <c r="AA20" s="412" t="s">
        <v>5</v>
      </c>
      <c r="AB20" s="419"/>
      <c r="AC20" s="22"/>
      <c r="AD20" s="23"/>
      <c r="AE20" s="23" t="str">
        <f>IF(LEN(AG19)=10,"     ",IF(LEN(AG19)=11,AG19&amp;"    ",IF(LEN(AG19)=12,AG19&amp;"   ",IF(LEN(AG19)=13,AG19&amp;"  ",IF(LEN(AG19)=14,AG19&amp;" ",AG19)))))</f>
        <v xml:space="preserve">HC.1/2424      </v>
      </c>
      <c r="AF20" s="23" t="str">
        <f>AI19&amp;AI20</f>
        <v xml:space="preserve">HC.1/242414 </v>
      </c>
      <c r="AG20" s="23" t="str">
        <f>AJ19&amp;AK19&amp;AL19&amp;AM19&amp;AN19&amp;AO19&amp;AP19&amp;AQ19&amp;AR19&amp;AS19&amp;AT10</f>
        <v xml:space="preserve">01013112                                </v>
      </c>
      <c r="AH20" s="23"/>
      <c r="AI20" s="23" t="str">
        <f>IF(LEN(AI18)=1,"  "&amp;AI18,IF(LEN(AI18)=2," "&amp;AI18,AI18))</f>
        <v/>
      </c>
      <c r="AJ20" s="23"/>
      <c r="AK20" s="23"/>
      <c r="AL20" s="23"/>
    </row>
    <row r="21" spans="1:46" ht="23.25" customHeight="1">
      <c r="A21" s="33"/>
      <c r="B21" s="44" t="s">
        <v>14</v>
      </c>
      <c r="C21" s="415" t="s">
        <v>3</v>
      </c>
      <c r="D21" s="387">
        <v>337.6</v>
      </c>
      <c r="E21" s="389"/>
      <c r="F21" s="387">
        <v>0</v>
      </c>
      <c r="G21" s="389"/>
      <c r="H21" s="387">
        <v>337.7</v>
      </c>
      <c r="I21" s="389"/>
      <c r="J21" s="388">
        <v>0.5</v>
      </c>
      <c r="K21" s="388"/>
      <c r="L21" s="389"/>
      <c r="M21" s="387">
        <v>337.8</v>
      </c>
      <c r="N21" s="388"/>
      <c r="O21" s="389"/>
      <c r="P21" s="387">
        <v>2</v>
      </c>
      <c r="Q21" s="389"/>
      <c r="R21" s="387">
        <v>337.9</v>
      </c>
      <c r="S21" s="389"/>
      <c r="T21" s="387">
        <v>4</v>
      </c>
      <c r="U21" s="388"/>
      <c r="V21" s="389"/>
      <c r="W21" s="387">
        <v>338</v>
      </c>
      <c r="X21" s="388"/>
      <c r="Y21" s="388"/>
      <c r="Z21" s="389"/>
      <c r="AA21" s="387">
        <v>6.5</v>
      </c>
      <c r="AB21" s="389"/>
      <c r="AC21" s="6"/>
      <c r="AE21" s="7" t="str">
        <f>AE20&amp;AF20&amp;AG20</f>
        <v xml:space="preserve">HC.1/2424      HC.1/242414 01013112                                </v>
      </c>
    </row>
    <row r="22" spans="1:46" ht="23.25" customHeight="1">
      <c r="A22" s="33"/>
      <c r="B22" s="44" t="s">
        <v>15</v>
      </c>
      <c r="C22" s="416"/>
      <c r="D22" s="387">
        <v>338.2</v>
      </c>
      <c r="E22" s="389"/>
      <c r="F22" s="387">
        <v>13</v>
      </c>
      <c r="G22" s="389"/>
      <c r="H22" s="387">
        <v>338.4</v>
      </c>
      <c r="I22" s="389"/>
      <c r="J22" s="388">
        <v>22</v>
      </c>
      <c r="K22" s="388"/>
      <c r="L22" s="389"/>
      <c r="M22" s="387">
        <v>338.8</v>
      </c>
      <c r="N22" s="388"/>
      <c r="O22" s="389"/>
      <c r="P22" s="387">
        <v>42</v>
      </c>
      <c r="Q22" s="389"/>
      <c r="R22" s="387">
        <v>339</v>
      </c>
      <c r="S22" s="389"/>
      <c r="T22" s="387">
        <v>53.5</v>
      </c>
      <c r="U22" s="388"/>
      <c r="V22" s="389"/>
      <c r="W22" s="387">
        <v>339.2</v>
      </c>
      <c r="X22" s="388"/>
      <c r="Y22" s="388"/>
      <c r="Z22" s="389"/>
      <c r="AA22" s="387">
        <v>66</v>
      </c>
      <c r="AB22" s="389"/>
      <c r="AC22" s="6"/>
    </row>
    <row r="23" spans="1:46" ht="23.25" customHeight="1">
      <c r="A23" s="33"/>
      <c r="B23" s="44" t="s">
        <v>16</v>
      </c>
      <c r="C23" s="416"/>
      <c r="D23" s="387">
        <v>339.4</v>
      </c>
      <c r="E23" s="389"/>
      <c r="F23" s="387">
        <v>79</v>
      </c>
      <c r="G23" s="389"/>
      <c r="H23" s="387">
        <v>339.6</v>
      </c>
      <c r="I23" s="389"/>
      <c r="J23" s="388">
        <v>92.5</v>
      </c>
      <c r="K23" s="388"/>
      <c r="L23" s="389"/>
      <c r="M23" s="387">
        <v>340.2</v>
      </c>
      <c r="N23" s="388"/>
      <c r="O23" s="389"/>
      <c r="P23" s="387">
        <v>134.5</v>
      </c>
      <c r="Q23" s="389"/>
      <c r="R23" s="387">
        <v>340.3</v>
      </c>
      <c r="S23" s="389"/>
      <c r="T23" s="387">
        <v>142</v>
      </c>
      <c r="U23" s="388"/>
      <c r="V23" s="389"/>
      <c r="W23" s="387"/>
      <c r="X23" s="388"/>
      <c r="Y23" s="388"/>
      <c r="Z23" s="389"/>
      <c r="AA23" s="387"/>
      <c r="AB23" s="389"/>
      <c r="AC23" s="6"/>
      <c r="AE23" s="7" t="str">
        <f>IF(LEN('c-form'!AF15)=0,"    ",'c-form'!AF15)</f>
        <v>MSL.</v>
      </c>
      <c r="AF23" s="7" t="str">
        <f>IF(TRIM('c-form'!AG15)=""," ",'c-form'!AG15)</f>
        <v>3090</v>
      </c>
      <c r="AG23" s="7" t="str">
        <f>IF(TRIM('c-form'!AH15)=""," ",'c-form'!AH15)</f>
        <v>345.12</v>
      </c>
      <c r="AH23" s="7" t="str">
        <f>IF(TRIM('c-form'!AI15)=""," ",'c-form'!AI15)</f>
        <v>345.16</v>
      </c>
      <c r="AI23" s="7" t="str">
        <f>IF(TRIM('c-form'!AJ15)=""," ",'c-form'!AJ15)</f>
        <v>337.34</v>
      </c>
      <c r="AJ23" s="7" t="str">
        <f>IF(TRIM('c-form'!AK15)=""," ",'c-form'!AK15)</f>
        <v>337.6</v>
      </c>
      <c r="AL23" s="7" t="str">
        <f>IF(TRIM('c-form'!AN15)=""," ",'c-form'!AN15)</f>
        <v>340.23</v>
      </c>
      <c r="AM23" s="9" t="str">
        <f>IF(TRIM('c-form'!AO15)=""," ",'c-form'!AO15)</f>
        <v>10</v>
      </c>
      <c r="AN23" s="9" t="str">
        <f>IF(TRIM('c-form'!AP15)=""," ",'c-form'!AP15)</f>
        <v>OCT</v>
      </c>
      <c r="AO23" s="9" t="str">
        <f>IF(TRIM('c-form'!AQ15)="","  ",'c-form'!AQ15)</f>
        <v>19</v>
      </c>
    </row>
    <row r="24" spans="1:46" ht="23.25" customHeight="1">
      <c r="A24" s="33"/>
      <c r="B24" s="44" t="s">
        <v>17</v>
      </c>
      <c r="C24" s="416"/>
      <c r="D24" s="387"/>
      <c r="E24" s="389"/>
      <c r="F24" s="387"/>
      <c r="G24" s="389"/>
      <c r="H24" s="387"/>
      <c r="I24" s="389"/>
      <c r="J24" s="388"/>
      <c r="K24" s="388"/>
      <c r="L24" s="389"/>
      <c r="M24" s="387"/>
      <c r="N24" s="388"/>
      <c r="O24" s="389"/>
      <c r="P24" s="387"/>
      <c r="Q24" s="389"/>
      <c r="R24" s="387"/>
      <c r="S24" s="389"/>
      <c r="T24" s="387"/>
      <c r="U24" s="388"/>
      <c r="V24" s="389"/>
      <c r="W24" s="387"/>
      <c r="X24" s="388"/>
      <c r="Y24" s="388"/>
      <c r="Z24" s="389"/>
      <c r="AA24" s="387"/>
      <c r="AB24" s="389"/>
      <c r="AC24" s="6"/>
      <c r="AF24" s="7" t="str">
        <f>IF(LEN(AF23)=0,"          ",IF(LEN(AF23)=1,"         "&amp;AF23,IF(LEN(AF23)=2,"        "&amp;AF23,IF(LEN(AF23)=3,"       "&amp;AF23,IF(LEN(AF23)=4,"      "&amp;AF23,IF(LEN(AF23)=5,"     "&amp;AF23,IF(LEN(AF23)=6,"    "&amp;AF23,AF23)))))))</f>
        <v xml:space="preserve">      3090</v>
      </c>
      <c r="AG24" s="7" t="str">
        <f>IF(LEN(AG23)=0,"      ",IF(LEN(AG23)=1,"     "&amp;AG23,IF(LEN(AG23)=2,"    "&amp;AG23,IF(LEN(AG23)=3,"   "&amp;AG23,IF(LEN(AG23)=4,"  "&amp;AG23,IF(LEN(AG23)=5," "&amp;AG23,IF(LEN(AG23)&gt;6,LEFT(AG23,6),AG23)))))))</f>
        <v>345.12</v>
      </c>
      <c r="AH24" s="7" t="str">
        <f>IF(LEN(AH23)=0,"      ",IF(LEN(AH23)=1,"     "&amp;AH23,IF(LEN(AH23)=2,"    "&amp;AH23,IF(LEN(AH23)=3,"   "&amp;AH23,IF(LEN(AH23)=4,"  "&amp;AH23,IF(LEN(AH23)=5," "&amp;AH23,IF(LEN(AH23)&gt;6,LEFT(AH23,6),AH23)))))))</f>
        <v>345.16</v>
      </c>
      <c r="AI24" s="7" t="str">
        <f>IF(LEN(AI23)=0,"      ",IF(LEN(AI23)=1,"     "&amp;AI23,IF(LEN(AI23)=2,"    "&amp;AI23,IF(LEN(AI23)=3,"   "&amp;AI23,IF(LEN(AI23)=4,"  "&amp;AI23,IF(LEN(AI23)=5," "&amp;AI23,IF(LEN(AI23)=6,LEFT(AI23,6),AI23)))))))</f>
        <v>337.34</v>
      </c>
      <c r="AJ24" s="7" t="str">
        <f>IF(LEN(AJ23)=0,"      ",IF(LEN(AJ23)=1,"     "&amp;AJ23,IF(LEN(AJ23)=2,"    "&amp;AJ23,IF(LEN(AJ23)=3,"   "&amp;AJ23,IF(LEN(AJ23)=4,"  "&amp;AJ23,IF(LEN(AJ23)=5," "&amp;AJ23,IF(LEN(AJ23)=6,LEFT(AJ23,6),AJ23)))))))</f>
        <v xml:space="preserve"> 337.6</v>
      </c>
      <c r="AK24" s="7" t="str">
        <f>IF(TRIM('c-form'!AL15)=""," ",'c-form'!AL15)</f>
        <v>1</v>
      </c>
      <c r="AL24" s="7" t="str">
        <f>IF(LEN(AL23)=0,"      ",IF(LEN(AL23)=1,"     "&amp;AL23,IF(LEN(AL23)=2,"    "&amp;AL23,IF(LEN(AL23)=3,"   "&amp;AL23,IF(LEN(AL23)=4,"  "&amp;AL23,IF(LEN(AL23)=5," "&amp;AL23,IF(LEN(AL23)&gt;6,LEFT(AL23,6),AL23)))))))</f>
        <v>340.23</v>
      </c>
      <c r="AM24" s="9" t="str">
        <f>IF(LEN(AM23)=2,AM23&amp;"   ",IF(LEN(AM23)=1,AM23&amp;"   ",IF(LEN(AM23)=3,AM23&amp;"  ",IF(LEN(AM23)=4,AM23&amp;" ",IF(LEN(AM23)&gt;5,LEFT(AM23,5),AM23)))))</f>
        <v xml:space="preserve">10   </v>
      </c>
      <c r="AN24" s="9" t="str">
        <f>IF(LEN(AN23)=0,"    "&amp;AN23,IF(LEN(AN23)=2,"  "&amp;AN23,IF(LEN(AN23)=1,"  "&amp;AN23,IF(LEN(AN23)&gt;3,LEFT(AN23,4)," "&amp;AN23))))</f>
        <v xml:space="preserve"> OCT</v>
      </c>
      <c r="AO24" s="9" t="str">
        <f>IF(LEN(AO23)=0,"  ",IF(LEN(AO23)=1,"0"&amp;AO23,AO23))</f>
        <v>19</v>
      </c>
      <c r="AP24" s="9" t="str">
        <f>IF(TRIM('c-form'!AR15)=""," ",'c-form'!AR15)</f>
        <v>2</v>
      </c>
    </row>
    <row r="25" spans="1:46" ht="23.25" customHeight="1">
      <c r="A25" s="33"/>
      <c r="B25" s="44" t="s">
        <v>18</v>
      </c>
      <c r="C25" s="416"/>
      <c r="D25" s="387"/>
      <c r="E25" s="389"/>
      <c r="F25" s="387"/>
      <c r="G25" s="389"/>
      <c r="H25" s="387"/>
      <c r="I25" s="389"/>
      <c r="J25" s="388"/>
      <c r="K25" s="388"/>
      <c r="L25" s="389"/>
      <c r="M25" s="387"/>
      <c r="N25" s="388"/>
      <c r="O25" s="389"/>
      <c r="P25" s="387"/>
      <c r="Q25" s="389"/>
      <c r="R25" s="387"/>
      <c r="S25" s="389"/>
      <c r="T25" s="387"/>
      <c r="U25" s="388"/>
      <c r="V25" s="389"/>
      <c r="W25" s="387"/>
      <c r="X25" s="388"/>
      <c r="Y25" s="388"/>
      <c r="Z25" s="389"/>
      <c r="AA25" s="387"/>
      <c r="AB25" s="389"/>
      <c r="AC25" s="6"/>
    </row>
    <row r="26" spans="1:46" ht="23.25" customHeight="1">
      <c r="A26" s="33"/>
      <c r="B26" s="44" t="s">
        <v>19</v>
      </c>
      <c r="C26" s="416"/>
      <c r="D26" s="387"/>
      <c r="E26" s="389"/>
      <c r="F26" s="387"/>
      <c r="G26" s="389"/>
      <c r="H26" s="387"/>
      <c r="I26" s="389"/>
      <c r="J26" s="388"/>
      <c r="K26" s="388"/>
      <c r="L26" s="389"/>
      <c r="M26" s="387"/>
      <c r="N26" s="388"/>
      <c r="O26" s="389"/>
      <c r="P26" s="387"/>
      <c r="Q26" s="389"/>
      <c r="R26" s="387"/>
      <c r="S26" s="389"/>
      <c r="T26" s="387"/>
      <c r="U26" s="388"/>
      <c r="V26" s="389"/>
      <c r="W26" s="387"/>
      <c r="X26" s="388"/>
      <c r="Y26" s="388"/>
      <c r="Z26" s="389"/>
      <c r="AA26" s="387"/>
      <c r="AB26" s="389"/>
      <c r="AC26" s="6"/>
    </row>
    <row r="27" spans="1:46" ht="23.25" customHeight="1">
      <c r="A27" s="33"/>
      <c r="B27" s="44" t="s">
        <v>20</v>
      </c>
      <c r="C27" s="416"/>
      <c r="D27" s="387"/>
      <c r="E27" s="389"/>
      <c r="F27" s="387"/>
      <c r="G27" s="389"/>
      <c r="H27" s="387"/>
      <c r="I27" s="389"/>
      <c r="J27" s="388"/>
      <c r="K27" s="388"/>
      <c r="L27" s="389"/>
      <c r="M27" s="387"/>
      <c r="N27" s="388"/>
      <c r="O27" s="389"/>
      <c r="P27" s="387"/>
      <c r="Q27" s="389"/>
      <c r="R27" s="387"/>
      <c r="S27" s="389"/>
      <c r="T27" s="387"/>
      <c r="U27" s="388"/>
      <c r="V27" s="389"/>
      <c r="W27" s="387"/>
      <c r="X27" s="388"/>
      <c r="Y27" s="388"/>
      <c r="Z27" s="389"/>
      <c r="AA27" s="387"/>
      <c r="AB27" s="389"/>
      <c r="AC27" s="6"/>
    </row>
    <row r="28" spans="1:46" ht="23.25" customHeight="1">
      <c r="A28" s="33"/>
      <c r="B28" s="44" t="s">
        <v>21</v>
      </c>
      <c r="C28" s="416"/>
      <c r="D28" s="387"/>
      <c r="E28" s="389"/>
      <c r="F28" s="387"/>
      <c r="G28" s="389"/>
      <c r="H28" s="387"/>
      <c r="I28" s="389"/>
      <c r="J28" s="388"/>
      <c r="K28" s="388"/>
      <c r="L28" s="389"/>
      <c r="M28" s="387"/>
      <c r="N28" s="388"/>
      <c r="O28" s="389"/>
      <c r="P28" s="387"/>
      <c r="Q28" s="389"/>
      <c r="R28" s="387"/>
      <c r="S28" s="389"/>
      <c r="T28" s="387"/>
      <c r="U28" s="388"/>
      <c r="V28" s="389"/>
      <c r="W28" s="387"/>
      <c r="X28" s="388"/>
      <c r="Y28" s="388"/>
      <c r="Z28" s="389"/>
      <c r="AA28" s="387"/>
      <c r="AB28" s="389"/>
      <c r="AC28" s="6"/>
    </row>
    <row r="29" spans="1:46" ht="23.25" customHeight="1">
      <c r="A29" s="33"/>
      <c r="B29" s="44" t="s">
        <v>22</v>
      </c>
      <c r="C29" s="416"/>
      <c r="D29" s="387"/>
      <c r="E29" s="389"/>
      <c r="F29" s="387"/>
      <c r="G29" s="389"/>
      <c r="H29" s="387"/>
      <c r="I29" s="389"/>
      <c r="J29" s="388"/>
      <c r="K29" s="388"/>
      <c r="L29" s="389"/>
      <c r="M29" s="387"/>
      <c r="N29" s="388"/>
      <c r="O29" s="389"/>
      <c r="P29" s="387"/>
      <c r="Q29" s="389"/>
      <c r="R29" s="387"/>
      <c r="S29" s="389"/>
      <c r="T29" s="387"/>
      <c r="U29" s="388"/>
      <c r="V29" s="389"/>
      <c r="W29" s="387"/>
      <c r="X29" s="388"/>
      <c r="Y29" s="388"/>
      <c r="Z29" s="389"/>
      <c r="AA29" s="387"/>
      <c r="AB29" s="389"/>
      <c r="AC29" s="6"/>
    </row>
    <row r="30" spans="1:46" ht="23.25" customHeight="1">
      <c r="A30" s="33"/>
      <c r="B30" s="44" t="s">
        <v>23</v>
      </c>
      <c r="C30" s="417"/>
      <c r="D30" s="387"/>
      <c r="E30" s="389"/>
      <c r="F30" s="387"/>
      <c r="G30" s="389"/>
      <c r="H30" s="387"/>
      <c r="I30" s="389"/>
      <c r="J30" s="388"/>
      <c r="K30" s="388"/>
      <c r="L30" s="389"/>
      <c r="M30" s="387"/>
      <c r="N30" s="388"/>
      <c r="O30" s="389"/>
      <c r="P30" s="387"/>
      <c r="Q30" s="389"/>
      <c r="R30" s="387"/>
      <c r="S30" s="389"/>
      <c r="T30" s="387"/>
      <c r="U30" s="388"/>
      <c r="V30" s="389"/>
      <c r="W30" s="387"/>
      <c r="X30" s="388"/>
      <c r="Y30" s="388"/>
      <c r="Z30" s="389"/>
      <c r="AA30" s="387"/>
      <c r="AB30" s="389"/>
      <c r="AC30" s="6"/>
    </row>
    <row r="31" spans="1:46" s="12" customFormat="1" ht="15" customHeight="1">
      <c r="A31" s="34"/>
      <c r="B31" s="390" t="s">
        <v>1</v>
      </c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10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46" s="7" customFormat="1" ht="18.75">
      <c r="A32" s="37"/>
      <c r="B32" s="25"/>
      <c r="U32" s="385" t="s">
        <v>104</v>
      </c>
      <c r="V32" s="386"/>
      <c r="W32" s="386"/>
      <c r="X32" s="386"/>
      <c r="Y32" s="386"/>
      <c r="Z32" s="386"/>
      <c r="AA32" s="386"/>
      <c r="AB32" s="386"/>
    </row>
    <row r="33" spans="1:29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9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9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9" ht="1.5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9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9" ht="3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9" ht="12.75" hidden="1" customHeight="1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9" ht="12.75" hidden="1" customHeight="1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9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9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9">
      <c r="A43" s="3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21">
      <c r="A44" s="33"/>
      <c r="B44" s="481" t="s">
        <v>6</v>
      </c>
      <c r="C44" s="482"/>
      <c r="D44" s="482"/>
      <c r="E44" s="482"/>
      <c r="F44" s="482"/>
      <c r="G44" s="48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83" t="s">
        <v>9</v>
      </c>
      <c r="S44" s="483"/>
      <c r="T44" s="483"/>
      <c r="U44" s="483"/>
      <c r="V44" s="483"/>
      <c r="W44" s="483"/>
      <c r="X44" s="47"/>
      <c r="Y44" s="47"/>
      <c r="Z44" s="485" t="s">
        <v>10</v>
      </c>
      <c r="AA44" s="485"/>
      <c r="AB44" s="48"/>
      <c r="AC44" s="8"/>
    </row>
    <row r="45" spans="1:29">
      <c r="A45" s="33"/>
      <c r="B45" s="486" t="s">
        <v>7</v>
      </c>
      <c r="C45" s="487"/>
      <c r="D45" s="487"/>
      <c r="E45" s="487"/>
      <c r="F45" s="487"/>
      <c r="G45" s="48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484"/>
      <c r="S45" s="484"/>
      <c r="T45" s="484"/>
      <c r="U45" s="484"/>
      <c r="V45" s="484"/>
      <c r="W45" s="484"/>
      <c r="X45" s="27"/>
      <c r="Y45" s="27"/>
      <c r="Z45" s="27"/>
      <c r="AA45" s="27"/>
      <c r="AB45" s="49"/>
      <c r="AC45" s="6"/>
    </row>
    <row r="46" spans="1:29" ht="16.5" customHeight="1">
      <c r="A46" s="33"/>
      <c r="B46" s="70" t="s">
        <v>11</v>
      </c>
      <c r="C46" s="39"/>
      <c r="D46" s="39"/>
      <c r="E46" s="39"/>
      <c r="F46" s="39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49"/>
      <c r="AC46" s="6"/>
    </row>
    <row r="47" spans="1:29" ht="20.25" customHeight="1">
      <c r="A47" s="33"/>
      <c r="B47" s="40" t="s">
        <v>24</v>
      </c>
      <c r="C47" s="467" t="s">
        <v>25</v>
      </c>
      <c r="D47" s="468"/>
      <c r="E47" s="51"/>
      <c r="F47" s="51"/>
      <c r="G47" s="38"/>
      <c r="H47" s="469" t="s">
        <v>8</v>
      </c>
      <c r="I47" s="469"/>
      <c r="J47" s="469"/>
      <c r="K47" s="469"/>
      <c r="L47" s="469"/>
      <c r="M47" s="469"/>
      <c r="N47" s="469"/>
      <c r="O47" s="469"/>
      <c r="P47" s="469"/>
      <c r="Q47" s="469"/>
      <c r="R47" s="27"/>
      <c r="S47" s="27"/>
      <c r="T47" s="27"/>
      <c r="U47" s="27"/>
      <c r="V47" s="27"/>
      <c r="W47" s="41"/>
      <c r="X47" s="41"/>
      <c r="Y47" s="41"/>
      <c r="Z47" s="41"/>
      <c r="AA47" s="27"/>
      <c r="AB47" s="49"/>
      <c r="AC47" s="6"/>
    </row>
    <row r="48" spans="1:29" ht="25.5">
      <c r="A48" s="33"/>
      <c r="B48" s="2" t="s">
        <v>12</v>
      </c>
      <c r="C48" s="470" t="s">
        <v>13</v>
      </c>
      <c r="D48" s="471"/>
      <c r="E48" s="26"/>
      <c r="F48" s="26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27"/>
      <c r="S48" s="27"/>
      <c r="T48" s="472"/>
      <c r="U48" s="472"/>
      <c r="V48" s="472"/>
      <c r="W48" s="472"/>
      <c r="X48" s="27"/>
      <c r="Y48" s="27"/>
      <c r="Z48" s="42"/>
      <c r="AA48" s="27"/>
      <c r="AB48" s="49"/>
      <c r="AC48" s="6"/>
    </row>
    <row r="49" spans="1:31">
      <c r="A49" s="33"/>
      <c r="B49" s="120" t="s">
        <v>321</v>
      </c>
      <c r="C49" s="410">
        <f>IF(TRIM(C7)="","",C7)</f>
        <v>2013</v>
      </c>
      <c r="D49" s="411"/>
      <c r="E49" s="27"/>
      <c r="F49" s="2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27"/>
      <c r="S49" s="27"/>
      <c r="T49" s="42"/>
      <c r="U49" s="42"/>
      <c r="V49" s="27"/>
      <c r="W49" s="42"/>
      <c r="X49" s="27"/>
      <c r="Y49" s="27"/>
      <c r="Z49" s="27"/>
      <c r="AA49" s="27"/>
      <c r="AB49" s="50"/>
      <c r="AC49" s="6"/>
    </row>
    <row r="50" spans="1:31" ht="15" customHeight="1">
      <c r="A50" s="34"/>
      <c r="B50" s="488" t="s">
        <v>1</v>
      </c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90"/>
      <c r="AC50" s="10"/>
    </row>
    <row r="51" spans="1:31" ht="21" customHeight="1">
      <c r="A51" s="35"/>
      <c r="B51" s="43" t="s">
        <v>26</v>
      </c>
      <c r="C51" s="491" t="s">
        <v>87</v>
      </c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3"/>
      <c r="AC51" s="13"/>
    </row>
    <row r="52" spans="1:31" ht="16.5" customHeight="1">
      <c r="A52" s="33"/>
      <c r="B52" s="44" t="s">
        <v>27</v>
      </c>
      <c r="C52" s="404" t="str">
        <f>IF(LEN(TRIM(stampv))=0," ",stampv)</f>
        <v>Ban Cho Lae,  Mae Taeng, Chiang Mai,P.75</v>
      </c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6"/>
      <c r="AC52" s="6"/>
    </row>
    <row r="53" spans="1:31" ht="21.75" customHeight="1">
      <c r="A53" s="33"/>
      <c r="B53" s="45"/>
      <c r="C53" s="448" t="s">
        <v>28</v>
      </c>
      <c r="D53" s="449"/>
      <c r="E53" s="449"/>
      <c r="F53" s="449"/>
      <c r="G53" s="449"/>
      <c r="H53" s="449"/>
      <c r="I53" s="449"/>
      <c r="J53" s="449"/>
      <c r="K53" s="449"/>
      <c r="L53" s="449"/>
      <c r="M53" s="450"/>
      <c r="N53" s="400" t="s">
        <v>103</v>
      </c>
      <c r="O53" s="401"/>
      <c r="P53" s="401"/>
      <c r="Q53" s="401"/>
      <c r="R53" s="401"/>
      <c r="S53" s="402"/>
      <c r="T53" s="400" t="s">
        <v>102</v>
      </c>
      <c r="U53" s="401"/>
      <c r="V53" s="401"/>
      <c r="W53" s="401"/>
      <c r="X53" s="401"/>
      <c r="Y53" s="401"/>
      <c r="Z53" s="401"/>
      <c r="AA53" s="401"/>
      <c r="AB53" s="403"/>
      <c r="AC53" s="6"/>
    </row>
    <row r="54" spans="1:31" ht="18" customHeight="1">
      <c r="A54" s="33"/>
      <c r="B54" s="44" t="s">
        <v>29</v>
      </c>
      <c r="C54" s="404" t="str">
        <f>IF(LEN(TRIM(C12))=0," ",C12)</f>
        <v>Nam  Ping</v>
      </c>
      <c r="D54" s="405"/>
      <c r="E54" s="405"/>
      <c r="F54" s="405"/>
      <c r="G54" s="405"/>
      <c r="H54" s="405"/>
      <c r="I54" s="405"/>
      <c r="J54" s="405"/>
      <c r="K54" s="405"/>
      <c r="L54" s="405"/>
      <c r="M54" s="406"/>
      <c r="N54" s="407" t="str">
        <f>IF(LEN(TRIM(N12))=0," ",N12)</f>
        <v>Ping</v>
      </c>
      <c r="O54" s="408"/>
      <c r="P54" s="408"/>
      <c r="Q54" s="408"/>
      <c r="R54" s="408"/>
      <c r="S54" s="409"/>
      <c r="T54" s="404" t="str">
        <f>IF(LEN(TRIM(rsteam))=0," ",rsteam)</f>
        <v>Nam  Ping</v>
      </c>
      <c r="U54" s="405"/>
      <c r="V54" s="405"/>
      <c r="W54" s="405"/>
      <c r="X54" s="405"/>
      <c r="Y54" s="405"/>
      <c r="Z54" s="405"/>
      <c r="AA54" s="405"/>
      <c r="AB54" s="406"/>
      <c r="AC54" s="6"/>
    </row>
    <row r="55" spans="1:31" ht="17.25" customHeight="1">
      <c r="A55" s="33"/>
      <c r="B55" s="473"/>
      <c r="C55" s="475" t="s">
        <v>31</v>
      </c>
      <c r="D55" s="476"/>
      <c r="E55" s="477" t="str">
        <f>"A.D.  MSL. " &amp; AE55</f>
        <v xml:space="preserve">A.D.  MSL. </v>
      </c>
      <c r="F55" s="428"/>
      <c r="G55" s="427" t="s">
        <v>32</v>
      </c>
      <c r="H55" s="436"/>
      <c r="I55" s="428"/>
      <c r="J55" s="427" t="s">
        <v>34</v>
      </c>
      <c r="K55" s="451"/>
      <c r="L55" s="428"/>
      <c r="M55" s="427" t="s">
        <v>36</v>
      </c>
      <c r="N55" s="428"/>
      <c r="O55" s="427" t="s">
        <v>0</v>
      </c>
      <c r="P55" s="429"/>
      <c r="Q55" s="412" t="s">
        <v>37</v>
      </c>
      <c r="R55" s="425"/>
      <c r="S55" s="425"/>
      <c r="T55" s="382"/>
      <c r="U55" s="412" t="s">
        <v>41</v>
      </c>
      <c r="V55" s="425"/>
      <c r="W55" s="425"/>
      <c r="X55" s="425"/>
      <c r="Y55" s="425"/>
      <c r="Z55" s="425"/>
      <c r="AA55" s="382"/>
      <c r="AB55" s="479" t="s">
        <v>46</v>
      </c>
      <c r="AC55" s="6"/>
      <c r="AE55" s="1" t="str">
        <f>IF(ISBLANK(E57),"",IF(E57&lt;&gt;"A.D.",IF(E57&lt;&gt;"MSL.","errors",""),""))</f>
        <v/>
      </c>
    </row>
    <row r="56" spans="1:31" ht="17.25" customHeight="1">
      <c r="A56" s="33"/>
      <c r="B56" s="474"/>
      <c r="C56" s="460" t="s">
        <v>30</v>
      </c>
      <c r="D56" s="461"/>
      <c r="E56" s="478"/>
      <c r="F56" s="466"/>
      <c r="G56" s="462" t="s">
        <v>33</v>
      </c>
      <c r="H56" s="463"/>
      <c r="I56" s="464"/>
      <c r="J56" s="462" t="s">
        <v>35</v>
      </c>
      <c r="K56" s="465"/>
      <c r="L56" s="466"/>
      <c r="M56" s="462" t="s">
        <v>35</v>
      </c>
      <c r="N56" s="466"/>
      <c r="O56" s="462" t="s">
        <v>35</v>
      </c>
      <c r="P56" s="466"/>
      <c r="Q56" s="17" t="s">
        <v>38</v>
      </c>
      <c r="R56" s="18" t="s">
        <v>39</v>
      </c>
      <c r="S56" s="426" t="s">
        <v>40</v>
      </c>
      <c r="T56" s="382"/>
      <c r="U56" s="426" t="s">
        <v>42</v>
      </c>
      <c r="V56" s="382"/>
      <c r="W56" s="426" t="s">
        <v>43</v>
      </c>
      <c r="X56" s="382"/>
      <c r="Y56" s="452"/>
      <c r="Z56" s="18" t="s">
        <v>44</v>
      </c>
      <c r="AA56" s="18" t="s">
        <v>45</v>
      </c>
      <c r="AB56" s="480"/>
      <c r="AC56" s="6"/>
    </row>
    <row r="57" spans="1:31" ht="19.5" customHeight="1">
      <c r="A57" s="33"/>
      <c r="B57" s="44" t="s">
        <v>47</v>
      </c>
      <c r="C57" s="379">
        <f>IF(TRIM(C15)="","",C15)</f>
        <v>337.6</v>
      </c>
      <c r="D57" s="380"/>
      <c r="E57" s="381" t="str">
        <f>IF(TRIM(E15)="","",E15)</f>
        <v>MSL.</v>
      </c>
      <c r="F57" s="382"/>
      <c r="G57" s="394">
        <f>IF(TRIM(G15)="","",G15)</f>
        <v>3090</v>
      </c>
      <c r="H57" s="395"/>
      <c r="I57" s="396"/>
      <c r="J57" s="378">
        <f>IF(TRIM(J15)="","",J15)</f>
        <v>345.12</v>
      </c>
      <c r="K57" s="397"/>
      <c r="L57" s="377"/>
      <c r="M57" s="378">
        <f>IF(TRIM(M15)="","",M15)</f>
        <v>345.16</v>
      </c>
      <c r="N57" s="377"/>
      <c r="O57" s="378">
        <f>IF(TRIM(O15)="","",O15)</f>
        <v>337.34</v>
      </c>
      <c r="P57" s="377"/>
      <c r="Q57" s="194">
        <f>IF(TRIM(Q15)="","",Q15)</f>
        <v>337.6</v>
      </c>
      <c r="R57" s="195">
        <f>IF(TRIM(R15)="","",R15)</f>
        <v>1</v>
      </c>
      <c r="S57" s="376">
        <f>IF(TRIM(S15)="","",S15)</f>
        <v>12</v>
      </c>
      <c r="T57" s="377"/>
      <c r="U57" s="378">
        <f>IF(TRIM(U15)="","",U15)</f>
        <v>340.23</v>
      </c>
      <c r="V57" s="377"/>
      <c r="W57" s="391">
        <f>IF(TRIM(W15)="","",W15)</f>
        <v>10</v>
      </c>
      <c r="X57" s="392"/>
      <c r="Y57" s="453"/>
      <c r="Z57" s="196" t="str">
        <f>IF(TRIM(Z15)="","",Z15)</f>
        <v>OCT</v>
      </c>
      <c r="AA57" s="196">
        <f>IF(TRIM(AA15)="","",AA15)</f>
        <v>19</v>
      </c>
      <c r="AB57" s="196">
        <f>IF(TRIM(AB15)="","",AB15)</f>
        <v>2</v>
      </c>
      <c r="AC57" s="6"/>
    </row>
    <row r="58" spans="1:31" ht="17.25" customHeight="1">
      <c r="A58" s="33"/>
      <c r="B58" s="442"/>
      <c r="C58" s="426" t="s">
        <v>48</v>
      </c>
      <c r="D58" s="431"/>
      <c r="E58" s="431"/>
      <c r="F58" s="431"/>
      <c r="G58" s="431"/>
      <c r="H58" s="430"/>
      <c r="I58" s="444" t="s">
        <v>2</v>
      </c>
      <c r="J58" s="426" t="s">
        <v>50</v>
      </c>
      <c r="K58" s="382"/>
      <c r="L58" s="412" t="s">
        <v>100</v>
      </c>
      <c r="M58" s="419"/>
      <c r="N58" s="435" t="s">
        <v>51</v>
      </c>
      <c r="O58" s="436"/>
      <c r="P58" s="428"/>
      <c r="Q58" s="426" t="s">
        <v>52</v>
      </c>
      <c r="R58" s="430"/>
      <c r="S58" s="426" t="s">
        <v>51</v>
      </c>
      <c r="T58" s="425"/>
      <c r="U58" s="425"/>
      <c r="V58" s="382"/>
      <c r="W58" s="426" t="s">
        <v>52</v>
      </c>
      <c r="X58" s="431"/>
      <c r="Y58" s="431"/>
      <c r="Z58" s="430"/>
      <c r="AA58" s="426" t="s">
        <v>51</v>
      </c>
      <c r="AB58" s="430"/>
      <c r="AC58" s="6"/>
    </row>
    <row r="59" spans="1:31" ht="14.25" customHeight="1">
      <c r="A59" s="33"/>
      <c r="B59" s="443"/>
      <c r="C59" s="426" t="s">
        <v>49</v>
      </c>
      <c r="D59" s="431"/>
      <c r="E59" s="431"/>
      <c r="F59" s="431"/>
      <c r="G59" s="431"/>
      <c r="H59" s="430"/>
      <c r="I59" s="445"/>
      <c r="J59" s="28" t="s">
        <v>51</v>
      </c>
      <c r="K59" s="30" t="s">
        <v>52</v>
      </c>
      <c r="L59" s="412" t="s">
        <v>101</v>
      </c>
      <c r="M59" s="432"/>
      <c r="N59" s="433" t="s">
        <v>39</v>
      </c>
      <c r="O59" s="382"/>
      <c r="P59" s="19" t="s">
        <v>40</v>
      </c>
      <c r="Q59" s="20" t="s">
        <v>39</v>
      </c>
      <c r="R59" s="20" t="s">
        <v>40</v>
      </c>
      <c r="S59" s="20"/>
      <c r="T59" s="20" t="s">
        <v>39</v>
      </c>
      <c r="U59" s="20"/>
      <c r="V59" s="20" t="s">
        <v>40</v>
      </c>
      <c r="W59" s="434" t="s">
        <v>39</v>
      </c>
      <c r="X59" s="382"/>
      <c r="Y59" s="434" t="s">
        <v>40</v>
      </c>
      <c r="Z59" s="382"/>
      <c r="AA59" s="20" t="s">
        <v>39</v>
      </c>
      <c r="AB59" s="21" t="s">
        <v>40</v>
      </c>
      <c r="AC59" s="6"/>
    </row>
    <row r="60" spans="1:31">
      <c r="A60" s="33"/>
      <c r="B60" s="44" t="s">
        <v>53</v>
      </c>
      <c r="C60" s="399" t="str">
        <f>IF(TRIM(C18)="","",C18)</f>
        <v>HC.1/2424</v>
      </c>
      <c r="D60" s="397"/>
      <c r="E60" s="397"/>
      <c r="F60" s="397"/>
      <c r="G60" s="397"/>
      <c r="H60" s="377"/>
      <c r="I60" s="197">
        <f>IF(TRIM(I18)="","",I18)</f>
        <v>1</v>
      </c>
      <c r="J60" s="198">
        <f>IF(TRIM(J18)="","",J18)</f>
        <v>14</v>
      </c>
      <c r="K60" s="197" t="str">
        <f>IF(TRIM(K18)="","",K18)</f>
        <v/>
      </c>
      <c r="L60" s="398">
        <f>IF(TRIM(L18)="","",L18)</f>
        <v>112</v>
      </c>
      <c r="M60" s="382"/>
      <c r="N60" s="393">
        <f>IF(TRIM(N18)="","",N18)</f>
        <v>101</v>
      </c>
      <c r="O60" s="382"/>
      <c r="P60" s="199">
        <f>IF(TRIM(P18)="","",P18)</f>
        <v>3112</v>
      </c>
      <c r="Q60" s="197" t="str">
        <f>IF(TRIM(Q18)="","",Q18)</f>
        <v/>
      </c>
      <c r="R60" s="197" t="str">
        <f>IF(TRIM(R18)="","",R18)</f>
        <v/>
      </c>
      <c r="S60" s="398" t="str">
        <f>IF(TRIM(S18)="","",S18)</f>
        <v/>
      </c>
      <c r="T60" s="425"/>
      <c r="U60" s="382"/>
      <c r="V60" s="197" t="str">
        <f>IF(TRIM(V18)="","",V18)</f>
        <v/>
      </c>
      <c r="W60" s="398" t="str">
        <f>IF(TRIM(W18)="","",W18)</f>
        <v/>
      </c>
      <c r="X60" s="382"/>
      <c r="Y60" s="398" t="str">
        <f>IF(TRIM(Y18)="","",Y18)</f>
        <v/>
      </c>
      <c r="Z60" s="382"/>
      <c r="AA60" s="192" t="str">
        <f>IF(TRIM(AA18)="","",AA18)</f>
        <v/>
      </c>
      <c r="AB60" s="197" t="str">
        <f>IF(TRIM(AB18)="","",AB18)</f>
        <v/>
      </c>
      <c r="AC60" s="6"/>
    </row>
    <row r="61" spans="1:31">
      <c r="A61" s="36"/>
      <c r="B61" s="126"/>
      <c r="C61" s="420">
        <v>1</v>
      </c>
      <c r="D61" s="422"/>
      <c r="E61" s="422"/>
      <c r="F61" s="422"/>
      <c r="G61" s="421"/>
      <c r="H61" s="412">
        <v>2</v>
      </c>
      <c r="I61" s="418"/>
      <c r="J61" s="418"/>
      <c r="K61" s="418"/>
      <c r="L61" s="413"/>
      <c r="M61" s="420">
        <v>3</v>
      </c>
      <c r="N61" s="422"/>
      <c r="O61" s="423"/>
      <c r="P61" s="423"/>
      <c r="Q61" s="424"/>
      <c r="R61" s="412">
        <v>4</v>
      </c>
      <c r="S61" s="414"/>
      <c r="T61" s="414"/>
      <c r="U61" s="414"/>
      <c r="V61" s="413"/>
      <c r="W61" s="412">
        <v>5</v>
      </c>
      <c r="X61" s="418"/>
      <c r="Y61" s="418"/>
      <c r="Z61" s="418"/>
      <c r="AA61" s="414"/>
      <c r="AB61" s="413"/>
      <c r="AC61" s="22"/>
    </row>
    <row r="62" spans="1:31">
      <c r="A62" s="36"/>
      <c r="B62" s="126"/>
      <c r="C62" s="412" t="s">
        <v>4</v>
      </c>
      <c r="D62" s="418"/>
      <c r="E62" s="413"/>
      <c r="F62" s="412" t="s">
        <v>5</v>
      </c>
      <c r="G62" s="413"/>
      <c r="H62" s="412" t="s">
        <v>4</v>
      </c>
      <c r="I62" s="413"/>
      <c r="J62" s="412" t="s">
        <v>5</v>
      </c>
      <c r="K62" s="414"/>
      <c r="L62" s="413"/>
      <c r="M62" s="412" t="s">
        <v>4</v>
      </c>
      <c r="N62" s="418"/>
      <c r="O62" s="419"/>
      <c r="P62" s="420" t="s">
        <v>5</v>
      </c>
      <c r="Q62" s="421"/>
      <c r="R62" s="412" t="s">
        <v>4</v>
      </c>
      <c r="S62" s="419"/>
      <c r="T62" s="412" t="s">
        <v>5</v>
      </c>
      <c r="U62" s="418"/>
      <c r="V62" s="419"/>
      <c r="W62" s="412" t="s">
        <v>4</v>
      </c>
      <c r="X62" s="414"/>
      <c r="Y62" s="414"/>
      <c r="Z62" s="413"/>
      <c r="AA62" s="412" t="s">
        <v>5</v>
      </c>
      <c r="AB62" s="419"/>
      <c r="AC62" s="22"/>
    </row>
    <row r="63" spans="1:31" ht="23.25" customHeight="1">
      <c r="A63" s="33"/>
      <c r="B63" s="44" t="s">
        <v>75</v>
      </c>
      <c r="C63" s="415" t="s">
        <v>3</v>
      </c>
      <c r="D63" s="387"/>
      <c r="E63" s="389"/>
      <c r="F63" s="387"/>
      <c r="G63" s="389"/>
      <c r="H63" s="387"/>
      <c r="I63" s="389"/>
      <c r="J63" s="388"/>
      <c r="K63" s="388"/>
      <c r="L63" s="389"/>
      <c r="M63" s="387"/>
      <c r="N63" s="388"/>
      <c r="O63" s="389"/>
      <c r="P63" s="387"/>
      <c r="Q63" s="389"/>
      <c r="R63" s="387"/>
      <c r="S63" s="389"/>
      <c r="T63" s="387"/>
      <c r="U63" s="388"/>
      <c r="V63" s="389"/>
      <c r="W63" s="387"/>
      <c r="X63" s="388"/>
      <c r="Y63" s="388"/>
      <c r="Z63" s="389"/>
      <c r="AA63" s="387"/>
      <c r="AB63" s="389"/>
      <c r="AC63" s="6"/>
    </row>
    <row r="64" spans="1:31" ht="23.25" customHeight="1">
      <c r="A64" s="33"/>
      <c r="B64" s="44" t="s">
        <v>76</v>
      </c>
      <c r="C64" s="416"/>
      <c r="D64" s="387"/>
      <c r="E64" s="389"/>
      <c r="F64" s="387"/>
      <c r="G64" s="389"/>
      <c r="H64" s="387"/>
      <c r="I64" s="389"/>
      <c r="J64" s="388"/>
      <c r="K64" s="388"/>
      <c r="L64" s="389"/>
      <c r="M64" s="387"/>
      <c r="N64" s="388"/>
      <c r="O64" s="389"/>
      <c r="P64" s="387"/>
      <c r="Q64" s="389"/>
      <c r="R64" s="387"/>
      <c r="S64" s="389"/>
      <c r="T64" s="387"/>
      <c r="U64" s="388"/>
      <c r="V64" s="389"/>
      <c r="W64" s="387"/>
      <c r="X64" s="388"/>
      <c r="Y64" s="388"/>
      <c r="Z64" s="389"/>
      <c r="AA64" s="387"/>
      <c r="AB64" s="389"/>
      <c r="AC64" s="6"/>
    </row>
    <row r="65" spans="1:29" ht="23.25" customHeight="1">
      <c r="A65" s="33"/>
      <c r="B65" s="44" t="s">
        <v>77</v>
      </c>
      <c r="C65" s="416"/>
      <c r="D65" s="387"/>
      <c r="E65" s="389"/>
      <c r="F65" s="387"/>
      <c r="G65" s="389"/>
      <c r="H65" s="387"/>
      <c r="I65" s="389"/>
      <c r="J65" s="388"/>
      <c r="K65" s="388"/>
      <c r="L65" s="389"/>
      <c r="M65" s="387"/>
      <c r="N65" s="388"/>
      <c r="O65" s="389"/>
      <c r="P65" s="387"/>
      <c r="Q65" s="389"/>
      <c r="R65" s="387"/>
      <c r="S65" s="389"/>
      <c r="T65" s="387"/>
      <c r="U65" s="388"/>
      <c r="V65" s="389"/>
      <c r="W65" s="387"/>
      <c r="X65" s="388"/>
      <c r="Y65" s="388"/>
      <c r="Z65" s="389"/>
      <c r="AA65" s="387"/>
      <c r="AB65" s="389"/>
      <c r="AC65" s="6"/>
    </row>
    <row r="66" spans="1:29" ht="23.25" customHeight="1">
      <c r="A66" s="33"/>
      <c r="B66" s="44" t="s">
        <v>78</v>
      </c>
      <c r="C66" s="416"/>
      <c r="D66" s="387"/>
      <c r="E66" s="389"/>
      <c r="F66" s="387"/>
      <c r="G66" s="389"/>
      <c r="H66" s="387"/>
      <c r="I66" s="389"/>
      <c r="J66" s="388"/>
      <c r="K66" s="388"/>
      <c r="L66" s="389"/>
      <c r="M66" s="387"/>
      <c r="N66" s="388"/>
      <c r="O66" s="389"/>
      <c r="P66" s="387"/>
      <c r="Q66" s="389"/>
      <c r="R66" s="387"/>
      <c r="S66" s="389"/>
      <c r="T66" s="387"/>
      <c r="U66" s="388"/>
      <c r="V66" s="389"/>
      <c r="W66" s="387"/>
      <c r="X66" s="388"/>
      <c r="Y66" s="388"/>
      <c r="Z66" s="389"/>
      <c r="AA66" s="387"/>
      <c r="AB66" s="389"/>
      <c r="AC66" s="6"/>
    </row>
    <row r="67" spans="1:29" ht="23.25" customHeight="1">
      <c r="A67" s="33"/>
      <c r="B67" s="44" t="s">
        <v>79</v>
      </c>
      <c r="C67" s="416"/>
      <c r="D67" s="387"/>
      <c r="E67" s="389"/>
      <c r="F67" s="387"/>
      <c r="G67" s="389"/>
      <c r="H67" s="387"/>
      <c r="I67" s="389"/>
      <c r="J67" s="388"/>
      <c r="K67" s="388"/>
      <c r="L67" s="389"/>
      <c r="M67" s="387"/>
      <c r="N67" s="388"/>
      <c r="O67" s="389"/>
      <c r="P67" s="387"/>
      <c r="Q67" s="389"/>
      <c r="R67" s="387"/>
      <c r="S67" s="389"/>
      <c r="T67" s="387"/>
      <c r="U67" s="388"/>
      <c r="V67" s="389"/>
      <c r="W67" s="387"/>
      <c r="X67" s="388"/>
      <c r="Y67" s="388"/>
      <c r="Z67" s="389"/>
      <c r="AA67" s="387"/>
      <c r="AB67" s="389"/>
      <c r="AC67" s="6"/>
    </row>
    <row r="68" spans="1:29" ht="23.25" customHeight="1">
      <c r="A68" s="33"/>
      <c r="B68" s="44" t="s">
        <v>80</v>
      </c>
      <c r="C68" s="416"/>
      <c r="D68" s="387"/>
      <c r="E68" s="389"/>
      <c r="F68" s="387"/>
      <c r="G68" s="389"/>
      <c r="H68" s="387"/>
      <c r="I68" s="389"/>
      <c r="J68" s="388"/>
      <c r="K68" s="388"/>
      <c r="L68" s="389"/>
      <c r="M68" s="387"/>
      <c r="N68" s="388"/>
      <c r="O68" s="389"/>
      <c r="P68" s="387"/>
      <c r="Q68" s="389"/>
      <c r="R68" s="387"/>
      <c r="S68" s="389"/>
      <c r="T68" s="387"/>
      <c r="U68" s="388"/>
      <c r="V68" s="389"/>
      <c r="W68" s="387"/>
      <c r="X68" s="388"/>
      <c r="Y68" s="388"/>
      <c r="Z68" s="389"/>
      <c r="AA68" s="387"/>
      <c r="AB68" s="389"/>
      <c r="AC68" s="6"/>
    </row>
    <row r="69" spans="1:29" ht="23.25" customHeight="1">
      <c r="A69" s="33"/>
      <c r="B69" s="44" t="s">
        <v>81</v>
      </c>
      <c r="C69" s="416"/>
      <c r="D69" s="387"/>
      <c r="E69" s="389"/>
      <c r="F69" s="387"/>
      <c r="G69" s="389"/>
      <c r="H69" s="387"/>
      <c r="I69" s="389"/>
      <c r="J69" s="388"/>
      <c r="K69" s="388"/>
      <c r="L69" s="389"/>
      <c r="M69" s="387"/>
      <c r="N69" s="388"/>
      <c r="O69" s="389"/>
      <c r="P69" s="387"/>
      <c r="Q69" s="389"/>
      <c r="R69" s="387"/>
      <c r="S69" s="389"/>
      <c r="T69" s="387"/>
      <c r="U69" s="388"/>
      <c r="V69" s="389"/>
      <c r="W69" s="387"/>
      <c r="X69" s="388"/>
      <c r="Y69" s="388"/>
      <c r="Z69" s="389"/>
      <c r="AA69" s="387"/>
      <c r="AB69" s="389"/>
      <c r="AC69" s="6"/>
    </row>
    <row r="70" spans="1:29" ht="23.25" customHeight="1">
      <c r="A70" s="33"/>
      <c r="B70" s="44" t="s">
        <v>82</v>
      </c>
      <c r="C70" s="416"/>
      <c r="D70" s="387"/>
      <c r="E70" s="389"/>
      <c r="F70" s="387"/>
      <c r="G70" s="389"/>
      <c r="H70" s="387"/>
      <c r="I70" s="389"/>
      <c r="J70" s="388"/>
      <c r="K70" s="388"/>
      <c r="L70" s="389"/>
      <c r="M70" s="387"/>
      <c r="N70" s="388"/>
      <c r="O70" s="389"/>
      <c r="P70" s="387"/>
      <c r="Q70" s="389"/>
      <c r="R70" s="387"/>
      <c r="S70" s="389"/>
      <c r="T70" s="387"/>
      <c r="U70" s="388"/>
      <c r="V70" s="389"/>
      <c r="W70" s="387"/>
      <c r="X70" s="388"/>
      <c r="Y70" s="388"/>
      <c r="Z70" s="389"/>
      <c r="AA70" s="387"/>
      <c r="AB70" s="389"/>
      <c r="AC70" s="6"/>
    </row>
    <row r="71" spans="1:29" ht="23.25" customHeight="1">
      <c r="A71" s="33"/>
      <c r="B71" s="44" t="s">
        <v>83</v>
      </c>
      <c r="C71" s="416"/>
      <c r="D71" s="387"/>
      <c r="E71" s="389"/>
      <c r="F71" s="387"/>
      <c r="G71" s="389"/>
      <c r="H71" s="387"/>
      <c r="I71" s="389"/>
      <c r="J71" s="388"/>
      <c r="K71" s="388"/>
      <c r="L71" s="389"/>
      <c r="M71" s="387"/>
      <c r="N71" s="388"/>
      <c r="O71" s="389"/>
      <c r="P71" s="387"/>
      <c r="Q71" s="389"/>
      <c r="R71" s="387"/>
      <c r="S71" s="389"/>
      <c r="T71" s="387"/>
      <c r="U71" s="388"/>
      <c r="V71" s="389"/>
      <c r="W71" s="387"/>
      <c r="X71" s="388"/>
      <c r="Y71" s="388"/>
      <c r="Z71" s="389"/>
      <c r="AA71" s="387"/>
      <c r="AB71" s="389"/>
      <c r="AC71" s="6"/>
    </row>
    <row r="72" spans="1:29" ht="23.25" customHeight="1">
      <c r="A72" s="33"/>
      <c r="B72" s="44" t="s">
        <v>84</v>
      </c>
      <c r="C72" s="417"/>
      <c r="D72" s="387"/>
      <c r="E72" s="389"/>
      <c r="F72" s="387"/>
      <c r="G72" s="389"/>
      <c r="H72" s="387"/>
      <c r="I72" s="389"/>
      <c r="J72" s="388"/>
      <c r="K72" s="388"/>
      <c r="L72" s="389"/>
      <c r="M72" s="387"/>
      <c r="N72" s="388"/>
      <c r="O72" s="389"/>
      <c r="P72" s="387"/>
      <c r="Q72" s="389"/>
      <c r="R72" s="387"/>
      <c r="S72" s="389"/>
      <c r="T72" s="387"/>
      <c r="U72" s="388"/>
      <c r="V72" s="389"/>
      <c r="W72" s="387"/>
      <c r="X72" s="388"/>
      <c r="Y72" s="388"/>
      <c r="Z72" s="389"/>
      <c r="AA72" s="387"/>
      <c r="AB72" s="389"/>
      <c r="AC72" s="6"/>
    </row>
    <row r="73" spans="1:29" ht="15" customHeight="1">
      <c r="A73" s="34"/>
      <c r="B73" s="390" t="s">
        <v>1</v>
      </c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10"/>
    </row>
    <row r="74" spans="1:29" ht="19.5" customHeight="1">
      <c r="B74" s="2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385" t="s">
        <v>104</v>
      </c>
      <c r="V74" s="386"/>
      <c r="W74" s="386"/>
      <c r="X74" s="386"/>
      <c r="Y74" s="386"/>
      <c r="Z74" s="386"/>
      <c r="AA74" s="386"/>
      <c r="AB74" s="386"/>
    </row>
    <row r="75" spans="1:29" ht="54.75" hidden="1" customHeight="1"/>
    <row r="76" spans="1:29" ht="12.75" hidden="1" customHeight="1"/>
    <row r="77" spans="1:29" ht="12.75" hidden="1" customHeight="1"/>
    <row r="78" spans="1:29" ht="1.5" customHeight="1"/>
    <row r="79" spans="1:29" ht="12.75" hidden="1" customHeight="1"/>
  </sheetData>
  <sheetProtection password="D965" sheet="1" objects="1" scenarios="1"/>
  <customSheetViews>
    <customSheetView guid="{718DAB1B-DA3D-46AD-B1AD-E429BB91B9C3}" showRuler="0">
      <selection activeCell="E5" sqref="E5"/>
      <pageMargins left="0.75" right="0.75" top="1" bottom="1" header="0.5" footer="0.5"/>
      <pageSetup paperSize="9" orientation="portrait" verticalDpi="0" r:id="rId1"/>
      <headerFooter alignWithMargins="0"/>
    </customSheetView>
  </customSheetViews>
  <mergeCells count="370">
    <mergeCell ref="H66:I66"/>
    <mergeCell ref="J66:L66"/>
    <mergeCell ref="M66:O66"/>
    <mergeCell ref="P66:Q66"/>
    <mergeCell ref="R66:S66"/>
    <mergeCell ref="T66:V66"/>
    <mergeCell ref="B3:G3"/>
    <mergeCell ref="H19:L19"/>
    <mergeCell ref="D29:E29"/>
    <mergeCell ref="W63:Z63"/>
    <mergeCell ref="W65:Z65"/>
    <mergeCell ref="D63:E63"/>
    <mergeCell ref="F63:G63"/>
    <mergeCell ref="H63:I63"/>
    <mergeCell ref="J63:L63"/>
    <mergeCell ref="M63:O63"/>
    <mergeCell ref="D64:E64"/>
    <mergeCell ref="F64:G64"/>
    <mergeCell ref="H64:I64"/>
    <mergeCell ref="J64:L64"/>
    <mergeCell ref="M64:O64"/>
    <mergeCell ref="P64:Q64"/>
    <mergeCell ref="R64:S64"/>
    <mergeCell ref="T64:V64"/>
    <mergeCell ref="W64:Z64"/>
    <mergeCell ref="D65:E65"/>
    <mergeCell ref="F65:G65"/>
    <mergeCell ref="H65:I65"/>
    <mergeCell ref="J65:L65"/>
    <mergeCell ref="M65:O65"/>
    <mergeCell ref="H20:I20"/>
    <mergeCell ref="B16:B17"/>
    <mergeCell ref="C17:H17"/>
    <mergeCell ref="L17:M17"/>
    <mergeCell ref="N17:O17"/>
    <mergeCell ref="W19:AB19"/>
    <mergeCell ref="AA20:AB20"/>
    <mergeCell ref="R20:S20"/>
    <mergeCell ref="W20:Z20"/>
    <mergeCell ref="J20:L20"/>
    <mergeCell ref="C16:H16"/>
    <mergeCell ref="C20:E20"/>
    <mergeCell ref="M20:O20"/>
    <mergeCell ref="L18:M18"/>
    <mergeCell ref="J16:K16"/>
    <mergeCell ref="C19:G19"/>
    <mergeCell ref="F20:G20"/>
    <mergeCell ref="R2:W3"/>
    <mergeCell ref="Z2:AA2"/>
    <mergeCell ref="H5:Q5"/>
    <mergeCell ref="T6:W6"/>
    <mergeCell ref="C5:D5"/>
    <mergeCell ref="C6:D6"/>
    <mergeCell ref="B13:B14"/>
    <mergeCell ref="C14:D14"/>
    <mergeCell ref="N11:S11"/>
    <mergeCell ref="T11:AB11"/>
    <mergeCell ref="N12:S12"/>
    <mergeCell ref="T12:AB12"/>
    <mergeCell ref="M14:N14"/>
    <mergeCell ref="C12:M12"/>
    <mergeCell ref="C11:M11"/>
    <mergeCell ref="O14:P14"/>
    <mergeCell ref="U13:AA13"/>
    <mergeCell ref="C13:D13"/>
    <mergeCell ref="Q13:T13"/>
    <mergeCell ref="O13:P13"/>
    <mergeCell ref="J13:L13"/>
    <mergeCell ref="M13:N13"/>
    <mergeCell ref="J14:L14"/>
    <mergeCell ref="B2:G2"/>
    <mergeCell ref="C7:D7"/>
    <mergeCell ref="C9:AB9"/>
    <mergeCell ref="B8:AB8"/>
    <mergeCell ref="AA16:AB16"/>
    <mergeCell ref="N16:P16"/>
    <mergeCell ref="S16:V16"/>
    <mergeCell ref="Y14:Y15"/>
    <mergeCell ref="U14:V14"/>
    <mergeCell ref="AB13:AB14"/>
    <mergeCell ref="W14:X14"/>
    <mergeCell ref="I16:I17"/>
    <mergeCell ref="W16:Z16"/>
    <mergeCell ref="L16:M16"/>
    <mergeCell ref="E13:F14"/>
    <mergeCell ref="G14:I14"/>
    <mergeCell ref="G13:I13"/>
    <mergeCell ref="R19:V19"/>
    <mergeCell ref="W18:X18"/>
    <mergeCell ref="M25:O25"/>
    <mergeCell ref="P25:Q25"/>
    <mergeCell ref="R25:S25"/>
    <mergeCell ref="T25:V25"/>
    <mergeCell ref="P21:Q21"/>
    <mergeCell ref="W21:Z21"/>
    <mergeCell ref="S14:T14"/>
    <mergeCell ref="O15:P15"/>
    <mergeCell ref="M19:Q19"/>
    <mergeCell ref="P20:Q20"/>
    <mergeCell ref="Q16:R16"/>
    <mergeCell ref="W25:Z25"/>
    <mergeCell ref="Y17:Z17"/>
    <mergeCell ref="Y18:Z18"/>
    <mergeCell ref="S18:U18"/>
    <mergeCell ref="T20:V20"/>
    <mergeCell ref="W17:X17"/>
    <mergeCell ref="D25:E25"/>
    <mergeCell ref="F25:G25"/>
    <mergeCell ref="H25:I25"/>
    <mergeCell ref="J25:L25"/>
    <mergeCell ref="AA25:AB25"/>
    <mergeCell ref="D26:E26"/>
    <mergeCell ref="F26:G26"/>
    <mergeCell ref="H26:I26"/>
    <mergeCell ref="J26:L26"/>
    <mergeCell ref="M26:O26"/>
    <mergeCell ref="P26:Q26"/>
    <mergeCell ref="R26:S26"/>
    <mergeCell ref="T26:V26"/>
    <mergeCell ref="W26:Z26"/>
    <mergeCell ref="AA26:AB26"/>
    <mergeCell ref="D27:E27"/>
    <mergeCell ref="F27:G27"/>
    <mergeCell ref="H27:I27"/>
    <mergeCell ref="J27:L27"/>
    <mergeCell ref="M27:O27"/>
    <mergeCell ref="P27:Q27"/>
    <mergeCell ref="R27:S27"/>
    <mergeCell ref="T27:V27"/>
    <mergeCell ref="W27:Z27"/>
    <mergeCell ref="AA27:AB27"/>
    <mergeCell ref="D28:E28"/>
    <mergeCell ref="F28:G28"/>
    <mergeCell ref="H28:I28"/>
    <mergeCell ref="J28:L28"/>
    <mergeCell ref="M28:O28"/>
    <mergeCell ref="AA28:AB28"/>
    <mergeCell ref="W29:Z29"/>
    <mergeCell ref="AA30:AB30"/>
    <mergeCell ref="W28:Z28"/>
    <mergeCell ref="P28:Q28"/>
    <mergeCell ref="R28:S28"/>
    <mergeCell ref="T28:V28"/>
    <mergeCell ref="R30:S30"/>
    <mergeCell ref="M29:O29"/>
    <mergeCell ref="P29:Q29"/>
    <mergeCell ref="R29:S29"/>
    <mergeCell ref="P30:Q30"/>
    <mergeCell ref="T29:V29"/>
    <mergeCell ref="B44:G44"/>
    <mergeCell ref="R44:W45"/>
    <mergeCell ref="Z44:AA44"/>
    <mergeCell ref="B45:G45"/>
    <mergeCell ref="B50:AB50"/>
    <mergeCell ref="C51:AB51"/>
    <mergeCell ref="U32:AB32"/>
    <mergeCell ref="B31:AB31"/>
    <mergeCell ref="AA29:AB29"/>
    <mergeCell ref="D30:E30"/>
    <mergeCell ref="F30:G30"/>
    <mergeCell ref="H30:I30"/>
    <mergeCell ref="J30:L30"/>
    <mergeCell ref="M30:O30"/>
    <mergeCell ref="T30:V30"/>
    <mergeCell ref="W30:Z30"/>
    <mergeCell ref="F29:G29"/>
    <mergeCell ref="H29:I29"/>
    <mergeCell ref="J29:L29"/>
    <mergeCell ref="C21:C30"/>
    <mergeCell ref="C52:AB52"/>
    <mergeCell ref="C47:D47"/>
    <mergeCell ref="H47:Q47"/>
    <mergeCell ref="C48:D48"/>
    <mergeCell ref="T48:W48"/>
    <mergeCell ref="B55:B56"/>
    <mergeCell ref="C55:D55"/>
    <mergeCell ref="E55:F56"/>
    <mergeCell ref="G55:I55"/>
    <mergeCell ref="AB55:AB56"/>
    <mergeCell ref="U15:V15"/>
    <mergeCell ref="W15:X15"/>
    <mergeCell ref="C18:H18"/>
    <mergeCell ref="B58:B59"/>
    <mergeCell ref="C58:H58"/>
    <mergeCell ref="I58:I59"/>
    <mergeCell ref="J58:K58"/>
    <mergeCell ref="W58:Z58"/>
    <mergeCell ref="N18:O18"/>
    <mergeCell ref="C53:M53"/>
    <mergeCell ref="U56:V56"/>
    <mergeCell ref="W56:X56"/>
    <mergeCell ref="J55:L55"/>
    <mergeCell ref="Y56:Y57"/>
    <mergeCell ref="C15:D15"/>
    <mergeCell ref="E15:F15"/>
    <mergeCell ref="G15:I15"/>
    <mergeCell ref="J15:L15"/>
    <mergeCell ref="M15:N15"/>
    <mergeCell ref="S15:T15"/>
    <mergeCell ref="C56:D56"/>
    <mergeCell ref="G56:I56"/>
    <mergeCell ref="J56:L56"/>
    <mergeCell ref="M56:N56"/>
    <mergeCell ref="M55:N55"/>
    <mergeCell ref="O55:P55"/>
    <mergeCell ref="Q55:T55"/>
    <mergeCell ref="W60:X60"/>
    <mergeCell ref="Y60:Z60"/>
    <mergeCell ref="M57:N57"/>
    <mergeCell ref="O57:P57"/>
    <mergeCell ref="AA58:AB58"/>
    <mergeCell ref="C59:H59"/>
    <mergeCell ref="L59:M59"/>
    <mergeCell ref="N59:O59"/>
    <mergeCell ref="W59:X59"/>
    <mergeCell ref="Y59:Z59"/>
    <mergeCell ref="L58:M58"/>
    <mergeCell ref="N58:P58"/>
    <mergeCell ref="Q58:R58"/>
    <mergeCell ref="O56:P56"/>
    <mergeCell ref="S56:T56"/>
    <mergeCell ref="R67:S67"/>
    <mergeCell ref="T67:V67"/>
    <mergeCell ref="W67:Z67"/>
    <mergeCell ref="AA67:AB67"/>
    <mergeCell ref="C62:E62"/>
    <mergeCell ref="P63:Q63"/>
    <mergeCell ref="R63:S63"/>
    <mergeCell ref="T63:V63"/>
    <mergeCell ref="F62:G62"/>
    <mergeCell ref="M62:O62"/>
    <mergeCell ref="P62:Q62"/>
    <mergeCell ref="R62:S62"/>
    <mergeCell ref="T62:V62"/>
    <mergeCell ref="AA62:AB62"/>
    <mergeCell ref="AA63:AB63"/>
    <mergeCell ref="W66:Z66"/>
    <mergeCell ref="AA64:AB64"/>
    <mergeCell ref="P65:Q65"/>
    <mergeCell ref="R65:S65"/>
    <mergeCell ref="T65:V65"/>
    <mergeCell ref="AA66:AB66"/>
    <mergeCell ref="AA65:AB65"/>
    <mergeCell ref="D66:E66"/>
    <mergeCell ref="F66:G66"/>
    <mergeCell ref="D22:E22"/>
    <mergeCell ref="F22:G22"/>
    <mergeCell ref="H22:I22"/>
    <mergeCell ref="J22:L22"/>
    <mergeCell ref="R21:S21"/>
    <mergeCell ref="T21:V21"/>
    <mergeCell ref="H62:I62"/>
    <mergeCell ref="J62:L62"/>
    <mergeCell ref="W62:Z62"/>
    <mergeCell ref="M22:O22"/>
    <mergeCell ref="P22:Q22"/>
    <mergeCell ref="D21:E21"/>
    <mergeCell ref="F21:G21"/>
    <mergeCell ref="H21:I21"/>
    <mergeCell ref="J21:L21"/>
    <mergeCell ref="M21:O21"/>
    <mergeCell ref="W61:AB61"/>
    <mergeCell ref="C61:G61"/>
    <mergeCell ref="H61:L61"/>
    <mergeCell ref="M61:Q61"/>
    <mergeCell ref="R61:V61"/>
    <mergeCell ref="S60:U60"/>
    <mergeCell ref="S58:V58"/>
    <mergeCell ref="U55:AA55"/>
    <mergeCell ref="AA21:AB21"/>
    <mergeCell ref="H23:I23"/>
    <mergeCell ref="J23:L23"/>
    <mergeCell ref="M23:O23"/>
    <mergeCell ref="P23:Q23"/>
    <mergeCell ref="R22:S22"/>
    <mergeCell ref="T22:V22"/>
    <mergeCell ref="W22:Z22"/>
    <mergeCell ref="AA22:AB22"/>
    <mergeCell ref="W23:Z23"/>
    <mergeCell ref="J57:L57"/>
    <mergeCell ref="L60:M60"/>
    <mergeCell ref="C60:H60"/>
    <mergeCell ref="M67:O67"/>
    <mergeCell ref="P67:Q67"/>
    <mergeCell ref="R23:S23"/>
    <mergeCell ref="T23:V23"/>
    <mergeCell ref="N53:S53"/>
    <mergeCell ref="T53:AB53"/>
    <mergeCell ref="C54:M54"/>
    <mergeCell ref="N54:S54"/>
    <mergeCell ref="T54:AB54"/>
    <mergeCell ref="C49:D49"/>
    <mergeCell ref="AA23:AB23"/>
    <mergeCell ref="D24:E24"/>
    <mergeCell ref="F24:G24"/>
    <mergeCell ref="H24:I24"/>
    <mergeCell ref="J24:L24"/>
    <mergeCell ref="M24:O24"/>
    <mergeCell ref="P24:Q24"/>
    <mergeCell ref="D23:E23"/>
    <mergeCell ref="F23:G23"/>
    <mergeCell ref="W24:Z24"/>
    <mergeCell ref="C63:C72"/>
    <mergeCell ref="AA68:AB68"/>
    <mergeCell ref="AA69:AB69"/>
    <mergeCell ref="D70:E70"/>
    <mergeCell ref="F70:G70"/>
    <mergeCell ref="H70:I70"/>
    <mergeCell ref="J70:L70"/>
    <mergeCell ref="M70:O70"/>
    <mergeCell ref="AA24:AB24"/>
    <mergeCell ref="J69:L69"/>
    <mergeCell ref="M69:O69"/>
    <mergeCell ref="P69:Q69"/>
    <mergeCell ref="D68:E68"/>
    <mergeCell ref="F68:G68"/>
    <mergeCell ref="H68:I68"/>
    <mergeCell ref="J68:L68"/>
    <mergeCell ref="M68:O68"/>
    <mergeCell ref="P68:Q68"/>
    <mergeCell ref="D67:E67"/>
    <mergeCell ref="F67:G67"/>
    <mergeCell ref="H67:I67"/>
    <mergeCell ref="J67:L67"/>
    <mergeCell ref="R24:S24"/>
    <mergeCell ref="T24:V24"/>
    <mergeCell ref="G57:I57"/>
    <mergeCell ref="D69:E69"/>
    <mergeCell ref="F69:G69"/>
    <mergeCell ref="H69:I69"/>
    <mergeCell ref="P71:Q71"/>
    <mergeCell ref="R69:S69"/>
    <mergeCell ref="D71:E71"/>
    <mergeCell ref="R68:S68"/>
    <mergeCell ref="T68:V68"/>
    <mergeCell ref="W68:Z68"/>
    <mergeCell ref="T69:V69"/>
    <mergeCell ref="W69:Z69"/>
    <mergeCell ref="F71:G71"/>
    <mergeCell ref="H71:I71"/>
    <mergeCell ref="J71:L71"/>
    <mergeCell ref="M71:O71"/>
    <mergeCell ref="R70:S70"/>
    <mergeCell ref="T70:V70"/>
    <mergeCell ref="W70:Z70"/>
    <mergeCell ref="P70:Q70"/>
    <mergeCell ref="S57:T57"/>
    <mergeCell ref="U57:V57"/>
    <mergeCell ref="C57:D57"/>
    <mergeCell ref="E57:F57"/>
    <mergeCell ref="C10:V10"/>
    <mergeCell ref="U74:AB74"/>
    <mergeCell ref="T72:V72"/>
    <mergeCell ref="W72:Z72"/>
    <mergeCell ref="AA72:AB72"/>
    <mergeCell ref="B73:AB73"/>
    <mergeCell ref="T71:V71"/>
    <mergeCell ref="W71:Z71"/>
    <mergeCell ref="W57:X57"/>
    <mergeCell ref="N60:O60"/>
    <mergeCell ref="AA70:AB70"/>
    <mergeCell ref="R71:S71"/>
    <mergeCell ref="AA71:AB71"/>
    <mergeCell ref="D72:E72"/>
    <mergeCell ref="F72:G72"/>
    <mergeCell ref="H72:I72"/>
    <mergeCell ref="J72:L72"/>
    <mergeCell ref="M72:O72"/>
    <mergeCell ref="P72:Q72"/>
    <mergeCell ref="R72:S72"/>
  </mergeCells>
  <phoneticPr fontId="0" type="noConversion"/>
  <pageMargins left="0" right="0" top="0.66929133858267698" bottom="0.59055118110236204" header="0.511811023622047" footer="0.511811023622047"/>
  <pageSetup paperSize="9" scale="75" orientation="landscape" r:id="rId2"/>
  <headerFooter alignWithMargins="0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T92"/>
  <sheetViews>
    <sheetView workbookViewId="0">
      <selection sqref="A1:K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0" style="118" hidden="1" customWidth="1"/>
    <col min="13" max="13" width="9.140625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  <col min="21" max="22" width="0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144</v>
      </c>
      <c r="B2" s="118">
        <f>'HourGH-APR'!W7</f>
        <v>337.6</v>
      </c>
      <c r="C2" s="118" t="str">
        <f>'HourGH-APR'!Z7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IF(TRIM('HourGH-APR'!C11)="","      ",'HourGH-APR'!C11)</f>
        <v>0.34</v>
      </c>
      <c r="C4" s="128">
        <f>IF(TRIM('HourGH-APR'!C12)="","      ",'HourGH-APR'!C12)</f>
        <v>0.57999999999999996</v>
      </c>
      <c r="D4" s="128">
        <f>IF(TRIM('HourGH-APR'!C13)="","      ",'HourGH-APR'!C13)</f>
        <v>0.73</v>
      </c>
      <c r="E4" s="128">
        <f>IF(TRIM('HourGH-APR'!C14)="","      ",'HourGH-APR'!C14)</f>
        <v>0.51</v>
      </c>
      <c r="F4" s="118">
        <f>IF(TRIM('HourGH-APR'!C15)="","      ",'HourGH-APR'!C15)</f>
        <v>0.6</v>
      </c>
      <c r="G4" s="118">
        <f>IF(TRIM('HourGH-APR'!C16)="","      ",'HourGH-APR'!C16)</f>
        <v>0.56000000000000005</v>
      </c>
      <c r="H4" s="118">
        <f>IF(TRIM('HourGH-APR'!C17)="","      ",'HourGH-APR'!C17)</f>
        <v>0.66</v>
      </c>
      <c r="I4" s="118">
        <f>IF(TRIM('HourGH-APR'!C18)="","      ",'HourGH-APR'!C18)</f>
        <v>0.67</v>
      </c>
      <c r="J4" s="118">
        <f>IF(TRIM('HourGH-APR'!C19)="","      ",'HourGH-APR'!C19)</f>
        <v>0.6</v>
      </c>
      <c r="K4" s="118">
        <f>IF(TRIM('HourGH-APR'!C20)="","      ",'HourGH-APR'!C20)</f>
        <v>0.6</v>
      </c>
    </row>
    <row r="5" spans="1:15">
      <c r="A5" s="127" t="s">
        <v>147</v>
      </c>
      <c r="B5" s="118">
        <f>IF(TRIM('HourGH-APR'!C22)="","      ",'HourGH-APR'!C22)</f>
        <v>0.62</v>
      </c>
      <c r="C5" s="118">
        <f>IF(TRIM('HourGH-APR'!C23)="","      ",'HourGH-APR'!C23)</f>
        <v>0.6</v>
      </c>
      <c r="D5" s="118">
        <f>IF(TRIM('HourGH-APR'!C24)="","      ",'HourGH-APR'!C24)</f>
        <v>0.54</v>
      </c>
      <c r="E5" s="118">
        <f>IF(TRIM('HourGH-APR'!C25)="","      ",'HourGH-APR'!C25)</f>
        <v>0.6</v>
      </c>
      <c r="F5" s="118">
        <f>IF(TRIM('HourGH-APR'!C26)="","      ",'HourGH-APR'!C26)</f>
        <v>0.6</v>
      </c>
      <c r="G5" s="118">
        <f>IF(TRIM('HourGH-APR'!C27)="","      ",'HourGH-APR'!C27)</f>
        <v>0.6</v>
      </c>
      <c r="H5" s="118">
        <f>IF(TRIM('HourGH-APR'!C28)="","      ",'HourGH-APR'!C28)</f>
        <v>0.6</v>
      </c>
      <c r="I5" s="118">
        <f>IF(TRIM('HourGH-APR'!C29)="","      ",'HourGH-APR'!C29)</f>
        <v>0.6</v>
      </c>
      <c r="J5" s="118">
        <f>IF(TRIM('HourGH-APR'!C30)="","      ",'HourGH-APR'!C30)</f>
        <v>0.6</v>
      </c>
      <c r="K5" s="118">
        <f>IF(TRIM('HourGH-APR'!C31)="","      ",'HourGH-APR'!C31)</f>
        <v>0.56999999999999995</v>
      </c>
    </row>
    <row r="6" spans="1:15">
      <c r="A6" s="127" t="s">
        <v>148</v>
      </c>
      <c r="B6" s="118">
        <f>IF(TRIM('HourGH-APR'!C33)="","      ",'HourGH-APR'!C33)</f>
        <v>0.56999999999999995</v>
      </c>
      <c r="C6" s="118">
        <f>IF(TRIM('HourGH-APR'!C34)="","      ",'HourGH-APR'!C34)</f>
        <v>0.56999999999999995</v>
      </c>
      <c r="D6" s="118">
        <f>IF(TRIM('HourGH-APR'!C35)="","      ",'HourGH-APR'!C35)</f>
        <v>0.57999999999999996</v>
      </c>
      <c r="E6" s="118">
        <f>IF(TRIM('HourGH-APR'!C36)="","      ",'HourGH-APR'!C36)</f>
        <v>0.56999999999999995</v>
      </c>
      <c r="F6" s="118">
        <f>IF(TRIM('HourGH-APR'!C37)="","      ",'HourGH-APR'!C37)</f>
        <v>0.56999999999999995</v>
      </c>
      <c r="G6" s="118">
        <f>IF(TRIM('HourGH-APR'!C38)="","      ",'HourGH-APR'!C38)</f>
        <v>0.56000000000000005</v>
      </c>
      <c r="H6" s="118">
        <f>IF(TRIM('HourGH-APR'!C39)="","      ",'HourGH-APR'!C39)</f>
        <v>0.56000000000000005</v>
      </c>
      <c r="I6" s="118">
        <f>IF(TRIM('HourGH-APR'!C40)="","      ",'HourGH-APR'!C40)</f>
        <v>0.56000000000000005</v>
      </c>
      <c r="J6" s="118">
        <f>IF(TRIM('HourGH-APR'!C41)="","      ",'HourGH-APR'!C41)</f>
        <v>0.56000000000000005</v>
      </c>
      <c r="K6" s="118">
        <f>IF(TRIM('HourGH-APR'!C42)="","      ",'HourGH-APR'!C42)</f>
        <v>0.56000000000000005</v>
      </c>
    </row>
    <row r="7" spans="1:15">
      <c r="A7" s="127" t="s">
        <v>149</v>
      </c>
      <c r="B7" s="128">
        <f>IF(TRIM('HourGH-APR'!D11)="","      ",'HourGH-APR'!D11)</f>
        <v>0.36</v>
      </c>
      <c r="C7" s="128">
        <f>IF(TRIM('HourGH-APR'!D12)="","      ",'HourGH-APR'!D12)</f>
        <v>0.6</v>
      </c>
      <c r="D7" s="128">
        <f>IF(TRIM('HourGH-APR'!D13)="","      ",'HourGH-APR'!D13)</f>
        <v>0.72</v>
      </c>
      <c r="E7" s="128">
        <f>IF(TRIM('HourGH-APR'!D14)="","      ",'HourGH-APR'!D14)</f>
        <v>0.5</v>
      </c>
      <c r="F7" s="118">
        <f>IF(TRIM('HourGH-APR'!D15)="","      ",'HourGH-APR'!D15)</f>
        <v>0.6</v>
      </c>
      <c r="G7" s="118">
        <f>IF(TRIM('HourGH-APR'!D16)="","      ",'HourGH-APR'!D16)</f>
        <v>0.56000000000000005</v>
      </c>
      <c r="H7" s="118">
        <f>IF(TRIM('HourGH-APR'!D17)="","      ",'HourGH-APR'!D17)</f>
        <v>0.67</v>
      </c>
      <c r="I7" s="118">
        <f>IF(TRIM('HourGH-APR'!D18)="","      ",'HourGH-APR'!D18)</f>
        <v>0.67</v>
      </c>
      <c r="J7" s="118">
        <f>IF(TRIM('HourGH-APR'!D19)="","      ",'HourGH-APR'!D19)</f>
        <v>0.6</v>
      </c>
      <c r="K7" s="118">
        <f>IF(TRIM('HourGH-APR'!D20)="","      ",'HourGH-APR'!D20)</f>
        <v>0.6</v>
      </c>
    </row>
    <row r="8" spans="1:15">
      <c r="A8" s="127" t="s">
        <v>150</v>
      </c>
      <c r="B8" s="118">
        <f>IF(TRIM('HourGH-APR'!D22)="","      ",'HourGH-APR'!D22)</f>
        <v>0.62</v>
      </c>
      <c r="C8" s="118">
        <f>IF(TRIM('HourGH-APR'!D23)="","      ",'HourGH-APR'!D23)</f>
        <v>0.6</v>
      </c>
      <c r="D8" s="118">
        <f>IF(TRIM('HourGH-APR'!D24)="","      ",'HourGH-APR'!D24)</f>
        <v>0.54</v>
      </c>
      <c r="E8" s="118">
        <f>IF(TRIM('HourGH-APR'!D25)="","      ",'HourGH-APR'!D25)</f>
        <v>0.6</v>
      </c>
      <c r="F8" s="118">
        <f>IF(TRIM('HourGH-APR'!D26)="","      ",'HourGH-APR'!D26)</f>
        <v>0.6</v>
      </c>
      <c r="G8" s="118">
        <f>IF(TRIM('HourGH-APR'!D27)="","      ",'HourGH-APR'!D27)</f>
        <v>0.6</v>
      </c>
      <c r="H8" s="118">
        <f>IF(TRIM('HourGH-APR'!D28)="","      ",'HourGH-APR'!D28)</f>
        <v>0.6</v>
      </c>
      <c r="I8" s="118">
        <f>IF(TRIM('HourGH-APR'!D29)="","      ",'HourGH-APR'!D29)</f>
        <v>0.6</v>
      </c>
      <c r="J8" s="118">
        <f>IF(TRIM('HourGH-APR'!D30)="","      ",'HourGH-APR'!D30)</f>
        <v>0.6</v>
      </c>
      <c r="K8" s="118">
        <f>IF(TRIM('HourGH-APR'!D31)="","      ",'HourGH-APR'!D31)</f>
        <v>0.56999999999999995</v>
      </c>
    </row>
    <row r="9" spans="1:15">
      <c r="A9" s="127" t="s">
        <v>151</v>
      </c>
      <c r="B9" s="118">
        <f>IF(TRIM('HourGH-APR'!D33)="","      ",'HourGH-APR'!D33)</f>
        <v>0.56999999999999995</v>
      </c>
      <c r="C9" s="118">
        <f>IF(TRIM('HourGH-APR'!D34)="","      ",'HourGH-APR'!D34)</f>
        <v>0.56999999999999995</v>
      </c>
      <c r="D9" s="118">
        <f>IF(TRIM('HourGH-APR'!D35)="","      ",'HourGH-APR'!D35)</f>
        <v>0.57999999999999996</v>
      </c>
      <c r="E9" s="118">
        <f>IF(TRIM('HourGH-APR'!D36)="","      ",'HourGH-APR'!D36)</f>
        <v>0.56999999999999995</v>
      </c>
      <c r="F9" s="118">
        <f>IF(TRIM('HourGH-APR'!D37)="","      ",'HourGH-APR'!D37)</f>
        <v>0.56999999999999995</v>
      </c>
      <c r="G9" s="118">
        <f>IF(TRIM('HourGH-APR'!D38)="","      ",'HourGH-APR'!D38)</f>
        <v>0.56000000000000005</v>
      </c>
      <c r="H9" s="118">
        <f>IF(TRIM('HourGH-APR'!D39)="","      ",'HourGH-APR'!D39)</f>
        <v>0.56000000000000005</v>
      </c>
      <c r="I9" s="118">
        <f>IF(TRIM('HourGH-APR'!D40)="","      ",'HourGH-APR'!D40)</f>
        <v>0.56000000000000005</v>
      </c>
      <c r="J9" s="118">
        <f>IF(TRIM('HourGH-APR'!D41)="","      ",'HourGH-APR'!D41)</f>
        <v>0.56000000000000005</v>
      </c>
      <c r="K9" s="118">
        <f>IF(TRIM('HourGH-APR'!D42)="","      ",'HourGH-APR'!D42)</f>
        <v>0.56000000000000005</v>
      </c>
    </row>
    <row r="10" spans="1:15">
      <c r="A10" s="127" t="s">
        <v>152</v>
      </c>
      <c r="B10" s="128">
        <f>IF(TRIM('HourGH-APR'!E11)="","      ",'HourGH-APR'!E11)</f>
        <v>0.38</v>
      </c>
      <c r="C10" s="128">
        <f>IF(TRIM('HourGH-APR'!E12)="","      ",'HourGH-APR'!E12)</f>
        <v>0.62</v>
      </c>
      <c r="D10" s="128">
        <f>IF(TRIM('HourGH-APR'!E13)="","      ",'HourGH-APR'!E13)</f>
        <v>0.71</v>
      </c>
      <c r="E10" s="128">
        <f>IF(TRIM('HourGH-APR'!E14)="","      ",'HourGH-APR'!E14)</f>
        <v>0.5</v>
      </c>
      <c r="F10" s="118">
        <f>IF(TRIM('HourGH-APR'!E15)="","      ",'HourGH-APR'!E15)</f>
        <v>0.6</v>
      </c>
      <c r="G10" s="118">
        <f>IF(TRIM('HourGH-APR'!E16)="","      ",'HourGH-APR'!E16)</f>
        <v>0.56999999999999995</v>
      </c>
      <c r="H10" s="118">
        <f>IF(TRIM('HourGH-APR'!E17)="","      ",'HourGH-APR'!E17)</f>
        <v>0.67</v>
      </c>
      <c r="I10" s="118">
        <f>IF(TRIM('HourGH-APR'!E18)="","      ",'HourGH-APR'!E18)</f>
        <v>0.66</v>
      </c>
      <c r="J10" s="118">
        <f>IF(TRIM('HourGH-APR'!E19)="","      ",'HourGH-APR'!E19)</f>
        <v>0.6</v>
      </c>
      <c r="K10" s="118">
        <f>IF(TRIM('HourGH-APR'!E20)="","      ",'HourGH-APR'!E20)</f>
        <v>0.6</v>
      </c>
    </row>
    <row r="11" spans="1:15">
      <c r="A11" s="127" t="s">
        <v>153</v>
      </c>
      <c r="B11" s="118">
        <f>IF(TRIM('HourGH-APR'!E22)="","      ",'HourGH-APR'!E22)</f>
        <v>0.62</v>
      </c>
      <c r="C11" s="118">
        <f>IF(TRIM('HourGH-APR'!E23)="","      ",'HourGH-APR'!E23)</f>
        <v>0.6</v>
      </c>
      <c r="D11" s="118">
        <f>IF(TRIM('HourGH-APR'!E24)="","      ",'HourGH-APR'!E24)</f>
        <v>0.54</v>
      </c>
      <c r="E11" s="118">
        <f>IF(TRIM('HourGH-APR'!E25)="","      ",'HourGH-APR'!E25)</f>
        <v>0.6</v>
      </c>
      <c r="F11" s="118">
        <f>IF(TRIM('HourGH-APR'!E26)="","      ",'HourGH-APR'!E26)</f>
        <v>0.6</v>
      </c>
      <c r="G11" s="118">
        <f>IF(TRIM('HourGH-APR'!E27)="","      ",'HourGH-APR'!E27)</f>
        <v>0.6</v>
      </c>
      <c r="H11" s="118">
        <f>IF(TRIM('HourGH-APR'!E28)="","      ",'HourGH-APR'!E28)</f>
        <v>0.6</v>
      </c>
      <c r="I11" s="118">
        <f>IF(TRIM('HourGH-APR'!E29)="","      ",'HourGH-APR'!E29)</f>
        <v>0.6</v>
      </c>
      <c r="J11" s="118">
        <f>IF(TRIM('HourGH-APR'!E30)="","      ",'HourGH-APR'!E30)</f>
        <v>0.6</v>
      </c>
      <c r="K11" s="118">
        <f>IF(TRIM('HourGH-APR'!E31)="","      ",'HourGH-APR'!E31)</f>
        <v>0.56999999999999995</v>
      </c>
    </row>
    <row r="12" spans="1:15">
      <c r="A12" s="127" t="s">
        <v>154</v>
      </c>
      <c r="B12" s="118">
        <f>IF(TRIM('HourGH-APR'!E33)="","      ",'HourGH-APR'!E33)</f>
        <v>0.56999999999999995</v>
      </c>
      <c r="C12" s="118">
        <f>IF(TRIM('HourGH-APR'!E34)="","      ",'HourGH-APR'!E34)</f>
        <v>0.56999999999999995</v>
      </c>
      <c r="D12" s="118">
        <f>IF(TRIM('HourGH-APR'!E35)="","      ",'HourGH-APR'!E35)</f>
        <v>0.57999999999999996</v>
      </c>
      <c r="E12" s="118">
        <f>IF(TRIM('HourGH-APR'!E36)="","      ",'HourGH-APR'!E36)</f>
        <v>0.56999999999999995</v>
      </c>
      <c r="F12" s="118">
        <f>IF(TRIM('HourGH-APR'!E37)="","      ",'HourGH-APR'!E37)</f>
        <v>0.56999999999999995</v>
      </c>
      <c r="G12" s="118">
        <f>IF(TRIM('HourGH-APR'!E38)="","      ",'HourGH-APR'!E38)</f>
        <v>0.56000000000000005</v>
      </c>
      <c r="H12" s="118">
        <f>IF(TRIM('HourGH-APR'!E39)="","      ",'HourGH-APR'!E39)</f>
        <v>0.56000000000000005</v>
      </c>
      <c r="I12" s="118">
        <f>IF(TRIM('HourGH-APR'!E40)="","      ",'HourGH-APR'!E40)</f>
        <v>0.56000000000000005</v>
      </c>
      <c r="J12" s="118">
        <f>IF(TRIM('HourGH-APR'!E41)="","      ",'HourGH-APR'!E41)</f>
        <v>0.56000000000000005</v>
      </c>
      <c r="K12" s="118">
        <f>IF(TRIM('HourGH-APR'!E42)="","      ",'HourGH-APR'!E42)</f>
        <v>0.56000000000000005</v>
      </c>
    </row>
    <row r="13" spans="1:15">
      <c r="A13" s="127" t="s">
        <v>155</v>
      </c>
      <c r="B13" s="128">
        <f>IF(TRIM('HourGH-APR'!F11)="","      ",'HourGH-APR'!F11)</f>
        <v>0.4</v>
      </c>
      <c r="C13" s="128">
        <f>IF(TRIM('HourGH-APR'!F12)="","      ",'HourGH-APR'!F12)</f>
        <v>0.64</v>
      </c>
      <c r="D13" s="128">
        <f>IF(TRIM('HourGH-APR'!F13)="","      ",'HourGH-APR'!F13)</f>
        <v>0.7</v>
      </c>
      <c r="E13" s="128">
        <f>IF(TRIM('HourGH-APR'!F14)="","      ",'HourGH-APR'!F14)</f>
        <v>0.5</v>
      </c>
      <c r="F13" s="118">
        <f>IF(TRIM('HourGH-APR'!F15)="","      ",'HourGH-APR'!F15)</f>
        <v>0.59</v>
      </c>
      <c r="G13" s="118">
        <f>IF(TRIM('HourGH-APR'!F16)="","      ",'HourGH-APR'!F16)</f>
        <v>0.56999999999999995</v>
      </c>
      <c r="H13" s="118">
        <f>IF(TRIM('HourGH-APR'!F17)="","      ",'HourGH-APR'!F17)</f>
        <v>0.68</v>
      </c>
      <c r="I13" s="118">
        <f>IF(TRIM('HourGH-APR'!F18)="","      ",'HourGH-APR'!F18)</f>
        <v>0.66</v>
      </c>
      <c r="J13" s="118">
        <f>IF(TRIM('HourGH-APR'!F19)="","      ",'HourGH-APR'!F19)</f>
        <v>0.6</v>
      </c>
      <c r="K13" s="118">
        <f>IF(TRIM('HourGH-APR'!F20)="","      ",'HourGH-APR'!F20)</f>
        <v>0.6</v>
      </c>
    </row>
    <row r="14" spans="1:15">
      <c r="A14" s="127" t="s">
        <v>156</v>
      </c>
      <c r="B14" s="118">
        <f>IF(TRIM('HourGH-APR'!F22)="","      ",'HourGH-APR'!F22)</f>
        <v>0.62</v>
      </c>
      <c r="C14" s="118">
        <f>IF(TRIM('HourGH-APR'!F23)="","      ",'HourGH-APR'!F23)</f>
        <v>0.6</v>
      </c>
      <c r="D14" s="118">
        <f>IF(TRIM('HourGH-APR'!F24)="","      ",'HourGH-APR'!F24)</f>
        <v>0.54</v>
      </c>
      <c r="E14" s="118">
        <f>IF(TRIM('HourGH-APR'!F25)="","      ",'HourGH-APR'!F25)</f>
        <v>0.6</v>
      </c>
      <c r="F14" s="118">
        <f>IF(TRIM('HourGH-APR'!F26)="","      ",'HourGH-APR'!F26)</f>
        <v>0.6</v>
      </c>
      <c r="G14" s="118">
        <f>IF(TRIM('HourGH-APR'!F27)="","      ",'HourGH-APR'!F27)</f>
        <v>0.6</v>
      </c>
      <c r="H14" s="118">
        <f>IF(TRIM('HourGH-APR'!F28)="","      ",'HourGH-APR'!F28)</f>
        <v>0.6</v>
      </c>
      <c r="I14" s="118">
        <f>IF(TRIM('HourGH-APR'!F29)="","      ",'HourGH-APR'!F29)</f>
        <v>0.6</v>
      </c>
      <c r="J14" s="118">
        <f>IF(TRIM('HourGH-APR'!F30)="","      ",'HourGH-APR'!F30)</f>
        <v>0.6</v>
      </c>
      <c r="K14" s="118">
        <f>IF(TRIM('HourGH-APR'!F31)="","      ",'HourGH-APR'!F31)</f>
        <v>0.56999999999999995</v>
      </c>
    </row>
    <row r="15" spans="1:15">
      <c r="A15" s="127" t="s">
        <v>157</v>
      </c>
      <c r="B15" s="118">
        <f>IF(TRIM('HourGH-APR'!F33)="","      ",'HourGH-APR'!F33)</f>
        <v>0.56999999999999995</v>
      </c>
      <c r="C15" s="118">
        <f>IF(TRIM('HourGH-APR'!F34)="","      ",'HourGH-APR'!F34)</f>
        <v>0.56999999999999995</v>
      </c>
      <c r="D15" s="118">
        <f>IF(TRIM('HourGH-APR'!F35)="","      ",'HourGH-APR'!F35)</f>
        <v>0.57999999999999996</v>
      </c>
      <c r="E15" s="118">
        <f>IF(TRIM('HourGH-APR'!F36)="","      ",'HourGH-APR'!F36)</f>
        <v>0.56999999999999995</v>
      </c>
      <c r="F15" s="118">
        <f>IF(TRIM('HourGH-APR'!F37)="","      ",'HourGH-APR'!F37)</f>
        <v>0.56999999999999995</v>
      </c>
      <c r="G15" s="118">
        <f>IF(TRIM('HourGH-APR'!F38)="","      ",'HourGH-APR'!F38)</f>
        <v>0.56000000000000005</v>
      </c>
      <c r="H15" s="118">
        <f>IF(TRIM('HourGH-APR'!F39)="","      ",'HourGH-APR'!F39)</f>
        <v>0.56000000000000005</v>
      </c>
      <c r="I15" s="118">
        <f>IF(TRIM('HourGH-APR'!F40)="","      ",'HourGH-APR'!F40)</f>
        <v>0.56000000000000005</v>
      </c>
      <c r="J15" s="118">
        <f>IF(TRIM('HourGH-APR'!F41)="","      ",'HourGH-APR'!F41)</f>
        <v>0.56000000000000005</v>
      </c>
      <c r="K15" s="118">
        <f>IF(TRIM('HourGH-APR'!F42)="","      ",'HourGH-APR'!F42)</f>
        <v>0.56000000000000005</v>
      </c>
    </row>
    <row r="16" spans="1:15">
      <c r="A16" s="127" t="s">
        <v>158</v>
      </c>
      <c r="B16" s="128">
        <f>IF(TRIM('HourGH-APR'!G11)="","      ",'HourGH-APR'!G11)</f>
        <v>0.42</v>
      </c>
      <c r="C16" s="128">
        <f>IF(TRIM('HourGH-APR'!G12)="","      ",'HourGH-APR'!G12)</f>
        <v>0.65</v>
      </c>
      <c r="D16" s="128">
        <f>IF(TRIM('HourGH-APR'!G13)="","      ",'HourGH-APR'!G13)</f>
        <v>0.7</v>
      </c>
      <c r="E16" s="128">
        <f>IF(TRIM('HourGH-APR'!G14)="","      ",'HourGH-APR'!G14)</f>
        <v>0.5</v>
      </c>
      <c r="F16" s="118">
        <f>IF(TRIM('HourGH-APR'!G15)="","      ",'HourGH-APR'!G15)</f>
        <v>0.59</v>
      </c>
      <c r="G16" s="118">
        <f>IF(TRIM('HourGH-APR'!G16)="","      ",'HourGH-APR'!G16)</f>
        <v>0.56999999999999995</v>
      </c>
      <c r="H16" s="118">
        <f>IF(TRIM('HourGH-APR'!G17)="","      ",'HourGH-APR'!G17)</f>
        <v>0.68</v>
      </c>
      <c r="I16" s="118">
        <f>IF(TRIM('HourGH-APR'!G18)="","      ",'HourGH-APR'!G18)</f>
        <v>0.65</v>
      </c>
      <c r="J16" s="118">
        <f>IF(TRIM('HourGH-APR'!G19)="","      ",'HourGH-APR'!G19)</f>
        <v>0.6</v>
      </c>
      <c r="K16" s="118">
        <f>IF(TRIM('HourGH-APR'!G20)="","      ",'HourGH-APR'!G20)</f>
        <v>0.6</v>
      </c>
    </row>
    <row r="17" spans="1:11">
      <c r="A17" s="127" t="s">
        <v>159</v>
      </c>
      <c r="B17" s="118">
        <f>IF(TRIM('HourGH-APR'!G22)="","      ",'HourGH-APR'!G22)</f>
        <v>0.62</v>
      </c>
      <c r="C17" s="118">
        <f>IF(TRIM('HourGH-APR'!G23)="","      ",'HourGH-APR'!G23)</f>
        <v>0.6</v>
      </c>
      <c r="D17" s="118">
        <f>IF(TRIM('HourGH-APR'!G24)="","      ",'HourGH-APR'!G24)</f>
        <v>0.54</v>
      </c>
      <c r="E17" s="118">
        <f>IF(TRIM('HourGH-APR'!G25)="","      ",'HourGH-APR'!G25)</f>
        <v>0.6</v>
      </c>
      <c r="F17" s="118">
        <f>IF(TRIM('HourGH-APR'!G26)="","      ",'HourGH-APR'!G26)</f>
        <v>0.6</v>
      </c>
      <c r="G17" s="118">
        <f>IF(TRIM('HourGH-APR'!G27)="","      ",'HourGH-APR'!G27)</f>
        <v>0.6</v>
      </c>
      <c r="H17" s="118">
        <f>IF(TRIM('HourGH-APR'!G28)="","      ",'HourGH-APR'!G28)</f>
        <v>0.6</v>
      </c>
      <c r="I17" s="118">
        <f>IF(TRIM('HourGH-APR'!G29)="","      ",'HourGH-APR'!G29)</f>
        <v>0.6</v>
      </c>
      <c r="J17" s="118">
        <f>IF(TRIM('HourGH-APR'!G30)="","      ",'HourGH-APR'!G30)</f>
        <v>0.6</v>
      </c>
      <c r="K17" s="118">
        <f>IF(TRIM('HourGH-APR'!G31)="","      ",'HourGH-APR'!G31)</f>
        <v>0.56999999999999995</v>
      </c>
    </row>
    <row r="18" spans="1:11">
      <c r="A18" s="127" t="s">
        <v>160</v>
      </c>
      <c r="B18" s="118">
        <f>IF(TRIM('HourGH-APR'!G33)="","      ",'HourGH-APR'!G33)</f>
        <v>0.56999999999999995</v>
      </c>
      <c r="C18" s="118">
        <f>IF(TRIM('HourGH-APR'!G34)="","      ",'HourGH-APR'!G34)</f>
        <v>0.56999999999999995</v>
      </c>
      <c r="D18" s="118">
        <f>IF(TRIM('HourGH-APR'!G35)="","      ",'HourGH-APR'!G35)</f>
        <v>0.57999999999999996</v>
      </c>
      <c r="E18" s="118">
        <f>IF(TRIM('HourGH-APR'!G36)="","      ",'HourGH-APR'!G36)</f>
        <v>0.56999999999999995</v>
      </c>
      <c r="F18" s="118">
        <f>IF(TRIM('HourGH-APR'!G37)="","      ",'HourGH-APR'!G37)</f>
        <v>0.56999999999999995</v>
      </c>
      <c r="G18" s="118">
        <f>IF(TRIM('HourGH-APR'!G38)="","      ",'HourGH-APR'!G38)</f>
        <v>0.56000000000000005</v>
      </c>
      <c r="H18" s="118">
        <f>IF(TRIM('HourGH-APR'!G39)="","      ",'HourGH-APR'!G39)</f>
        <v>0.56000000000000005</v>
      </c>
      <c r="I18" s="118">
        <f>IF(TRIM('HourGH-APR'!G40)="","      ",'HourGH-APR'!G40)</f>
        <v>0.56000000000000005</v>
      </c>
      <c r="J18" s="118">
        <f>IF(TRIM('HourGH-APR'!G41)="","      ",'HourGH-APR'!G41)</f>
        <v>0.56000000000000005</v>
      </c>
      <c r="K18" s="118">
        <f>IF(TRIM('HourGH-APR'!G42)="","      ",'HourGH-APR'!G42)</f>
        <v>0.56000000000000005</v>
      </c>
    </row>
    <row r="19" spans="1:11">
      <c r="A19" s="127" t="s">
        <v>161</v>
      </c>
      <c r="B19" s="128">
        <f>IF(TRIM('HourGH-APR'!H11)="","      ",'HourGH-APR'!H11)</f>
        <v>0.44</v>
      </c>
      <c r="C19" s="128">
        <f>IF(TRIM('HourGH-APR'!H12)="","      ",'HourGH-APR'!H12)</f>
        <v>0.67</v>
      </c>
      <c r="D19" s="128">
        <f>IF(TRIM('HourGH-APR'!H13)="","      ",'HourGH-APR'!H13)</f>
        <v>0.69</v>
      </c>
      <c r="E19" s="128">
        <f>IF(TRIM('HourGH-APR'!H14)="","      ",'HourGH-APR'!H14)</f>
        <v>0.51</v>
      </c>
      <c r="F19" s="118">
        <f>IF(TRIM('HourGH-APR'!H15)="","      ",'HourGH-APR'!H15)</f>
        <v>0.59</v>
      </c>
      <c r="G19" s="118">
        <f>IF(TRIM('HourGH-APR'!H16)="","      ",'HourGH-APR'!H16)</f>
        <v>0.56999999999999995</v>
      </c>
      <c r="H19" s="118">
        <f>IF(TRIM('HourGH-APR'!H17)="","      ",'HourGH-APR'!H17)</f>
        <v>0.69</v>
      </c>
      <c r="I19" s="118">
        <f>IF(TRIM('HourGH-APR'!H18)="","      ",'HourGH-APR'!H18)</f>
        <v>0.65</v>
      </c>
      <c r="J19" s="118">
        <f>IF(TRIM('HourGH-APR'!H19)="","      ",'HourGH-APR'!H19)</f>
        <v>0.6</v>
      </c>
      <c r="K19" s="118">
        <f>IF(TRIM('HourGH-APR'!H20)="","      ",'HourGH-APR'!H20)</f>
        <v>0.6</v>
      </c>
    </row>
    <row r="20" spans="1:11">
      <c r="A20" s="127" t="s">
        <v>162</v>
      </c>
      <c r="B20" s="118">
        <f>IF(TRIM('HourGH-APR'!H22)="","      ",'HourGH-APR'!H22)</f>
        <v>0.62</v>
      </c>
      <c r="C20" s="118">
        <f>IF(TRIM('HourGH-APR'!H23)="","      ",'HourGH-APR'!H23)</f>
        <v>0.6</v>
      </c>
      <c r="D20" s="118">
        <f>IF(TRIM('HourGH-APR'!H24)="","      ",'HourGH-APR'!H24)</f>
        <v>0.54</v>
      </c>
      <c r="E20" s="118">
        <f>IF(TRIM('HourGH-APR'!H25)="","      ",'HourGH-APR'!H25)</f>
        <v>0.6</v>
      </c>
      <c r="F20" s="118">
        <f>IF(TRIM('HourGH-APR'!H26)="","      ",'HourGH-APR'!H26)</f>
        <v>0.6</v>
      </c>
      <c r="G20" s="118">
        <f>IF(TRIM('HourGH-APR'!H27)="","      ",'HourGH-APR'!H27)</f>
        <v>0.6</v>
      </c>
      <c r="H20" s="118">
        <f>IF(TRIM('HourGH-APR'!H28)="","      ",'HourGH-APR'!H28)</f>
        <v>0.6</v>
      </c>
      <c r="I20" s="118">
        <f>IF(TRIM('HourGH-APR'!H29)="","      ",'HourGH-APR'!H29)</f>
        <v>0.6</v>
      </c>
      <c r="J20" s="118">
        <f>IF(TRIM('HourGH-APR'!H30)="","      ",'HourGH-APR'!H30)</f>
        <v>0.6</v>
      </c>
      <c r="K20" s="118">
        <f>IF(TRIM('HourGH-APR'!H31)="","      ",'HourGH-APR'!H31)</f>
        <v>0.56999999999999995</v>
      </c>
    </row>
    <row r="21" spans="1:11">
      <c r="A21" s="127" t="s">
        <v>163</v>
      </c>
      <c r="B21" s="118">
        <f>IF(TRIM('HourGH-APR'!H33)="","      ",'HourGH-APR'!H33)</f>
        <v>0.56999999999999995</v>
      </c>
      <c r="C21" s="118">
        <f>IF(TRIM('HourGH-APR'!H34)="","      ",'HourGH-APR'!H34)</f>
        <v>0.56999999999999995</v>
      </c>
      <c r="D21" s="118">
        <f>IF(TRIM('HourGH-APR'!H35)="","      ",'HourGH-APR'!H35)</f>
        <v>0.56999999999999995</v>
      </c>
      <c r="E21" s="118">
        <f>IF(TRIM('HourGH-APR'!H36)="","      ",'HourGH-APR'!H36)</f>
        <v>0.56999999999999995</v>
      </c>
      <c r="F21" s="118">
        <f>IF(TRIM('HourGH-APR'!H37)="","      ",'HourGH-APR'!H37)</f>
        <v>0.56999999999999995</v>
      </c>
      <c r="G21" s="118">
        <f>IF(TRIM('HourGH-APR'!H38)="","      ",'HourGH-APR'!H38)</f>
        <v>0.56000000000000005</v>
      </c>
      <c r="H21" s="118">
        <f>IF(TRIM('HourGH-APR'!H39)="","      ",'HourGH-APR'!H39)</f>
        <v>0.56000000000000005</v>
      </c>
      <c r="I21" s="118">
        <f>IF(TRIM('HourGH-APR'!H40)="","      ",'HourGH-APR'!H40)</f>
        <v>0.56000000000000005</v>
      </c>
      <c r="J21" s="118">
        <f>IF(TRIM('HourGH-APR'!H41)="","      ",'HourGH-APR'!H41)</f>
        <v>0.56000000000000005</v>
      </c>
      <c r="K21" s="118">
        <f>IF(TRIM('HourGH-APR'!H42)="","      ",'HourGH-APR'!H42)</f>
        <v>0.56000000000000005</v>
      </c>
    </row>
    <row r="22" spans="1:11">
      <c r="A22" s="127" t="s">
        <v>164</v>
      </c>
      <c r="B22" s="128">
        <f>IF(TRIM('HourGH-APR'!I11)="","      ",'HourGH-APR'!I11)</f>
        <v>0.44</v>
      </c>
      <c r="C22" s="128">
        <f>IF(TRIM('HourGH-APR'!I12)="","      ",'HourGH-APR'!I12)</f>
        <v>0.69</v>
      </c>
      <c r="D22" s="128">
        <f>IF(TRIM('HourGH-APR'!I13)="","      ",'HourGH-APR'!I13)</f>
        <v>0.68</v>
      </c>
      <c r="E22" s="128">
        <f>IF(TRIM('HourGH-APR'!I14)="","      ",'HourGH-APR'!I14)</f>
        <v>0.51</v>
      </c>
      <c r="F22" s="118">
        <f>IF(TRIM('HourGH-APR'!I15)="","      ",'HourGH-APR'!I15)</f>
        <v>0.59</v>
      </c>
      <c r="G22" s="118">
        <f>IF(TRIM('HourGH-APR'!I16)="","      ",'HourGH-APR'!I16)</f>
        <v>0.56999999999999995</v>
      </c>
      <c r="H22" s="128">
        <f>IF(TRIM('HourGH-APR'!I17)="","      ",'HourGH-APR'!I17)</f>
        <v>0.69</v>
      </c>
      <c r="I22" s="128">
        <f>IF(TRIM('HourGH-APR'!I18)="","      ",'HourGH-APR'!I18)</f>
        <v>0.65</v>
      </c>
      <c r="J22" s="128">
        <f>IF(TRIM('HourGH-APR'!I19)="","      ",'HourGH-APR'!I19)</f>
        <v>0.6</v>
      </c>
      <c r="K22" s="128">
        <f>IF(TRIM('HourGH-APR'!I20)="","      ",'HourGH-APR'!I20)</f>
        <v>0.6</v>
      </c>
    </row>
    <row r="23" spans="1:11">
      <c r="A23" s="127" t="s">
        <v>165</v>
      </c>
      <c r="B23" s="128">
        <f>IF(TRIM('HourGH-APR'!I22)="","      ",'HourGH-APR'!I22)</f>
        <v>0.62</v>
      </c>
      <c r="C23" s="128">
        <f>IF(TRIM('HourGH-APR'!I23)="","      ",'HourGH-APR'!I23)</f>
        <v>0.6</v>
      </c>
      <c r="D23" s="128">
        <f>IF(TRIM('HourGH-APR'!I24)="","      ",'HourGH-APR'!I24)</f>
        <v>0.55000000000000004</v>
      </c>
      <c r="E23" s="128">
        <f>IF(TRIM('HourGH-APR'!I25)="","      ",'HourGH-APR'!I25)</f>
        <v>0.6</v>
      </c>
      <c r="F23" s="118">
        <f>IF(TRIM('HourGH-APR'!I26)="","      ",'HourGH-APR'!I26)</f>
        <v>0.6</v>
      </c>
      <c r="G23" s="118">
        <f>IF(TRIM('HourGH-APR'!I27)="","      ",'HourGH-APR'!I27)</f>
        <v>0.6</v>
      </c>
      <c r="H23" s="118">
        <f>IF(TRIM('HourGH-APR'!I28)="","      ",'HourGH-APR'!I28)</f>
        <v>0.6</v>
      </c>
      <c r="I23" s="118">
        <f>IF(TRIM('HourGH-APR'!I29)="","      ",'HourGH-APR'!I29)</f>
        <v>0.6</v>
      </c>
      <c r="J23" s="118">
        <f>IF(TRIM('HourGH-APR'!I30)="","      ",'HourGH-APR'!I30)</f>
        <v>0.59</v>
      </c>
      <c r="K23" s="118">
        <f>IF(TRIM('HourGH-APR'!I31)="","      ",'HourGH-APR'!I31)</f>
        <v>0.56999999999999995</v>
      </c>
    </row>
    <row r="24" spans="1:11">
      <c r="A24" s="127" t="s">
        <v>166</v>
      </c>
      <c r="B24" s="128">
        <f>IF(TRIM('HourGH-APR'!I33)="","      ",'HourGH-APR'!I33)</f>
        <v>0.56999999999999995</v>
      </c>
      <c r="C24" s="128">
        <f>IF(TRIM('HourGH-APR'!I34)="","      ",'HourGH-APR'!I34)</f>
        <v>0.57999999999999996</v>
      </c>
      <c r="D24" s="128">
        <f>IF(TRIM('HourGH-APR'!I35)="","      ",'HourGH-APR'!I35)</f>
        <v>0.56999999999999995</v>
      </c>
      <c r="E24" s="128">
        <f>IF(TRIM('HourGH-APR'!I36)="","      ",'HourGH-APR'!I36)</f>
        <v>0.56999999999999995</v>
      </c>
      <c r="F24" s="118">
        <f>IF(TRIM('HourGH-APR'!I37)="","      ",'HourGH-APR'!I37)</f>
        <v>0.56999999999999995</v>
      </c>
      <c r="G24" s="118">
        <f>IF(TRIM('HourGH-APR'!I38)="","      ",'HourGH-APR'!I38)</f>
        <v>0.56000000000000005</v>
      </c>
      <c r="H24" s="118">
        <f>IF(TRIM('HourGH-APR'!I39)="","      ",'HourGH-APR'!I39)</f>
        <v>0.56000000000000005</v>
      </c>
      <c r="I24" s="118">
        <f>IF(TRIM('HourGH-APR'!I40)="","      ",'HourGH-APR'!I40)</f>
        <v>0.56000000000000005</v>
      </c>
      <c r="J24" s="118">
        <f>IF(TRIM('HourGH-APR'!I41)="","      ",'HourGH-APR'!I41)</f>
        <v>0.56000000000000005</v>
      </c>
      <c r="K24" s="118">
        <f>IF(TRIM('HourGH-APR'!I42)="","      ",'HourGH-APR'!I42)</f>
        <v>0.56000000000000005</v>
      </c>
    </row>
    <row r="25" spans="1:11">
      <c r="A25" s="127" t="s">
        <v>167</v>
      </c>
      <c r="B25" s="128">
        <f>IF(TRIM('HourGH-APR'!J11)="","      ",'HourGH-APR'!J11)</f>
        <v>0.44</v>
      </c>
      <c r="C25" s="128">
        <f>IF(TRIM('HourGH-APR'!J12)="","      ",'HourGH-APR'!J12)</f>
        <v>0.7</v>
      </c>
      <c r="D25" s="128">
        <f>IF(TRIM('HourGH-APR'!J13)="","      ",'HourGH-APR'!J13)</f>
        <v>0.66</v>
      </c>
      <c r="E25" s="128">
        <f>IF(TRIM('HourGH-APR'!J14)="","      ",'HourGH-APR'!J14)</f>
        <v>0.51</v>
      </c>
      <c r="F25" s="118">
        <f>IF(TRIM('HourGH-APR'!J15)="","      ",'HourGH-APR'!J15)</f>
        <v>0.59</v>
      </c>
      <c r="G25" s="118">
        <f>IF(TRIM('HourGH-APR'!J16)="","      ",'HourGH-APR'!J16)</f>
        <v>0.56999999999999995</v>
      </c>
      <c r="H25" s="128">
        <f>IF(TRIM('HourGH-APR'!J17)="","      ",'HourGH-APR'!J17)</f>
        <v>0.69</v>
      </c>
      <c r="I25" s="128">
        <f>IF(TRIM('HourGH-APR'!J18)="","      ",'HourGH-APR'!J18)</f>
        <v>0.64</v>
      </c>
      <c r="J25" s="128">
        <f>IF(TRIM('HourGH-APR'!J19)="","      ",'HourGH-APR'!J19)</f>
        <v>0.6</v>
      </c>
      <c r="K25" s="128">
        <f>IF(TRIM('HourGH-APR'!J20)="","      ",'HourGH-APR'!J20)</f>
        <v>0.6</v>
      </c>
    </row>
    <row r="26" spans="1:11">
      <c r="A26" s="127" t="s">
        <v>168</v>
      </c>
      <c r="B26" s="128">
        <f>IF(TRIM('HourGH-APR'!J22)="","      ",'HourGH-APR'!J22)</f>
        <v>0.62</v>
      </c>
      <c r="C26" s="128">
        <f>IF(TRIM('HourGH-APR'!J23)="","      ",'HourGH-APR'!J23)</f>
        <v>0.59</v>
      </c>
      <c r="D26" s="128">
        <f>IF(TRIM('HourGH-APR'!J24)="","      ",'HourGH-APR'!J24)</f>
        <v>0.55000000000000004</v>
      </c>
      <c r="E26" s="128">
        <f>IF(TRIM('HourGH-APR'!J25)="","      ",'HourGH-APR'!J25)</f>
        <v>0.6</v>
      </c>
      <c r="F26" s="118">
        <f>IF(TRIM('HourGH-APR'!J26)="","      ",'HourGH-APR'!J26)</f>
        <v>0.6</v>
      </c>
      <c r="G26" s="118">
        <f>IF(TRIM('HourGH-APR'!J27)="","      ",'HourGH-APR'!J27)</f>
        <v>0.6</v>
      </c>
      <c r="H26" s="128">
        <f>IF(TRIM('HourGH-APR'!J28)="","      ",'HourGH-APR'!J28)</f>
        <v>0.6</v>
      </c>
      <c r="I26" s="128">
        <f>IF(TRIM('HourGH-APR'!J29)="","      ",'HourGH-APR'!J29)</f>
        <v>0.6</v>
      </c>
      <c r="J26" s="128">
        <f>IF(TRIM('HourGH-APR'!J30)="","      ",'HourGH-APR'!J30)</f>
        <v>0.59</v>
      </c>
      <c r="K26" s="128">
        <f>IF(TRIM('HourGH-APR'!J31)="","      ",'HourGH-APR'!J31)</f>
        <v>0.56999999999999995</v>
      </c>
    </row>
    <row r="27" spans="1:11">
      <c r="A27" s="127" t="s">
        <v>169</v>
      </c>
      <c r="B27" s="128">
        <f>IF(TRIM('HourGH-APR'!J33)="","      ",'HourGH-APR'!J33)</f>
        <v>0.56999999999999995</v>
      </c>
      <c r="C27" s="128">
        <f>IF(TRIM('HourGH-APR'!J34)="","      ",'HourGH-APR'!J34)</f>
        <v>0.57999999999999996</v>
      </c>
      <c r="D27" s="128">
        <f>IF(TRIM('HourGH-APR'!J35)="","      ",'HourGH-APR'!J35)</f>
        <v>0.56999999999999995</v>
      </c>
      <c r="E27" s="128">
        <f>IF(TRIM('HourGH-APR'!J36)="","      ",'HourGH-APR'!J36)</f>
        <v>0.56999999999999995</v>
      </c>
      <c r="F27" s="118">
        <f>IF(TRIM('HourGH-APR'!J37)="","      ",'HourGH-APR'!J37)</f>
        <v>0.56999999999999995</v>
      </c>
      <c r="G27" s="118">
        <f>IF(TRIM('HourGH-APR'!J38)="","      ",'HourGH-APR'!J38)</f>
        <v>0.56000000000000005</v>
      </c>
      <c r="H27" s="128">
        <f>IF(TRIM('HourGH-APR'!J39)="","      ",'HourGH-APR'!J39)</f>
        <v>0.56000000000000005</v>
      </c>
      <c r="I27" s="128">
        <f>IF(TRIM('HourGH-APR'!J40)="","      ",'HourGH-APR'!J40)</f>
        <v>0.56000000000000005</v>
      </c>
      <c r="J27" s="128">
        <f>IF(TRIM('HourGH-APR'!J41)="","      ",'HourGH-APR'!J41)</f>
        <v>0.56000000000000005</v>
      </c>
      <c r="K27" s="128">
        <f>IF(TRIM('HourGH-APR'!J42)="","      ",'HourGH-APR'!J42)</f>
        <v>0.56000000000000005</v>
      </c>
    </row>
    <row r="28" spans="1:11">
      <c r="A28" s="127" t="s">
        <v>170</v>
      </c>
      <c r="B28" s="128">
        <f>IF(TRIM('HourGH-APR'!K11)="","      ",'HourGH-APR'!K11)</f>
        <v>0.44</v>
      </c>
      <c r="C28" s="128">
        <f>IF(TRIM('HourGH-APR'!K12)="","      ",'HourGH-APR'!K12)</f>
        <v>0.71</v>
      </c>
      <c r="D28" s="128">
        <f>IF(TRIM('HourGH-APR'!K13)="","      ",'HourGH-APR'!K13)</f>
        <v>0.65</v>
      </c>
      <c r="E28" s="128">
        <f>IF(TRIM('HourGH-APR'!K14)="","      ",'HourGH-APR'!K14)</f>
        <v>0.52</v>
      </c>
      <c r="F28" s="118">
        <f>IF(TRIM('HourGH-APR'!K15)="","      ",'HourGH-APR'!K15)</f>
        <v>0.57999999999999996</v>
      </c>
      <c r="G28" s="118">
        <f>IF(TRIM('HourGH-APR'!K16)="","      ",'HourGH-APR'!K16)</f>
        <v>0.57999999999999996</v>
      </c>
      <c r="H28" s="128">
        <f>IF(TRIM('HourGH-APR'!K17)="","      ",'HourGH-APR'!K17)</f>
        <v>0.7</v>
      </c>
      <c r="I28" s="128">
        <f>IF(TRIM('HourGH-APR'!K18)="","      ",'HourGH-APR'!K18)</f>
        <v>0.64</v>
      </c>
      <c r="J28" s="128">
        <f>IF(TRIM('HourGH-APR'!K19)="","      ",'HourGH-APR'!K19)</f>
        <v>0.6</v>
      </c>
      <c r="K28" s="128">
        <f>IF(TRIM('HourGH-APR'!K20)="","      ",'HourGH-APR'!K20)</f>
        <v>0.6</v>
      </c>
    </row>
    <row r="29" spans="1:11">
      <c r="A29" s="127" t="s">
        <v>171</v>
      </c>
      <c r="B29" s="128">
        <f>IF(TRIM('HourGH-APR'!K22)="","      ",'HourGH-APR'!K22)</f>
        <v>0.62</v>
      </c>
      <c r="C29" s="128">
        <f>IF(TRIM('HourGH-APR'!K23)="","      ",'HourGH-APR'!K23)</f>
        <v>0.59</v>
      </c>
      <c r="D29" s="128">
        <f>IF(TRIM('HourGH-APR'!K24)="","      ",'HourGH-APR'!K24)</f>
        <v>0.55000000000000004</v>
      </c>
      <c r="E29" s="128">
        <f>IF(TRIM('HourGH-APR'!K25)="","      ",'HourGH-APR'!K25)</f>
        <v>0.6</v>
      </c>
      <c r="F29" s="118">
        <f>IF(TRIM('HourGH-APR'!K26)="","      ",'HourGH-APR'!K26)</f>
        <v>0.6</v>
      </c>
      <c r="G29" s="118">
        <f>IF(TRIM('HourGH-APR'!K27)="","      ",'HourGH-APR'!K27)</f>
        <v>0.6</v>
      </c>
      <c r="H29" s="128">
        <f>IF(TRIM('HourGH-APR'!K28)="","      ",'HourGH-APR'!K28)</f>
        <v>0.6</v>
      </c>
      <c r="I29" s="128">
        <f>IF(TRIM('HourGH-APR'!K29)="","      ",'HourGH-APR'!K29)</f>
        <v>0.6</v>
      </c>
      <c r="J29" s="128">
        <f>IF(TRIM('HourGH-APR'!K30)="","      ",'HourGH-APR'!K30)</f>
        <v>0.59</v>
      </c>
      <c r="K29" s="128">
        <f>IF(TRIM('HourGH-APR'!K31)="","      ",'HourGH-APR'!K31)</f>
        <v>0.56999999999999995</v>
      </c>
    </row>
    <row r="30" spans="1:11">
      <c r="A30" s="127" t="s">
        <v>172</v>
      </c>
      <c r="B30" s="128">
        <f>IF(TRIM('HourGH-APR'!K33)="","      ",'HourGH-APR'!K33)</f>
        <v>0.56999999999999995</v>
      </c>
      <c r="C30" s="128">
        <f>IF(TRIM('HourGH-APR'!K34)="","      ",'HourGH-APR'!K34)</f>
        <v>0.57999999999999996</v>
      </c>
      <c r="D30" s="128">
        <f>IF(TRIM('HourGH-APR'!K35)="","      ",'HourGH-APR'!K35)</f>
        <v>0.56999999999999995</v>
      </c>
      <c r="E30" s="128">
        <f>IF(TRIM('HourGH-APR'!K36)="","      ",'HourGH-APR'!K36)</f>
        <v>0.56999999999999995</v>
      </c>
      <c r="F30" s="118">
        <f>IF(TRIM('HourGH-APR'!K37)="","      ",'HourGH-APR'!K37)</f>
        <v>0.56999999999999995</v>
      </c>
      <c r="G30" s="118">
        <f>IF(TRIM('HourGH-APR'!K38)="","      ",'HourGH-APR'!K38)</f>
        <v>0.56000000000000005</v>
      </c>
      <c r="H30" s="128">
        <f>IF(TRIM('HourGH-APR'!K39)="","      ",'HourGH-APR'!K39)</f>
        <v>0.56000000000000005</v>
      </c>
      <c r="I30" s="128">
        <f>IF(TRIM('HourGH-APR'!K40)="","      ",'HourGH-APR'!K40)</f>
        <v>0.56000000000000005</v>
      </c>
      <c r="J30" s="128">
        <f>IF(TRIM('HourGH-APR'!K41)="","      ",'HourGH-APR'!K41)</f>
        <v>0.56000000000000005</v>
      </c>
      <c r="K30" s="128">
        <f>IF(TRIM('HourGH-APR'!K42)="","      ",'HourGH-APR'!K42)</f>
        <v>0.56000000000000005</v>
      </c>
    </row>
    <row r="31" spans="1:11">
      <c r="A31" s="127" t="s">
        <v>173</v>
      </c>
      <c r="B31" s="128">
        <f>IF(TRIM('HourGH-APR'!L11)="","      ",'HourGH-APR'!L11)</f>
        <v>0.44</v>
      </c>
      <c r="C31" s="128">
        <f>IF(TRIM('HourGH-APR'!L12)="","      ",'HourGH-APR'!L12)</f>
        <v>0.72</v>
      </c>
      <c r="D31" s="128">
        <f>IF(TRIM('HourGH-APR'!L13)="","      ",'HourGH-APR'!L13)</f>
        <v>0.63</v>
      </c>
      <c r="E31" s="128">
        <f>IF(TRIM('HourGH-APR'!L14)="","      ",'HourGH-APR'!L14)</f>
        <v>0.52</v>
      </c>
      <c r="F31" s="118">
        <f>IF(TRIM('HourGH-APR'!L15)="","      ",'HourGH-APR'!L15)</f>
        <v>0.57999999999999996</v>
      </c>
      <c r="G31" s="118">
        <f>IF(TRIM('HourGH-APR'!L16)="","      ",'HourGH-APR'!L16)</f>
        <v>0.57999999999999996</v>
      </c>
      <c r="H31" s="128">
        <f>IF(TRIM('HourGH-APR'!L17)="","      ",'HourGH-APR'!L17)</f>
        <v>0.7</v>
      </c>
      <c r="I31" s="128">
        <f>IF(TRIM('HourGH-APR'!L18)="","      ",'HourGH-APR'!L18)</f>
        <v>0.64</v>
      </c>
      <c r="J31" s="128">
        <f>IF(TRIM('HourGH-APR'!L19)="","      ",'HourGH-APR'!L19)</f>
        <v>0.6</v>
      </c>
      <c r="K31" s="128">
        <f>IF(TRIM('HourGH-APR'!L20)="","      ",'HourGH-APR'!L20)</f>
        <v>0.6</v>
      </c>
    </row>
    <row r="32" spans="1:11">
      <c r="A32" s="127" t="s">
        <v>174</v>
      </c>
      <c r="B32" s="128">
        <f>IF(TRIM('HourGH-APR'!L22)="","      ",'HourGH-APR'!L22)</f>
        <v>0.62</v>
      </c>
      <c r="C32" s="128">
        <f>IF(TRIM('HourGH-APR'!L23)="","      ",'HourGH-APR'!L23)</f>
        <v>0.59</v>
      </c>
      <c r="D32" s="128">
        <f>IF(TRIM('HourGH-APR'!L24)="","      ",'HourGH-APR'!L24)</f>
        <v>0.56000000000000005</v>
      </c>
      <c r="E32" s="128">
        <f>IF(TRIM('HourGH-APR'!L25)="","      ",'HourGH-APR'!L25)</f>
        <v>0.6</v>
      </c>
      <c r="F32" s="118">
        <f>IF(TRIM('HourGH-APR'!L26)="","      ",'HourGH-APR'!L26)</f>
        <v>0.6</v>
      </c>
      <c r="G32" s="118">
        <f>IF(TRIM('HourGH-APR'!L27)="","      ",'HourGH-APR'!L27)</f>
        <v>0.6</v>
      </c>
      <c r="H32" s="128">
        <f>IF(TRIM('HourGH-APR'!L28)="","      ",'HourGH-APR'!L28)</f>
        <v>0.6</v>
      </c>
      <c r="I32" s="128">
        <f>IF(TRIM('HourGH-APR'!L29)="","      ",'HourGH-APR'!L29)</f>
        <v>0.6</v>
      </c>
      <c r="J32" s="128">
        <f>IF(TRIM('HourGH-APR'!L30)="","      ",'HourGH-APR'!L30)</f>
        <v>0.59</v>
      </c>
      <c r="K32" s="128">
        <f>IF(TRIM('HourGH-APR'!L31)="","      ",'HourGH-APR'!L31)</f>
        <v>0.56999999999999995</v>
      </c>
    </row>
    <row r="33" spans="1:11">
      <c r="A33" s="127" t="s">
        <v>175</v>
      </c>
      <c r="B33" s="128">
        <f>IF(TRIM('HourGH-APR'!L33)="","      ",'HourGH-APR'!L33)</f>
        <v>0.56999999999999995</v>
      </c>
      <c r="C33" s="128">
        <f>IF(TRIM('HourGH-APR'!L34)="","      ",'HourGH-APR'!L34)</f>
        <v>0.57999999999999996</v>
      </c>
      <c r="D33" s="128">
        <f>IF(TRIM('HourGH-APR'!L35)="","      ",'HourGH-APR'!L35)</f>
        <v>0.56999999999999995</v>
      </c>
      <c r="E33" s="128">
        <f>IF(TRIM('HourGH-APR'!L36)="","      ",'HourGH-APR'!L36)</f>
        <v>0.56999999999999995</v>
      </c>
      <c r="F33" s="118">
        <f>IF(TRIM('HourGH-APR'!L37)="","      ",'HourGH-APR'!L37)</f>
        <v>0.56999999999999995</v>
      </c>
      <c r="G33" s="118">
        <f>IF(TRIM('HourGH-APR'!L38)="","      ",'HourGH-APR'!L38)</f>
        <v>0.56000000000000005</v>
      </c>
      <c r="H33" s="128">
        <f>IF(TRIM('HourGH-APR'!L39)="","      ",'HourGH-APR'!L39)</f>
        <v>0.56000000000000005</v>
      </c>
      <c r="I33" s="128">
        <f>IF(TRIM('HourGH-APR'!L40)="","      ",'HourGH-APR'!L40)</f>
        <v>0.56000000000000005</v>
      </c>
      <c r="J33" s="128">
        <f>IF(TRIM('HourGH-APR'!L41)="","      ",'HourGH-APR'!L41)</f>
        <v>0.56000000000000005</v>
      </c>
      <c r="K33" s="128">
        <f>IF(TRIM('HourGH-APR'!L42)="","      ",'HourGH-APR'!L42)</f>
        <v>0.56000000000000005</v>
      </c>
    </row>
    <row r="34" spans="1:11">
      <c r="A34" s="127" t="s">
        <v>176</v>
      </c>
      <c r="B34" s="128">
        <f>IF(TRIM('HourGH-APR'!M11)="","      ",'HourGH-APR'!M11)</f>
        <v>0.44</v>
      </c>
      <c r="C34" s="128">
        <f>IF(TRIM('HourGH-APR'!M12)="","      ",'HourGH-APR'!M12)</f>
        <v>0.73</v>
      </c>
      <c r="D34" s="128">
        <f>IF(TRIM('HourGH-APR'!M13)="","      ",'HourGH-APR'!M13)</f>
        <v>0.62</v>
      </c>
      <c r="E34" s="128">
        <f>IF(TRIM('HourGH-APR'!M14)="","      ",'HourGH-APR'!M14)</f>
        <v>0.53</v>
      </c>
      <c r="F34" s="118">
        <f>IF(TRIM('HourGH-APR'!M15)="","      ",'HourGH-APR'!M15)</f>
        <v>0.57999999999999996</v>
      </c>
      <c r="G34" s="118">
        <f>IF(TRIM('HourGH-APR'!M16)="","      ",'HourGH-APR'!M16)</f>
        <v>0.57999999999999996</v>
      </c>
      <c r="H34" s="128">
        <f>IF(TRIM('HourGH-APR'!M17)="","      ",'HourGH-APR'!M17)</f>
        <v>0.7</v>
      </c>
      <c r="I34" s="128">
        <f>IF(TRIM('HourGH-APR'!M18)="","      ",'HourGH-APR'!M18)</f>
        <v>0.63</v>
      </c>
      <c r="J34" s="128">
        <f>IF(TRIM('HourGH-APR'!M19)="","      ",'HourGH-APR'!M19)</f>
        <v>0.6</v>
      </c>
      <c r="K34" s="128">
        <f>IF(TRIM('HourGH-APR'!M20)="","      ",'HourGH-APR'!M20)</f>
        <v>0.6</v>
      </c>
    </row>
    <row r="35" spans="1:11">
      <c r="A35" s="127" t="s">
        <v>177</v>
      </c>
      <c r="B35" s="128">
        <f>IF(TRIM('HourGH-APR'!M22)="","      ",'HourGH-APR'!M22)</f>
        <v>0.62</v>
      </c>
      <c r="C35" s="128">
        <f>IF(TRIM('HourGH-APR'!M23)="","      ",'HourGH-APR'!M23)</f>
        <v>0.57999999999999996</v>
      </c>
      <c r="D35" s="128">
        <f>IF(TRIM('HourGH-APR'!M24)="","      ",'HourGH-APR'!M24)</f>
        <v>0.56000000000000005</v>
      </c>
      <c r="E35" s="128">
        <f>IF(TRIM('HourGH-APR'!M25)="","      ",'HourGH-APR'!M25)</f>
        <v>0.6</v>
      </c>
      <c r="F35" s="118">
        <f>IF(TRIM('HourGH-APR'!M26)="","      ",'HourGH-APR'!M26)</f>
        <v>0.6</v>
      </c>
      <c r="G35" s="118">
        <f>IF(TRIM('HourGH-APR'!M27)="","      ",'HourGH-APR'!M27)</f>
        <v>0.6</v>
      </c>
      <c r="H35" s="128">
        <f>IF(TRIM('HourGH-APR'!M28)="","      ",'HourGH-APR'!M28)</f>
        <v>0.6</v>
      </c>
      <c r="I35" s="128">
        <f>IF(TRIM('HourGH-APR'!M29)="","      ",'HourGH-APR'!M29)</f>
        <v>0.6</v>
      </c>
      <c r="J35" s="128">
        <f>IF(TRIM('HourGH-APR'!M30)="","      ",'HourGH-APR'!M30)</f>
        <v>0.59</v>
      </c>
      <c r="K35" s="128">
        <f>IF(TRIM('HourGH-APR'!M31)="","      ",'HourGH-APR'!M31)</f>
        <v>0.56999999999999995</v>
      </c>
    </row>
    <row r="36" spans="1:11">
      <c r="A36" s="127" t="s">
        <v>178</v>
      </c>
      <c r="B36" s="128">
        <f>IF(TRIM('HourGH-APR'!M33)="","      ",'HourGH-APR'!M33)</f>
        <v>0.56999999999999995</v>
      </c>
      <c r="C36" s="128">
        <f>IF(TRIM('HourGH-APR'!M34)="","      ",'HourGH-APR'!M34)</f>
        <v>0.57999999999999996</v>
      </c>
      <c r="D36" s="128">
        <f>IF(TRIM('HourGH-APR'!M35)="","      ",'HourGH-APR'!M35)</f>
        <v>0.56999999999999995</v>
      </c>
      <c r="E36" s="128">
        <f>IF(TRIM('HourGH-APR'!M36)="","      ",'HourGH-APR'!M36)</f>
        <v>0.56999999999999995</v>
      </c>
      <c r="F36" s="118">
        <f>IF(TRIM('HourGH-APR'!M37)="","      ",'HourGH-APR'!M37)</f>
        <v>0.56999999999999995</v>
      </c>
      <c r="G36" s="118">
        <f>IF(TRIM('HourGH-APR'!M38)="","      ",'HourGH-APR'!M38)</f>
        <v>0.56000000000000005</v>
      </c>
      <c r="H36" s="128">
        <f>IF(TRIM('HourGH-APR'!M39)="","      ",'HourGH-APR'!M39)</f>
        <v>0.56000000000000005</v>
      </c>
      <c r="I36" s="128">
        <f>IF(TRIM('HourGH-APR'!M40)="","      ",'HourGH-APR'!M40)</f>
        <v>0.56000000000000005</v>
      </c>
      <c r="J36" s="128">
        <f>IF(TRIM('HourGH-APR'!M41)="","      ",'HourGH-APR'!M41)</f>
        <v>0.56000000000000005</v>
      </c>
      <c r="K36" s="128">
        <f>IF(TRIM('HourGH-APR'!M42)="","      ",'HourGH-APR'!M42)</f>
        <v>0.56000000000000005</v>
      </c>
    </row>
    <row r="37" spans="1:11">
      <c r="A37" s="127" t="s">
        <v>179</v>
      </c>
      <c r="B37" s="128">
        <f>IF(TRIM('HourGH-APR'!N11)="","      ",'HourGH-APR'!N11)</f>
        <v>0.44</v>
      </c>
      <c r="C37" s="128">
        <f>IF(TRIM('HourGH-APR'!N12)="","      ",'HourGH-APR'!N12)</f>
        <v>0.74</v>
      </c>
      <c r="D37" s="128">
        <f>IF(TRIM('HourGH-APR'!N13)="","      ",'HourGH-APR'!N13)</f>
        <v>0.61</v>
      </c>
      <c r="E37" s="128">
        <f>IF(TRIM('HourGH-APR'!N14)="","      ",'HourGH-APR'!N14)</f>
        <v>0.54</v>
      </c>
      <c r="F37" s="118">
        <f>IF(TRIM('HourGH-APR'!N15)="","      ",'HourGH-APR'!N15)</f>
        <v>0.57999999999999996</v>
      </c>
      <c r="G37" s="118">
        <f>IF(TRIM('HourGH-APR'!N16)="","      ",'HourGH-APR'!N16)</f>
        <v>0.59</v>
      </c>
      <c r="H37" s="128">
        <f>IF(TRIM('HourGH-APR'!N17)="","      ",'HourGH-APR'!N17)</f>
        <v>0.71</v>
      </c>
      <c r="I37" s="128">
        <f>IF(TRIM('HourGH-APR'!N18)="","      ",'HourGH-APR'!N18)</f>
        <v>0.63</v>
      </c>
      <c r="J37" s="128">
        <f>IF(TRIM('HourGH-APR'!N19)="","      ",'HourGH-APR'!N19)</f>
        <v>0.6</v>
      </c>
      <c r="K37" s="128">
        <f>IF(TRIM('HourGH-APR'!N20)="","      ",'HourGH-APR'!N20)</f>
        <v>0.6</v>
      </c>
    </row>
    <row r="38" spans="1:11">
      <c r="A38" s="127" t="s">
        <v>180</v>
      </c>
      <c r="B38" s="128">
        <f>IF(TRIM('HourGH-APR'!N22)="","      ",'HourGH-APR'!N22)</f>
        <v>0.62</v>
      </c>
      <c r="C38" s="128">
        <f>IF(TRIM('HourGH-APR'!N23)="","      ",'HourGH-APR'!N23)</f>
        <v>0.57999999999999996</v>
      </c>
      <c r="D38" s="128">
        <f>IF(TRIM('HourGH-APR'!N24)="","      ",'HourGH-APR'!N24)</f>
        <v>0.56000000000000005</v>
      </c>
      <c r="E38" s="128">
        <f>IF(TRIM('HourGH-APR'!N25)="","      ",'HourGH-APR'!N25)</f>
        <v>0.6</v>
      </c>
      <c r="F38" s="118">
        <f>IF(TRIM('HourGH-APR'!N26)="","      ",'HourGH-APR'!N26)</f>
        <v>0.6</v>
      </c>
      <c r="G38" s="118">
        <f>IF(TRIM('HourGH-APR'!N27)="","      ",'HourGH-APR'!N27)</f>
        <v>0.6</v>
      </c>
      <c r="H38" s="128">
        <f>IF(TRIM('HourGH-APR'!N28)="","      ",'HourGH-APR'!N28)</f>
        <v>0.6</v>
      </c>
      <c r="I38" s="128">
        <f>IF(TRIM('HourGH-APR'!N29)="","      ",'HourGH-APR'!N29)</f>
        <v>0.6</v>
      </c>
      <c r="J38" s="128">
        <f>IF(TRIM('HourGH-APR'!N30)="","      ",'HourGH-APR'!N30)</f>
        <v>0.59</v>
      </c>
      <c r="K38" s="128">
        <f>IF(TRIM('HourGH-APR'!N31)="","      ",'HourGH-APR'!N31)</f>
        <v>0.56999999999999995</v>
      </c>
    </row>
    <row r="39" spans="1:11">
      <c r="A39" s="127" t="s">
        <v>181</v>
      </c>
      <c r="B39" s="128">
        <f>IF(TRIM('HourGH-APR'!N33)="","      ",'HourGH-APR'!N33)</f>
        <v>0.56999999999999995</v>
      </c>
      <c r="C39" s="128">
        <f>IF(TRIM('HourGH-APR'!N34)="","      ",'HourGH-APR'!N34)</f>
        <v>0.57999999999999996</v>
      </c>
      <c r="D39" s="128">
        <f>IF(TRIM('HourGH-APR'!N35)="","      ",'HourGH-APR'!N35)</f>
        <v>0.56999999999999995</v>
      </c>
      <c r="E39" s="128">
        <f>IF(TRIM('HourGH-APR'!N36)="","      ",'HourGH-APR'!N36)</f>
        <v>0.56999999999999995</v>
      </c>
      <c r="F39" s="118">
        <f>IF(TRIM('HourGH-APR'!N37)="","      ",'HourGH-APR'!N37)</f>
        <v>0.56999999999999995</v>
      </c>
      <c r="G39" s="118">
        <f>IF(TRIM('HourGH-APR'!N38)="","      ",'HourGH-APR'!N38)</f>
        <v>0.56000000000000005</v>
      </c>
      <c r="H39" s="128">
        <f>IF(TRIM('HourGH-APR'!N39)="","      ",'HourGH-APR'!N39)</f>
        <v>0.56000000000000005</v>
      </c>
      <c r="I39" s="128">
        <f>IF(TRIM('HourGH-APR'!N40)="","      ",'HourGH-APR'!N40)</f>
        <v>0.56000000000000005</v>
      </c>
      <c r="J39" s="128">
        <f>IF(TRIM('HourGH-APR'!N41)="","      ",'HourGH-APR'!N41)</f>
        <v>0.56000000000000005</v>
      </c>
      <c r="K39" s="128">
        <f>IF(TRIM('HourGH-APR'!N42)="","      ",'HourGH-APR'!N42)</f>
        <v>0.56000000000000005</v>
      </c>
    </row>
    <row r="40" spans="1:11">
      <c r="A40" s="127" t="s">
        <v>182</v>
      </c>
      <c r="B40" s="128">
        <f>IF(TRIM('HourGH-APR'!O11)="","      ",'HourGH-APR'!O11)</f>
        <v>0.44</v>
      </c>
      <c r="C40" s="128">
        <f>IF(TRIM('HourGH-APR'!O12)="","      ",'HourGH-APR'!O12)</f>
        <v>0.75</v>
      </c>
      <c r="D40" s="128">
        <f>IF(TRIM('HourGH-APR'!O13)="","      ",'HourGH-APR'!O13)</f>
        <v>0.6</v>
      </c>
      <c r="E40" s="128">
        <f>IF(TRIM('HourGH-APR'!O14)="","      ",'HourGH-APR'!O14)</f>
        <v>0.55000000000000004</v>
      </c>
      <c r="F40" s="118">
        <f>IF(TRIM('HourGH-APR'!O15)="","      ",'HourGH-APR'!O15)</f>
        <v>0.56999999999999995</v>
      </c>
      <c r="G40" s="118">
        <f>IF(TRIM('HourGH-APR'!O16)="","      ",'HourGH-APR'!O16)</f>
        <v>0.59</v>
      </c>
      <c r="H40" s="128">
        <f>IF(TRIM('HourGH-APR'!O17)="","      ",'HourGH-APR'!O17)</f>
        <v>0.71</v>
      </c>
      <c r="I40" s="128">
        <f>IF(TRIM('HourGH-APR'!O18)="","      ",'HourGH-APR'!O18)</f>
        <v>0.63</v>
      </c>
      <c r="J40" s="128">
        <f>IF(TRIM('HourGH-APR'!O19)="","      ",'HourGH-APR'!O19)</f>
        <v>0.6</v>
      </c>
      <c r="K40" s="128">
        <f>IF(TRIM('HourGH-APR'!O20)="","      ",'HourGH-APR'!O20)</f>
        <v>0.61</v>
      </c>
    </row>
    <row r="41" spans="1:11">
      <c r="A41" s="127" t="s">
        <v>183</v>
      </c>
      <c r="B41" s="128">
        <f>IF(TRIM('HourGH-APR'!O22)="","      ",'HourGH-APR'!O22)</f>
        <v>0.61</v>
      </c>
      <c r="C41" s="128">
        <f>IF(TRIM('HourGH-APR'!O23)="","      ",'HourGH-APR'!O23)</f>
        <v>0.57999999999999996</v>
      </c>
      <c r="D41" s="128">
        <f>IF(TRIM('HourGH-APR'!O24)="","      ",'HourGH-APR'!O24)</f>
        <v>0.56000000000000005</v>
      </c>
      <c r="E41" s="128">
        <f>IF(TRIM('HourGH-APR'!O25)="","      ",'HourGH-APR'!O25)</f>
        <v>0.6</v>
      </c>
      <c r="F41" s="118">
        <f>IF(TRIM('HourGH-APR'!O26)="","      ",'HourGH-APR'!O26)</f>
        <v>0.6</v>
      </c>
      <c r="G41" s="118">
        <f>IF(TRIM('HourGH-APR'!O27)="","      ",'HourGH-APR'!O27)</f>
        <v>0.6</v>
      </c>
      <c r="H41" s="128">
        <f>IF(TRIM('HourGH-APR'!O28)="","      ",'HourGH-APR'!O28)</f>
        <v>0.6</v>
      </c>
      <c r="I41" s="128">
        <f>IF(TRIM('HourGH-APR'!O29)="","      ",'HourGH-APR'!O29)</f>
        <v>0.6</v>
      </c>
      <c r="J41" s="128">
        <f>IF(TRIM('HourGH-APR'!O30)="","      ",'HourGH-APR'!O30)</f>
        <v>0.59</v>
      </c>
      <c r="K41" s="128">
        <f>IF(TRIM('HourGH-APR'!O31)="","      ",'HourGH-APR'!O31)</f>
        <v>0.56999999999999995</v>
      </c>
    </row>
    <row r="42" spans="1:11">
      <c r="A42" s="127" t="s">
        <v>184</v>
      </c>
      <c r="B42" s="128">
        <f>IF(TRIM('HourGH-APR'!O33)="","      ",'HourGH-APR'!O33)</f>
        <v>0.56999999999999995</v>
      </c>
      <c r="C42" s="128">
        <f>IF(TRIM('HourGH-APR'!O34)="","      ",'HourGH-APR'!O34)</f>
        <v>0.59</v>
      </c>
      <c r="D42" s="128">
        <f>IF(TRIM('HourGH-APR'!O35)="","      ",'HourGH-APR'!O35)</f>
        <v>0.56999999999999995</v>
      </c>
      <c r="E42" s="128">
        <f>IF(TRIM('HourGH-APR'!O36)="","      ",'HourGH-APR'!O36)</f>
        <v>0.56999999999999995</v>
      </c>
      <c r="F42" s="118">
        <f>IF(TRIM('HourGH-APR'!O37)="","      ",'HourGH-APR'!O37)</f>
        <v>0.56999999999999995</v>
      </c>
      <c r="G42" s="118">
        <f>IF(TRIM('HourGH-APR'!O38)="","      ",'HourGH-APR'!O38)</f>
        <v>0.56000000000000005</v>
      </c>
      <c r="H42" s="128">
        <f>IF(TRIM('HourGH-APR'!O39)="","      ",'HourGH-APR'!O39)</f>
        <v>0.56000000000000005</v>
      </c>
      <c r="I42" s="128">
        <f>IF(TRIM('HourGH-APR'!O40)="","      ",'HourGH-APR'!O40)</f>
        <v>0.56000000000000005</v>
      </c>
      <c r="J42" s="128">
        <f>IF(TRIM('HourGH-APR'!O41)="","      ",'HourGH-APR'!O41)</f>
        <v>0.56000000000000005</v>
      </c>
      <c r="K42" s="128">
        <f>IF(TRIM('HourGH-APR'!O42)="","      ",'HourGH-APR'!O42)</f>
        <v>0.56000000000000005</v>
      </c>
    </row>
    <row r="43" spans="1:11">
      <c r="A43" s="127" t="s">
        <v>185</v>
      </c>
      <c r="B43" s="128">
        <f>IF(TRIM('HourGH-APR'!P11)="","      ",'HourGH-APR'!P11)</f>
        <v>0.45</v>
      </c>
      <c r="C43" s="128">
        <f>IF(TRIM('HourGH-APR'!P12)="","      ",'HourGH-APR'!P12)</f>
        <v>0.76</v>
      </c>
      <c r="D43" s="128">
        <f>IF(TRIM('HourGH-APR'!P13)="","      ",'HourGH-APR'!P13)</f>
        <v>0.59</v>
      </c>
      <c r="E43" s="128">
        <f>IF(TRIM('HourGH-APR'!P14)="","      ",'HourGH-APR'!P14)</f>
        <v>0.56000000000000005</v>
      </c>
      <c r="F43" s="118">
        <f>IF(TRIM('HourGH-APR'!P15)="","      ",'HourGH-APR'!P15)</f>
        <v>0.56999999999999995</v>
      </c>
      <c r="G43" s="118">
        <f>IF(TRIM('HourGH-APR'!P16)="","      ",'HourGH-APR'!P16)</f>
        <v>0.6</v>
      </c>
      <c r="H43" s="128">
        <f>IF(TRIM('HourGH-APR'!P17)="","      ",'HourGH-APR'!P17)</f>
        <v>0.71</v>
      </c>
      <c r="I43" s="128">
        <f>IF(TRIM('HourGH-APR'!P18)="","      ",'HourGH-APR'!P18)</f>
        <v>0.63</v>
      </c>
      <c r="J43" s="128">
        <f>IF(TRIM('HourGH-APR'!P19)="","      ",'HourGH-APR'!P19)</f>
        <v>0.6</v>
      </c>
      <c r="K43" s="128">
        <f>IF(TRIM('HourGH-APR'!P20)="","      ",'HourGH-APR'!P20)</f>
        <v>0.61</v>
      </c>
    </row>
    <row r="44" spans="1:11">
      <c r="A44" s="127" t="s">
        <v>186</v>
      </c>
      <c r="B44" s="128">
        <f>IF(TRIM('HourGH-APR'!P22)="","      ",'HourGH-APR'!P22)</f>
        <v>0.61</v>
      </c>
      <c r="C44" s="128">
        <f>IF(TRIM('HourGH-APR'!P23)="","      ",'HourGH-APR'!P23)</f>
        <v>0.56999999999999995</v>
      </c>
      <c r="D44" s="128">
        <f>IF(TRIM('HourGH-APR'!P24)="","      ",'HourGH-APR'!P24)</f>
        <v>0.56999999999999995</v>
      </c>
      <c r="E44" s="128">
        <f>IF(TRIM('HourGH-APR'!P25)="","      ",'HourGH-APR'!P25)</f>
        <v>0.6</v>
      </c>
      <c r="F44" s="118">
        <f>IF(TRIM('HourGH-APR'!P26)="","      ",'HourGH-APR'!P26)</f>
        <v>0.6</v>
      </c>
      <c r="G44" s="118">
        <f>IF(TRIM('HourGH-APR'!P27)="","      ",'HourGH-APR'!P27)</f>
        <v>0.6</v>
      </c>
      <c r="H44" s="128">
        <f>IF(TRIM('HourGH-APR'!P28)="","      ",'HourGH-APR'!P28)</f>
        <v>0.6</v>
      </c>
      <c r="I44" s="128">
        <f>IF(TRIM('HourGH-APR'!P29)="","      ",'HourGH-APR'!P29)</f>
        <v>0.6</v>
      </c>
      <c r="J44" s="128">
        <f>IF(TRIM('HourGH-APR'!P30)="","      ",'HourGH-APR'!P30)</f>
        <v>0.59</v>
      </c>
      <c r="K44" s="128">
        <f>IF(TRIM('HourGH-APR'!P31)="","      ",'HourGH-APR'!P31)</f>
        <v>0.56999999999999995</v>
      </c>
    </row>
    <row r="45" spans="1:11">
      <c r="A45" s="127" t="s">
        <v>187</v>
      </c>
      <c r="B45" s="128">
        <f>IF(TRIM('HourGH-APR'!P33)="","      ",'HourGH-APR'!P33)</f>
        <v>0.56999999999999995</v>
      </c>
      <c r="C45" s="128">
        <f>IF(TRIM('HourGH-APR'!P34)="","      ",'HourGH-APR'!P34)</f>
        <v>0.59</v>
      </c>
      <c r="D45" s="128">
        <f>IF(TRIM('HourGH-APR'!P35)="","      ",'HourGH-APR'!P35)</f>
        <v>0.56999999999999995</v>
      </c>
      <c r="E45" s="128">
        <f>IF(TRIM('HourGH-APR'!P36)="","      ",'HourGH-APR'!P36)</f>
        <v>0.56999999999999995</v>
      </c>
      <c r="F45" s="118">
        <f>IF(TRIM('HourGH-APR'!P37)="","      ",'HourGH-APR'!P37)</f>
        <v>0.56999999999999995</v>
      </c>
      <c r="G45" s="118">
        <f>IF(TRIM('HourGH-APR'!P38)="","      ",'HourGH-APR'!P38)</f>
        <v>0.56000000000000005</v>
      </c>
      <c r="H45" s="128">
        <f>IF(TRIM('HourGH-APR'!P39)="","      ",'HourGH-APR'!P39)</f>
        <v>0.56000000000000005</v>
      </c>
      <c r="I45" s="128">
        <f>IF(TRIM('HourGH-APR'!P40)="","      ",'HourGH-APR'!P40)</f>
        <v>0.56000000000000005</v>
      </c>
      <c r="J45" s="128">
        <f>IF(TRIM('HourGH-APR'!P41)="","      ",'HourGH-APR'!P41)</f>
        <v>0.56000000000000005</v>
      </c>
      <c r="K45" s="128">
        <f>IF(TRIM('HourGH-APR'!P42)="","      ",'HourGH-APR'!P42)</f>
        <v>0.56000000000000005</v>
      </c>
    </row>
    <row r="46" spans="1:11">
      <c r="A46" s="127" t="s">
        <v>188</v>
      </c>
      <c r="B46" s="128">
        <f>IF(TRIM('HourGH-APR'!Q11)="","      ",'HourGH-APR'!Q11)</f>
        <v>0.45</v>
      </c>
      <c r="C46" s="128">
        <f>IF(TRIM('HourGH-APR'!Q12)="","      ",'HourGH-APR'!Q12)</f>
        <v>0.77</v>
      </c>
      <c r="D46" s="128">
        <f>IF(TRIM('HourGH-APR'!Q13)="","      ",'HourGH-APR'!Q13)</f>
        <v>0.57999999999999996</v>
      </c>
      <c r="E46" s="128">
        <f>IF(TRIM('HourGH-APR'!Q14)="","      ",'HourGH-APR'!Q14)</f>
        <v>0.56000000000000005</v>
      </c>
      <c r="F46" s="118">
        <f>IF(TRIM('HourGH-APR'!Q15)="","      ",'HourGH-APR'!Q15)</f>
        <v>0.56999999999999995</v>
      </c>
      <c r="G46" s="118">
        <f>IF(TRIM('HourGH-APR'!Q16)="","      ",'HourGH-APR'!Q16)</f>
        <v>0.6</v>
      </c>
      <c r="H46" s="128">
        <f>IF(TRIM('HourGH-APR'!Q17)="","      ",'HourGH-APR'!Q17)</f>
        <v>0.71</v>
      </c>
      <c r="I46" s="128">
        <f>IF(TRIM('HourGH-APR'!Q18)="","      ",'HourGH-APR'!Q18)</f>
        <v>0.63</v>
      </c>
      <c r="J46" s="128">
        <f>IF(TRIM('HourGH-APR'!Q19)="","      ",'HourGH-APR'!Q19)</f>
        <v>0.6</v>
      </c>
      <c r="K46" s="128">
        <f>IF(TRIM('HourGH-APR'!Q20)="","      ",'HourGH-APR'!Q20)</f>
        <v>0.61</v>
      </c>
    </row>
    <row r="47" spans="1:11">
      <c r="A47" s="127" t="s">
        <v>189</v>
      </c>
      <c r="B47" s="128">
        <f>IF(TRIM('HourGH-APR'!Q22)="","      ",'HourGH-APR'!Q22)</f>
        <v>0.61</v>
      </c>
      <c r="C47" s="128">
        <f>IF(TRIM('HourGH-APR'!Q23)="","      ",'HourGH-APR'!Q23)</f>
        <v>0.56999999999999995</v>
      </c>
      <c r="D47" s="128">
        <f>IF(TRIM('HourGH-APR'!Q24)="","      ",'HourGH-APR'!Q24)</f>
        <v>0.56999999999999995</v>
      </c>
      <c r="E47" s="128">
        <f>IF(TRIM('HourGH-APR'!Q25)="","      ",'HourGH-APR'!Q25)</f>
        <v>0.6</v>
      </c>
      <c r="F47" s="118">
        <f>IF(TRIM('HourGH-APR'!Q26)="","      ",'HourGH-APR'!Q26)</f>
        <v>0.6</v>
      </c>
      <c r="G47" s="118">
        <f>IF(TRIM('HourGH-APR'!Q27)="","      ",'HourGH-APR'!Q27)</f>
        <v>0.6</v>
      </c>
      <c r="H47" s="128">
        <f>IF(TRIM('HourGH-APR'!Q28)="","      ",'HourGH-APR'!Q28)</f>
        <v>0.6</v>
      </c>
      <c r="I47" s="128">
        <f>IF(TRIM('HourGH-APR'!Q29)="","      ",'HourGH-APR'!Q29)</f>
        <v>0.6</v>
      </c>
      <c r="J47" s="128">
        <f>IF(TRIM('HourGH-APR'!Q30)="","      ",'HourGH-APR'!Q30)</f>
        <v>0.59</v>
      </c>
      <c r="K47" s="128">
        <f>IF(TRIM('HourGH-APR'!Q31)="","      ",'HourGH-APR'!Q31)</f>
        <v>0.56999999999999995</v>
      </c>
    </row>
    <row r="48" spans="1:11">
      <c r="A48" s="127" t="s">
        <v>190</v>
      </c>
      <c r="B48" s="128">
        <f>IF(TRIM('HourGH-APR'!Q33)="","      ",'HourGH-APR'!Q33)</f>
        <v>0.56999999999999995</v>
      </c>
      <c r="C48" s="128">
        <f>IF(TRIM('HourGH-APR'!Q34)="","      ",'HourGH-APR'!Q34)</f>
        <v>0.59</v>
      </c>
      <c r="D48" s="128">
        <f>IF(TRIM('HourGH-APR'!Q35)="","      ",'HourGH-APR'!Q35)</f>
        <v>0.56999999999999995</v>
      </c>
      <c r="E48" s="128">
        <f>IF(TRIM('HourGH-APR'!Q36)="","      ",'HourGH-APR'!Q36)</f>
        <v>0.56999999999999995</v>
      </c>
      <c r="F48" s="118">
        <f>IF(TRIM('HourGH-APR'!Q37)="","      ",'HourGH-APR'!Q37)</f>
        <v>0.56999999999999995</v>
      </c>
      <c r="G48" s="118">
        <f>IF(TRIM('HourGH-APR'!Q38)="","      ",'HourGH-APR'!Q38)</f>
        <v>0.56000000000000005</v>
      </c>
      <c r="H48" s="128">
        <f>IF(TRIM('HourGH-APR'!Q39)="","      ",'HourGH-APR'!Q39)</f>
        <v>0.56000000000000005</v>
      </c>
      <c r="I48" s="128">
        <f>IF(TRIM('HourGH-APR'!Q40)="","      ",'HourGH-APR'!Q40)</f>
        <v>0.56000000000000005</v>
      </c>
      <c r="J48" s="128">
        <f>IF(TRIM('HourGH-APR'!Q41)="","      ",'HourGH-APR'!Q41)</f>
        <v>0.56000000000000005</v>
      </c>
      <c r="K48" s="128">
        <f>IF(TRIM('HourGH-APR'!Q42)="","      ",'HourGH-APR'!Q42)</f>
        <v>0.56000000000000005</v>
      </c>
    </row>
    <row r="49" spans="1:20">
      <c r="A49" s="127" t="s">
        <v>191</v>
      </c>
      <c r="B49" s="128">
        <f>IF(TRIM('HourGH-APR'!R11)="","      ",'HourGH-APR'!R11)</f>
        <v>0.46</v>
      </c>
      <c r="C49" s="128">
        <f>IF(TRIM('HourGH-APR'!R12)="","      ",'HourGH-APR'!R12)</f>
        <v>0.77</v>
      </c>
      <c r="D49" s="128">
        <f>IF(TRIM('HourGH-APR'!R13)="","      ",'HourGH-APR'!R13)</f>
        <v>0.56999999999999995</v>
      </c>
      <c r="E49" s="128">
        <f>IF(TRIM('HourGH-APR'!R14)="","      ",'HourGH-APR'!R14)</f>
        <v>0.56999999999999995</v>
      </c>
      <c r="F49" s="118">
        <f>IF(TRIM('HourGH-APR'!R15)="","      ",'HourGH-APR'!R15)</f>
        <v>0.56999999999999995</v>
      </c>
      <c r="G49" s="118">
        <f>IF(TRIM('HourGH-APR'!R16)="","      ",'HourGH-APR'!R16)</f>
        <v>0.61</v>
      </c>
      <c r="H49" s="128">
        <f>IF(TRIM('HourGH-APR'!R17)="","      ",'HourGH-APR'!R17)</f>
        <v>0.71</v>
      </c>
      <c r="I49" s="128">
        <f>IF(TRIM('HourGH-APR'!R18)="","      ",'HourGH-APR'!R18)</f>
        <v>0.62</v>
      </c>
      <c r="J49" s="128">
        <f>IF(TRIM('HourGH-APR'!R19)="","      ",'HourGH-APR'!R19)</f>
        <v>0.6</v>
      </c>
      <c r="K49" s="128">
        <f>IF(TRIM('HourGH-APR'!R20)="","      ",'HourGH-APR'!R20)</f>
        <v>0.61</v>
      </c>
    </row>
    <row r="50" spans="1:20">
      <c r="A50" s="127" t="s">
        <v>192</v>
      </c>
      <c r="B50" s="128">
        <f>IF(TRIM('HourGH-APR'!R22)="","      ",'HourGH-APR'!R22)</f>
        <v>0.61</v>
      </c>
      <c r="C50" s="128">
        <f>IF(TRIM('HourGH-APR'!R23)="","      ",'HourGH-APR'!R23)</f>
        <v>0.56999999999999995</v>
      </c>
      <c r="D50" s="128">
        <f>IF(TRIM('HourGH-APR'!R24)="","      ",'HourGH-APR'!R24)</f>
        <v>0.56999999999999995</v>
      </c>
      <c r="E50" s="128">
        <f>IF(TRIM('HourGH-APR'!R25)="","      ",'HourGH-APR'!R25)</f>
        <v>0.6</v>
      </c>
      <c r="F50" s="118">
        <f>IF(TRIM('HourGH-APR'!R26)="","      ",'HourGH-APR'!R26)</f>
        <v>0.6</v>
      </c>
      <c r="G50" s="118">
        <f>IF(TRIM('HourGH-APR'!R27)="","      ",'HourGH-APR'!R27)</f>
        <v>0.6</v>
      </c>
      <c r="H50" s="128">
        <f>IF(TRIM('HourGH-APR'!R28)="","      ",'HourGH-APR'!R28)</f>
        <v>0.6</v>
      </c>
      <c r="I50" s="128">
        <f>IF(TRIM('HourGH-APR'!R29)="","      ",'HourGH-APR'!R29)</f>
        <v>0.6</v>
      </c>
      <c r="J50" s="128">
        <f>IF(TRIM('HourGH-APR'!R30)="","      ",'HourGH-APR'!R30)</f>
        <v>0.59</v>
      </c>
      <c r="K50" s="128">
        <f>IF(TRIM('HourGH-APR'!R31)="","      ",'HourGH-APR'!R31)</f>
        <v>0.56999999999999995</v>
      </c>
    </row>
    <row r="51" spans="1:20">
      <c r="A51" s="127" t="s">
        <v>193</v>
      </c>
      <c r="B51" s="128">
        <f>IF(TRIM('HourGH-APR'!R33)="","      ",'HourGH-APR'!R33)</f>
        <v>0.56999999999999995</v>
      </c>
      <c r="C51" s="128">
        <f>IF(TRIM('HourGH-APR'!R34)="","      ",'HourGH-APR'!R34)</f>
        <v>0.59</v>
      </c>
      <c r="D51" s="128">
        <f>IF(TRIM('HourGH-APR'!R35)="","      ",'HourGH-APR'!R35)</f>
        <v>0.56999999999999995</v>
      </c>
      <c r="E51" s="128">
        <f>IF(TRIM('HourGH-APR'!R36)="","      ",'HourGH-APR'!R36)</f>
        <v>0.56999999999999995</v>
      </c>
      <c r="F51" s="118">
        <f>IF(TRIM('HourGH-APR'!R37)="","      ",'HourGH-APR'!R37)</f>
        <v>0.56999999999999995</v>
      </c>
      <c r="G51" s="118">
        <f>IF(TRIM('HourGH-APR'!R38)="","      ",'HourGH-APR'!R38)</f>
        <v>0.56000000000000005</v>
      </c>
      <c r="H51" s="128">
        <f>IF(TRIM('HourGH-APR'!R39)="","      ",'HourGH-APR'!R39)</f>
        <v>0.56000000000000005</v>
      </c>
      <c r="I51" s="128">
        <f>IF(TRIM('HourGH-APR'!R40)="","      ",'HourGH-APR'!R40)</f>
        <v>0.56000000000000005</v>
      </c>
      <c r="J51" s="128">
        <f>IF(TRIM('HourGH-APR'!R41)="","      ",'HourGH-APR'!R41)</f>
        <v>0.56000000000000005</v>
      </c>
      <c r="K51" s="128">
        <f>IF(TRIM('HourGH-APR'!R42)="","      ",'HourGH-APR'!R42)</f>
        <v>0.56000000000000005</v>
      </c>
    </row>
    <row r="52" spans="1:20">
      <c r="A52" s="127" t="s">
        <v>194</v>
      </c>
      <c r="B52" s="128">
        <f>IF(TRIM('HourGH-APR'!S11)="","      ",'HourGH-APR'!S11)</f>
        <v>0.47</v>
      </c>
      <c r="C52" s="128">
        <f>IF(TRIM('HourGH-APR'!S12)="","      ",'HourGH-APR'!S12)</f>
        <v>0.77</v>
      </c>
      <c r="D52" s="128">
        <f>IF(TRIM('HourGH-APR'!S13)="","      ",'HourGH-APR'!S13)</f>
        <v>0.56000000000000005</v>
      </c>
      <c r="E52" s="128">
        <f>IF(TRIM('HourGH-APR'!S14)="","      ",'HourGH-APR'!S14)</f>
        <v>0.56999999999999995</v>
      </c>
      <c r="F52" s="118">
        <f>IF(TRIM('HourGH-APR'!S15)="","      ",'HourGH-APR'!S15)</f>
        <v>0.56000000000000005</v>
      </c>
      <c r="G52" s="118">
        <f>IF(TRIM('HourGH-APR'!S16)="","      ",'HourGH-APR'!S16)</f>
        <v>0.61</v>
      </c>
      <c r="H52" s="128">
        <f>IF(TRIM('HourGH-APR'!S17)="","      ",'HourGH-APR'!S17)</f>
        <v>0.71</v>
      </c>
      <c r="I52" s="128">
        <f>IF(TRIM('HourGH-APR'!S18)="","      ",'HourGH-APR'!S18)</f>
        <v>0.62</v>
      </c>
      <c r="J52" s="128">
        <f>IF(TRIM('HourGH-APR'!S19)="","      ",'HourGH-APR'!S19)</f>
        <v>0.6</v>
      </c>
      <c r="K52" s="128">
        <f>IF(TRIM('HourGH-APR'!S20)="","      ",'HourGH-APR'!S20)</f>
        <v>0.61</v>
      </c>
    </row>
    <row r="53" spans="1:20">
      <c r="A53" s="127" t="s">
        <v>195</v>
      </c>
      <c r="B53" s="128">
        <f>IF(TRIM('HourGH-APR'!S22)="","      ",'HourGH-APR'!S22)</f>
        <v>0.61</v>
      </c>
      <c r="C53" s="128">
        <f>IF(TRIM('HourGH-APR'!S23)="","      ",'HourGH-APR'!S23)</f>
        <v>0.56000000000000005</v>
      </c>
      <c r="D53" s="128">
        <f>IF(TRIM('HourGH-APR'!S24)="","      ",'HourGH-APR'!S24)</f>
        <v>0.56999999999999995</v>
      </c>
      <c r="E53" s="128">
        <f>IF(TRIM('HourGH-APR'!S25)="","      ",'HourGH-APR'!S25)</f>
        <v>0.6</v>
      </c>
      <c r="F53" s="118">
        <f>IF(TRIM('HourGH-APR'!S26)="","      ",'HourGH-APR'!S26)</f>
        <v>0.6</v>
      </c>
      <c r="G53" s="118">
        <f>IF(TRIM('HourGH-APR'!S27)="","      ",'HourGH-APR'!S27)</f>
        <v>0.6</v>
      </c>
      <c r="H53" s="128">
        <f>IF(TRIM('HourGH-APR'!S28)="","      ",'HourGH-APR'!S28)</f>
        <v>0.6</v>
      </c>
      <c r="I53" s="128">
        <f>IF(TRIM('HourGH-APR'!S29)="","      ",'HourGH-APR'!S29)</f>
        <v>0.6</v>
      </c>
      <c r="J53" s="128">
        <f>IF(TRIM('HourGH-APR'!S30)="","      ",'HourGH-APR'!S30)</f>
        <v>0.59</v>
      </c>
      <c r="K53" s="128">
        <f>IF(TRIM('HourGH-APR'!S31)="","      ",'HourGH-APR'!S31)</f>
        <v>0.56999999999999995</v>
      </c>
    </row>
    <row r="54" spans="1:20">
      <c r="A54" s="127" t="s">
        <v>196</v>
      </c>
      <c r="B54" s="128">
        <f>IF(TRIM('HourGH-APR'!S33)="","      ",'HourGH-APR'!S33)</f>
        <v>0.56999999999999995</v>
      </c>
      <c r="C54" s="128">
        <f>IF(TRIM('HourGH-APR'!S34)="","      ",'HourGH-APR'!S34)</f>
        <v>0.59</v>
      </c>
      <c r="D54" s="128">
        <f>IF(TRIM('HourGH-APR'!S35)="","      ",'HourGH-APR'!S35)</f>
        <v>0.56999999999999995</v>
      </c>
      <c r="E54" s="128">
        <f>IF(TRIM('HourGH-APR'!S36)="","      ",'HourGH-APR'!S36)</f>
        <v>0.56999999999999995</v>
      </c>
      <c r="F54" s="118">
        <f>IF(TRIM('HourGH-APR'!S37)="","      ",'HourGH-APR'!S37)</f>
        <v>0.56999999999999995</v>
      </c>
      <c r="G54" s="118">
        <f>IF(TRIM('HourGH-APR'!S38)="","      ",'HourGH-APR'!S38)</f>
        <v>0.56000000000000005</v>
      </c>
      <c r="H54" s="128">
        <f>IF(TRIM('HourGH-APR'!S39)="","      ",'HourGH-APR'!S39)</f>
        <v>0.56000000000000005</v>
      </c>
      <c r="I54" s="128">
        <f>IF(TRIM('HourGH-APR'!S40)="","      ",'HourGH-APR'!S40)</f>
        <v>0.56000000000000005</v>
      </c>
      <c r="J54" s="128">
        <f>IF(TRIM('HourGH-APR'!S41)="","      ",'HourGH-APR'!S41)</f>
        <v>0.56000000000000005</v>
      </c>
      <c r="K54" s="128">
        <f>IF(TRIM('HourGH-APR'!S42)="","      ",'HourGH-APR'!S42)</f>
        <v>0.56000000000000005</v>
      </c>
    </row>
    <row r="55" spans="1:20">
      <c r="A55" s="127" t="s">
        <v>197</v>
      </c>
      <c r="B55" s="128">
        <f>IF(TRIM('HourGH-APR'!T11)="","      ",'HourGH-APR'!T11)</f>
        <v>0.48</v>
      </c>
      <c r="C55" s="128">
        <f>IF(TRIM('HourGH-APR'!T12)="","      ",'HourGH-APR'!T12)</f>
        <v>0.77</v>
      </c>
      <c r="D55" s="128">
        <f>IF(TRIM('HourGH-APR'!T13)="","      ",'HourGH-APR'!T13)</f>
        <v>0.55000000000000004</v>
      </c>
      <c r="E55" s="128">
        <f>IF(TRIM('HourGH-APR'!T14)="","      ",'HourGH-APR'!T14)</f>
        <v>0.57999999999999996</v>
      </c>
      <c r="F55" s="118">
        <f>IF(TRIM('HourGH-APR'!T15)="","      ",'HourGH-APR'!T15)</f>
        <v>0.56000000000000005</v>
      </c>
      <c r="G55" s="118">
        <f>IF(TRIM('HourGH-APR'!T16)="","      ",'HourGH-APR'!T16)</f>
        <v>0.62</v>
      </c>
      <c r="H55" s="128">
        <f>IF(TRIM('HourGH-APR'!T17)="","      ",'HourGH-APR'!T17)</f>
        <v>0.71</v>
      </c>
      <c r="I55" s="128">
        <f>IF(TRIM('HourGH-APR'!T18)="","      ",'HourGH-APR'!T18)</f>
        <v>0.62</v>
      </c>
      <c r="J55" s="128">
        <f>IF(TRIM('HourGH-APR'!T19)="","      ",'HourGH-APR'!T19)</f>
        <v>0.6</v>
      </c>
      <c r="K55" s="128">
        <f>IF(TRIM('HourGH-APR'!T20)="","      ",'HourGH-APR'!T20)</f>
        <v>0.61</v>
      </c>
    </row>
    <row r="56" spans="1:20">
      <c r="A56" s="127" t="s">
        <v>198</v>
      </c>
      <c r="B56" s="128">
        <f>IF(TRIM('HourGH-APR'!T22)="","      ",'HourGH-APR'!T22)</f>
        <v>0.61</v>
      </c>
      <c r="C56" s="128">
        <f>IF(TRIM('HourGH-APR'!T23)="","      ",'HourGH-APR'!T23)</f>
        <v>0.56000000000000005</v>
      </c>
      <c r="D56" s="128">
        <f>IF(TRIM('HourGH-APR'!T24)="","      ",'HourGH-APR'!T24)</f>
        <v>0.57999999999999996</v>
      </c>
      <c r="E56" s="128">
        <f>IF(TRIM('HourGH-APR'!T25)="","      ",'HourGH-APR'!T25)</f>
        <v>0.6</v>
      </c>
      <c r="F56" s="118">
        <f>IF(TRIM('HourGH-APR'!T26)="","      ",'HourGH-APR'!T26)</f>
        <v>0.6</v>
      </c>
      <c r="G56" s="118">
        <f>IF(TRIM('HourGH-APR'!T27)="","      ",'HourGH-APR'!T27)</f>
        <v>0.6</v>
      </c>
      <c r="H56" s="128">
        <f>IF(TRIM('HourGH-APR'!T28)="","      ",'HourGH-APR'!T28)</f>
        <v>0.6</v>
      </c>
      <c r="I56" s="128">
        <f>IF(TRIM('HourGH-APR'!T29)="","      ",'HourGH-APR'!T29)</f>
        <v>0.6</v>
      </c>
      <c r="J56" s="128">
        <f>IF(TRIM('HourGH-APR'!T30)="","      ",'HourGH-APR'!T30)</f>
        <v>0.57999999999999996</v>
      </c>
      <c r="K56" s="128">
        <f>IF(TRIM('HourGH-APR'!T31)="","      ",'HourGH-APR'!T31)</f>
        <v>0.56999999999999995</v>
      </c>
      <c r="N56" s="117">
        <f>B79</f>
        <v>338.16</v>
      </c>
      <c r="O56">
        <v>1</v>
      </c>
      <c r="P56" s="117" t="str">
        <f>B82</f>
        <v>24:00</v>
      </c>
      <c r="R56" s="117">
        <f>B85</f>
        <v>337.94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IF(TRIM('HourGH-APR'!T33)="","      ",'HourGH-APR'!T33)</f>
        <v>0.56999999999999995</v>
      </c>
      <c r="C57" s="128">
        <f>IF(TRIM('HourGH-APR'!T34)="","      ",'HourGH-APR'!T34)</f>
        <v>0.59</v>
      </c>
      <c r="D57" s="128">
        <f>IF(TRIM('HourGH-APR'!T35)="","      ",'HourGH-APR'!T35)</f>
        <v>0.56999999999999995</v>
      </c>
      <c r="E57" s="128">
        <f>IF(TRIM('HourGH-APR'!T36)="","      ",'HourGH-APR'!T36)</f>
        <v>0.56999999999999995</v>
      </c>
      <c r="F57" s="118">
        <f>IF(TRIM('HourGH-APR'!T37)="","      ",'HourGH-APR'!T37)</f>
        <v>0.56999999999999995</v>
      </c>
      <c r="G57" s="118">
        <f>IF(TRIM('HourGH-APR'!T38)="","      ",'HourGH-APR'!T38)</f>
        <v>0.56000000000000005</v>
      </c>
      <c r="H57" s="128">
        <f>IF(TRIM('HourGH-APR'!T39)="","      ",'HourGH-APR'!T39)</f>
        <v>0.56000000000000005</v>
      </c>
      <c r="I57" s="128">
        <f>IF(TRIM('HourGH-APR'!T40)="","      ",'HourGH-APR'!T40)</f>
        <v>0.56000000000000005</v>
      </c>
      <c r="J57" s="128">
        <f>IF(TRIM('HourGH-APR'!T41)="","      ",'HourGH-APR'!T41)</f>
        <v>0.56000000000000005</v>
      </c>
      <c r="K57" s="128">
        <f>IF(TRIM('HourGH-APR'!T42)="","      ",'HourGH-APR'!T42)</f>
        <v>0.56000000000000005</v>
      </c>
      <c r="N57" s="117">
        <f>C79</f>
        <v>338.37</v>
      </c>
      <c r="O57">
        <v>2</v>
      </c>
      <c r="P57" s="117" t="str">
        <f>C82</f>
        <v>15:00</v>
      </c>
      <c r="R57" s="117">
        <f>C85</f>
        <v>338.18</v>
      </c>
      <c r="S57">
        <v>2</v>
      </c>
      <c r="T57" s="117" t="str">
        <f>C88</f>
        <v>1:00</v>
      </c>
    </row>
    <row r="58" spans="1:20">
      <c r="A58" s="127" t="s">
        <v>200</v>
      </c>
      <c r="B58" s="128">
        <f>IF(TRIM('HourGH-APR'!U11)="","      ",'HourGH-APR'!U11)</f>
        <v>0.5</v>
      </c>
      <c r="C58" s="128">
        <f>IF(TRIM('HourGH-APR'!U12)="","      ",'HourGH-APR'!U12)</f>
        <v>0.77</v>
      </c>
      <c r="D58" s="128">
        <f>IF(TRIM('HourGH-APR'!U13)="","      ",'HourGH-APR'!U13)</f>
        <v>0.54</v>
      </c>
      <c r="E58" s="128">
        <f>IF(TRIM('HourGH-APR'!U14)="","      ",'HourGH-APR'!U14)</f>
        <v>0.57999999999999996</v>
      </c>
      <c r="F58" s="118">
        <f>IF(TRIM('HourGH-APR'!U15)="","      ",'HourGH-APR'!U15)</f>
        <v>0.56000000000000005</v>
      </c>
      <c r="G58" s="118">
        <f>IF(TRIM('HourGH-APR'!U16)="","      ",'HourGH-APR'!U16)</f>
        <v>0.62</v>
      </c>
      <c r="H58" s="128">
        <f>IF(TRIM('HourGH-APR'!U17)="","      ",'HourGH-APR'!U17)</f>
        <v>0.7</v>
      </c>
      <c r="I58" s="128">
        <f>IF(TRIM('HourGH-APR'!U18)="","      ",'HourGH-APR'!U18)</f>
        <v>0.62</v>
      </c>
      <c r="J58" s="128">
        <f>IF(TRIM('HourGH-APR'!U19)="","      ",'HourGH-APR'!U19)</f>
        <v>0.6</v>
      </c>
      <c r="K58" s="128">
        <f>IF(TRIM('HourGH-APR'!U20)="","      ",'HourGH-APR'!U20)</f>
        <v>0.61</v>
      </c>
      <c r="N58" s="117">
        <f>D79</f>
        <v>338.33000000000004</v>
      </c>
      <c r="O58">
        <v>3</v>
      </c>
      <c r="P58" s="117" t="str">
        <f>D82</f>
        <v>1:00</v>
      </c>
      <c r="R58" s="117">
        <f>D85</f>
        <v>338.11</v>
      </c>
      <c r="S58">
        <v>3</v>
      </c>
      <c r="T58" s="117" t="str">
        <f>D88</f>
        <v>24:00</v>
      </c>
    </row>
    <row r="59" spans="1:20">
      <c r="A59" s="127" t="s">
        <v>201</v>
      </c>
      <c r="B59" s="128">
        <f>IF(TRIM('HourGH-APR'!U22)="","      ",'HourGH-APR'!U22)</f>
        <v>0.61</v>
      </c>
      <c r="C59" s="128">
        <f>IF(TRIM('HourGH-APR'!U23)="","      ",'HourGH-APR'!U23)</f>
        <v>0.56000000000000005</v>
      </c>
      <c r="D59" s="128">
        <f>IF(TRIM('HourGH-APR'!U24)="","      ",'HourGH-APR'!U24)</f>
        <v>0.57999999999999996</v>
      </c>
      <c r="E59" s="128">
        <f>IF(TRIM('HourGH-APR'!U25)="","      ",'HourGH-APR'!U25)</f>
        <v>0.6</v>
      </c>
      <c r="F59" s="118">
        <f>IF(TRIM('HourGH-APR'!U26)="","      ",'HourGH-APR'!U26)</f>
        <v>0.6</v>
      </c>
      <c r="G59" s="118">
        <f>IF(TRIM('HourGH-APR'!U27)="","      ",'HourGH-APR'!U27)</f>
        <v>0.6</v>
      </c>
      <c r="H59" s="128">
        <f>IF(TRIM('HourGH-APR'!U28)="","      ",'HourGH-APR'!U28)</f>
        <v>0.6</v>
      </c>
      <c r="I59" s="128">
        <f>IF(TRIM('HourGH-APR'!U29)="","      ",'HourGH-APR'!U29)</f>
        <v>0.6</v>
      </c>
      <c r="J59" s="128">
        <f>IF(TRIM('HourGH-APR'!U30)="","      ",'HourGH-APR'!U30)</f>
        <v>0.57999999999999996</v>
      </c>
      <c r="K59" s="128">
        <f>IF(TRIM('HourGH-APR'!U31)="","      ",'HourGH-APR'!U31)</f>
        <v>0.56999999999999995</v>
      </c>
      <c r="N59" s="117">
        <f>E79</f>
        <v>338.20000000000005</v>
      </c>
      <c r="O59">
        <v>4</v>
      </c>
      <c r="P59" s="117" t="str">
        <f>E82</f>
        <v>22:00</v>
      </c>
      <c r="R59" s="117">
        <f>E85</f>
        <v>338.1</v>
      </c>
      <c r="S59">
        <v>4</v>
      </c>
      <c r="T59" s="117" t="str">
        <f>E88</f>
        <v>2:00</v>
      </c>
    </row>
    <row r="60" spans="1:20">
      <c r="A60" s="127" t="s">
        <v>202</v>
      </c>
      <c r="B60" s="128">
        <f>IF(TRIM('HourGH-APR'!U33)="","      ",'HourGH-APR'!U33)</f>
        <v>0.56999999999999995</v>
      </c>
      <c r="C60" s="128">
        <f>IF(TRIM('HourGH-APR'!U34)="","      ",'HourGH-APR'!U34)</f>
        <v>0.59</v>
      </c>
      <c r="D60" s="128">
        <f>IF(TRIM('HourGH-APR'!U35)="","      ",'HourGH-APR'!U35)</f>
        <v>0.56999999999999995</v>
      </c>
      <c r="E60" s="128">
        <f>IF(TRIM('HourGH-APR'!U36)="","      ",'HourGH-APR'!U36)</f>
        <v>0.56999999999999995</v>
      </c>
      <c r="F60" s="118">
        <f>IF(TRIM('HourGH-APR'!U37)="","      ",'HourGH-APR'!U37)</f>
        <v>0.56999999999999995</v>
      </c>
      <c r="G60" s="118">
        <f>IF(TRIM('HourGH-APR'!U38)="","      ",'HourGH-APR'!U38)</f>
        <v>0.56000000000000005</v>
      </c>
      <c r="H60" s="128">
        <f>IF(TRIM('HourGH-APR'!U39)="","      ",'HourGH-APR'!U39)</f>
        <v>0.56000000000000005</v>
      </c>
      <c r="I60" s="128">
        <f>IF(TRIM('HourGH-APR'!U40)="","      ",'HourGH-APR'!U40)</f>
        <v>0.56000000000000005</v>
      </c>
      <c r="J60" s="128">
        <f>IF(TRIM('HourGH-APR'!U41)="","      ",'HourGH-APR'!U41)</f>
        <v>0.56000000000000005</v>
      </c>
      <c r="K60" s="128">
        <f>IF(TRIM('HourGH-APR'!U42)="","      ",'HourGH-APR'!U42)</f>
        <v>0.56000000000000005</v>
      </c>
      <c r="N60" s="117">
        <f>F79</f>
        <v>338.20000000000005</v>
      </c>
      <c r="O60">
        <v>5</v>
      </c>
      <c r="P60" s="117" t="str">
        <f>F82</f>
        <v>1:00</v>
      </c>
      <c r="R60" s="117">
        <f>F85</f>
        <v>338.16</v>
      </c>
      <c r="S60">
        <v>5</v>
      </c>
      <c r="T60" s="117" t="str">
        <f>F88</f>
        <v>17:00</v>
      </c>
    </row>
    <row r="61" spans="1:20">
      <c r="A61" s="127" t="s">
        <v>203</v>
      </c>
      <c r="B61" s="128">
        <f>IF(TRIM('HourGH-APR'!V11)="","      ",'HourGH-APR'!V11)</f>
        <v>0.51</v>
      </c>
      <c r="C61" s="128">
        <f>IF(TRIM('HourGH-APR'!V12)="","      ",'HourGH-APR'!V12)</f>
        <v>0.77</v>
      </c>
      <c r="D61" s="128">
        <f>IF(TRIM('HourGH-APR'!V13)="","      ",'HourGH-APR'!V13)</f>
        <v>0.53</v>
      </c>
      <c r="E61" s="128">
        <f>IF(TRIM('HourGH-APR'!V14)="","      ",'HourGH-APR'!V14)</f>
        <v>0.59</v>
      </c>
      <c r="F61" s="118">
        <f>IF(TRIM('HourGH-APR'!V15)="","      ",'HourGH-APR'!V15)</f>
        <v>0.56000000000000005</v>
      </c>
      <c r="G61" s="118">
        <f>IF(TRIM('HourGH-APR'!V16)="","      ",'HourGH-APR'!V16)</f>
        <v>0.63</v>
      </c>
      <c r="H61" s="128">
        <f>IF(TRIM('HourGH-APR'!V17)="","      ",'HourGH-APR'!V17)</f>
        <v>0.7</v>
      </c>
      <c r="I61" s="128">
        <f>IF(TRIM('HourGH-APR'!V18)="","      ",'HourGH-APR'!V18)</f>
        <v>0.61</v>
      </c>
      <c r="J61" s="128">
        <f>IF(TRIM('HourGH-APR'!V19)="","      ",'HourGH-APR'!V19)</f>
        <v>0.6</v>
      </c>
      <c r="K61" s="128">
        <f>IF(TRIM('HourGH-APR'!V20)="","      ",'HourGH-APR'!V20)</f>
        <v>0.61</v>
      </c>
      <c r="N61" s="117">
        <f>G79</f>
        <v>338.26000000000005</v>
      </c>
      <c r="O61">
        <v>6</v>
      </c>
      <c r="P61" s="117" t="str">
        <f>G82</f>
        <v>24:00</v>
      </c>
      <c r="R61" s="117">
        <f>G85</f>
        <v>338.16</v>
      </c>
      <c r="S61">
        <v>6</v>
      </c>
      <c r="T61" s="117" t="str">
        <f>G88</f>
        <v>1:00</v>
      </c>
    </row>
    <row r="62" spans="1:20">
      <c r="A62" s="127" t="s">
        <v>204</v>
      </c>
      <c r="B62" s="128">
        <f>IF(TRIM('HourGH-APR'!V22)="","      ",'HourGH-APR'!V22)</f>
        <v>0.61</v>
      </c>
      <c r="C62" s="128">
        <f>IF(TRIM('HourGH-APR'!V23)="","      ",'HourGH-APR'!V23)</f>
        <v>0.56000000000000005</v>
      </c>
      <c r="D62" s="128">
        <f>IF(TRIM('HourGH-APR'!V24)="","      ",'HourGH-APR'!V24)</f>
        <v>0.57999999999999996</v>
      </c>
      <c r="E62" s="128">
        <f>IF(TRIM('HourGH-APR'!V25)="","      ",'HourGH-APR'!V25)</f>
        <v>0.6</v>
      </c>
      <c r="F62" s="118">
        <f>IF(TRIM('HourGH-APR'!V26)="","      ",'HourGH-APR'!V26)</f>
        <v>0.6</v>
      </c>
      <c r="G62" s="118">
        <f>IF(TRIM('HourGH-APR'!V27)="","      ",'HourGH-APR'!V27)</f>
        <v>0.6</v>
      </c>
      <c r="H62" s="128">
        <f>IF(TRIM('HourGH-APR'!V28)="","      ",'HourGH-APR'!V28)</f>
        <v>0.6</v>
      </c>
      <c r="I62" s="128">
        <f>IF(TRIM('HourGH-APR'!V29)="","      ",'HourGH-APR'!V29)</f>
        <v>0.6</v>
      </c>
      <c r="J62" s="128">
        <f>IF(TRIM('HourGH-APR'!V30)="","      ",'HourGH-APR'!V30)</f>
        <v>0.57999999999999996</v>
      </c>
      <c r="K62" s="128">
        <f>IF(TRIM('HourGH-APR'!V31)="","      ",'HourGH-APR'!V31)</f>
        <v>0.56999999999999995</v>
      </c>
      <c r="N62" s="117">
        <f>H79</f>
        <v>338.31</v>
      </c>
      <c r="O62">
        <v>7</v>
      </c>
      <c r="P62" s="117" t="str">
        <f>H82</f>
        <v>12:00</v>
      </c>
      <c r="R62" s="117">
        <f>H85</f>
        <v>338.26000000000005</v>
      </c>
      <c r="S62">
        <v>7</v>
      </c>
      <c r="T62" s="117" t="str">
        <f>H88</f>
        <v>1:00</v>
      </c>
    </row>
    <row r="63" spans="1:20">
      <c r="A63" s="127" t="s">
        <v>205</v>
      </c>
      <c r="B63" s="128">
        <f>IF(TRIM('HourGH-APR'!V33)="","      ",'HourGH-APR'!V33)</f>
        <v>0.56999999999999995</v>
      </c>
      <c r="C63" s="128">
        <f>IF(TRIM('HourGH-APR'!V34)="","      ",'HourGH-APR'!V34)</f>
        <v>0.59</v>
      </c>
      <c r="D63" s="128">
        <f>IF(TRIM('HourGH-APR'!V35)="","      ",'HourGH-APR'!V35)</f>
        <v>0.56999999999999995</v>
      </c>
      <c r="E63" s="128">
        <f>IF(TRIM('HourGH-APR'!V36)="","      ",'HourGH-APR'!V36)</f>
        <v>0.56999999999999995</v>
      </c>
      <c r="F63" s="118">
        <f>IF(TRIM('HourGH-APR'!V37)="","      ",'HourGH-APR'!V37)</f>
        <v>0.56999999999999995</v>
      </c>
      <c r="G63" s="118">
        <f>IF(TRIM('HourGH-APR'!V38)="","      ",'HourGH-APR'!V38)</f>
        <v>0.56000000000000005</v>
      </c>
      <c r="H63" s="128">
        <f>IF(TRIM('HourGH-APR'!V39)="","      ",'HourGH-APR'!V39)</f>
        <v>0.56000000000000005</v>
      </c>
      <c r="I63" s="128">
        <f>IF(TRIM('HourGH-APR'!V40)="","      ",'HourGH-APR'!V40)</f>
        <v>0.56000000000000005</v>
      </c>
      <c r="J63" s="128">
        <f>IF(TRIM('HourGH-APR'!V41)="","      ",'HourGH-APR'!V41)</f>
        <v>0.56000000000000005</v>
      </c>
      <c r="K63" s="128">
        <f>IF(TRIM('HourGH-APR'!V42)="","      ",'HourGH-APR'!V42)</f>
        <v>0.56000000000000005</v>
      </c>
      <c r="N63" s="117">
        <f>I79</f>
        <v>338.27000000000004</v>
      </c>
      <c r="O63">
        <v>8</v>
      </c>
      <c r="P63" s="117" t="str">
        <f>I82</f>
        <v>1:00</v>
      </c>
      <c r="R63" s="117">
        <f>I85</f>
        <v>338.21000000000004</v>
      </c>
      <c r="S63">
        <v>8</v>
      </c>
      <c r="T63" s="117" t="str">
        <f>I88</f>
        <v>20:00</v>
      </c>
    </row>
    <row r="64" spans="1:20">
      <c r="A64" s="127" t="s">
        <v>206</v>
      </c>
      <c r="B64" s="128">
        <f>IF(TRIM('HourGH-APR'!W11)="","      ",'HourGH-APR'!W11)</f>
        <v>0.52</v>
      </c>
      <c r="C64" s="128">
        <f>IF(TRIM('HourGH-APR'!W12)="","      ",'HourGH-APR'!W12)</f>
        <v>0.77</v>
      </c>
      <c r="D64" s="128">
        <f>IF(TRIM('HourGH-APR'!W13)="","      ",'HourGH-APR'!W13)</f>
        <v>0.53</v>
      </c>
      <c r="E64" s="128">
        <f>IF(TRIM('HourGH-APR'!W14)="","      ",'HourGH-APR'!W14)</f>
        <v>0.59</v>
      </c>
      <c r="F64" s="118">
        <f>IF(TRIM('HourGH-APR'!W15)="","      ",'HourGH-APR'!W15)</f>
        <v>0.56000000000000005</v>
      </c>
      <c r="G64" s="118">
        <f>IF(TRIM('HourGH-APR'!W16)="","      ",'HourGH-APR'!W16)</f>
        <v>0.63</v>
      </c>
      <c r="H64" s="128">
        <f>IF(TRIM('HourGH-APR'!W17)="","      ",'HourGH-APR'!W17)</f>
        <v>0.69</v>
      </c>
      <c r="I64" s="128">
        <f>IF(TRIM('HourGH-APR'!W18)="","      ",'HourGH-APR'!W18)</f>
        <v>0.61</v>
      </c>
      <c r="J64" s="128">
        <f>IF(TRIM('HourGH-APR'!W19)="","      ",'HourGH-APR'!W19)</f>
        <v>0.6</v>
      </c>
      <c r="K64" s="128">
        <f>IF(TRIM('HourGH-APR'!W20)="","      ",'HourGH-APR'!W20)</f>
        <v>0.61</v>
      </c>
      <c r="N64" s="117">
        <f>J79</f>
        <v>338.20000000000005</v>
      </c>
      <c r="O64">
        <v>9</v>
      </c>
      <c r="P64" s="117" t="str">
        <f>J82</f>
        <v>1:00</v>
      </c>
      <c r="R64" s="117">
        <f>J85</f>
        <v>338.20000000000005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IF(TRIM('HourGH-APR'!W22)="","      ",'HourGH-APR'!W22)</f>
        <v>0.61</v>
      </c>
      <c r="C65" s="128">
        <f>IF(TRIM('HourGH-APR'!W23)="","      ",'HourGH-APR'!W23)</f>
        <v>0.55000000000000004</v>
      </c>
      <c r="D65" s="128">
        <f>IF(TRIM('HourGH-APR'!W24)="","      ",'HourGH-APR'!W24)</f>
        <v>0.57999999999999996</v>
      </c>
      <c r="E65" s="128">
        <f>IF(TRIM('HourGH-APR'!W25)="","      ",'HourGH-APR'!W25)</f>
        <v>0.6</v>
      </c>
      <c r="F65" s="118">
        <f>IF(TRIM('HourGH-APR'!W26)="","      ",'HourGH-APR'!W26)</f>
        <v>0.6</v>
      </c>
      <c r="G65" s="118">
        <f>IF(TRIM('HourGH-APR'!W27)="","      ",'HourGH-APR'!W27)</f>
        <v>0.6</v>
      </c>
      <c r="H65" s="128">
        <f>IF(TRIM('HourGH-APR'!W28)="","      ",'HourGH-APR'!W28)</f>
        <v>0.6</v>
      </c>
      <c r="I65" s="128">
        <f>IF(TRIM('HourGH-APR'!W29)="","      ",'HourGH-APR'!W29)</f>
        <v>0.6</v>
      </c>
      <c r="J65" s="128">
        <f>IF(TRIM('HourGH-APR'!W30)="","      ",'HourGH-APR'!W30)</f>
        <v>0.57999999999999996</v>
      </c>
      <c r="K65" s="128">
        <f>IF(TRIM('HourGH-APR'!W31)="","      ",'HourGH-APR'!W31)</f>
        <v>0.56999999999999995</v>
      </c>
      <c r="N65" s="117">
        <f>K79</f>
        <v>338.21000000000004</v>
      </c>
      <c r="O65">
        <v>10</v>
      </c>
      <c r="P65" s="117" t="str">
        <f>K82</f>
        <v>13:00</v>
      </c>
      <c r="R65" s="117">
        <f>K85</f>
        <v>338.20000000000005</v>
      </c>
      <c r="S65">
        <v>10</v>
      </c>
      <c r="T65" s="117" t="str">
        <f>K88</f>
        <v>1:00</v>
      </c>
    </row>
    <row r="66" spans="1:20">
      <c r="A66" s="127" t="s">
        <v>208</v>
      </c>
      <c r="B66" s="128">
        <f>IF(TRIM('HourGH-APR'!W33)="","      ",'HourGH-APR'!W33)</f>
        <v>0.56999999999999995</v>
      </c>
      <c r="C66" s="128">
        <f>IF(TRIM('HourGH-APR'!W34)="","      ",'HourGH-APR'!W34)</f>
        <v>0.59</v>
      </c>
      <c r="D66" s="128">
        <f>IF(TRIM('HourGH-APR'!W35)="","      ",'HourGH-APR'!W35)</f>
        <v>0.56999999999999995</v>
      </c>
      <c r="E66" s="128">
        <f>IF(TRIM('HourGH-APR'!W36)="","      ",'HourGH-APR'!W36)</f>
        <v>0.56999999999999995</v>
      </c>
      <c r="F66" s="118">
        <f>IF(TRIM('HourGH-APR'!W37)="","      ",'HourGH-APR'!W37)</f>
        <v>0.56999999999999995</v>
      </c>
      <c r="G66" s="118">
        <f>IF(TRIM('HourGH-APR'!W38)="","      ",'HourGH-APR'!W38)</f>
        <v>0.56000000000000005</v>
      </c>
      <c r="H66" s="128">
        <f>IF(TRIM('HourGH-APR'!W39)="","      ",'HourGH-APR'!W39)</f>
        <v>0.56000000000000005</v>
      </c>
      <c r="I66" s="128">
        <f>IF(TRIM('HourGH-APR'!W40)="","      ",'HourGH-APR'!W40)</f>
        <v>0.56000000000000005</v>
      </c>
      <c r="J66" s="128">
        <f>IF(TRIM('HourGH-APR'!W41)="","      ",'HourGH-APR'!W41)</f>
        <v>0.56000000000000005</v>
      </c>
      <c r="K66" s="128">
        <f>IF(TRIM('HourGH-APR'!W42)="","      ",'HourGH-APR'!W42)</f>
        <v>0.56000000000000005</v>
      </c>
      <c r="N66" s="117">
        <f>B80</f>
        <v>338.22</v>
      </c>
      <c r="O66">
        <v>11</v>
      </c>
      <c r="P66" s="117" t="str">
        <f>B83</f>
        <v>1:00</v>
      </c>
      <c r="R66" s="117">
        <f>B86</f>
        <v>338.21000000000004</v>
      </c>
      <c r="S66">
        <v>11</v>
      </c>
      <c r="T66" s="117" t="str">
        <f>B89</f>
        <v>13:00</v>
      </c>
    </row>
    <row r="67" spans="1:20">
      <c r="A67" s="127" t="s">
        <v>209</v>
      </c>
      <c r="B67" s="128">
        <f>IF(TRIM('HourGH-APR'!X11)="","      ",'HourGH-APR'!X11)</f>
        <v>0.53</v>
      </c>
      <c r="C67" s="128">
        <f>IF(TRIM('HourGH-APR'!X12)="","      ",'HourGH-APR'!X12)</f>
        <v>0.76</v>
      </c>
      <c r="D67" s="128">
        <f>IF(TRIM('HourGH-APR'!X13)="","      ",'HourGH-APR'!X13)</f>
        <v>0.52</v>
      </c>
      <c r="E67" s="128">
        <f>IF(TRIM('HourGH-APR'!X14)="","      ",'HourGH-APR'!X14)</f>
        <v>0.6</v>
      </c>
      <c r="F67" s="118">
        <f>IF(TRIM('HourGH-APR'!X15)="","      ",'HourGH-APR'!X15)</f>
        <v>0.56000000000000005</v>
      </c>
      <c r="G67" s="118">
        <f>IF(TRIM('HourGH-APR'!X16)="","      ",'HourGH-APR'!X16)</f>
        <v>0.64</v>
      </c>
      <c r="H67" s="128">
        <f>IF(TRIM('HourGH-APR'!X17)="","      ",'HourGH-APR'!X17)</f>
        <v>0.69</v>
      </c>
      <c r="I67" s="128">
        <f>IF(TRIM('HourGH-APR'!X18)="","      ",'HourGH-APR'!X18)</f>
        <v>0.61</v>
      </c>
      <c r="J67" s="128">
        <f>IF(TRIM('HourGH-APR'!X19)="","      ",'HourGH-APR'!X19)</f>
        <v>0.6</v>
      </c>
      <c r="K67" s="128">
        <f>IF(TRIM('HourGH-APR'!X20)="","      ",'HourGH-APR'!X20)</f>
        <v>0.61</v>
      </c>
      <c r="N67" s="117">
        <f>C80</f>
        <v>338.20000000000005</v>
      </c>
      <c r="O67">
        <v>12</v>
      </c>
      <c r="P67" s="117" t="str">
        <f>C83</f>
        <v>1:00</v>
      </c>
      <c r="R67" s="117">
        <f>C86</f>
        <v>338.15000000000003</v>
      </c>
      <c r="S67">
        <v>12</v>
      </c>
      <c r="T67" s="117" t="str">
        <f>C89</f>
        <v>21:00</v>
      </c>
    </row>
    <row r="68" spans="1:20">
      <c r="A68" s="127" t="s">
        <v>210</v>
      </c>
      <c r="B68" s="128">
        <f>IF(TRIM('HourGH-APR'!X22)="","      ",'HourGH-APR'!X22)</f>
        <v>0.61</v>
      </c>
      <c r="C68" s="128">
        <f>IF(TRIM('HourGH-APR'!X23)="","      ",'HourGH-APR'!X23)</f>
        <v>0.55000000000000004</v>
      </c>
      <c r="D68" s="128">
        <f>IF(TRIM('HourGH-APR'!X24)="","      ",'HourGH-APR'!X24)</f>
        <v>0.59</v>
      </c>
      <c r="E68" s="128">
        <f>IF(TRIM('HourGH-APR'!X25)="","      ",'HourGH-APR'!X25)</f>
        <v>0.6</v>
      </c>
      <c r="F68" s="118">
        <f>IF(TRIM('HourGH-APR'!X26)="","      ",'HourGH-APR'!X26)</f>
        <v>0.6</v>
      </c>
      <c r="G68" s="118">
        <f>IF(TRIM('HourGH-APR'!X27)="","      ",'HourGH-APR'!X27)</f>
        <v>0.6</v>
      </c>
      <c r="H68" s="128">
        <f>IF(TRIM('HourGH-APR'!X28)="","      ",'HourGH-APR'!X28)</f>
        <v>0.6</v>
      </c>
      <c r="I68" s="128">
        <f>IF(TRIM('HourGH-APR'!X29)="","      ",'HourGH-APR'!X29)</f>
        <v>0.6</v>
      </c>
      <c r="J68" s="128">
        <f>IF(TRIM('HourGH-APR'!X30)="","      ",'HourGH-APR'!X30)</f>
        <v>0.57999999999999996</v>
      </c>
      <c r="K68" s="128">
        <f>IF(TRIM('HourGH-APR'!X31)="","      ",'HourGH-APR'!X31)</f>
        <v>0.56999999999999995</v>
      </c>
      <c r="N68" s="117">
        <f>D80</f>
        <v>338.19</v>
      </c>
      <c r="O68">
        <v>13</v>
      </c>
      <c r="P68" s="117" t="str">
        <f>D83</f>
        <v>22:00</v>
      </c>
      <c r="R68" s="117">
        <f>D86</f>
        <v>338.14000000000004</v>
      </c>
      <c r="S68">
        <v>13</v>
      </c>
      <c r="T68" s="117" t="str">
        <f>D89</f>
        <v>1:00</v>
      </c>
    </row>
    <row r="69" spans="1:20">
      <c r="A69" s="127" t="s">
        <v>211</v>
      </c>
      <c r="B69" s="128">
        <f>IF(TRIM('HourGH-APR'!X33)="","      ",'HourGH-APR'!X33)</f>
        <v>0.56999999999999995</v>
      </c>
      <c r="C69" s="128">
        <f>IF(TRIM('HourGH-APR'!X34)="","      ",'HourGH-APR'!X34)</f>
        <v>0.59</v>
      </c>
      <c r="D69" s="128">
        <f>IF(TRIM('HourGH-APR'!X35)="","      ",'HourGH-APR'!X35)</f>
        <v>0.56999999999999995</v>
      </c>
      <c r="E69" s="128">
        <f>IF(TRIM('HourGH-APR'!X36)="","      ",'HourGH-APR'!X36)</f>
        <v>0.56999999999999995</v>
      </c>
      <c r="F69" s="118">
        <f>IF(TRIM('HourGH-APR'!X37)="","      ",'HourGH-APR'!X37)</f>
        <v>0.56999999999999995</v>
      </c>
      <c r="G69" s="118">
        <f>IF(TRIM('HourGH-APR'!X38)="","      ",'HourGH-APR'!X38)</f>
        <v>0.56000000000000005</v>
      </c>
      <c r="H69" s="128">
        <f>IF(TRIM('HourGH-APR'!X39)="","      ",'HourGH-APR'!X39)</f>
        <v>0.56000000000000005</v>
      </c>
      <c r="I69" s="128">
        <f>IF(TRIM('HourGH-APR'!X40)="","      ",'HourGH-APR'!X40)</f>
        <v>0.56000000000000005</v>
      </c>
      <c r="J69" s="128">
        <f>IF(TRIM('HourGH-APR'!X41)="","      ",'HourGH-APR'!X41)</f>
        <v>0.56000000000000005</v>
      </c>
      <c r="K69" s="128">
        <f>IF(TRIM('HourGH-APR'!X42)="","      ",'HourGH-APR'!X42)</f>
        <v>0.56000000000000005</v>
      </c>
      <c r="N69" s="117">
        <f>E80</f>
        <v>338.20000000000005</v>
      </c>
      <c r="O69">
        <v>14</v>
      </c>
      <c r="P69" s="117" t="str">
        <f>E83</f>
        <v>1:00</v>
      </c>
      <c r="R69" s="117">
        <f>E86</f>
        <v>338.20000000000005</v>
      </c>
      <c r="S69">
        <v>14</v>
      </c>
      <c r="T69" s="117" t="str">
        <f>E89</f>
        <v>1:00</v>
      </c>
    </row>
    <row r="70" spans="1:20">
      <c r="A70" s="127" t="s">
        <v>212</v>
      </c>
      <c r="B70" s="128">
        <f>IF(TRIM('HourGH-APR'!Y11)="","      ",'HourGH-APR'!Y11)</f>
        <v>0.55000000000000004</v>
      </c>
      <c r="C70" s="128">
        <f>IF(TRIM('HourGH-APR'!Y12)="","      ",'HourGH-APR'!Y12)</f>
        <v>0.75</v>
      </c>
      <c r="D70" s="128">
        <f>IF(TRIM('HourGH-APR'!Y13)="","      ",'HourGH-APR'!Y13)</f>
        <v>0.52</v>
      </c>
      <c r="E70" s="128">
        <f>IF(TRIM('HourGH-APR'!Y14)="","      ",'HourGH-APR'!Y14)</f>
        <v>0.6</v>
      </c>
      <c r="F70" s="118">
        <f>IF(TRIM('HourGH-APR'!Y15)="","      ",'HourGH-APR'!Y15)</f>
        <v>0.56000000000000005</v>
      </c>
      <c r="G70" s="118">
        <f>IF(TRIM('HourGH-APR'!Y16)="","      ",'HourGH-APR'!Y16)</f>
        <v>0.65</v>
      </c>
      <c r="H70" s="128">
        <f>IF(TRIM('HourGH-APR'!Y17)="","      ",'HourGH-APR'!Y17)</f>
        <v>0.68</v>
      </c>
      <c r="I70" s="128">
        <f>IF(TRIM('HourGH-APR'!Y18)="","      ",'HourGH-APR'!Y18)</f>
        <v>0.61</v>
      </c>
      <c r="J70" s="128">
        <f>IF(TRIM('HourGH-APR'!Y19)="","      ",'HourGH-APR'!Y19)</f>
        <v>0.6</v>
      </c>
      <c r="K70" s="128">
        <f>IF(TRIM('HourGH-APR'!Y20)="","      ",'HourGH-APR'!Y20)</f>
        <v>0.61</v>
      </c>
      <c r="N70" s="117">
        <f>F80</f>
        <v>338.20000000000005</v>
      </c>
      <c r="O70">
        <v>15</v>
      </c>
      <c r="P70" s="117" t="str">
        <f>F83</f>
        <v>1:00</v>
      </c>
      <c r="R70" s="117">
        <f>F86</f>
        <v>338.20000000000005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IF(TRIM('HourGH-APR'!Y22)="","      ",'HourGH-APR'!Y22)</f>
        <v>0.61</v>
      </c>
      <c r="C71" s="128">
        <f>IF(TRIM('HourGH-APR'!Y23)="","      ",'HourGH-APR'!Y23)</f>
        <v>0.55000000000000004</v>
      </c>
      <c r="D71" s="128">
        <f>IF(TRIM('HourGH-APR'!Y24)="","      ",'HourGH-APR'!Y24)</f>
        <v>0.59</v>
      </c>
      <c r="E71" s="128">
        <f>IF(TRIM('HourGH-APR'!Y25)="","      ",'HourGH-APR'!Y25)</f>
        <v>0.6</v>
      </c>
      <c r="F71" s="118">
        <f>IF(TRIM('HourGH-APR'!Y26)="","      ",'HourGH-APR'!Y26)</f>
        <v>0.6</v>
      </c>
      <c r="G71" s="118">
        <f>IF(TRIM('HourGH-APR'!Y27)="","      ",'HourGH-APR'!Y27)</f>
        <v>0.6</v>
      </c>
      <c r="H71" s="128">
        <f>IF(TRIM('HourGH-APR'!Y28)="","      ",'HourGH-APR'!Y28)</f>
        <v>0.6</v>
      </c>
      <c r="I71" s="128">
        <f>IF(TRIM('HourGH-APR'!Y29)="","      ",'HourGH-APR'!Y29)</f>
        <v>0.6</v>
      </c>
      <c r="J71" s="128">
        <f>IF(TRIM('HourGH-APR'!Y30)="","      ",'HourGH-APR'!Y30)</f>
        <v>0.57999999999999996</v>
      </c>
      <c r="K71" s="128">
        <f>IF(TRIM('HourGH-APR'!Y31)="","      ",'HourGH-APR'!Y31)</f>
        <v>0.56999999999999995</v>
      </c>
      <c r="N71" s="117">
        <f>G80</f>
        <v>338.20000000000005</v>
      </c>
      <c r="O71">
        <v>16</v>
      </c>
      <c r="P71" s="117" t="str">
        <f>G83</f>
        <v>1:00</v>
      </c>
      <c r="R71" s="117">
        <f>G86</f>
        <v>338.20000000000005</v>
      </c>
      <c r="S71">
        <v>16</v>
      </c>
      <c r="T71" s="117" t="str">
        <f>G89</f>
        <v>1:00</v>
      </c>
    </row>
    <row r="72" spans="1:20">
      <c r="A72" s="127" t="s">
        <v>214</v>
      </c>
      <c r="B72" s="128">
        <f>IF(TRIM('HourGH-APR'!Y33)="","      ",'HourGH-APR'!Y33)</f>
        <v>0.56999999999999995</v>
      </c>
      <c r="C72" s="128">
        <f>IF(TRIM('HourGH-APR'!Y34)="","      ",'HourGH-APR'!Y34)</f>
        <v>0.59</v>
      </c>
      <c r="D72" s="128">
        <f>IF(TRIM('HourGH-APR'!Y35)="","      ",'HourGH-APR'!Y35)</f>
        <v>0.56999999999999995</v>
      </c>
      <c r="E72" s="128">
        <f>IF(TRIM('HourGH-APR'!Y36)="","      ",'HourGH-APR'!Y36)</f>
        <v>0.56999999999999995</v>
      </c>
      <c r="F72" s="118">
        <f>IF(TRIM('HourGH-APR'!Y37)="","      ",'HourGH-APR'!Y37)</f>
        <v>0.56999999999999995</v>
      </c>
      <c r="G72" s="118">
        <f>IF(TRIM('HourGH-APR'!Y38)="","      ",'HourGH-APR'!Y38)</f>
        <v>0.56000000000000005</v>
      </c>
      <c r="H72" s="128">
        <f>IF(TRIM('HourGH-APR'!Y39)="","      ",'HourGH-APR'!Y39)</f>
        <v>0.56000000000000005</v>
      </c>
      <c r="I72" s="128">
        <f>IF(TRIM('HourGH-APR'!Y40)="","      ",'HourGH-APR'!Y40)</f>
        <v>0.56000000000000005</v>
      </c>
      <c r="J72" s="128">
        <f>IF(TRIM('HourGH-APR'!Y41)="","      ",'HourGH-APR'!Y41)</f>
        <v>0.56000000000000005</v>
      </c>
      <c r="K72" s="128">
        <f>IF(TRIM('HourGH-APR'!Y42)="","      ",'HourGH-APR'!Y42)</f>
        <v>0.56000000000000005</v>
      </c>
      <c r="N72" s="117">
        <f>H80</f>
        <v>338.20000000000005</v>
      </c>
      <c r="O72">
        <v>17</v>
      </c>
      <c r="P72" s="117" t="str">
        <f>H83</f>
        <v>1:00</v>
      </c>
      <c r="R72" s="117">
        <f>H86</f>
        <v>338.20000000000005</v>
      </c>
      <c r="S72">
        <v>17</v>
      </c>
      <c r="T72" s="117" t="str">
        <f>H89</f>
        <v>1:00</v>
      </c>
    </row>
    <row r="73" spans="1:20">
      <c r="A73" s="127" t="s">
        <v>215</v>
      </c>
      <c r="B73" s="128">
        <f>IF(TRIM('HourGH-APR'!Z11)="","      ",'HourGH-APR'!Z11)</f>
        <v>0.56000000000000005</v>
      </c>
      <c r="C73" s="128">
        <f>IF(TRIM('HourGH-APR'!Z12)="","      ",'HourGH-APR'!Z12)</f>
        <v>0.74</v>
      </c>
      <c r="D73" s="128">
        <f>IF(TRIM('HourGH-APR'!Z13)="","      ",'HourGH-APR'!Z13)</f>
        <v>0.51</v>
      </c>
      <c r="E73" s="128">
        <f>IF(TRIM('HourGH-APR'!Z14)="","      ",'HourGH-APR'!Z14)</f>
        <v>0.6</v>
      </c>
      <c r="F73" s="118">
        <f>IF(TRIM('HourGH-APR'!Z15)="","      ",'HourGH-APR'!Z15)</f>
        <v>0.56000000000000005</v>
      </c>
      <c r="G73" s="118">
        <f>IF(TRIM('HourGH-APR'!Z16)="","      ",'HourGH-APR'!Z16)</f>
        <v>0.66</v>
      </c>
      <c r="H73" s="128">
        <f>IF(TRIM('HourGH-APR'!Z17)="","      ",'HourGH-APR'!Z17)</f>
        <v>0.68</v>
      </c>
      <c r="I73" s="128">
        <f>IF(TRIM('HourGH-APR'!Z18)="","      ",'HourGH-APR'!Z18)</f>
        <v>0.61</v>
      </c>
      <c r="J73" s="128">
        <f>IF(TRIM('HourGH-APR'!Z19)="","      ",'HourGH-APR'!Z19)</f>
        <v>0.6</v>
      </c>
      <c r="K73" s="128">
        <f>IF(TRIM('HourGH-APR'!Z20)="","      ",'HourGH-APR'!Z20)</f>
        <v>0.61</v>
      </c>
      <c r="N73" s="117">
        <f>I80</f>
        <v>338.20000000000005</v>
      </c>
      <c r="O73">
        <v>18</v>
      </c>
      <c r="P73" s="117" t="str">
        <f>I83</f>
        <v>1:00</v>
      </c>
      <c r="R73" s="117">
        <f>I86</f>
        <v>338.20000000000005</v>
      </c>
      <c r="S73">
        <v>18</v>
      </c>
      <c r="T73" s="117" t="str">
        <f>I89</f>
        <v>1:00</v>
      </c>
    </row>
    <row r="74" spans="1:20">
      <c r="A74" s="127" t="s">
        <v>216</v>
      </c>
      <c r="B74" s="128">
        <f>IF(TRIM('HourGH-APR'!Z22)="","      ",'HourGH-APR'!Z22)</f>
        <v>0.61</v>
      </c>
      <c r="C74" s="128">
        <f>IF(TRIM('HourGH-APR'!Z23)="","      ",'HourGH-APR'!Z23)</f>
        <v>0.55000000000000004</v>
      </c>
      <c r="D74" s="128">
        <f>IF(TRIM('HourGH-APR'!Z24)="","      ",'HourGH-APR'!Z24)</f>
        <v>0.59</v>
      </c>
      <c r="E74" s="128">
        <f>IF(TRIM('HourGH-APR'!Z25)="","      ",'HourGH-APR'!Z25)</f>
        <v>0.6</v>
      </c>
      <c r="F74" s="118">
        <f>IF(TRIM('HourGH-APR'!Z26)="","      ",'HourGH-APR'!Z26)</f>
        <v>0.6</v>
      </c>
      <c r="G74" s="118">
        <f>IF(TRIM('HourGH-APR'!Z27)="","      ",'HourGH-APR'!Z27)</f>
        <v>0.6</v>
      </c>
      <c r="H74" s="128">
        <f>IF(TRIM('HourGH-APR'!Z28)="","      ",'HourGH-APR'!Z28)</f>
        <v>0.6</v>
      </c>
      <c r="I74" s="128">
        <f>IF(TRIM('HourGH-APR'!Z29)="","      ",'HourGH-APR'!Z29)</f>
        <v>0.6</v>
      </c>
      <c r="J74" s="128">
        <f>IF(TRIM('HourGH-APR'!Z30)="","      ",'HourGH-APR'!Z30)</f>
        <v>0.57999999999999996</v>
      </c>
      <c r="K74" s="128">
        <f>IF(TRIM('HourGH-APR'!Z31)="","      ",'HourGH-APR'!Z31)</f>
        <v>0.56999999999999995</v>
      </c>
      <c r="N74" s="117">
        <f>J80</f>
        <v>338.20000000000005</v>
      </c>
      <c r="O74">
        <v>19</v>
      </c>
      <c r="P74" s="117" t="str">
        <f>J83</f>
        <v>1:00</v>
      </c>
      <c r="R74" s="117">
        <f>J86</f>
        <v>338.18</v>
      </c>
      <c r="S74">
        <v>19</v>
      </c>
      <c r="T74" s="117" t="str">
        <f>J89</f>
        <v>18:00</v>
      </c>
    </row>
    <row r="75" spans="1:20">
      <c r="A75" s="127" t="s">
        <v>217</v>
      </c>
      <c r="B75" s="128">
        <f>IF(TRIM('HourGH-APR'!Z33)="","      ",'HourGH-APR'!Z33)</f>
        <v>0.56999999999999995</v>
      </c>
      <c r="C75" s="128">
        <f>IF(TRIM('HourGH-APR'!Z34)="","      ",'HourGH-APR'!Z34)</f>
        <v>0.59</v>
      </c>
      <c r="D75" s="128">
        <f>IF(TRIM('HourGH-APR'!Z35)="","      ",'HourGH-APR'!Z35)</f>
        <v>0.56999999999999995</v>
      </c>
      <c r="E75" s="128">
        <f>IF(TRIM('HourGH-APR'!Z36)="","      ",'HourGH-APR'!Z36)</f>
        <v>0.56999999999999995</v>
      </c>
      <c r="F75" s="118">
        <f>IF(TRIM('HourGH-APR'!Z37)="","      ",'HourGH-APR'!Z37)</f>
        <v>0.56999999999999995</v>
      </c>
      <c r="G75" s="118">
        <f>IF(TRIM('HourGH-APR'!Z38)="","      ",'HourGH-APR'!Z38)</f>
        <v>0.56000000000000005</v>
      </c>
      <c r="H75" s="128">
        <f>IF(TRIM('HourGH-APR'!Z39)="","      ",'HourGH-APR'!Z39)</f>
        <v>0.56000000000000005</v>
      </c>
      <c r="I75" s="128">
        <f>IF(TRIM('HourGH-APR'!Z40)="","      ",'HourGH-APR'!Z40)</f>
        <v>0.56000000000000005</v>
      </c>
      <c r="J75" s="128">
        <f>IF(TRIM('HourGH-APR'!Z41)="","      ",'HourGH-APR'!Z41)</f>
        <v>0.56000000000000005</v>
      </c>
      <c r="K75" s="128">
        <f>IF(TRIM('HourGH-APR'!Z42)="","      ",'HourGH-APR'!Z42)</f>
        <v>0.56000000000000005</v>
      </c>
      <c r="N75" s="117">
        <f>K80</f>
        <v>338.17</v>
      </c>
      <c r="O75">
        <v>20</v>
      </c>
      <c r="P75" s="117" t="str">
        <f>K83</f>
        <v>1:00</v>
      </c>
      <c r="R75" s="117">
        <f>K86</f>
        <v>338.17</v>
      </c>
      <c r="S75">
        <v>20</v>
      </c>
      <c r="T75" s="117" t="str">
        <f>K89</f>
        <v>1:00</v>
      </c>
    </row>
    <row r="76" spans="1:20">
      <c r="A76" t="s">
        <v>228</v>
      </c>
      <c r="B76" s="119">
        <f>IF(TRIM('HourGH-APR'!AB11)="","",'HourGH-APR'!AB11)</f>
        <v>338.05416666666667</v>
      </c>
      <c r="C76" s="119">
        <f>IF(TRIM('HourGH-APR'!AB12)="","",'HourGH-APR'!AB12)</f>
        <v>338.31666666666666</v>
      </c>
      <c r="D76" s="119">
        <f>IF(TRIM('HourGH-APR'!AB13)="","",'HourGH-APR'!AB13)</f>
        <v>338.21250000000003</v>
      </c>
      <c r="E76" s="119">
        <f>IF(TRIM('HourGH-APR'!AB14)="","",'HourGH-APR'!AB14)</f>
        <v>338.14583333333337</v>
      </c>
      <c r="F76" s="119">
        <f>IF(TRIM('HourGH-APR'!AB15)="","",'HourGH-APR'!AB15)</f>
        <v>338.17625000000004</v>
      </c>
      <c r="G76" s="119">
        <f>IF(TRIM('HourGH-APR'!AB16)="","",'HourGH-APR'!AB16)</f>
        <v>338.19708333333335</v>
      </c>
      <c r="H76" s="119">
        <f>IF(TRIM('HourGH-APR'!AB17)="","",'HourGH-APR'!AB17)</f>
        <v>338.29333333333335</v>
      </c>
      <c r="I76" s="119">
        <f>IF(TRIM('HourGH-APR'!AB18)="","",'HourGH-APR'!AB18)</f>
        <v>338.23375000000004</v>
      </c>
      <c r="J76" s="119">
        <f>IF(TRIM('HourGH-APR'!AB19)="","",'HourGH-APR'!AB19)</f>
        <v>338.20000000000005</v>
      </c>
      <c r="K76" s="119">
        <f>IF(TRIM('HourGH-APR'!AB20)="","",'HourGH-APR'!AB20)</f>
        <v>338.20500000000004</v>
      </c>
      <c r="N76" s="117">
        <f>B81</f>
        <v>338.17</v>
      </c>
      <c r="O76">
        <v>21</v>
      </c>
      <c r="P76" s="117" t="str">
        <f>B84</f>
        <v>1:00</v>
      </c>
      <c r="R76" s="117">
        <f>B87</f>
        <v>338.17</v>
      </c>
      <c r="S76">
        <v>21</v>
      </c>
      <c r="T76" s="117" t="str">
        <f>B90</f>
        <v>1:00</v>
      </c>
    </row>
    <row r="77" spans="1:20">
      <c r="A77" t="s">
        <v>229</v>
      </c>
      <c r="B77" s="119">
        <f>IF(TRIM('HourGH-APR'!AB22)="","",'HourGH-APR'!AB22)</f>
        <v>338.21500000000003</v>
      </c>
      <c r="C77" s="119">
        <f>IF(TRIM('HourGH-APR'!AB23)="","",'HourGH-APR'!AB23)</f>
        <v>338.17750000000001</v>
      </c>
      <c r="D77" s="119">
        <f>IF(TRIM('HourGH-APR'!AB24)="","",'HourGH-APR'!AB24)</f>
        <v>338.16250000000002</v>
      </c>
      <c r="E77" s="119">
        <f>IF(TRIM('HourGH-APR'!AB25)="","",'HourGH-APR'!AB25)</f>
        <v>338.20000000000005</v>
      </c>
      <c r="F77" s="119">
        <f>IF(TRIM('HourGH-APR'!AB26)="","",'HourGH-APR'!AB26)</f>
        <v>338.20000000000005</v>
      </c>
      <c r="G77" s="119">
        <f>IF(TRIM('HourGH-APR'!AB27)="","",'HourGH-APR'!AB27)</f>
        <v>338.20000000000005</v>
      </c>
      <c r="H77" s="119">
        <f>IF(TRIM('HourGH-APR'!AB28)="","",'HourGH-APR'!AB28)</f>
        <v>338.20000000000005</v>
      </c>
      <c r="I77" s="119">
        <f>IF(TRIM('HourGH-APR'!AB29)="","",'HourGH-APR'!AB29)</f>
        <v>338.20000000000005</v>
      </c>
      <c r="J77" s="119">
        <f>IF(TRIM('HourGH-APR'!AB30)="","",'HourGH-APR'!AB30)</f>
        <v>338.18958333333336</v>
      </c>
      <c r="K77" s="119">
        <f>IF(TRIM('HourGH-APR'!AB31)="","",'HourGH-APR'!AB31)</f>
        <v>338.17</v>
      </c>
      <c r="N77" s="117">
        <f>C81</f>
        <v>338.19</v>
      </c>
      <c r="O77">
        <v>22</v>
      </c>
      <c r="P77" s="117" t="str">
        <f>C84</f>
        <v>13:00</v>
      </c>
      <c r="R77" s="117">
        <f>C87</f>
        <v>338.17</v>
      </c>
      <c r="S77">
        <v>22</v>
      </c>
      <c r="T77" s="117" t="str">
        <f>C90</f>
        <v>1:00</v>
      </c>
    </row>
    <row r="78" spans="1:20">
      <c r="A78" t="s">
        <v>230</v>
      </c>
      <c r="B78" s="119">
        <f>IF(TRIM('HourGH-APR'!AB33)="","",'HourGH-APR'!AB33)</f>
        <v>338.17</v>
      </c>
      <c r="C78" s="119">
        <f>IF(TRIM('HourGH-APR'!AB34)="","",'HourGH-APR'!AB34)</f>
        <v>338.1825</v>
      </c>
      <c r="D78" s="119">
        <f>IF(TRIM('HourGH-APR'!AB35)="","",'HourGH-APR'!AB35)</f>
        <v>338.17208333333338</v>
      </c>
      <c r="E78" s="119">
        <f>IF(TRIM('HourGH-APR'!AB36)="","",'HourGH-APR'!AB36)</f>
        <v>338.17</v>
      </c>
      <c r="F78" s="119">
        <f>IF(TRIM('HourGH-APR'!AB37)="","",'HourGH-APR'!AB37)</f>
        <v>338.17</v>
      </c>
      <c r="G78" s="119">
        <f>IF(TRIM('HourGH-APR'!AB38)="","",'HourGH-APR'!AB38)</f>
        <v>338.16</v>
      </c>
      <c r="H78" s="119">
        <f>IF(TRIM('HourGH-APR'!AB39)="","",'HourGH-APR'!AB39)</f>
        <v>338.16</v>
      </c>
      <c r="I78" s="119">
        <f>IF(TRIM('HourGH-APR'!AB40)="","",'HourGH-APR'!AB40)</f>
        <v>338.16</v>
      </c>
      <c r="J78" s="119">
        <f>IF(TRIM('HourGH-APR'!AB41)="","",'HourGH-APR'!AB41)</f>
        <v>338.16</v>
      </c>
      <c r="K78" s="119">
        <f>IF(TRIM('HourGH-APR'!AB42)="","",'HourGH-APR'!AB42)</f>
        <v>338.16</v>
      </c>
      <c r="N78" s="117">
        <f>D81</f>
        <v>338.18</v>
      </c>
      <c r="O78">
        <v>23</v>
      </c>
      <c r="P78" s="117" t="str">
        <f>D84</f>
        <v>1:00</v>
      </c>
      <c r="R78" s="117">
        <f>D87</f>
        <v>338.17</v>
      </c>
      <c r="S78">
        <v>23</v>
      </c>
      <c r="T78" s="117" t="str">
        <f>D90</f>
        <v>6:00</v>
      </c>
    </row>
    <row r="79" spans="1:20">
      <c r="A79" t="s">
        <v>231</v>
      </c>
      <c r="B79" s="119">
        <f>IF(TRIM('HourGH-APR'!AC11)="","",'HourGH-APR'!AC11)</f>
        <v>338.16</v>
      </c>
      <c r="C79" s="119">
        <f>IF(TRIM('HourGH-APR'!AC12)="","",'HourGH-APR'!AC12)</f>
        <v>338.37</v>
      </c>
      <c r="D79" s="119">
        <f>IF(TRIM('HourGH-APR'!AC13)="","",'HourGH-APR'!AC13)</f>
        <v>338.33000000000004</v>
      </c>
      <c r="E79" s="119">
        <f>IF(TRIM('HourGH-APR'!AC14)="","",'HourGH-APR'!AC14)</f>
        <v>338.20000000000005</v>
      </c>
      <c r="F79" s="119">
        <f>IF(TRIM('HourGH-APR'!AC15)="","",'HourGH-APR'!AC15)</f>
        <v>338.20000000000005</v>
      </c>
      <c r="G79" s="119">
        <f>IF(TRIM('HourGH-APR'!AC16)="","",'HourGH-APR'!AC16)</f>
        <v>338.26000000000005</v>
      </c>
      <c r="H79" s="119">
        <f>IF(TRIM('HourGH-APR'!AC17)="","",'HourGH-APR'!AC17)</f>
        <v>338.31</v>
      </c>
      <c r="I79" s="119">
        <f>IF(TRIM('HourGH-APR'!AC18)="","",'HourGH-APR'!AC18)</f>
        <v>338.27000000000004</v>
      </c>
      <c r="J79" s="119">
        <f>IF(TRIM('HourGH-APR'!AC19)="","",'HourGH-APR'!AC19)</f>
        <v>338.20000000000005</v>
      </c>
      <c r="K79" s="119">
        <f>IF(TRIM('HourGH-APR'!AC20)="","",'HourGH-APR'!AC20)</f>
        <v>338.21000000000004</v>
      </c>
      <c r="N79" s="117">
        <f>E81</f>
        <v>338.17</v>
      </c>
      <c r="O79">
        <v>24</v>
      </c>
      <c r="P79" s="117" t="str">
        <f>E84</f>
        <v>1:00</v>
      </c>
      <c r="R79" s="117">
        <f>E87</f>
        <v>338.17</v>
      </c>
      <c r="S79">
        <v>24</v>
      </c>
      <c r="T79" s="117" t="str">
        <f>E90</f>
        <v>1:00</v>
      </c>
    </row>
    <row r="80" spans="1:20">
      <c r="A80" t="s">
        <v>232</v>
      </c>
      <c r="B80" s="119">
        <f>IF(TRIM('HourGH-APR'!AC22)="","",'HourGH-APR'!AC22)</f>
        <v>338.22</v>
      </c>
      <c r="C80" s="119">
        <f>IF(TRIM('HourGH-APR'!AC23)="","",'HourGH-APR'!AC23)</f>
        <v>338.20000000000005</v>
      </c>
      <c r="D80" s="119">
        <f>IF(TRIM('HourGH-APR'!AC24)="","",'HourGH-APR'!AC24)</f>
        <v>338.19</v>
      </c>
      <c r="E80" s="119">
        <f>IF(TRIM('HourGH-APR'!AC25)="","",'HourGH-APR'!AC25)</f>
        <v>338.20000000000005</v>
      </c>
      <c r="F80" s="119">
        <f>IF(TRIM('HourGH-APR'!AC26)="","",'HourGH-APR'!AC26)</f>
        <v>338.20000000000005</v>
      </c>
      <c r="G80" s="119">
        <f>IF(TRIM('HourGH-APR'!AC27)="","",'HourGH-APR'!AC27)</f>
        <v>338.20000000000005</v>
      </c>
      <c r="H80" s="119">
        <f>IF(TRIM('HourGH-APR'!AC28)="","",'HourGH-APR'!AC28)</f>
        <v>338.20000000000005</v>
      </c>
      <c r="I80" s="119">
        <f>IF(TRIM('HourGH-APR'!AC29)="","",'HourGH-APR'!AC29)</f>
        <v>338.20000000000005</v>
      </c>
      <c r="J80" s="119">
        <f>IF(TRIM('HourGH-APR'!AC30)="","",'HourGH-APR'!AC30)</f>
        <v>338.20000000000005</v>
      </c>
      <c r="K80" s="119">
        <f>IF(TRIM('HourGH-APR'!AC31)="","",'HourGH-APR'!AC31)</f>
        <v>338.17</v>
      </c>
      <c r="N80" s="117">
        <f>F81</f>
        <v>338.17</v>
      </c>
      <c r="O80">
        <v>25</v>
      </c>
      <c r="P80" s="117" t="str">
        <f>F84</f>
        <v>1:00</v>
      </c>
      <c r="R80" s="117">
        <f>F87</f>
        <v>338.17</v>
      </c>
      <c r="S80">
        <v>25</v>
      </c>
      <c r="T80" s="117" t="str">
        <f>F90</f>
        <v>1:00</v>
      </c>
    </row>
    <row r="81" spans="1:20">
      <c r="A81" t="s">
        <v>233</v>
      </c>
      <c r="B81" s="119">
        <f>IF(TRIM('HourGH-APR'!AC33)="","",'HourGH-APR'!AC33)</f>
        <v>338.17</v>
      </c>
      <c r="C81" s="119">
        <f>IF(TRIM('HourGH-APR'!AC34)="","",'HourGH-APR'!AC34)</f>
        <v>338.19</v>
      </c>
      <c r="D81" s="119">
        <f>IF(TRIM('HourGH-APR'!AC35)="","",'HourGH-APR'!AC35)</f>
        <v>338.18</v>
      </c>
      <c r="E81" s="119">
        <f>IF(TRIM('HourGH-APR'!AC36)="","",'HourGH-APR'!AC36)</f>
        <v>338.17</v>
      </c>
      <c r="F81" s="119">
        <f>IF(TRIM('HourGH-APR'!AC37)="","",'HourGH-APR'!AC37)</f>
        <v>338.17</v>
      </c>
      <c r="G81" s="119">
        <f>IF(TRIM('HourGH-APR'!AC38)="","",'HourGH-APR'!AC38)</f>
        <v>338.16</v>
      </c>
      <c r="H81" s="119">
        <f>IF(TRIM('HourGH-APR'!AC39)="","",'HourGH-APR'!AC39)</f>
        <v>338.16</v>
      </c>
      <c r="I81" s="119">
        <f>IF(TRIM('HourGH-APR'!AC40)="","",'HourGH-APR'!AC40)</f>
        <v>338.16</v>
      </c>
      <c r="J81" s="119">
        <f>IF(TRIM('HourGH-APR'!AC41)="","",'HourGH-APR'!AC41)</f>
        <v>338.16</v>
      </c>
      <c r="K81" s="119">
        <f>IF(TRIM('HourGH-APR'!AC42)="","",'HourGH-APR'!AC42)</f>
        <v>338.16</v>
      </c>
      <c r="N81" s="117">
        <f>G81</f>
        <v>338.16</v>
      </c>
      <c r="O81">
        <v>26</v>
      </c>
      <c r="P81" s="117" t="str">
        <f>G84</f>
        <v>1:00</v>
      </c>
      <c r="R81" s="117">
        <f>G87</f>
        <v>338.16</v>
      </c>
      <c r="S81">
        <v>26</v>
      </c>
      <c r="T81" s="117" t="str">
        <f>G90</f>
        <v>1:00</v>
      </c>
    </row>
    <row r="82" spans="1:20">
      <c r="A82" t="s">
        <v>219</v>
      </c>
      <c r="B82" s="119" t="str">
        <f>'HourGH-APR'!AD11&amp;":00"</f>
        <v>24:00</v>
      </c>
      <c r="C82" s="119" t="str">
        <f>'HourGH-APR'!AD12&amp;":00"</f>
        <v>15:00</v>
      </c>
      <c r="D82" s="119" t="str">
        <f>'HourGH-APR'!AD13&amp;":00"</f>
        <v>1:00</v>
      </c>
      <c r="E82" s="119" t="str">
        <f>'HourGH-APR'!AD14&amp;":00"</f>
        <v>22:00</v>
      </c>
      <c r="F82" s="119" t="str">
        <f>'HourGH-APR'!AD15&amp;":00"</f>
        <v>1:00</v>
      </c>
      <c r="G82" s="119" t="str">
        <f>'HourGH-APR'!AD16&amp;":00"</f>
        <v>24:00</v>
      </c>
      <c r="H82" s="119" t="str">
        <f>'HourGH-APR'!AD17&amp;":00"</f>
        <v>12:00</v>
      </c>
      <c r="I82" s="119" t="str">
        <f>'HourGH-APR'!AD18&amp;":00"</f>
        <v>1:00</v>
      </c>
      <c r="J82" s="119" t="str">
        <f>'HourGH-APR'!AD19&amp;":00"</f>
        <v>1:00</v>
      </c>
      <c r="K82" s="119" t="str">
        <f>'HourGH-APR'!AD20&amp;":00"</f>
        <v>13:00</v>
      </c>
      <c r="N82" s="117">
        <f>H81</f>
        <v>338.16</v>
      </c>
      <c r="O82">
        <v>27</v>
      </c>
      <c r="P82" s="117" t="str">
        <f>H84</f>
        <v>1:00</v>
      </c>
      <c r="R82" s="117">
        <f>H87</f>
        <v>338.16</v>
      </c>
      <c r="S82">
        <v>27</v>
      </c>
      <c r="T82" s="117" t="str">
        <f>H90</f>
        <v>1:00</v>
      </c>
    </row>
    <row r="83" spans="1:20">
      <c r="A83" t="s">
        <v>220</v>
      </c>
      <c r="B83" s="119" t="str">
        <f>'HourGH-APR'!AD22&amp;":00"</f>
        <v>1:00</v>
      </c>
      <c r="C83" s="119" t="str">
        <f>'HourGH-APR'!AD23&amp;":00"</f>
        <v>1:00</v>
      </c>
      <c r="D83" s="119" t="str">
        <f>'HourGH-APR'!AD24&amp;":00"</f>
        <v>22:00</v>
      </c>
      <c r="E83" s="119" t="str">
        <f>'HourGH-APR'!AD25&amp;":00"</f>
        <v>1:00</v>
      </c>
      <c r="F83" s="119" t="str">
        <f>'HourGH-APR'!AD26&amp;":00"</f>
        <v>1:00</v>
      </c>
      <c r="G83" s="119" t="str">
        <f>'HourGH-APR'!AD27&amp;":00"</f>
        <v>1:00</v>
      </c>
      <c r="H83" s="119" t="str">
        <f>'HourGH-APR'!AD28&amp;":00"</f>
        <v>1:00</v>
      </c>
      <c r="I83" s="119" t="str">
        <f>'HourGH-APR'!AD29&amp;":00"</f>
        <v>1:00</v>
      </c>
      <c r="J83" s="119" t="str">
        <f>'HourGH-APR'!AD30&amp;":00"</f>
        <v>1:00</v>
      </c>
      <c r="K83" s="119" t="str">
        <f>'HourGH-APR'!AD31&amp;":00"</f>
        <v>1:00</v>
      </c>
      <c r="N83" s="117">
        <f>I81</f>
        <v>338.16</v>
      </c>
      <c r="O83">
        <v>28</v>
      </c>
      <c r="P83" s="117" t="str">
        <f>I84</f>
        <v>1:00</v>
      </c>
      <c r="R83" s="117">
        <f>I87</f>
        <v>338.16</v>
      </c>
      <c r="S83">
        <v>28</v>
      </c>
      <c r="T83" s="117" t="str">
        <f>I90</f>
        <v>1:00</v>
      </c>
    </row>
    <row r="84" spans="1:20">
      <c r="A84" t="s">
        <v>221</v>
      </c>
      <c r="B84" s="119" t="str">
        <f>'HourGH-APR'!AD33&amp;":00"</f>
        <v>1:00</v>
      </c>
      <c r="C84" s="119" t="str">
        <f>'HourGH-APR'!AD34&amp;":00"</f>
        <v>13:00</v>
      </c>
      <c r="D84" s="119" t="str">
        <f>'HourGH-APR'!AD35&amp;":00"</f>
        <v>1:00</v>
      </c>
      <c r="E84" s="119" t="str">
        <f>'HourGH-APR'!AD36&amp;":00"</f>
        <v>1:00</v>
      </c>
      <c r="F84" s="119" t="str">
        <f>'HourGH-APR'!AD37&amp;":00"</f>
        <v>1:00</v>
      </c>
      <c r="G84" s="119" t="str">
        <f>'HourGH-APR'!AD38&amp;":00"</f>
        <v>1:00</v>
      </c>
      <c r="H84" s="119" t="str">
        <f>'HourGH-APR'!AD39&amp;":00"</f>
        <v>1:00</v>
      </c>
      <c r="I84" s="119" t="str">
        <f>'HourGH-APR'!AD40&amp;":00"</f>
        <v>1:00</v>
      </c>
      <c r="J84" s="119" t="str">
        <f>'HourGH-APR'!AD41&amp;":00"</f>
        <v>1:00</v>
      </c>
      <c r="K84" s="119" t="str">
        <f>'HourGH-APR'!AD42&amp;":00"</f>
        <v>1:00</v>
      </c>
      <c r="N84" s="117">
        <f>J81</f>
        <v>338.16</v>
      </c>
      <c r="O84">
        <v>29</v>
      </c>
      <c r="P84" s="117" t="str">
        <f>J84</f>
        <v>1:00</v>
      </c>
      <c r="R84" s="117">
        <f>J87</f>
        <v>338.16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'HourGH-APR'!AE11</f>
        <v>337.94</v>
      </c>
      <c r="C85" s="129">
        <f>'HourGH-APR'!AE12</f>
        <v>338.18</v>
      </c>
      <c r="D85" s="129">
        <f>'HourGH-APR'!AE13</f>
        <v>338.11</v>
      </c>
      <c r="E85" s="129">
        <f>'HourGH-APR'!AE14</f>
        <v>338.1</v>
      </c>
      <c r="F85" s="129">
        <f>'HourGH-APR'!AE15</f>
        <v>338.16</v>
      </c>
      <c r="G85" s="129">
        <f>'HourGH-APR'!AE16</f>
        <v>338.16</v>
      </c>
      <c r="H85" s="129">
        <f>'HourGH-APR'!AE17</f>
        <v>338.26000000000005</v>
      </c>
      <c r="I85" s="129">
        <f>'HourGH-APR'!AE18</f>
        <v>338.21000000000004</v>
      </c>
      <c r="J85" s="129">
        <f>'HourGH-APR'!AE19</f>
        <v>338.20000000000005</v>
      </c>
      <c r="K85" s="129">
        <f>'HourGH-APR'!AE20</f>
        <v>338.20000000000005</v>
      </c>
      <c r="N85" s="117">
        <f>K81</f>
        <v>338.16</v>
      </c>
      <c r="O85">
        <v>30</v>
      </c>
      <c r="P85" s="117" t="str">
        <f>K84</f>
        <v>1:00</v>
      </c>
      <c r="R85" s="117">
        <f>K87</f>
        <v>338.16</v>
      </c>
      <c r="S85">
        <v>30</v>
      </c>
      <c r="T85" s="117" t="str">
        <f>K90</f>
        <v>1:00</v>
      </c>
    </row>
    <row r="86" spans="1:20">
      <c r="A86" t="s">
        <v>235</v>
      </c>
      <c r="B86" s="129">
        <f>'HourGH-APR'!AE22</f>
        <v>338.21000000000004</v>
      </c>
      <c r="C86" s="129">
        <f>'HourGH-APR'!AE23</f>
        <v>338.15000000000003</v>
      </c>
      <c r="D86" s="129">
        <f>'HourGH-APR'!AE24</f>
        <v>338.14000000000004</v>
      </c>
      <c r="E86" s="129">
        <f>'HourGH-APR'!AE25</f>
        <v>338.20000000000005</v>
      </c>
      <c r="F86" s="129">
        <f>'HourGH-APR'!AE26</f>
        <v>338.20000000000005</v>
      </c>
      <c r="G86" s="129">
        <f>'HourGH-APR'!AE27</f>
        <v>338.20000000000005</v>
      </c>
      <c r="H86" s="129">
        <f>'HourGH-APR'!AE28</f>
        <v>338.20000000000005</v>
      </c>
      <c r="I86" s="129">
        <f>'HourGH-APR'!AE29</f>
        <v>338.20000000000005</v>
      </c>
      <c r="J86" s="129">
        <f>'HourGH-APR'!AE30</f>
        <v>338.18</v>
      </c>
      <c r="K86" s="129">
        <f>'HourGH-APR'!AE31</f>
        <v>338.17</v>
      </c>
    </row>
    <row r="87" spans="1:20">
      <c r="A87" t="s">
        <v>236</v>
      </c>
      <c r="B87" s="129">
        <f>'HourGH-APR'!AE33</f>
        <v>338.17</v>
      </c>
      <c r="C87" s="129">
        <f>'HourGH-APR'!AE34</f>
        <v>338.17</v>
      </c>
      <c r="D87" s="129">
        <f>'HourGH-APR'!AE35</f>
        <v>338.17</v>
      </c>
      <c r="E87" s="129">
        <f>'HourGH-APR'!AE36</f>
        <v>338.17</v>
      </c>
      <c r="F87" s="129">
        <f>'HourGH-APR'!AE37</f>
        <v>338.17</v>
      </c>
      <c r="G87" s="129">
        <f>'HourGH-APR'!AE38</f>
        <v>338.16</v>
      </c>
      <c r="H87" s="129">
        <f>'HourGH-APR'!AE39</f>
        <v>338.16</v>
      </c>
      <c r="I87" s="129">
        <f>'HourGH-APR'!AE40</f>
        <v>338.16</v>
      </c>
      <c r="J87" s="129">
        <f>'HourGH-APR'!AE41</f>
        <v>338.16</v>
      </c>
      <c r="K87" s="129">
        <f>'HourGH-APR'!AE42</f>
        <v>338.16</v>
      </c>
    </row>
    <row r="88" spans="1:20">
      <c r="A88" t="s">
        <v>222</v>
      </c>
      <c r="B88" s="119" t="str">
        <f>'HourGH-APR'!AF11&amp;":00"</f>
        <v>1:00</v>
      </c>
      <c r="C88" s="119" t="str">
        <f>'HourGH-APR'!AF12&amp;":00"</f>
        <v>1:00</v>
      </c>
      <c r="D88" s="119" t="str">
        <f>'HourGH-APR'!AF13&amp;":00"</f>
        <v>24:00</v>
      </c>
      <c r="E88" s="119" t="str">
        <f>'HourGH-APR'!AF14&amp;":00"</f>
        <v>2:00</v>
      </c>
      <c r="F88" s="119" t="str">
        <f>'HourGH-APR'!AF15&amp;":00"</f>
        <v>17:00</v>
      </c>
      <c r="G88" s="119" t="str">
        <f>'HourGH-APR'!AF16&amp;":00"</f>
        <v>1:00</v>
      </c>
      <c r="H88" s="119" t="str">
        <f>'HourGH-APR'!AF17&amp;":00"</f>
        <v>1:00</v>
      </c>
      <c r="I88" s="119" t="str">
        <f>'HourGH-APR'!AF18&amp;":00"</f>
        <v>20:00</v>
      </c>
      <c r="J88" s="119" t="str">
        <f>'HourGH-APR'!AF19&amp;":00"</f>
        <v>1:00</v>
      </c>
      <c r="K88" s="119" t="str">
        <f>'HourGH-APR'!AF20&amp;":00"</f>
        <v>1:00</v>
      </c>
      <c r="N88" s="118">
        <f>MATCH(N90,N56:N85,0)</f>
        <v>2</v>
      </c>
      <c r="P88">
        <f>MATCH(P89,R56:R85,0)</f>
        <v>1</v>
      </c>
    </row>
    <row r="89" spans="1:20">
      <c r="A89" t="s">
        <v>223</v>
      </c>
      <c r="B89" s="119" t="str">
        <f>'HourGH-APR'!AF22&amp;":00"</f>
        <v>13:00</v>
      </c>
      <c r="C89" s="119" t="str">
        <f>'HourGH-APR'!AF23&amp;":00"</f>
        <v>21:00</v>
      </c>
      <c r="D89" s="119" t="str">
        <f>'HourGH-APR'!AF24&amp;":00"</f>
        <v>1:00</v>
      </c>
      <c r="E89" s="119" t="str">
        <f>'HourGH-APR'!AF25&amp;":00"</f>
        <v>1:00</v>
      </c>
      <c r="F89" s="119" t="str">
        <f>'HourGH-APR'!AF26&amp;":00"</f>
        <v>1:00</v>
      </c>
      <c r="G89" s="119" t="str">
        <f>'HourGH-APR'!AF27&amp;":00"</f>
        <v>1:00</v>
      </c>
      <c r="H89" s="119" t="str">
        <f>'HourGH-APR'!AF28&amp;":00"</f>
        <v>1:00</v>
      </c>
      <c r="I89" s="119" t="str">
        <f>'HourGH-APR'!AF29&amp;":00"</f>
        <v>1:00</v>
      </c>
      <c r="J89" s="119" t="str">
        <f>'HourGH-APR'!AF30&amp;":00"</f>
        <v>18:00</v>
      </c>
      <c r="K89" s="119" t="str">
        <f>'HourGH-APR'!AF31&amp;":00"</f>
        <v>1:00</v>
      </c>
      <c r="O89" s="118" t="str">
        <f>INDEX(P56:P85,N88)</f>
        <v>15:00</v>
      </c>
      <c r="P89" s="129">
        <f>MIN(B85:K87)</f>
        <v>337.94</v>
      </c>
      <c r="R89" t="str">
        <f>INDEX(T56:T85,P88)</f>
        <v>1:00</v>
      </c>
    </row>
    <row r="90" spans="1:20">
      <c r="A90" t="s">
        <v>224</v>
      </c>
      <c r="B90" s="119" t="str">
        <f>'HourGH-APR'!AF33&amp;":00"</f>
        <v>1:00</v>
      </c>
      <c r="C90" s="119" t="str">
        <f>'HourGH-APR'!AF34&amp;":00"</f>
        <v>1:00</v>
      </c>
      <c r="D90" s="119" t="str">
        <f>'HourGH-APR'!AF35&amp;":00"</f>
        <v>6:00</v>
      </c>
      <c r="E90" s="119" t="str">
        <f>'HourGH-APR'!AF36&amp;":00"</f>
        <v>1:00</v>
      </c>
      <c r="F90" s="119" t="str">
        <f>'HourGH-APR'!AF37&amp;":00"</f>
        <v>1:00</v>
      </c>
      <c r="G90" s="119" t="str">
        <f>'HourGH-APR'!AF38&amp;":00"</f>
        <v>1:00</v>
      </c>
      <c r="H90" s="119" t="str">
        <f>'HourGH-APR'!AF39&amp;":00"</f>
        <v>1:00</v>
      </c>
      <c r="I90" s="119" t="str">
        <f>'HourGH-APR'!AF40&amp;":00"</f>
        <v>1:00</v>
      </c>
      <c r="J90" s="119" t="str">
        <f>'HourGH-APR'!AF41&amp;":00"</f>
        <v>1:00</v>
      </c>
      <c r="K90" s="119" t="str">
        <f>'HourGH-APR'!AF42&amp;":00"</f>
        <v>1:00</v>
      </c>
      <c r="N90" s="119">
        <f>MAX(B79:K81)</f>
        <v>338.37</v>
      </c>
      <c r="O90" s="118">
        <f>N88</f>
        <v>2</v>
      </c>
    </row>
    <row r="91" spans="1:20">
      <c r="A91" t="s">
        <v>218</v>
      </c>
      <c r="B91" s="119">
        <f>AVERAGE(B76:K78)</f>
        <v>338.18712500000004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338.37 DATE 2 TIME 15:00 MIN 337.94 DATE 1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pageSetup paperSize="9" orientation="portrait" horizontalDpi="4294967293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T92"/>
  <sheetViews>
    <sheetView workbookViewId="0">
      <selection sqref="A1:L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237</v>
      </c>
      <c r="B2" s="118">
        <f>'HourGH-MAY'!W7</f>
        <v>337.6</v>
      </c>
      <c r="C2" s="118" t="str">
        <f>'HourGH-MAY'!Z7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IF(TRIM('HourGH-MAY'!C11)="","      ",'HourGH-MAY'!C11)</f>
        <v>0.56999999999999995</v>
      </c>
      <c r="C4" s="128">
        <f>IF(TRIM('HourGH-MAY'!C12)="","      ",'HourGH-MAY'!C12)</f>
        <v>0.56999999999999995</v>
      </c>
      <c r="D4" s="128">
        <f>IF(TRIM('HourGH-MAY'!C13)="","      ",'HourGH-MAY'!C13)</f>
        <v>0.57999999999999996</v>
      </c>
      <c r="E4" s="128">
        <f>IF(TRIM('HourGH-MAY'!C14)="","      ",'HourGH-MAY'!C14)</f>
        <v>0.56000000000000005</v>
      </c>
      <c r="F4" s="118">
        <f>IF(TRIM('HourGH-MAY'!C15)="","      ",'HourGH-MAY'!C15)</f>
        <v>0.56999999999999995</v>
      </c>
      <c r="G4" s="118">
        <f>IF(TRIM('HourGH-MAY'!C16)="","      ",'HourGH-MAY'!C16)</f>
        <v>0.54</v>
      </c>
      <c r="H4" s="118">
        <f>IF(TRIM('HourGH-MAY'!C17)="","      ",'HourGH-MAY'!C17)</f>
        <v>0.49</v>
      </c>
      <c r="I4" s="118">
        <f>IF(TRIM('HourGH-MAY'!C18)="","      ",'HourGH-MAY'!C18)</f>
        <v>0.49</v>
      </c>
      <c r="J4" s="118">
        <f>IF(TRIM('HourGH-MAY'!C19)="","      ",'HourGH-MAY'!C19)</f>
        <v>0.48</v>
      </c>
      <c r="K4" s="118">
        <f>IF(TRIM('HourGH-MAY'!C20)="","      ",'HourGH-MAY'!C20)</f>
        <v>0.56000000000000005</v>
      </c>
    </row>
    <row r="5" spans="1:15">
      <c r="A5" s="127" t="s">
        <v>147</v>
      </c>
      <c r="B5" s="118">
        <f>IF(TRIM('HourGH-MAY'!C22)="","      ",'HourGH-MAY'!C22)</f>
        <v>0.57999999999999996</v>
      </c>
      <c r="C5" s="118">
        <f>IF(TRIM('HourGH-MAY'!C23)="","      ",'HourGH-MAY'!C23)</f>
        <v>0.56999999999999995</v>
      </c>
      <c r="D5" s="118">
        <f>IF(TRIM('HourGH-MAY'!C24)="","      ",'HourGH-MAY'!C24)</f>
        <v>0.56999999999999995</v>
      </c>
      <c r="E5" s="118">
        <f>IF(TRIM('HourGH-MAY'!C25)="","      ",'HourGH-MAY'!C25)</f>
        <v>0.52</v>
      </c>
      <c r="F5" s="118">
        <f>IF(TRIM('HourGH-MAY'!C26)="","      ",'HourGH-MAY'!C26)</f>
        <v>0.5</v>
      </c>
      <c r="G5" s="118">
        <f>IF(TRIM('HourGH-MAY'!C27)="","      ",'HourGH-MAY'!C27)</f>
        <v>0.49</v>
      </c>
      <c r="H5" s="118">
        <f>IF(TRIM('HourGH-MAY'!C28)="","      ",'HourGH-MAY'!C28)</f>
        <v>0.48</v>
      </c>
      <c r="I5" s="118">
        <f>IF(TRIM('HourGH-MAY'!C29)="","      ",'HourGH-MAY'!C29)</f>
        <v>0.48</v>
      </c>
      <c r="J5" s="118">
        <f>IF(TRIM('HourGH-MAY'!C30)="","      ",'HourGH-MAY'!C30)</f>
        <v>0.48</v>
      </c>
      <c r="K5" s="118">
        <f>IF(TRIM('HourGH-MAY'!C31)="","      ",'HourGH-MAY'!C31)</f>
        <v>0.21</v>
      </c>
    </row>
    <row r="6" spans="1:15">
      <c r="A6" s="127" t="s">
        <v>148</v>
      </c>
      <c r="B6" s="118">
        <f>IF(TRIM('HourGH-MAY'!C33)="","      ",'HourGH-MAY'!C33)</f>
        <v>0.17</v>
      </c>
      <c r="C6" s="118">
        <f>IF(TRIM('HourGH-MAY'!C34)="","      ",'HourGH-MAY'!C34)</f>
        <v>0.23</v>
      </c>
      <c r="D6" s="118">
        <f>IF(TRIM('HourGH-MAY'!C35)="","      ",'HourGH-MAY'!C35)</f>
        <v>0.19</v>
      </c>
      <c r="E6" s="118">
        <f>IF(TRIM('HourGH-MAY'!C36)="","      ",'HourGH-MAY'!C36)</f>
        <v>0.2</v>
      </c>
      <c r="F6" s="118">
        <f>IF(TRIM('HourGH-MAY'!C37)="","      ",'HourGH-MAY'!C37)</f>
        <v>0.19</v>
      </c>
      <c r="G6" s="118">
        <f>IF(TRIM('HourGH-MAY'!C38)="","      ",'HourGH-MAY'!C38)</f>
        <v>0.15</v>
      </c>
      <c r="H6" s="118">
        <f>IF(TRIM('HourGH-MAY'!C39)="","      ",'HourGH-MAY'!C39)</f>
        <v>0.17</v>
      </c>
      <c r="I6" s="118">
        <f>IF(TRIM('HourGH-MAY'!C40)="","      ",'HourGH-MAY'!C40)</f>
        <v>0.18</v>
      </c>
      <c r="J6" s="118">
        <f>IF(TRIM('HourGH-MAY'!C41)="","      ",'HourGH-MAY'!C41)</f>
        <v>0.18</v>
      </c>
      <c r="K6" s="118">
        <f>IF(TRIM('HourGH-MAY'!C42)="","      ",'HourGH-MAY'!C42)</f>
        <v>0.2</v>
      </c>
      <c r="L6" s="118">
        <f>IF(TRIM('HourGH-MAY'!C43)="","      ",'HourGH-MAY'!C43)</f>
        <v>0.23</v>
      </c>
    </row>
    <row r="7" spans="1:15">
      <c r="A7" s="127" t="s">
        <v>149</v>
      </c>
      <c r="B7" s="128">
        <f>IF(TRIM('HourGH-MAY'!D11)="","      ",'HourGH-MAY'!D11)</f>
        <v>0.56999999999999995</v>
      </c>
      <c r="C7" s="128">
        <f>IF(TRIM('HourGH-MAY'!D12)="","      ",'HourGH-MAY'!D12)</f>
        <v>0.56999999999999995</v>
      </c>
      <c r="D7" s="128">
        <f>IF(TRIM('HourGH-MAY'!D13)="","      ",'HourGH-MAY'!D13)</f>
        <v>0.57999999999999996</v>
      </c>
      <c r="E7" s="128">
        <f>IF(TRIM('HourGH-MAY'!D14)="","      ",'HourGH-MAY'!D14)</f>
        <v>0.56000000000000005</v>
      </c>
      <c r="F7" s="118">
        <f>IF(TRIM('HourGH-MAY'!D15)="","      ",'HourGH-MAY'!D15)</f>
        <v>0.56999999999999995</v>
      </c>
      <c r="G7" s="118">
        <f>IF(TRIM('HourGH-MAY'!D16)="","      ",'HourGH-MAY'!D16)</f>
        <v>0.54</v>
      </c>
      <c r="H7" s="118">
        <f>IF(TRIM('HourGH-MAY'!D17)="","      ",'HourGH-MAY'!D17)</f>
        <v>0.49</v>
      </c>
      <c r="I7" s="118">
        <f>IF(TRIM('HourGH-MAY'!D18)="","      ",'HourGH-MAY'!D18)</f>
        <v>0.49</v>
      </c>
      <c r="J7" s="118">
        <f>IF(TRIM('HourGH-MAY'!D19)="","      ",'HourGH-MAY'!D19)</f>
        <v>0.48</v>
      </c>
      <c r="K7" s="118">
        <f>IF(TRIM('HourGH-MAY'!D20)="","      ",'HourGH-MAY'!D20)</f>
        <v>0.56000000000000005</v>
      </c>
    </row>
    <row r="8" spans="1:15">
      <c r="A8" s="127" t="s">
        <v>150</v>
      </c>
      <c r="B8" s="118">
        <f>IF(TRIM('HourGH-MAY'!D22)="","      ",'HourGH-MAY'!D22)</f>
        <v>0.57999999999999996</v>
      </c>
      <c r="C8" s="118">
        <f>IF(TRIM('HourGH-MAY'!D23)="","      ",'HourGH-MAY'!D23)</f>
        <v>0.56999999999999995</v>
      </c>
      <c r="D8" s="118">
        <f>IF(TRIM('HourGH-MAY'!D24)="","      ",'HourGH-MAY'!D24)</f>
        <v>0.56999999999999995</v>
      </c>
      <c r="E8" s="118">
        <f>IF(TRIM('HourGH-MAY'!D25)="","      ",'HourGH-MAY'!D25)</f>
        <v>0.52</v>
      </c>
      <c r="F8" s="118">
        <f>IF(TRIM('HourGH-MAY'!D26)="","      ",'HourGH-MAY'!D26)</f>
        <v>0.5</v>
      </c>
      <c r="G8" s="118">
        <f>IF(TRIM('HourGH-MAY'!D27)="","      ",'HourGH-MAY'!D27)</f>
        <v>0.49</v>
      </c>
      <c r="H8" s="118">
        <f>IF(TRIM('HourGH-MAY'!D28)="","      ",'HourGH-MAY'!D28)</f>
        <v>0.48</v>
      </c>
      <c r="I8" s="118">
        <f>IF(TRIM('HourGH-MAY'!D29)="","      ",'HourGH-MAY'!D29)</f>
        <v>0.48</v>
      </c>
      <c r="J8" s="118">
        <f>IF(TRIM('HourGH-MAY'!D30)="","      ",'HourGH-MAY'!D30)</f>
        <v>0.48</v>
      </c>
      <c r="K8" s="118">
        <f>IF(TRIM('HourGH-MAY'!D31)="","      ",'HourGH-MAY'!D31)</f>
        <v>0.2</v>
      </c>
    </row>
    <row r="9" spans="1:15">
      <c r="A9" s="127" t="s">
        <v>151</v>
      </c>
      <c r="B9" s="118">
        <f>IF(TRIM('HourGH-MAY'!D33)="","      ",'HourGH-MAY'!D33)</f>
        <v>0.17</v>
      </c>
      <c r="C9" s="118">
        <f>IF(TRIM('HourGH-MAY'!D34)="","      ",'HourGH-MAY'!D34)</f>
        <v>0.23</v>
      </c>
      <c r="D9" s="118">
        <f>IF(TRIM('HourGH-MAY'!D35)="","      ",'HourGH-MAY'!D35)</f>
        <v>0.19</v>
      </c>
      <c r="E9" s="118">
        <f>IF(TRIM('HourGH-MAY'!D36)="","      ",'HourGH-MAY'!D36)</f>
        <v>0.21</v>
      </c>
      <c r="F9" s="118">
        <f>IF(TRIM('HourGH-MAY'!D37)="","      ",'HourGH-MAY'!D37)</f>
        <v>0.19</v>
      </c>
      <c r="G9" s="118">
        <f>IF(TRIM('HourGH-MAY'!D38)="","      ",'HourGH-MAY'!D38)</f>
        <v>0.15</v>
      </c>
      <c r="H9" s="118">
        <f>IF(TRIM('HourGH-MAY'!D39)="","      ",'HourGH-MAY'!D39)</f>
        <v>0.17</v>
      </c>
      <c r="I9" s="118">
        <f>IF(TRIM('HourGH-MAY'!D40)="","      ",'HourGH-MAY'!D40)</f>
        <v>0.18</v>
      </c>
      <c r="J9" s="118">
        <f>IF(TRIM('HourGH-MAY'!D41)="","      ",'HourGH-MAY'!D41)</f>
        <v>0.18</v>
      </c>
      <c r="K9" s="118">
        <f>IF(TRIM('HourGH-MAY'!D42)="","      ",'HourGH-MAY'!D42)</f>
        <v>0.2</v>
      </c>
      <c r="L9" s="118">
        <f>IF(TRIM('HourGH-MAY'!D43)="","      ",'HourGH-MAY'!D43)</f>
        <v>0.23</v>
      </c>
    </row>
    <row r="10" spans="1:15">
      <c r="A10" s="127" t="s">
        <v>152</v>
      </c>
      <c r="B10" s="128">
        <f>IF(TRIM('HourGH-MAY'!E11)="","      ",'HourGH-MAY'!E11)</f>
        <v>0.56999999999999995</v>
      </c>
      <c r="C10" s="128">
        <f>IF(TRIM('HourGH-MAY'!E12)="","      ",'HourGH-MAY'!E12)</f>
        <v>0.56999999999999995</v>
      </c>
      <c r="D10" s="128">
        <f>IF(TRIM('HourGH-MAY'!E13)="","      ",'HourGH-MAY'!E13)</f>
        <v>0.57999999999999996</v>
      </c>
      <c r="E10" s="128">
        <f>IF(TRIM('HourGH-MAY'!E14)="","      ",'HourGH-MAY'!E14)</f>
        <v>0.56000000000000005</v>
      </c>
      <c r="F10" s="118">
        <f>IF(TRIM('HourGH-MAY'!E15)="","      ",'HourGH-MAY'!E15)</f>
        <v>0.56999999999999995</v>
      </c>
      <c r="G10" s="118">
        <f>IF(TRIM('HourGH-MAY'!E16)="","      ",'HourGH-MAY'!E16)</f>
        <v>0.54</v>
      </c>
      <c r="H10" s="118">
        <f>IF(TRIM('HourGH-MAY'!E17)="","      ",'HourGH-MAY'!E17)</f>
        <v>0.49</v>
      </c>
      <c r="I10" s="118">
        <f>IF(TRIM('HourGH-MAY'!E18)="","      ",'HourGH-MAY'!E18)</f>
        <v>0.49</v>
      </c>
      <c r="J10" s="118">
        <f>IF(TRIM('HourGH-MAY'!E19)="","      ",'HourGH-MAY'!E19)</f>
        <v>0.48</v>
      </c>
      <c r="K10" s="118">
        <f>IF(TRIM('HourGH-MAY'!E20)="","      ",'HourGH-MAY'!E20)</f>
        <v>0.56999999999999995</v>
      </c>
    </row>
    <row r="11" spans="1:15">
      <c r="A11" s="127" t="s">
        <v>153</v>
      </c>
      <c r="B11" s="118">
        <f>IF(TRIM('HourGH-MAY'!E22)="","      ",'HourGH-MAY'!E22)</f>
        <v>0.57999999999999996</v>
      </c>
      <c r="C11" s="118">
        <f>IF(TRIM('HourGH-MAY'!E23)="","      ",'HourGH-MAY'!E23)</f>
        <v>0.56999999999999995</v>
      </c>
      <c r="D11" s="118">
        <f>IF(TRIM('HourGH-MAY'!E24)="","      ",'HourGH-MAY'!E24)</f>
        <v>0.56999999999999995</v>
      </c>
      <c r="E11" s="118">
        <f>IF(TRIM('HourGH-MAY'!E25)="","      ",'HourGH-MAY'!E25)</f>
        <v>0.51</v>
      </c>
      <c r="F11" s="118">
        <f>IF(TRIM('HourGH-MAY'!E26)="","      ",'HourGH-MAY'!E26)</f>
        <v>0.5</v>
      </c>
      <c r="G11" s="118">
        <f>IF(TRIM('HourGH-MAY'!E27)="","      ",'HourGH-MAY'!E27)</f>
        <v>0.49</v>
      </c>
      <c r="H11" s="118">
        <f>IF(TRIM('HourGH-MAY'!E28)="","      ",'HourGH-MAY'!E28)</f>
        <v>0.48</v>
      </c>
      <c r="I11" s="118">
        <f>IF(TRIM('HourGH-MAY'!E29)="","      ",'HourGH-MAY'!E29)</f>
        <v>0.48</v>
      </c>
      <c r="J11" s="118">
        <f>IF(TRIM('HourGH-MAY'!E30)="","      ",'HourGH-MAY'!E30)</f>
        <v>0.48</v>
      </c>
      <c r="K11" s="118">
        <f>IF(TRIM('HourGH-MAY'!E31)="","      ",'HourGH-MAY'!E31)</f>
        <v>0.19</v>
      </c>
    </row>
    <row r="12" spans="1:15">
      <c r="A12" s="127" t="s">
        <v>154</v>
      </c>
      <c r="B12" s="118">
        <f>IF(TRIM('HourGH-MAY'!E33)="","      ",'HourGH-MAY'!E33)</f>
        <v>0.18</v>
      </c>
      <c r="C12" s="118">
        <f>IF(TRIM('HourGH-MAY'!E34)="","      ",'HourGH-MAY'!E34)</f>
        <v>0.22</v>
      </c>
      <c r="D12" s="118">
        <f>IF(TRIM('HourGH-MAY'!E35)="","      ",'HourGH-MAY'!E35)</f>
        <v>0.19</v>
      </c>
      <c r="E12" s="118">
        <f>IF(TRIM('HourGH-MAY'!E36)="","      ",'HourGH-MAY'!E36)</f>
        <v>0.21</v>
      </c>
      <c r="F12" s="118">
        <f>IF(TRIM('HourGH-MAY'!E37)="","      ",'HourGH-MAY'!E37)</f>
        <v>0.19</v>
      </c>
      <c r="G12" s="118">
        <f>IF(TRIM('HourGH-MAY'!E38)="","      ",'HourGH-MAY'!E38)</f>
        <v>0.15</v>
      </c>
      <c r="H12" s="118">
        <f>IF(TRIM('HourGH-MAY'!E39)="","      ",'HourGH-MAY'!E39)</f>
        <v>0.17</v>
      </c>
      <c r="I12" s="118">
        <f>IF(TRIM('HourGH-MAY'!E40)="","      ",'HourGH-MAY'!E40)</f>
        <v>0.18</v>
      </c>
      <c r="J12" s="118">
        <f>IF(TRIM('HourGH-MAY'!E41)="","      ",'HourGH-MAY'!E41)</f>
        <v>0.18</v>
      </c>
      <c r="K12" s="118">
        <f>IF(TRIM('HourGH-MAY'!E42)="","      ",'HourGH-MAY'!E42)</f>
        <v>0.2</v>
      </c>
      <c r="L12" s="118">
        <f>IF(TRIM('HourGH-MAY'!E43)="","      ",'HourGH-MAY'!E43)</f>
        <v>0.23</v>
      </c>
    </row>
    <row r="13" spans="1:15">
      <c r="A13" s="127" t="s">
        <v>155</v>
      </c>
      <c r="B13" s="128">
        <f>IF(TRIM('HourGH-MAY'!F11)="","      ",'HourGH-MAY'!F11)</f>
        <v>0.56999999999999995</v>
      </c>
      <c r="C13" s="128">
        <f>IF(TRIM('HourGH-MAY'!F12)="","      ",'HourGH-MAY'!F12)</f>
        <v>0.56999999999999995</v>
      </c>
      <c r="D13" s="128">
        <f>IF(TRIM('HourGH-MAY'!F13)="","      ",'HourGH-MAY'!F13)</f>
        <v>0.57999999999999996</v>
      </c>
      <c r="E13" s="128">
        <f>IF(TRIM('HourGH-MAY'!F14)="","      ",'HourGH-MAY'!F14)</f>
        <v>0.56000000000000005</v>
      </c>
      <c r="F13" s="118">
        <f>IF(TRIM('HourGH-MAY'!F15)="","      ",'HourGH-MAY'!F15)</f>
        <v>0.56999999999999995</v>
      </c>
      <c r="G13" s="118">
        <f>IF(TRIM('HourGH-MAY'!F16)="","      ",'HourGH-MAY'!F16)</f>
        <v>0.54</v>
      </c>
      <c r="H13" s="118">
        <f>IF(TRIM('HourGH-MAY'!F17)="","      ",'HourGH-MAY'!F17)</f>
        <v>0.49</v>
      </c>
      <c r="I13" s="118">
        <f>IF(TRIM('HourGH-MAY'!F18)="","      ",'HourGH-MAY'!F18)</f>
        <v>0.49</v>
      </c>
      <c r="J13" s="118">
        <f>IF(TRIM('HourGH-MAY'!F19)="","      ",'HourGH-MAY'!F19)</f>
        <v>0.48</v>
      </c>
      <c r="K13" s="118">
        <f>IF(TRIM('HourGH-MAY'!F20)="","      ",'HourGH-MAY'!F20)</f>
        <v>0.56999999999999995</v>
      </c>
    </row>
    <row r="14" spans="1:15">
      <c r="A14" s="127" t="s">
        <v>156</v>
      </c>
      <c r="B14" s="118">
        <f>IF(TRIM('HourGH-MAY'!F22)="","      ",'HourGH-MAY'!F22)</f>
        <v>0.57999999999999996</v>
      </c>
      <c r="C14" s="118">
        <f>IF(TRIM('HourGH-MAY'!F23)="","      ",'HourGH-MAY'!F23)</f>
        <v>0.56999999999999995</v>
      </c>
      <c r="D14" s="118">
        <f>IF(TRIM('HourGH-MAY'!F24)="","      ",'HourGH-MAY'!F24)</f>
        <v>0.56999999999999995</v>
      </c>
      <c r="E14" s="118">
        <f>IF(TRIM('HourGH-MAY'!F25)="","      ",'HourGH-MAY'!F25)</f>
        <v>0.51</v>
      </c>
      <c r="F14" s="118">
        <f>IF(TRIM('HourGH-MAY'!F26)="","      ",'HourGH-MAY'!F26)</f>
        <v>0.5</v>
      </c>
      <c r="G14" s="118">
        <f>IF(TRIM('HourGH-MAY'!F27)="","      ",'HourGH-MAY'!F27)</f>
        <v>0.49</v>
      </c>
      <c r="H14" s="118">
        <f>IF(TRIM('HourGH-MAY'!F28)="","      ",'HourGH-MAY'!F28)</f>
        <v>0.48</v>
      </c>
      <c r="I14" s="118">
        <f>IF(TRIM('HourGH-MAY'!F29)="","      ",'HourGH-MAY'!F29)</f>
        <v>0.48</v>
      </c>
      <c r="J14" s="118">
        <f>IF(TRIM('HourGH-MAY'!F30)="","      ",'HourGH-MAY'!F30)</f>
        <v>0.48</v>
      </c>
      <c r="K14" s="118">
        <f>IF(TRIM('HourGH-MAY'!F31)="","      ",'HourGH-MAY'!F31)</f>
        <v>0.18</v>
      </c>
    </row>
    <row r="15" spans="1:15">
      <c r="A15" s="127" t="s">
        <v>157</v>
      </c>
      <c r="B15" s="118">
        <f>IF(TRIM('HourGH-MAY'!F33)="","      ",'HourGH-MAY'!F33)</f>
        <v>0.18</v>
      </c>
      <c r="C15" s="118">
        <f>IF(TRIM('HourGH-MAY'!F34)="","      ",'HourGH-MAY'!F34)</f>
        <v>0.22</v>
      </c>
      <c r="D15" s="118">
        <f>IF(TRIM('HourGH-MAY'!F35)="","      ",'HourGH-MAY'!F35)</f>
        <v>0.19</v>
      </c>
      <c r="E15" s="118">
        <f>IF(TRIM('HourGH-MAY'!F36)="","      ",'HourGH-MAY'!F36)</f>
        <v>0.21</v>
      </c>
      <c r="F15" s="118">
        <f>IF(TRIM('HourGH-MAY'!F37)="","      ",'HourGH-MAY'!F37)</f>
        <v>0.19</v>
      </c>
      <c r="G15" s="118">
        <f>IF(TRIM('HourGH-MAY'!F38)="","      ",'HourGH-MAY'!F38)</f>
        <v>0.15</v>
      </c>
      <c r="H15" s="118">
        <f>IF(TRIM('HourGH-MAY'!F39)="","      ",'HourGH-MAY'!F39)</f>
        <v>0.17</v>
      </c>
      <c r="I15" s="118">
        <f>IF(TRIM('HourGH-MAY'!F40)="","      ",'HourGH-MAY'!F40)</f>
        <v>0.18</v>
      </c>
      <c r="J15" s="118">
        <f>IF(TRIM('HourGH-MAY'!F41)="","      ",'HourGH-MAY'!F41)</f>
        <v>0.18</v>
      </c>
      <c r="K15" s="118">
        <f>IF(TRIM('HourGH-MAY'!F42)="","      ",'HourGH-MAY'!F42)</f>
        <v>0.2</v>
      </c>
      <c r="L15" s="118">
        <f>IF(TRIM('HourGH-MAY'!F43)="","      ",'HourGH-MAY'!F43)</f>
        <v>0.23</v>
      </c>
    </row>
    <row r="16" spans="1:15">
      <c r="A16" s="127" t="s">
        <v>158</v>
      </c>
      <c r="B16" s="128">
        <f>IF(TRIM('HourGH-MAY'!G11)="","      ",'HourGH-MAY'!G11)</f>
        <v>0.56999999999999995</v>
      </c>
      <c r="C16" s="128">
        <f>IF(TRIM('HourGH-MAY'!G12)="","      ",'HourGH-MAY'!G12)</f>
        <v>0.56999999999999995</v>
      </c>
      <c r="D16" s="128">
        <f>IF(TRIM('HourGH-MAY'!G13)="","      ",'HourGH-MAY'!G13)</f>
        <v>0.57999999999999996</v>
      </c>
      <c r="E16" s="128">
        <f>IF(TRIM('HourGH-MAY'!G14)="","      ",'HourGH-MAY'!G14)</f>
        <v>0.56000000000000005</v>
      </c>
      <c r="F16" s="118">
        <f>IF(TRIM('HourGH-MAY'!G15)="","      ",'HourGH-MAY'!G15)</f>
        <v>0.56999999999999995</v>
      </c>
      <c r="G16" s="118">
        <f>IF(TRIM('HourGH-MAY'!G16)="","      ",'HourGH-MAY'!G16)</f>
        <v>0.54</v>
      </c>
      <c r="H16" s="118">
        <f>IF(TRIM('HourGH-MAY'!G17)="","      ",'HourGH-MAY'!G17)</f>
        <v>0.49</v>
      </c>
      <c r="I16" s="118">
        <f>IF(TRIM('HourGH-MAY'!G18)="","      ",'HourGH-MAY'!G18)</f>
        <v>0.49</v>
      </c>
      <c r="J16" s="118">
        <f>IF(TRIM('HourGH-MAY'!G19)="","      ",'HourGH-MAY'!G19)</f>
        <v>0.48</v>
      </c>
      <c r="K16" s="118">
        <f>IF(TRIM('HourGH-MAY'!G20)="","      ",'HourGH-MAY'!G20)</f>
        <v>0.57999999999999996</v>
      </c>
    </row>
    <row r="17" spans="1:12">
      <c r="A17" s="127" t="s">
        <v>159</v>
      </c>
      <c r="B17" s="118">
        <f>IF(TRIM('HourGH-MAY'!G22)="","      ",'HourGH-MAY'!G22)</f>
        <v>0.57999999999999996</v>
      </c>
      <c r="C17" s="118">
        <f>IF(TRIM('HourGH-MAY'!G23)="","      ",'HourGH-MAY'!G23)</f>
        <v>0.56999999999999995</v>
      </c>
      <c r="D17" s="118">
        <f>IF(TRIM('HourGH-MAY'!G24)="","      ",'HourGH-MAY'!G24)</f>
        <v>0.56999999999999995</v>
      </c>
      <c r="E17" s="118">
        <f>IF(TRIM('HourGH-MAY'!G25)="","      ",'HourGH-MAY'!G25)</f>
        <v>0.51</v>
      </c>
      <c r="F17" s="118">
        <f>IF(TRIM('HourGH-MAY'!G26)="","      ",'HourGH-MAY'!G26)</f>
        <v>0.5</v>
      </c>
      <c r="G17" s="118">
        <f>IF(TRIM('HourGH-MAY'!G27)="","      ",'HourGH-MAY'!G27)</f>
        <v>0.49</v>
      </c>
      <c r="H17" s="118">
        <f>IF(TRIM('HourGH-MAY'!G28)="","      ",'HourGH-MAY'!G28)</f>
        <v>0.48</v>
      </c>
      <c r="I17" s="118">
        <f>IF(TRIM('HourGH-MAY'!G29)="","      ",'HourGH-MAY'!G29)</f>
        <v>0.48</v>
      </c>
      <c r="J17" s="118">
        <f>IF(TRIM('HourGH-MAY'!G30)="","      ",'HourGH-MAY'!G30)</f>
        <v>0.48</v>
      </c>
      <c r="K17" s="118">
        <f>IF(TRIM('HourGH-MAY'!G31)="","      ",'HourGH-MAY'!G31)</f>
        <v>0.17</v>
      </c>
    </row>
    <row r="18" spans="1:12">
      <c r="A18" s="127" t="s">
        <v>160</v>
      </c>
      <c r="B18" s="118">
        <f>IF(TRIM('HourGH-MAY'!G33)="","      ",'HourGH-MAY'!G33)</f>
        <v>0.19</v>
      </c>
      <c r="C18" s="118">
        <f>IF(TRIM('HourGH-MAY'!G34)="","      ",'HourGH-MAY'!G34)</f>
        <v>0.21</v>
      </c>
      <c r="D18" s="118">
        <f>IF(TRIM('HourGH-MAY'!G35)="","      ",'HourGH-MAY'!G35)</f>
        <v>0.2</v>
      </c>
      <c r="E18" s="118">
        <f>IF(TRIM('HourGH-MAY'!G36)="","      ",'HourGH-MAY'!G36)</f>
        <v>0.21</v>
      </c>
      <c r="F18" s="118">
        <f>IF(TRIM('HourGH-MAY'!G37)="","      ",'HourGH-MAY'!G37)</f>
        <v>0.19</v>
      </c>
      <c r="G18" s="118">
        <f>IF(TRIM('HourGH-MAY'!O38)="","      ",'HourGH-MAY'!O38)</f>
        <v>0.15</v>
      </c>
      <c r="H18" s="118">
        <f>IF(TRIM('HourGH-MAY'!G39)="","      ",'HourGH-MAY'!G39)</f>
        <v>0.17</v>
      </c>
      <c r="I18" s="118">
        <f>IF(TRIM('HourGH-MAY'!G40)="","      ",'HourGH-MAY'!G40)</f>
        <v>0.18</v>
      </c>
      <c r="J18" s="118">
        <f>IF(TRIM('HourGH-MAY'!G41)="","      ",'HourGH-MAY'!G41)</f>
        <v>0.18</v>
      </c>
      <c r="K18" s="118">
        <f>IF(TRIM('HourGH-MAY'!G42)="","      ",'HourGH-MAY'!G42)</f>
        <v>0.2</v>
      </c>
      <c r="L18" s="118">
        <f>IF(TRIM('HourGH-MAY'!G43)="","      ",'HourGH-MAY'!G43)</f>
        <v>0.23</v>
      </c>
    </row>
    <row r="19" spans="1:12">
      <c r="A19" s="127" t="s">
        <v>161</v>
      </c>
      <c r="B19" s="128">
        <f>IF(TRIM('HourGH-MAY'!H11)="","      ",'HourGH-MAY'!H11)</f>
        <v>0.56999999999999995</v>
      </c>
      <c r="C19" s="128">
        <f>IF(TRIM('HourGH-MAY'!H12)="","      ",'HourGH-MAY'!H12)</f>
        <v>0.56999999999999995</v>
      </c>
      <c r="D19" s="128">
        <f>IF(TRIM('HourGH-MAY'!H13)="","      ",'HourGH-MAY'!H13)</f>
        <v>0.57999999999999996</v>
      </c>
      <c r="E19" s="128">
        <f>IF(TRIM('HourGH-MAY'!H14)="","      ",'HourGH-MAY'!H14)</f>
        <v>0.56000000000000005</v>
      </c>
      <c r="F19" s="118">
        <f>IF(TRIM('HourGH-MAY'!H15)="","      ",'HourGH-MAY'!H15)</f>
        <v>0.56999999999999995</v>
      </c>
      <c r="G19" s="118">
        <f>IF(TRIM('HourGH-MAY'!H16)="","      ",'HourGH-MAY'!H16)</f>
        <v>0.54</v>
      </c>
      <c r="H19" s="118">
        <f>IF(TRIM('HourGH-MAY'!H17)="","      ",'HourGH-MAY'!H17)</f>
        <v>0.49</v>
      </c>
      <c r="I19" s="118">
        <f>IF(TRIM('HourGH-MAY'!H18)="","      ",'HourGH-MAY'!H18)</f>
        <v>0.49</v>
      </c>
      <c r="J19" s="118">
        <f>IF(TRIM('HourGH-MAY'!H19)="","      ",'HourGH-MAY'!H19)</f>
        <v>0.48</v>
      </c>
      <c r="K19" s="118">
        <f>IF(TRIM('HourGH-MAY'!H20)="","      ",'HourGH-MAY'!H20)</f>
        <v>0.57999999999999996</v>
      </c>
    </row>
    <row r="20" spans="1:12">
      <c r="A20" s="127" t="s">
        <v>162</v>
      </c>
      <c r="B20" s="118">
        <f>IF(TRIM('HourGH-MAY'!I22)="","      ",'HourGH-MAY'!I22)</f>
        <v>0.57999999999999996</v>
      </c>
      <c r="C20" s="118">
        <f>IF(TRIM('HourGH-MAY'!I23)="","      ",'HourGH-MAY'!I23)</f>
        <v>0.56999999999999995</v>
      </c>
      <c r="D20" s="118">
        <f>IF(TRIM('HourGH-MAY'!H24)="","      ",'HourGH-MAY'!H24)</f>
        <v>0.56999999999999995</v>
      </c>
      <c r="E20" s="118">
        <f>IF(TRIM('HourGH-MAY'!H25)="","      ",'HourGH-MAY'!H25)</f>
        <v>0.5</v>
      </c>
      <c r="F20" s="118">
        <f>IF(TRIM('HourGH-MAY'!H26)="","      ",'HourGH-MAY'!H26)</f>
        <v>0.5</v>
      </c>
      <c r="G20" s="118">
        <f>IF(TRIM('HourGH-MAY'!H27)="","      ",'HourGH-MAY'!H27)</f>
        <v>0.49</v>
      </c>
      <c r="H20" s="118">
        <f>IF(TRIM('HourGH-MAY'!H28)="","      ",'HourGH-MAY'!H28)</f>
        <v>0.48</v>
      </c>
      <c r="I20" s="118">
        <f>IF(TRIM('HourGH-MAY'!H29)="","      ",'HourGH-MAY'!H29)</f>
        <v>0.48</v>
      </c>
      <c r="J20" s="118">
        <f>IF(TRIM('HourGH-MAY'!H30)="","      ",'HourGH-MAY'!H30)</f>
        <v>0.48</v>
      </c>
      <c r="K20" s="118">
        <f>IF(TRIM('HourGH-MAY'!H31)="","      ",'HourGH-MAY'!H31)</f>
        <v>0.16</v>
      </c>
    </row>
    <row r="21" spans="1:12">
      <c r="A21" s="127" t="s">
        <v>163</v>
      </c>
      <c r="B21" s="118">
        <f>IF(TRIM('HourGH-MAY'!H33)="","      ",'HourGH-MAY'!H33)</f>
        <v>0.19</v>
      </c>
      <c r="C21" s="118">
        <f>IF(TRIM('HourGH-MAY'!H34)="","      ",'HourGH-MAY'!H34)</f>
        <v>0.2</v>
      </c>
      <c r="D21" s="118">
        <f>IF(TRIM('HourGH-MAY'!H35)="","      ",'HourGH-MAY'!H35)</f>
        <v>0.2</v>
      </c>
      <c r="E21" s="118">
        <f>IF(TRIM('HourGH-MAY'!H36)="","      ",'HourGH-MAY'!H36)</f>
        <v>0.22</v>
      </c>
      <c r="F21" s="118">
        <f>IF(TRIM('HourGH-MAY'!H37)="","      ",'HourGH-MAY'!H37)</f>
        <v>0.19</v>
      </c>
      <c r="G21" s="118">
        <f>IF(TRIM('HourGH-MAY'!H38)="","      ",'HourGH-MAY'!H38)</f>
        <v>0.14000000000000001</v>
      </c>
      <c r="H21" s="118">
        <f>IF(TRIM('HourGH-MAY'!H39)="","      ",'HourGH-MAY'!H39)</f>
        <v>0.18</v>
      </c>
      <c r="I21" s="118">
        <f>IF(TRIM('HourGH-MAY'!I40)="","      ",'HourGH-MAY'!I40)</f>
        <v>0.18</v>
      </c>
      <c r="J21" s="118">
        <f>IF(TRIM('HourGH-MAY'!H41)="","      ",'HourGH-MAY'!H41)</f>
        <v>0.18</v>
      </c>
      <c r="K21" s="118">
        <f>IF(TRIM('HourGH-MAY'!H42)="","      ",'HourGH-MAY'!H42)</f>
        <v>0.2</v>
      </c>
      <c r="L21" s="118">
        <f>IF(TRIM('HourGH-MAY'!H43)="","      ",'HourGH-MAY'!H43)</f>
        <v>0.23</v>
      </c>
    </row>
    <row r="22" spans="1:12">
      <c r="A22" s="127" t="s">
        <v>164</v>
      </c>
      <c r="B22" s="128">
        <f>IF(TRIM('HourGH-MAY'!I11)="","      ",'HourGH-MAY'!I11)</f>
        <v>0.56999999999999995</v>
      </c>
      <c r="C22" s="128">
        <f>IF(TRIM('HourGH-MAY'!I12)="","      ",'HourGH-MAY'!I12)</f>
        <v>0.56999999999999995</v>
      </c>
      <c r="D22" s="128">
        <f>IF(TRIM('HourGH-MAY'!I13)="","      ",'HourGH-MAY'!I13)</f>
        <v>0.57999999999999996</v>
      </c>
      <c r="E22" s="128">
        <f>IF(TRIM('HourGH-MAY'!I14)="","      ",'HourGH-MAY'!I14)</f>
        <v>0.56000000000000005</v>
      </c>
      <c r="F22" s="118">
        <f>IF(TRIM('HourGH-MAY'!I15)="","      ",'HourGH-MAY'!I15)</f>
        <v>0.56999999999999995</v>
      </c>
      <c r="G22" s="118">
        <f>IF(TRIM('HourGH-MAY'!I16)="","      ",'HourGH-MAY'!I16)</f>
        <v>0.53</v>
      </c>
      <c r="H22" s="128">
        <f>IF(TRIM('HourGH-MAY'!I17)="","      ",'HourGH-MAY'!I17)</f>
        <v>0.49</v>
      </c>
      <c r="I22" s="128">
        <f>IF(TRIM('HourGH-MAY'!I18)="","      ",'HourGH-MAY'!I18)</f>
        <v>0.49</v>
      </c>
      <c r="J22" s="128">
        <f>IF(TRIM('HourGH-MAY'!I19)="","      ",'HourGH-MAY'!I19)</f>
        <v>0.48</v>
      </c>
      <c r="K22" s="128">
        <f>IF(TRIM('HourGH-MAY'!I20)="","      ",'HourGH-MAY'!I20)</f>
        <v>0.57999999999999996</v>
      </c>
    </row>
    <row r="23" spans="1:12">
      <c r="A23" s="127" t="s">
        <v>165</v>
      </c>
      <c r="B23" s="128" t="e">
        <f>IF(TRIM('HourGH-MAY'!#REF!)="","      ",'HourGH-MAY'!#REF!)</f>
        <v>#REF!</v>
      </c>
      <c r="C23" s="128" t="e">
        <f>IF(TRIM('HourGH-MAY'!#REF!)="","      ",'HourGH-MAY'!#REF!)</f>
        <v>#REF!</v>
      </c>
      <c r="D23" s="128">
        <f>IF(TRIM('HourGH-MAY'!I24)="","      ",'HourGH-MAY'!I24)</f>
        <v>0.56000000000000005</v>
      </c>
      <c r="E23" s="128">
        <f>IF(TRIM('HourGH-MAY'!I25)="","      ",'HourGH-MAY'!I25)</f>
        <v>0.5</v>
      </c>
      <c r="F23" s="118">
        <f>IF(TRIM('HourGH-MAY'!I26)="","      ",'HourGH-MAY'!I26)</f>
        <v>0.5</v>
      </c>
      <c r="G23" s="118">
        <f>IF(TRIM('HourGH-MAY'!I27)="","      ",'HourGH-MAY'!I27)</f>
        <v>0.49</v>
      </c>
      <c r="H23" s="118">
        <f>IF(TRIM('HourGH-MAY'!I28)="","      ",'HourGH-MAY'!I28)</f>
        <v>0.48</v>
      </c>
      <c r="I23" s="118">
        <f>IF(TRIM('HourGH-MAY'!I29)="","      ",'HourGH-MAY'!I29)</f>
        <v>0.48</v>
      </c>
      <c r="J23" s="118">
        <f>IF(TRIM('HourGH-MAY'!I30)="","      ",'HourGH-MAY'!I30)</f>
        <v>0.48</v>
      </c>
      <c r="K23" s="118">
        <f>IF(TRIM('HourGH-MAY'!I31)="","      ",'HourGH-MAY'!I31)</f>
        <v>0.15</v>
      </c>
    </row>
    <row r="24" spans="1:12">
      <c r="A24" s="127" t="s">
        <v>166</v>
      </c>
      <c r="B24" s="128">
        <f>IF(TRIM('HourGH-MAY'!I33)="","      ",'HourGH-MAY'!I33)</f>
        <v>0.2</v>
      </c>
      <c r="C24" s="128">
        <f>IF(TRIM('HourGH-MAY'!I34)="","      ",'HourGH-MAY'!I34)</f>
        <v>0.2</v>
      </c>
      <c r="D24" s="128">
        <f>IF(TRIM('HourGH-MAY'!I35)="","      ",'HourGH-MAY'!I35)</f>
        <v>0.2</v>
      </c>
      <c r="E24" s="128">
        <f>IF(TRIM('HourGH-MAY'!I36)="","      ",'HourGH-MAY'!I36)</f>
        <v>0.22</v>
      </c>
      <c r="F24" s="118">
        <f>IF(TRIM('HourGH-MAY'!I37)="","      ",'HourGH-MAY'!I37)</f>
        <v>0.18</v>
      </c>
      <c r="G24" s="118">
        <f>IF(TRIM('HourGH-MAY'!I38)="","      ",'HourGH-MAY'!I38)</f>
        <v>0.14000000000000001</v>
      </c>
      <c r="H24" s="118">
        <f>IF(TRIM('HourGH-MAY'!I39)="","      ",'HourGH-MAY'!I39)</f>
        <v>0.18</v>
      </c>
      <c r="I24" s="118" t="e">
        <f>IF(TRIM('HourGH-MAY'!#REF!)="","      ",'HourGH-MAY'!#REF!)</f>
        <v>#REF!</v>
      </c>
      <c r="J24" s="118">
        <f>IF(TRIM('HourGH-MAY'!I41)="","      ",'HourGH-MAY'!I41)</f>
        <v>0.19</v>
      </c>
      <c r="K24" s="118">
        <f>IF(TRIM('HourGH-MAY'!I42)="","      ",'HourGH-MAY'!I42)</f>
        <v>0.21</v>
      </c>
      <c r="L24" s="118">
        <f>IF(TRIM('HourGH-MAY'!I43)="","      ",'HourGH-MAY'!I43)</f>
        <v>0.23</v>
      </c>
    </row>
    <row r="25" spans="1:12">
      <c r="A25" s="127" t="s">
        <v>167</v>
      </c>
      <c r="B25" s="128">
        <f>IF(TRIM('HourGH-MAY'!J11)="","      ",'HourGH-MAY'!J11)</f>
        <v>0.56999999999999995</v>
      </c>
      <c r="C25" s="128">
        <f>IF(TRIM('HourGH-MAY'!J12)="","      ",'HourGH-MAY'!J12)</f>
        <v>0.56999999999999995</v>
      </c>
      <c r="D25" s="128">
        <f>IF(TRIM('HourGH-MAY'!J13)="","      ",'HourGH-MAY'!J13)</f>
        <v>0.57999999999999996</v>
      </c>
      <c r="E25" s="128">
        <f>IF(TRIM('HourGH-MAY'!J14)="","      ",'HourGH-MAY'!J14)</f>
        <v>0.56000000000000005</v>
      </c>
      <c r="F25" s="118">
        <f>IF(TRIM('HourGH-MAY'!J15)="","      ",'HourGH-MAY'!J15)</f>
        <v>0.56999999999999995</v>
      </c>
      <c r="G25" s="118">
        <f>IF(TRIM('HourGH-MAY'!J16)="","      ",'HourGH-MAY'!J16)</f>
        <v>0.53</v>
      </c>
      <c r="H25" s="128">
        <f>IF(TRIM('HourGH-MAY'!J17)="","      ",'HourGH-MAY'!J17)</f>
        <v>0.49</v>
      </c>
      <c r="I25" s="128">
        <f>IF(TRIM('HourGH-MAY'!J18)="","      ",'HourGH-MAY'!J18)</f>
        <v>0.49</v>
      </c>
      <c r="J25" s="128">
        <f>IF(TRIM('HourGH-MAY'!J19)="","      ",'HourGH-MAY'!J19)</f>
        <v>0.49</v>
      </c>
      <c r="K25" s="128">
        <f>IF(TRIM('HourGH-MAY'!J20)="","      ",'HourGH-MAY'!J20)</f>
        <v>0.59</v>
      </c>
    </row>
    <row r="26" spans="1:12">
      <c r="A26" s="127" t="s">
        <v>168</v>
      </c>
      <c r="B26" s="128">
        <f>IF(TRIM('HourGH-MAY'!J22)="","      ",'HourGH-MAY'!J22)</f>
        <v>0.57999999999999996</v>
      </c>
      <c r="C26" s="128">
        <f>IF(TRIM('HourGH-MAY'!J23)="","      ",'HourGH-MAY'!J23)</f>
        <v>0.56999999999999995</v>
      </c>
      <c r="D26" s="128">
        <f>IF(TRIM('HourGH-MAY'!J24)="","      ",'HourGH-MAY'!J24)</f>
        <v>0.56000000000000005</v>
      </c>
      <c r="E26" s="128">
        <f>IF(TRIM('HourGH-MAY'!J25)="","      ",'HourGH-MAY'!J25)</f>
        <v>0.5</v>
      </c>
      <c r="F26" s="118">
        <f>IF(TRIM('HourGH-MAY'!J26)="","      ",'HourGH-MAY'!J26)</f>
        <v>0.5</v>
      </c>
      <c r="G26" s="118">
        <f>IF(TRIM('HourGH-MAY'!J27)="","      ",'HourGH-MAY'!J27)</f>
        <v>0.49</v>
      </c>
      <c r="H26" s="128">
        <f>IF(TRIM('HourGH-MAY'!J28)="","      ",'HourGH-MAY'!J28)</f>
        <v>0.48</v>
      </c>
      <c r="I26" s="128">
        <f>IF(TRIM('HourGH-MAY'!J29)="","      ",'HourGH-MAY'!J29)</f>
        <v>0.48</v>
      </c>
      <c r="J26" s="128">
        <f>IF(TRIM('HourGH-MAY'!J30)="","      ",'HourGH-MAY'!J30)</f>
        <v>0.47</v>
      </c>
      <c r="K26" s="128">
        <f>IF(TRIM('HourGH-MAY'!J31)="","      ",'HourGH-MAY'!J31)</f>
        <v>0.14000000000000001</v>
      </c>
    </row>
    <row r="27" spans="1:12">
      <c r="A27" s="127" t="s">
        <v>169</v>
      </c>
      <c r="B27" s="128">
        <f>IF(TRIM('HourGH-MAY'!J33)="","      ",'HourGH-MAY'!J33)</f>
        <v>0.2</v>
      </c>
      <c r="C27" s="128">
        <f>IF(TRIM('HourGH-MAY'!J34)="","      ",'HourGH-MAY'!J34)</f>
        <v>0.2</v>
      </c>
      <c r="D27" s="128">
        <f>IF(TRIM('HourGH-MAY'!J35)="","      ",'HourGH-MAY'!J35)</f>
        <v>0.2</v>
      </c>
      <c r="E27" s="128">
        <f>IF(TRIM('HourGH-MAY'!J36)="","      ",'HourGH-MAY'!J36)</f>
        <v>0.22</v>
      </c>
      <c r="F27" s="118">
        <f>IF(TRIM('HourGH-MAY'!J37)="","      ",'HourGH-MAY'!J37)</f>
        <v>0.18</v>
      </c>
      <c r="G27" s="118">
        <f>IF(TRIM('HourGH-MAY'!J38)="","      ",'HourGH-MAY'!J38)</f>
        <v>0.14000000000000001</v>
      </c>
      <c r="H27" s="128">
        <f>IF(TRIM('HourGH-MAY'!J39)="","      ",'HourGH-MAY'!J39)</f>
        <v>0.18</v>
      </c>
      <c r="I27" s="128">
        <f>IF(TRIM('HourGH-MAY'!J40)="","      ",'HourGH-MAY'!J40)</f>
        <v>0.18</v>
      </c>
      <c r="J27" s="128">
        <f>IF(TRIM('HourGH-MAY'!J41)="","      ",'HourGH-MAY'!J41)</f>
        <v>0.19</v>
      </c>
      <c r="K27" s="128">
        <f>IF(TRIM('HourGH-MAY'!J42)="","      ",'HourGH-MAY'!J42)</f>
        <v>0.21</v>
      </c>
      <c r="L27" s="118">
        <f>IF(TRIM('HourGH-MAY'!J43)="","      ",'HourGH-MAY'!J43)</f>
        <v>0.23</v>
      </c>
    </row>
    <row r="28" spans="1:12">
      <c r="A28" s="127" t="s">
        <v>170</v>
      </c>
      <c r="B28" s="128">
        <f>IF(TRIM('HourGH-MAY'!K11)="","      ",'HourGH-MAY'!K11)</f>
        <v>0.56999999999999995</v>
      </c>
      <c r="C28" s="128">
        <f>IF(TRIM('HourGH-MAY'!K12)="","      ",'HourGH-MAY'!K12)</f>
        <v>0.56999999999999995</v>
      </c>
      <c r="D28" s="128">
        <f>IF(TRIM('HourGH-MAY'!K13)="","      ",'HourGH-MAY'!K13)</f>
        <v>0.57999999999999996</v>
      </c>
      <c r="E28" s="128">
        <f>IF(TRIM('HourGH-MAY'!K14)="","      ",'HourGH-MAY'!K14)</f>
        <v>0.56000000000000005</v>
      </c>
      <c r="F28" s="118">
        <f>IF(TRIM('HourGH-MAY'!K15)="","      ",'HourGH-MAY'!K15)</f>
        <v>0.56999999999999995</v>
      </c>
      <c r="G28" s="118">
        <f>IF(TRIM('HourGH-MAY'!K16)="","      ",'HourGH-MAY'!K16)</f>
        <v>0.53</v>
      </c>
      <c r="H28" s="128">
        <f>IF(TRIM('HourGH-MAY'!K17)="","      ",'HourGH-MAY'!K17)</f>
        <v>0.49</v>
      </c>
      <c r="I28" s="128">
        <f>IF(TRIM('HourGH-MAY'!K18)="","      ",'HourGH-MAY'!K18)</f>
        <v>0.49</v>
      </c>
      <c r="J28" s="128">
        <f>IF(TRIM('HourGH-MAY'!K19)="","      ",'HourGH-MAY'!K19)</f>
        <v>0.49</v>
      </c>
      <c r="K28" s="128">
        <f>IF(TRIM('HourGH-MAY'!K20)="","      ",'HourGH-MAY'!K20)</f>
        <v>0.59</v>
      </c>
    </row>
    <row r="29" spans="1:12">
      <c r="A29" s="127" t="s">
        <v>171</v>
      </c>
      <c r="B29" s="128">
        <f>IF(TRIM('HourGH-MAY'!K22)="","      ",'HourGH-MAY'!K22)</f>
        <v>0.57999999999999996</v>
      </c>
      <c r="C29" s="128">
        <f>IF(TRIM('HourGH-MAY'!K23)="","      ",'HourGH-MAY'!K23)</f>
        <v>0.56999999999999995</v>
      </c>
      <c r="D29" s="128">
        <f>IF(TRIM('HourGH-MAY'!K24)="","      ",'HourGH-MAY'!K24)</f>
        <v>0.56000000000000005</v>
      </c>
      <c r="E29" s="128">
        <f>IF(TRIM('HourGH-MAY'!K25)="","      ",'HourGH-MAY'!K25)</f>
        <v>0.5</v>
      </c>
      <c r="F29" s="118">
        <f>IF(TRIM('HourGH-MAY'!K26)="","      ",'HourGH-MAY'!K26)</f>
        <v>0.5</v>
      </c>
      <c r="G29" s="118">
        <f>IF(TRIM('HourGH-MAY'!K27)="","      ",'HourGH-MAY'!K27)</f>
        <v>0.49</v>
      </c>
      <c r="H29" s="128">
        <f>IF(TRIM('HourGH-MAY'!K28)="","      ",'HourGH-MAY'!K28)</f>
        <v>0.48</v>
      </c>
      <c r="I29" s="128">
        <f>IF(TRIM('HourGH-MAY'!K29)="","      ",'HourGH-MAY'!K29)</f>
        <v>0.48</v>
      </c>
      <c r="J29" s="128">
        <f>IF(TRIM('HourGH-MAY'!K30)="","      ",'HourGH-MAY'!K30)</f>
        <v>0.46</v>
      </c>
      <c r="K29" s="128">
        <f>IF(TRIM('HourGH-MAY'!K31)="","      ",'HourGH-MAY'!K31)</f>
        <v>0.14000000000000001</v>
      </c>
    </row>
    <row r="30" spans="1:12">
      <c r="A30" s="127" t="s">
        <v>172</v>
      </c>
      <c r="B30" s="128">
        <f>IF(TRIM('HourGH-MAY'!K33)="","      ",'HourGH-MAY'!K33)</f>
        <v>0.21</v>
      </c>
      <c r="C30" s="128">
        <f>IF(TRIM('HourGH-MAY'!K34)="","      ",'HourGH-MAY'!K34)</f>
        <v>0.2</v>
      </c>
      <c r="D30" s="128">
        <f>IF(TRIM('HourGH-MAY'!K35)="","      ",'HourGH-MAY'!K35)</f>
        <v>0.2</v>
      </c>
      <c r="E30" s="128">
        <f>IF(TRIM('HourGH-MAY'!K36)="","      ",'HourGH-MAY'!K36)</f>
        <v>0.22</v>
      </c>
      <c r="F30" s="118">
        <f>IF(TRIM('HourGH-MAY'!K37)="","      ",'HourGH-MAY'!K37)</f>
        <v>0.18</v>
      </c>
      <c r="G30" s="118">
        <f>IF(TRIM('HourGH-MAY'!K38)="","      ",'HourGH-MAY'!K38)</f>
        <v>0.14000000000000001</v>
      </c>
      <c r="H30" s="128">
        <f>IF(TRIM('HourGH-MAY'!K39)="","      ",'HourGH-MAY'!K39)</f>
        <v>0.18</v>
      </c>
      <c r="I30" s="128">
        <f>IF(TRIM('HourGH-MAY'!K40)="","      ",'HourGH-MAY'!K40)</f>
        <v>0.18</v>
      </c>
      <c r="J30" s="128">
        <f>IF(TRIM('HourGH-MAY'!K41)="","      ",'HourGH-MAY'!K41)</f>
        <v>0.19</v>
      </c>
      <c r="K30" s="128">
        <f>IF(TRIM('HourGH-MAY'!K42)="","      ",'HourGH-MAY'!K42)</f>
        <v>0.21</v>
      </c>
      <c r="L30" s="118">
        <f>IF(TRIM('HourGH-MAY'!K43)="","      ",'HourGH-MAY'!K43)</f>
        <v>0.23</v>
      </c>
    </row>
    <row r="31" spans="1:12">
      <c r="A31" s="127" t="s">
        <v>173</v>
      </c>
      <c r="B31" s="128">
        <f>IF(TRIM('HourGH-MAY'!L11)="","      ",'HourGH-MAY'!L11)</f>
        <v>0.56999999999999995</v>
      </c>
      <c r="C31" s="128">
        <f>IF(TRIM('HourGH-MAY'!L12)="","      ",'HourGH-MAY'!L12)</f>
        <v>0.56999999999999995</v>
      </c>
      <c r="D31" s="128">
        <f>IF(TRIM('HourGH-MAY'!L13)="","      ",'HourGH-MAY'!L13)</f>
        <v>0.57999999999999996</v>
      </c>
      <c r="E31" s="128">
        <f>IF(TRIM('HourGH-MAY'!L14)="","      ",'HourGH-MAY'!L14)</f>
        <v>0.56000000000000005</v>
      </c>
      <c r="F31" s="118">
        <f>IF(TRIM('HourGH-MAY'!L15)="","      ",'HourGH-MAY'!L15)</f>
        <v>0.56999999999999995</v>
      </c>
      <c r="G31" s="118">
        <f>IF(TRIM('HourGH-MAY'!L16)="","      ",'HourGH-MAY'!L16)</f>
        <v>0.53</v>
      </c>
      <c r="H31" s="128">
        <f>IF(TRIM('HourGH-MAY'!L17)="","      ",'HourGH-MAY'!L17)</f>
        <v>0.49</v>
      </c>
      <c r="I31" s="128">
        <f>IF(TRIM('HourGH-MAY'!L18)="","      ",'HourGH-MAY'!L18)</f>
        <v>0.49</v>
      </c>
      <c r="J31" s="128">
        <f>IF(TRIM('HourGH-MAY'!L19)="","      ",'HourGH-MAY'!L19)</f>
        <v>0.49</v>
      </c>
      <c r="K31" s="128">
        <f>IF(TRIM('HourGH-MAY'!L20)="","      ",'HourGH-MAY'!L20)</f>
        <v>0.59</v>
      </c>
    </row>
    <row r="32" spans="1:12">
      <c r="A32" s="127" t="s">
        <v>174</v>
      </c>
      <c r="B32" s="128">
        <f>IF(TRIM('HourGH-MAY'!L22)="","      ",'HourGH-MAY'!L22)</f>
        <v>0.57999999999999996</v>
      </c>
      <c r="C32" s="128">
        <f>IF(TRIM('HourGH-MAY'!L23)="","      ",'HourGH-MAY'!L23)</f>
        <v>0.56999999999999995</v>
      </c>
      <c r="D32" s="128">
        <f>IF(TRIM('HourGH-MAY'!L24)="","      ",'HourGH-MAY'!L24)</f>
        <v>0.56000000000000005</v>
      </c>
      <c r="E32" s="128">
        <f>IF(TRIM('HourGH-MAY'!L25)="","      ",'HourGH-MAY'!L25)</f>
        <v>0.5</v>
      </c>
      <c r="F32" s="118">
        <f>IF(TRIM('HourGH-MAY'!L26)="","      ",'HourGH-MAY'!L26)</f>
        <v>0.5</v>
      </c>
      <c r="G32" s="118">
        <f>IF(TRIM('HourGH-MAY'!L27)="","      ",'HourGH-MAY'!L27)</f>
        <v>0.49</v>
      </c>
      <c r="H32" s="128">
        <f>IF(TRIM('HourGH-MAY'!L28)="","      ",'HourGH-MAY'!L28)</f>
        <v>0.48</v>
      </c>
      <c r="I32" s="128">
        <f>IF(TRIM('HourGH-MAY'!L29)="","      ",'HourGH-MAY'!L29)</f>
        <v>0.48</v>
      </c>
      <c r="J32" s="128">
        <f>IF(TRIM('HourGH-MAY'!L30)="","      ",'HourGH-MAY'!L30)</f>
        <v>0.45</v>
      </c>
      <c r="K32" s="128">
        <f>IF(TRIM('HourGH-MAY'!L31)="","      ",'HourGH-MAY'!L31)</f>
        <v>0.14000000000000001</v>
      </c>
    </row>
    <row r="33" spans="1:12">
      <c r="A33" s="127" t="s">
        <v>175</v>
      </c>
      <c r="B33" s="128">
        <f>IF(TRIM('HourGH-MAY'!L33)="","      ",'HourGH-MAY'!L33)</f>
        <v>0.21</v>
      </c>
      <c r="C33" s="128">
        <f>IF(TRIM('HourGH-MAY'!L34)="","      ",'HourGH-MAY'!L34)</f>
        <v>0.2</v>
      </c>
      <c r="D33" s="128">
        <f>IF(TRIM('HourGH-MAY'!L35)="","      ",'HourGH-MAY'!L35)</f>
        <v>0.19</v>
      </c>
      <c r="E33" s="128">
        <f>IF(TRIM('HourGH-MAY'!L36)="","      ",'HourGH-MAY'!L36)</f>
        <v>0.22</v>
      </c>
      <c r="F33" s="118">
        <f>IF(TRIM('HourGH-MAY'!L37)="","      ",'HourGH-MAY'!L37)</f>
        <v>0.18</v>
      </c>
      <c r="G33" s="118">
        <f>IF(TRIM('HourGH-MAY'!L38)="","      ",'HourGH-MAY'!L38)</f>
        <v>0.14000000000000001</v>
      </c>
      <c r="H33" s="128">
        <f>IF(TRIM('HourGH-MAY'!L39)="","      ",'HourGH-MAY'!L39)</f>
        <v>0.18</v>
      </c>
      <c r="I33" s="128">
        <f>IF(TRIM('HourGH-MAY'!L40)="","      ",'HourGH-MAY'!L40)</f>
        <v>0.18</v>
      </c>
      <c r="J33" s="128">
        <f>IF(TRIM('HourGH-MAY'!L41)="","      ",'HourGH-MAY'!L41)</f>
        <v>0.19</v>
      </c>
      <c r="K33" s="128">
        <f>IF(TRIM('HourGH-MAY'!L42)="","      ",'HourGH-MAY'!L42)</f>
        <v>0.21</v>
      </c>
      <c r="L33" s="118">
        <f>IF(TRIM('HourGH-MAY'!L43)="","      ",'HourGH-MAY'!L43)</f>
        <v>0.23</v>
      </c>
    </row>
    <row r="34" spans="1:12">
      <c r="A34" s="127" t="s">
        <v>176</v>
      </c>
      <c r="B34" s="128">
        <f>IF(TRIM('HourGH-MAY'!M11)="","      ",'HourGH-MAY'!M11)</f>
        <v>0.56999999999999995</v>
      </c>
      <c r="C34" s="128">
        <f>IF(TRIM('HourGH-MAY'!M12)="","      ",'HourGH-MAY'!M12)</f>
        <v>0.56999999999999995</v>
      </c>
      <c r="D34" s="128">
        <f>IF(TRIM('HourGH-MAY'!M13)="","      ",'HourGH-MAY'!M13)</f>
        <v>0.57999999999999996</v>
      </c>
      <c r="E34" s="128">
        <f>IF(TRIM('HourGH-MAY'!M14)="","      ",'HourGH-MAY'!M14)</f>
        <v>0.56000000000000005</v>
      </c>
      <c r="F34" s="118">
        <f>IF(TRIM('HourGH-MAY'!M15)="","      ",'HourGH-MAY'!M15)</f>
        <v>0.56999999999999995</v>
      </c>
      <c r="G34" s="118">
        <f>IF(TRIM('HourGH-MAY'!M16)="","      ",'HourGH-MAY'!M16)</f>
        <v>0.52</v>
      </c>
      <c r="H34" s="128">
        <f>IF(TRIM('HourGH-MAY'!M17)="","      ",'HourGH-MAY'!M17)</f>
        <v>0.49</v>
      </c>
      <c r="I34" s="128">
        <f>IF(TRIM('HourGH-MAY'!M18)="","      ",'HourGH-MAY'!M18)</f>
        <v>0.49</v>
      </c>
      <c r="J34" s="128">
        <f>IF(TRIM('HourGH-MAY'!M19)="","      ",'HourGH-MAY'!M19)</f>
        <v>0.5</v>
      </c>
      <c r="K34" s="128">
        <f>IF(TRIM('HourGH-MAY'!M20)="","      ",'HourGH-MAY'!M20)</f>
        <v>0.59</v>
      </c>
    </row>
    <row r="35" spans="1:12">
      <c r="A35" s="127" t="s">
        <v>177</v>
      </c>
      <c r="B35" s="128">
        <f>IF(TRIM('HourGH-MAY'!M22)="","      ",'HourGH-MAY'!M22)</f>
        <v>0.57999999999999996</v>
      </c>
      <c r="C35" s="128">
        <f>IF(TRIM('HourGH-MAY'!M23)="","      ",'HourGH-MAY'!M23)</f>
        <v>0.56999999999999995</v>
      </c>
      <c r="D35" s="128">
        <f>IF(TRIM('HourGH-MAY'!M24)="","      ",'HourGH-MAY'!M24)</f>
        <v>0.55000000000000004</v>
      </c>
      <c r="E35" s="128">
        <f>IF(TRIM('HourGH-MAY'!M25)="","      ",'HourGH-MAY'!M25)</f>
        <v>0.5</v>
      </c>
      <c r="F35" s="118">
        <f>IF(TRIM('HourGH-MAY'!M26)="","      ",'HourGH-MAY'!M26)</f>
        <v>0.5</v>
      </c>
      <c r="G35" s="118">
        <f>IF(TRIM('HourGH-MAY'!M27)="","      ",'HourGH-MAY'!M27)</f>
        <v>0.49</v>
      </c>
      <c r="H35" s="128">
        <f>IF(TRIM('HourGH-MAY'!M28)="","      ",'HourGH-MAY'!M28)</f>
        <v>0.48</v>
      </c>
      <c r="I35" s="128">
        <f>IF(TRIM('HourGH-MAY'!M29)="","      ",'HourGH-MAY'!M29)</f>
        <v>0.48</v>
      </c>
      <c r="J35" s="128">
        <f>IF(TRIM('HourGH-MAY'!M30)="","      ",'HourGH-MAY'!M30)</f>
        <v>0.44</v>
      </c>
      <c r="K35" s="128">
        <f>IF(TRIM('HourGH-MAY'!M31)="","      ",'HourGH-MAY'!M31)</f>
        <v>0.14000000000000001</v>
      </c>
    </row>
    <row r="36" spans="1:12">
      <c r="A36" s="127" t="s">
        <v>178</v>
      </c>
      <c r="B36" s="128">
        <f>IF(TRIM('HourGH-MAY'!M33)="","      ",'HourGH-MAY'!M33)</f>
        <v>0.22</v>
      </c>
      <c r="C36" s="128">
        <f>IF(TRIM('HourGH-MAY'!M34)="","      ",'HourGH-MAY'!M34)</f>
        <v>0.2</v>
      </c>
      <c r="D36" s="128">
        <f>IF(TRIM('HourGH-MAY'!M35)="","      ",'HourGH-MAY'!M35)</f>
        <v>0.19</v>
      </c>
      <c r="E36" s="128">
        <f>IF(TRIM('HourGH-MAY'!M36)="","      ",'HourGH-MAY'!M36)</f>
        <v>0.22</v>
      </c>
      <c r="F36" s="118">
        <f>IF(TRIM('HourGH-MAY'!M37)="","      ",'HourGH-MAY'!M37)</f>
        <v>0.18</v>
      </c>
      <c r="G36" s="118">
        <f>IF(TRIM('HourGH-MAY'!M38)="","      ",'HourGH-MAY'!M38)</f>
        <v>0.14000000000000001</v>
      </c>
      <c r="H36" s="128">
        <f>IF(TRIM('HourGH-MAY'!M39)="","      ",'HourGH-MAY'!M39)</f>
        <v>0.18</v>
      </c>
      <c r="I36" s="128">
        <f>IF(TRIM('HourGH-MAY'!M40)="","      ",'HourGH-MAY'!M40)</f>
        <v>0.18</v>
      </c>
      <c r="J36" s="128">
        <f>IF(TRIM('HourGH-MAY'!M41)="","      ",'HourGH-MAY'!M41)</f>
        <v>0.19</v>
      </c>
      <c r="K36" s="128">
        <f>IF(TRIM('HourGH-MAY'!M42)="","      ",'HourGH-MAY'!M42)</f>
        <v>0.21</v>
      </c>
      <c r="L36" s="118">
        <f>IF(TRIM('HourGH-MAY'!M43)="","      ",'HourGH-MAY'!M43)</f>
        <v>0.23</v>
      </c>
    </row>
    <row r="37" spans="1:12">
      <c r="A37" s="127" t="s">
        <v>179</v>
      </c>
      <c r="B37" s="128">
        <f>IF(TRIM('HourGH-MAY'!N11)="","      ",'HourGH-MAY'!N11)</f>
        <v>0.56999999999999995</v>
      </c>
      <c r="C37" s="128">
        <f>IF(TRIM('HourGH-MAY'!N12)="","      ",'HourGH-MAY'!N12)</f>
        <v>0.56999999999999995</v>
      </c>
      <c r="D37" s="128">
        <f>IF(TRIM('HourGH-MAY'!N13)="","      ",'HourGH-MAY'!N13)</f>
        <v>0.57999999999999996</v>
      </c>
      <c r="E37" s="128">
        <f>IF(TRIM('HourGH-MAY'!N14)="","      ",'HourGH-MAY'!N14)</f>
        <v>0.56000000000000005</v>
      </c>
      <c r="F37" s="118">
        <f>IF(TRIM('HourGH-MAY'!N15)="","      ",'HourGH-MAY'!N15)</f>
        <v>0.56999999999999995</v>
      </c>
      <c r="G37" s="118">
        <f>IF(TRIM('HourGH-MAY'!N16)="","      ",'HourGH-MAY'!N16)</f>
        <v>0.52</v>
      </c>
      <c r="H37" s="128">
        <f>IF(TRIM('HourGH-MAY'!N17)="","      ",'HourGH-MAY'!N17)</f>
        <v>0.48</v>
      </c>
      <c r="I37" s="128">
        <f>IF(TRIM('HourGH-MAY'!N18)="","      ",'HourGH-MAY'!N18)</f>
        <v>0.49</v>
      </c>
      <c r="J37" s="128">
        <f>IF(TRIM('HourGH-MAY'!N19)="","      ",'HourGH-MAY'!N19)</f>
        <v>0.5</v>
      </c>
      <c r="K37" s="128">
        <f>IF(TRIM('HourGH-MAY'!N20)="","      ",'HourGH-MAY'!N20)</f>
        <v>0.59</v>
      </c>
    </row>
    <row r="38" spans="1:12">
      <c r="A38" s="127" t="s">
        <v>180</v>
      </c>
      <c r="B38" s="128">
        <f>IF(TRIM('HourGH-MAY'!N22)="","      ",'HourGH-MAY'!N22)</f>
        <v>0.57999999999999996</v>
      </c>
      <c r="C38" s="128">
        <f>IF(TRIM('HourGH-MAY'!N23)="","      ",'HourGH-MAY'!N23)</f>
        <v>0.56999999999999995</v>
      </c>
      <c r="D38" s="128">
        <f>IF(TRIM('HourGH-MAY'!N24)="","      ",'HourGH-MAY'!N24)</f>
        <v>0.55000000000000004</v>
      </c>
      <c r="E38" s="128">
        <f>IF(TRIM('HourGH-MAY'!N25)="","      ",'HourGH-MAY'!N25)</f>
        <v>0.5</v>
      </c>
      <c r="F38" s="118">
        <f>IF(TRIM('HourGH-MAY'!N26)="","      ",'HourGH-MAY'!N26)</f>
        <v>0.5</v>
      </c>
      <c r="G38" s="118">
        <f>IF(TRIM('HourGH-MAY'!N27)="","      ",'HourGH-MAY'!N27)</f>
        <v>0.49</v>
      </c>
      <c r="H38" s="128">
        <f>IF(TRIM('HourGH-MAY'!N28)="","      ",'HourGH-MAY'!N28)</f>
        <v>0.48</v>
      </c>
      <c r="I38" s="128">
        <f>IF(TRIM('HourGH-MAY'!N29)="","      ",'HourGH-MAY'!N29)</f>
        <v>0.48</v>
      </c>
      <c r="J38" s="128">
        <f>IF(TRIM('HourGH-MAY'!N30)="","      ",'HourGH-MAY'!N30)</f>
        <v>0.43</v>
      </c>
      <c r="K38" s="128">
        <f>IF(TRIM('HourGH-MAY'!N31)="","      ",'HourGH-MAY'!N31)</f>
        <v>0.13</v>
      </c>
    </row>
    <row r="39" spans="1:12">
      <c r="A39" s="127" t="s">
        <v>181</v>
      </c>
      <c r="B39" s="128">
        <f>IF(TRIM('HourGH-MAY'!N33)="","      ",'HourGH-MAY'!N33)</f>
        <v>0.22</v>
      </c>
      <c r="C39" s="128">
        <f>IF(TRIM('HourGH-MAY'!N34)="","      ",'HourGH-MAY'!N34)</f>
        <v>0.19</v>
      </c>
      <c r="D39" s="128">
        <f>IF(TRIM('HourGH-MAY'!N35)="","      ",'HourGH-MAY'!N35)</f>
        <v>0.18</v>
      </c>
      <c r="E39" s="128">
        <f>IF(TRIM('HourGH-MAY'!N36)="","      ",'HourGH-MAY'!N36)</f>
        <v>0.22</v>
      </c>
      <c r="F39" s="118">
        <f>IF(TRIM('HourGH-MAY'!N37)="","      ",'HourGH-MAY'!N37)</f>
        <v>0.18</v>
      </c>
      <c r="G39" s="118">
        <f>IF(TRIM('HourGH-MAY'!N38)="","      ",'HourGH-MAY'!N38)</f>
        <v>0.14000000000000001</v>
      </c>
      <c r="H39" s="128">
        <f>IF(TRIM('HourGH-MAY'!N39)="","      ",'HourGH-MAY'!N39)</f>
        <v>0.18</v>
      </c>
      <c r="I39" s="128">
        <f>IF(TRIM('HourGH-MAY'!N40)="","      ",'HourGH-MAY'!N40)</f>
        <v>0.18</v>
      </c>
      <c r="J39" s="128">
        <f>IF(TRIM('HourGH-MAY'!N41)="","      ",'HourGH-MAY'!N41)</f>
        <v>0.19</v>
      </c>
      <c r="K39" s="128">
        <f>IF(TRIM('HourGH-MAY'!N42)="","      ",'HourGH-MAY'!N42)</f>
        <v>0.21</v>
      </c>
      <c r="L39" s="118">
        <f>IF(TRIM('HourGH-MAY'!N43)="","      ",'HourGH-MAY'!N43)</f>
        <v>0.23</v>
      </c>
    </row>
    <row r="40" spans="1:12">
      <c r="A40" s="127" t="s">
        <v>182</v>
      </c>
      <c r="B40" s="128">
        <f>IF(TRIM('HourGH-MAY'!O11)="","      ",'HourGH-MAY'!O11)</f>
        <v>0.56999999999999995</v>
      </c>
      <c r="C40" s="128">
        <f>IF(TRIM('HourGH-MAY'!O12)="","      ",'HourGH-MAY'!O12)</f>
        <v>0.56999999999999995</v>
      </c>
      <c r="D40" s="128">
        <f>IF(TRIM('HourGH-MAY'!O13)="","      ",'HourGH-MAY'!O13)</f>
        <v>0.57999999999999996</v>
      </c>
      <c r="E40" s="128">
        <f>IF(TRIM('HourGH-MAY'!O14)="","      ",'HourGH-MAY'!O14)</f>
        <v>0.56000000000000005</v>
      </c>
      <c r="F40" s="118">
        <f>IF(TRIM('HourGH-MAY'!O15)="","      ",'HourGH-MAY'!O15)</f>
        <v>0.56000000000000005</v>
      </c>
      <c r="G40" s="118">
        <f>IF(TRIM('HourGH-MAY'!O16)="","      ",'HourGH-MAY'!O16)</f>
        <v>0.52</v>
      </c>
      <c r="H40" s="128">
        <f>IF(TRIM('HourGH-MAY'!O17)="","      ",'HourGH-MAY'!O17)</f>
        <v>0.48</v>
      </c>
      <c r="I40" s="128">
        <f>IF(TRIM('HourGH-MAY'!O18)="","      ",'HourGH-MAY'!O18)</f>
        <v>0.49</v>
      </c>
      <c r="J40" s="128">
        <f>IF(TRIM('HourGH-MAY'!O19)="","      ",'HourGH-MAY'!O19)</f>
        <v>0.5</v>
      </c>
      <c r="K40" s="128">
        <f>IF(TRIM('HourGH-MAY'!O20)="","      ",'HourGH-MAY'!O20)</f>
        <v>0.59</v>
      </c>
    </row>
    <row r="41" spans="1:12">
      <c r="A41" s="127" t="s">
        <v>183</v>
      </c>
      <c r="B41" s="128">
        <f>IF(TRIM('HourGH-MAY'!O22)="","      ",'HourGH-MAY'!O22)</f>
        <v>0.57999999999999996</v>
      </c>
      <c r="C41" s="128">
        <f>IF(TRIM('HourGH-MAY'!O23)="","      ",'HourGH-MAY'!O23)</f>
        <v>0.56999999999999995</v>
      </c>
      <c r="D41" s="128">
        <f>IF(TRIM('HourGH-MAY'!O24)="","      ",'HourGH-MAY'!O24)</f>
        <v>0.55000000000000004</v>
      </c>
      <c r="E41" s="128">
        <f>IF(TRIM('HourGH-MAY'!O25)="","      ",'HourGH-MAY'!O25)</f>
        <v>0.5</v>
      </c>
      <c r="F41" s="118">
        <f>IF(TRIM('HourGH-MAY'!O26)="","      ",'HourGH-MAY'!O26)</f>
        <v>0.5</v>
      </c>
      <c r="G41" s="118">
        <f>IF(TRIM('HourGH-MAY'!O27)="","      ",'HourGH-MAY'!O27)</f>
        <v>0.49</v>
      </c>
      <c r="H41" s="128">
        <f>IF(TRIM('HourGH-MAY'!O28)="","      ",'HourGH-MAY'!O28)</f>
        <v>0.48</v>
      </c>
      <c r="I41" s="128">
        <f>IF(TRIM('HourGH-MAY'!O29)="","      ",'HourGH-MAY'!O29)</f>
        <v>0.48</v>
      </c>
      <c r="J41" s="128">
        <f>IF(TRIM('HourGH-MAY'!O30)="","      ",'HourGH-MAY'!O30)</f>
        <v>0.41</v>
      </c>
      <c r="K41" s="128">
        <f>IF(TRIM('HourGH-MAY'!O31)="","      ",'HourGH-MAY'!O31)</f>
        <v>0.13</v>
      </c>
    </row>
    <row r="42" spans="1:12">
      <c r="A42" s="127" t="s">
        <v>184</v>
      </c>
      <c r="B42" s="128">
        <f>IF(TRIM('HourGH-MAY'!O33)="","      ",'HourGH-MAY'!O33)</f>
        <v>0.23</v>
      </c>
      <c r="C42" s="128">
        <f>IF(TRIM('HourGH-MAY'!O34)="","      ",'HourGH-MAY'!O34)</f>
        <v>0.19</v>
      </c>
      <c r="D42" s="128">
        <f>IF(TRIM('HourGH-MAY'!O35)="","      ",'HourGH-MAY'!O35)</f>
        <v>0.18</v>
      </c>
      <c r="E42" s="128">
        <f>IF(TRIM('HourGH-MAY'!O36)="","      ",'HourGH-MAY'!O36)</f>
        <v>0.21</v>
      </c>
      <c r="F42" s="118">
        <f>IF(TRIM('HourGH-MAY'!O37)="","      ",'HourGH-MAY'!O37)</f>
        <v>0.17</v>
      </c>
      <c r="G42" s="118" t="e">
        <f>IF(TRIM('HourGH-MAY'!#REF!)="","      ",'HourGH-MAY'!#REF!)</f>
        <v>#REF!</v>
      </c>
      <c r="H42" s="128">
        <f>IF(TRIM('HourGH-MAY'!O39)="","      ",'HourGH-MAY'!O39)</f>
        <v>0.18</v>
      </c>
      <c r="I42" s="128">
        <f>IF(TRIM('HourGH-MAY'!O40)="","      ",'HourGH-MAY'!O40)</f>
        <v>0.18</v>
      </c>
      <c r="J42" s="128">
        <f>IF(TRIM('HourGH-MAY'!O41)="","      ",'HourGH-MAY'!O41)</f>
        <v>0.19</v>
      </c>
      <c r="K42" s="128">
        <f>IF(TRIM('HourGH-MAY'!O42)="","      ",'HourGH-MAY'!O42)</f>
        <v>0.21</v>
      </c>
      <c r="L42" s="118">
        <f>IF(TRIM('HourGH-MAY'!O43)="","      ",'HourGH-MAY'!O43)</f>
        <v>0.23</v>
      </c>
    </row>
    <row r="43" spans="1:12">
      <c r="A43" s="127" t="s">
        <v>185</v>
      </c>
      <c r="B43" s="128">
        <f>IF(TRIM('HourGH-MAY'!P11)="","      ",'HourGH-MAY'!P11)</f>
        <v>0.56999999999999995</v>
      </c>
      <c r="C43" s="128">
        <f>IF(TRIM('HourGH-MAY'!P12)="","      ",'HourGH-MAY'!P12)</f>
        <v>0.56999999999999995</v>
      </c>
      <c r="D43" s="128">
        <f>IF(TRIM('HourGH-MAY'!P13)="","      ",'HourGH-MAY'!P13)</f>
        <v>0.57999999999999996</v>
      </c>
      <c r="E43" s="128">
        <f>IF(TRIM('HourGH-MAY'!P14)="","      ",'HourGH-MAY'!P14)</f>
        <v>0.56000000000000005</v>
      </c>
      <c r="F43" s="118">
        <f>IF(TRIM('HourGH-MAY'!P15)="","      ",'HourGH-MAY'!P15)</f>
        <v>0.56000000000000005</v>
      </c>
      <c r="G43" s="118">
        <f>IF(TRIM('HourGH-MAY'!P16)="","      ",'HourGH-MAY'!P16)</f>
        <v>0.52</v>
      </c>
      <c r="H43" s="128">
        <f>IF(TRIM('HourGH-MAY'!P17)="","      ",'HourGH-MAY'!P17)</f>
        <v>0.48</v>
      </c>
      <c r="I43" s="128">
        <f>IF(TRIM('HourGH-MAY'!P18)="","      ",'HourGH-MAY'!P18)</f>
        <v>0.49</v>
      </c>
      <c r="J43" s="128">
        <f>IF(TRIM('HourGH-MAY'!P19)="","      ",'HourGH-MAY'!P19)</f>
        <v>0.5</v>
      </c>
      <c r="K43" s="128">
        <f>IF(TRIM('HourGH-MAY'!P20)="","      ",'HourGH-MAY'!P20)</f>
        <v>0.59</v>
      </c>
    </row>
    <row r="44" spans="1:12">
      <c r="A44" s="127" t="s">
        <v>186</v>
      </c>
      <c r="B44" s="128">
        <f>IF(TRIM('HourGH-MAY'!P22)="","      ",'HourGH-MAY'!P22)</f>
        <v>0.57999999999999996</v>
      </c>
      <c r="C44" s="128">
        <f>IF(TRIM('HourGH-MAY'!P23)="","      ",'HourGH-MAY'!P23)</f>
        <v>0.56999999999999995</v>
      </c>
      <c r="D44" s="128">
        <f>IF(TRIM('HourGH-MAY'!P24)="","      ",'HourGH-MAY'!P24)</f>
        <v>0.55000000000000004</v>
      </c>
      <c r="E44" s="128">
        <f>IF(TRIM('HourGH-MAY'!P25)="","      ",'HourGH-MAY'!P25)</f>
        <v>0.5</v>
      </c>
      <c r="F44" s="118">
        <f>IF(TRIM('HourGH-MAY'!P26)="","      ",'HourGH-MAY'!P26)</f>
        <v>0.5</v>
      </c>
      <c r="G44" s="118">
        <f>IF(TRIM('HourGH-MAY'!P27)="","      ",'HourGH-MAY'!P27)</f>
        <v>0.49</v>
      </c>
      <c r="H44" s="128">
        <f>IF(TRIM('HourGH-MAY'!P28)="","      ",'HourGH-MAY'!P28)</f>
        <v>0.48</v>
      </c>
      <c r="I44" s="128">
        <f>IF(TRIM('HourGH-MAY'!P29)="","      ",'HourGH-MAY'!P29)</f>
        <v>0.48</v>
      </c>
      <c r="J44" s="128">
        <f>IF(TRIM('HourGH-MAY'!P30)="","      ",'HourGH-MAY'!P30)</f>
        <v>0.39</v>
      </c>
      <c r="K44" s="128">
        <f>IF(TRIM('HourGH-MAY'!P31)="","      ",'HourGH-MAY'!P31)</f>
        <v>0.13</v>
      </c>
    </row>
    <row r="45" spans="1:12">
      <c r="A45" s="127" t="s">
        <v>187</v>
      </c>
      <c r="B45" s="128">
        <f>IF(TRIM('HourGH-MAY'!P33)="","      ",'HourGH-MAY'!P33)</f>
        <v>0.24</v>
      </c>
      <c r="C45" s="128">
        <f>IF(TRIM('HourGH-MAY'!P34)="","      ",'HourGH-MAY'!P34)</f>
        <v>0.19</v>
      </c>
      <c r="D45" s="128">
        <f>IF(TRIM('HourGH-MAY'!P35)="","      ",'HourGH-MAY'!P35)</f>
        <v>0.18</v>
      </c>
      <c r="E45" s="128">
        <f>IF(TRIM('HourGH-MAY'!P36)="","      ",'HourGH-MAY'!P36)</f>
        <v>0.21</v>
      </c>
      <c r="F45" s="118">
        <f>IF(TRIM('HourGH-MAY'!P37)="","      ",'HourGH-MAY'!P37)</f>
        <v>0.17</v>
      </c>
      <c r="G45" s="118">
        <f>IF(TRIM('HourGH-MAY'!P38)="","      ",'HourGH-MAY'!P38)</f>
        <v>0.15</v>
      </c>
      <c r="H45" s="128">
        <f>IF(TRIM('HourGH-MAY'!P39)="","      ",'HourGH-MAY'!P39)</f>
        <v>0.18</v>
      </c>
      <c r="I45" s="128">
        <f>IF(TRIM('HourGH-MAY'!P40)="","      ",'HourGH-MAY'!P40)</f>
        <v>0.18</v>
      </c>
      <c r="J45" s="128">
        <f>IF(TRIM('HourGH-MAY'!P41)="","      ",'HourGH-MAY'!P41)</f>
        <v>0.19</v>
      </c>
      <c r="K45" s="128">
        <f>IF(TRIM('HourGH-MAY'!P42)="","      ",'HourGH-MAY'!P42)</f>
        <v>0.21</v>
      </c>
      <c r="L45" s="118">
        <f>IF(TRIM('HourGH-MAY'!P43)="","      ",'HourGH-MAY'!P43)</f>
        <v>0.23</v>
      </c>
    </row>
    <row r="46" spans="1:12">
      <c r="A46" s="127" t="s">
        <v>188</v>
      </c>
      <c r="B46" s="128">
        <f>IF(TRIM('HourGH-MAY'!Q11)="","      ",'HourGH-MAY'!Q11)</f>
        <v>0.56999999999999995</v>
      </c>
      <c r="C46" s="128">
        <f>IF(TRIM('HourGH-MAY'!Q12)="","      ",'HourGH-MAY'!Q12)</f>
        <v>0.56999999999999995</v>
      </c>
      <c r="D46" s="128">
        <f>IF(TRIM('HourGH-MAY'!Q13)="","      ",'HourGH-MAY'!Q13)</f>
        <v>0.57999999999999996</v>
      </c>
      <c r="E46" s="128">
        <f>IF(TRIM('HourGH-MAY'!Q14)="","      ",'HourGH-MAY'!Q14)</f>
        <v>0.56000000000000005</v>
      </c>
      <c r="F46" s="118">
        <f>IF(TRIM('HourGH-MAY'!Q15)="","      ",'HourGH-MAY'!Q15)</f>
        <v>0.56000000000000005</v>
      </c>
      <c r="G46" s="118">
        <f>IF(TRIM('HourGH-MAY'!Q16)="","      ",'HourGH-MAY'!Q16)</f>
        <v>0.51</v>
      </c>
      <c r="H46" s="128">
        <f>IF(TRIM('HourGH-MAY'!Q17)="","      ",'HourGH-MAY'!Q17)</f>
        <v>0.48</v>
      </c>
      <c r="I46" s="128">
        <f>IF(TRIM('HourGH-MAY'!Q18)="","      ",'HourGH-MAY'!Q18)</f>
        <v>0.49</v>
      </c>
      <c r="J46" s="128">
        <f>IF(TRIM('HourGH-MAY'!Q19)="","      ",'HourGH-MAY'!Q19)</f>
        <v>0.51</v>
      </c>
      <c r="K46" s="128">
        <f>IF(TRIM('HourGH-MAY'!Q20)="","      ",'HourGH-MAY'!Q20)</f>
        <v>0.59</v>
      </c>
    </row>
    <row r="47" spans="1:12">
      <c r="A47" s="127" t="s">
        <v>189</v>
      </c>
      <c r="B47" s="128">
        <f>IF(TRIM('HourGH-MAY'!Q22)="","      ",'HourGH-MAY'!Q22)</f>
        <v>0.57999999999999996</v>
      </c>
      <c r="C47" s="128">
        <f>IF(TRIM('HourGH-MAY'!Q23)="","      ",'HourGH-MAY'!Q23)</f>
        <v>0.56999999999999995</v>
      </c>
      <c r="D47" s="128">
        <f>IF(TRIM('HourGH-MAY'!Q24)="","      ",'HourGH-MAY'!Q24)</f>
        <v>0.54</v>
      </c>
      <c r="E47" s="128">
        <f>IF(TRIM('HourGH-MAY'!Q25)="","      ",'HourGH-MAY'!Q25)</f>
        <v>0.5</v>
      </c>
      <c r="F47" s="118">
        <f>IF(TRIM('HourGH-MAY'!Q26)="","      ",'HourGH-MAY'!Q26)</f>
        <v>0.5</v>
      </c>
      <c r="G47" s="118">
        <f>IF(TRIM('HourGH-MAY'!Q27)="","      ",'HourGH-MAY'!Q27)</f>
        <v>0.49</v>
      </c>
      <c r="H47" s="128">
        <f>IF(TRIM('HourGH-MAY'!Q28)="","      ",'HourGH-MAY'!Q28)</f>
        <v>0.48</v>
      </c>
      <c r="I47" s="128">
        <f>IF(TRIM('HourGH-MAY'!Q29)="","      ",'HourGH-MAY'!Q29)</f>
        <v>0.48</v>
      </c>
      <c r="J47" s="128">
        <f>IF(TRIM('HourGH-MAY'!Q30)="","      ",'HourGH-MAY'!Q30)</f>
        <v>0.37</v>
      </c>
      <c r="K47" s="128">
        <f>IF(TRIM('HourGH-MAY'!Q31)="","      ",'HourGH-MAY'!Q31)</f>
        <v>0.13</v>
      </c>
    </row>
    <row r="48" spans="1:12">
      <c r="A48" s="127" t="s">
        <v>190</v>
      </c>
      <c r="B48" s="128">
        <f>IF(TRIM('HourGH-MAY'!Q33)="","      ",'HourGH-MAY'!Q33)</f>
        <v>0.25</v>
      </c>
      <c r="C48" s="128">
        <f>IF(TRIM('HourGH-MAY'!Q34)="","      ",'HourGH-MAY'!Q34)</f>
        <v>0.19</v>
      </c>
      <c r="D48" s="128">
        <f>IF(TRIM('HourGH-MAY'!Q35)="","      ",'HourGH-MAY'!Q35)</f>
        <v>0.18</v>
      </c>
      <c r="E48" s="128">
        <f>IF(TRIM('HourGH-MAY'!Q36)="","      ",'HourGH-MAY'!Q36)</f>
        <v>0.21</v>
      </c>
      <c r="F48" s="118">
        <f>IF(TRIM('HourGH-MAY'!Q37)="","      ",'HourGH-MAY'!Q37)</f>
        <v>0.17</v>
      </c>
      <c r="G48" s="118">
        <f>IF(TRIM('HourGH-MAY'!Q38)="","      ",'HourGH-MAY'!Q38)</f>
        <v>0.15</v>
      </c>
      <c r="H48" s="128">
        <f>IF(TRIM('HourGH-MAY'!Q39)="","      ",'HourGH-MAY'!Q39)</f>
        <v>0.18</v>
      </c>
      <c r="I48" s="128">
        <f>IF(TRIM('HourGH-MAY'!Q40)="","      ",'HourGH-MAY'!Q40)</f>
        <v>0.18</v>
      </c>
      <c r="J48" s="128">
        <f>IF(TRIM('HourGH-MAY'!Q41)="","      ",'HourGH-MAY'!Q41)</f>
        <v>0.19</v>
      </c>
      <c r="K48" s="128">
        <f>IF(TRIM('HourGH-MAY'!Q42)="","      ",'HourGH-MAY'!Q42)</f>
        <v>0.21</v>
      </c>
      <c r="L48" s="118">
        <f>IF(TRIM('HourGH-MAY'!Q43)="","      ",'HourGH-MAY'!Q43)</f>
        <v>0.23</v>
      </c>
    </row>
    <row r="49" spans="1:20">
      <c r="A49" s="127" t="s">
        <v>191</v>
      </c>
      <c r="B49" s="128">
        <f>IF(TRIM('HourGH-MAY'!R11)="","      ",'HourGH-MAY'!R11)</f>
        <v>0.56999999999999995</v>
      </c>
      <c r="C49" s="128">
        <f>IF(TRIM('HourGH-MAY'!R12)="","      ",'HourGH-MAY'!R12)</f>
        <v>0.56999999999999995</v>
      </c>
      <c r="D49" s="128">
        <f>IF(TRIM('HourGH-MAY'!R13)="","      ",'HourGH-MAY'!R13)</f>
        <v>0.57999999999999996</v>
      </c>
      <c r="E49" s="128">
        <f>IF(TRIM('HourGH-MAY'!R14)="","      ",'HourGH-MAY'!R14)</f>
        <v>0.56000000000000005</v>
      </c>
      <c r="F49" s="118">
        <f>IF(TRIM('HourGH-MAY'!R15)="","      ",'HourGH-MAY'!R15)</f>
        <v>0.56000000000000005</v>
      </c>
      <c r="G49" s="118">
        <f>IF(TRIM('HourGH-MAY'!R16)="","      ",'HourGH-MAY'!R16)</f>
        <v>0.51</v>
      </c>
      <c r="H49" s="128">
        <f>IF(TRIM('HourGH-MAY'!R17)="","      ",'HourGH-MAY'!R17)</f>
        <v>0.48</v>
      </c>
      <c r="I49" s="128">
        <f>IF(TRIM('HourGH-MAY'!R18)="","      ",'HourGH-MAY'!R18)</f>
        <v>0.49</v>
      </c>
      <c r="J49" s="128">
        <f>IF(TRIM('HourGH-MAY'!R19)="","      ",'HourGH-MAY'!R19)</f>
        <v>0.51</v>
      </c>
      <c r="K49" s="128">
        <f>IF(TRIM('HourGH-MAY'!R20)="","      ",'HourGH-MAY'!R20)</f>
        <v>0.59</v>
      </c>
    </row>
    <row r="50" spans="1:20">
      <c r="A50" s="127" t="s">
        <v>192</v>
      </c>
      <c r="B50" s="128">
        <f>IF(TRIM('HourGH-MAY'!R22)="","      ",'HourGH-MAY'!R22)</f>
        <v>0.57999999999999996</v>
      </c>
      <c r="C50" s="128">
        <f>IF(TRIM('HourGH-MAY'!R23)="","      ",'HourGH-MAY'!R23)</f>
        <v>0.56999999999999995</v>
      </c>
      <c r="D50" s="128">
        <f>IF(TRIM('HourGH-MAY'!R24)="","      ",'HourGH-MAY'!R24)</f>
        <v>0.54</v>
      </c>
      <c r="E50" s="128">
        <f>IF(TRIM('HourGH-MAY'!R25)="","      ",'HourGH-MAY'!R25)</f>
        <v>0.5</v>
      </c>
      <c r="F50" s="118">
        <f>IF(TRIM('HourGH-MAY'!R26)="","      ",'HourGH-MAY'!R26)</f>
        <v>0.5</v>
      </c>
      <c r="G50" s="118">
        <f>IF(TRIM('HourGH-MAY'!R27)="","      ",'HourGH-MAY'!R27)</f>
        <v>0.49</v>
      </c>
      <c r="H50" s="128">
        <f>IF(TRIM('HourGH-MAY'!R28)="","      ",'HourGH-MAY'!R28)</f>
        <v>0.48</v>
      </c>
      <c r="I50" s="128">
        <f>IF(TRIM('HourGH-MAY'!R29)="","      ",'HourGH-MAY'!R29)</f>
        <v>0.48</v>
      </c>
      <c r="J50" s="128">
        <f>IF(TRIM('HourGH-MAY'!R30)="","      ",'HourGH-MAY'!R30)</f>
        <v>0.35</v>
      </c>
      <c r="K50" s="128">
        <f>IF(TRIM('HourGH-MAY'!R31)="","      ",'HourGH-MAY'!R31)</f>
        <v>0.13</v>
      </c>
    </row>
    <row r="51" spans="1:20">
      <c r="A51" s="127" t="s">
        <v>193</v>
      </c>
      <c r="B51" s="128">
        <f>IF(TRIM('HourGH-MAY'!R33)="","      ",'HourGH-MAY'!R33)</f>
        <v>0.25</v>
      </c>
      <c r="C51" s="128">
        <f>IF(TRIM('HourGH-MAY'!R34)="","      ",'HourGH-MAY'!R34)</f>
        <v>0.19</v>
      </c>
      <c r="D51" s="128">
        <f>IF(TRIM('HourGH-MAY'!R35)="","      ",'HourGH-MAY'!R35)</f>
        <v>0.18</v>
      </c>
      <c r="E51" s="128">
        <f>IF(TRIM('HourGH-MAY'!R36)="","      ",'HourGH-MAY'!R36)</f>
        <v>0.21</v>
      </c>
      <c r="F51" s="118">
        <f>IF(TRIM('HourGH-MAY'!R37)="","      ",'HourGH-MAY'!R37)</f>
        <v>0.17</v>
      </c>
      <c r="G51" s="118">
        <f>IF(TRIM('HourGH-MAY'!R38)="","      ",'HourGH-MAY'!R38)</f>
        <v>0.15</v>
      </c>
      <c r="H51" s="128">
        <f>IF(TRIM('HourGH-MAY'!R39)="","      ",'HourGH-MAY'!R39)</f>
        <v>0.18</v>
      </c>
      <c r="I51" s="128">
        <f>IF(TRIM('HourGH-MAY'!R40)="","      ",'HourGH-MAY'!R40)</f>
        <v>0.18</v>
      </c>
      <c r="J51" s="128">
        <f>IF(TRIM('HourGH-MAY'!R41)="","      ",'HourGH-MAY'!R41)</f>
        <v>0.19</v>
      </c>
      <c r="K51" s="128">
        <f>IF(TRIM('HourGH-MAY'!R42)="","      ",'HourGH-MAY'!R42)</f>
        <v>0.21</v>
      </c>
      <c r="L51" s="118">
        <f>IF(TRIM('HourGH-MAY'!R43)="","      ",'HourGH-MAY'!R43)</f>
        <v>0.23</v>
      </c>
    </row>
    <row r="52" spans="1:20">
      <c r="A52" s="127" t="s">
        <v>194</v>
      </c>
      <c r="B52" s="128">
        <f>IF(TRIM('HourGH-MAY'!S11)="","      ",'HourGH-MAY'!S11)</f>
        <v>0.56999999999999995</v>
      </c>
      <c r="C52" s="128">
        <f>IF(TRIM('HourGH-MAY'!S12)="","      ",'HourGH-MAY'!S12)</f>
        <v>0.56999999999999995</v>
      </c>
      <c r="D52" s="128">
        <f>IF(TRIM('HourGH-MAY'!S13)="","      ",'HourGH-MAY'!S13)</f>
        <v>0.57999999999999996</v>
      </c>
      <c r="E52" s="128">
        <f>IF(TRIM('HourGH-MAY'!S14)="","      ",'HourGH-MAY'!S14)</f>
        <v>0.56000000000000005</v>
      </c>
      <c r="F52" s="118">
        <f>IF(TRIM('HourGH-MAY'!S15)="","      ",'HourGH-MAY'!S15)</f>
        <v>0.56000000000000005</v>
      </c>
      <c r="G52" s="118">
        <f>IF(TRIM('HourGH-MAY'!S16)="","      ",'HourGH-MAY'!S16)</f>
        <v>0.51</v>
      </c>
      <c r="H52" s="128">
        <f>IF(TRIM('HourGH-MAY'!S17)="","      ",'HourGH-MAY'!S17)</f>
        <v>0.48</v>
      </c>
      <c r="I52" s="128">
        <f>IF(TRIM('HourGH-MAY'!S18)="","      ",'HourGH-MAY'!S18)</f>
        <v>0.49</v>
      </c>
      <c r="J52" s="128">
        <f>IF(TRIM('HourGH-MAY'!S19)="","      ",'HourGH-MAY'!S19)</f>
        <v>0.52</v>
      </c>
      <c r="K52" s="128">
        <f>IF(TRIM('HourGH-MAY'!S20)="","      ",'HourGH-MAY'!S20)</f>
        <v>0.59</v>
      </c>
    </row>
    <row r="53" spans="1:20">
      <c r="A53" s="127" t="s">
        <v>195</v>
      </c>
      <c r="B53" s="128">
        <f>IF(TRIM('HourGH-MAY'!S22)="","      ",'HourGH-MAY'!S22)</f>
        <v>0.57999999999999996</v>
      </c>
      <c r="C53" s="128">
        <f>IF(TRIM('HourGH-MAY'!S23)="","      ",'HourGH-MAY'!S23)</f>
        <v>0.56999999999999995</v>
      </c>
      <c r="D53" s="128">
        <f>IF(TRIM('HourGH-MAY'!S24)="","      ",'HourGH-MAY'!S24)</f>
        <v>0.54</v>
      </c>
      <c r="E53" s="128">
        <f>IF(TRIM('HourGH-MAY'!S25)="","      ",'HourGH-MAY'!S25)</f>
        <v>0.5</v>
      </c>
      <c r="F53" s="118">
        <f>IF(TRIM('HourGH-MAY'!S26)="","      ",'HourGH-MAY'!S26)</f>
        <v>0.5</v>
      </c>
      <c r="G53" s="118">
        <f>IF(TRIM('HourGH-MAY'!S27)="","      ",'HourGH-MAY'!S27)</f>
        <v>0.49</v>
      </c>
      <c r="H53" s="128">
        <f>IF(TRIM('HourGH-MAY'!S28)="","      ",'HourGH-MAY'!S28)</f>
        <v>0.48</v>
      </c>
      <c r="I53" s="128">
        <f>IF(TRIM('HourGH-MAY'!S29)="","      ",'HourGH-MAY'!S29)</f>
        <v>0.48</v>
      </c>
      <c r="J53" s="128">
        <f>IF(TRIM('HourGH-MAY'!S30)="","      ",'HourGH-MAY'!S30)</f>
        <v>0.33</v>
      </c>
      <c r="K53" s="128">
        <f>IF(TRIM('HourGH-MAY'!S31)="","      ",'HourGH-MAY'!S31)</f>
        <v>0.13</v>
      </c>
    </row>
    <row r="54" spans="1:20">
      <c r="A54" s="127" t="s">
        <v>196</v>
      </c>
      <c r="B54" s="128">
        <f>IF(TRIM('HourGH-MAY'!S33)="","      ",'HourGH-MAY'!S33)</f>
        <v>0.25</v>
      </c>
      <c r="C54" s="128">
        <f>IF(TRIM('HourGH-MAY'!S34)="","      ",'HourGH-MAY'!S34)</f>
        <v>0.19</v>
      </c>
      <c r="D54" s="128">
        <f>IF(TRIM('HourGH-MAY'!S35)="","      ",'HourGH-MAY'!S35)</f>
        <v>0.18</v>
      </c>
      <c r="E54" s="128">
        <f>IF(TRIM('HourGH-MAY'!S36)="","      ",'HourGH-MAY'!S36)</f>
        <v>0.21</v>
      </c>
      <c r="F54" s="118">
        <f>IF(TRIM('HourGH-MAY'!S37)="","      ",'HourGH-MAY'!S37)</f>
        <v>0.17</v>
      </c>
      <c r="G54" s="118">
        <f>IF(TRIM('HourGH-MAY'!S38)="","      ",'HourGH-MAY'!S38)</f>
        <v>0.15</v>
      </c>
      <c r="H54" s="128">
        <f>IF(TRIM('HourGH-MAY'!S39)="","      ",'HourGH-MAY'!S39)</f>
        <v>0.18</v>
      </c>
      <c r="I54" s="128">
        <f>IF(TRIM('HourGH-MAY'!S40)="","      ",'HourGH-MAY'!S40)</f>
        <v>0.18</v>
      </c>
      <c r="J54" s="128">
        <f>IF(TRIM('HourGH-MAY'!S41)="","      ",'HourGH-MAY'!S41)</f>
        <v>0.19</v>
      </c>
      <c r="K54" s="128">
        <f>IF(TRIM('HourGH-MAY'!S42)="","      ",'HourGH-MAY'!S42)</f>
        <v>0.21</v>
      </c>
      <c r="L54" s="118">
        <f>IF(TRIM('HourGH-MAY'!S43)="","      ",'HourGH-MAY'!S43)</f>
        <v>0.23</v>
      </c>
    </row>
    <row r="55" spans="1:20">
      <c r="A55" s="127" t="s">
        <v>197</v>
      </c>
      <c r="B55" s="128">
        <f>IF(TRIM('HourGH-MAY'!T11)="","      ",'HourGH-MAY'!T11)</f>
        <v>0.56999999999999995</v>
      </c>
      <c r="C55" s="128">
        <f>IF(TRIM('HourGH-MAY'!T12)="","      ",'HourGH-MAY'!T12)</f>
        <v>0.56999999999999995</v>
      </c>
      <c r="D55" s="128">
        <f>IF(TRIM('HourGH-MAY'!T13)="","      ",'HourGH-MAY'!T13)</f>
        <v>0.57999999999999996</v>
      </c>
      <c r="E55" s="128">
        <f>IF(TRIM('HourGH-MAY'!T14)="","      ",'HourGH-MAY'!T14)</f>
        <v>0.56000000000000005</v>
      </c>
      <c r="F55" s="118">
        <f>IF(TRIM('HourGH-MAY'!T15)="","      ",'HourGH-MAY'!T15)</f>
        <v>0.56000000000000005</v>
      </c>
      <c r="G55" s="118">
        <f>IF(TRIM('HourGH-MAY'!T16)="","      ",'HourGH-MAY'!T16)</f>
        <v>0.51</v>
      </c>
      <c r="H55" s="128">
        <f>IF(TRIM('HourGH-MAY'!T17)="","      ",'HourGH-MAY'!T17)</f>
        <v>0.48</v>
      </c>
      <c r="I55" s="128">
        <f>IF(TRIM('HourGH-MAY'!T18)="","      ",'HourGH-MAY'!T18)</f>
        <v>0.49</v>
      </c>
      <c r="J55" s="128">
        <f>IF(TRIM('HourGH-MAY'!T19)="","      ",'HourGH-MAY'!T19)</f>
        <v>0.52</v>
      </c>
      <c r="K55" s="128">
        <f>IF(TRIM('HourGH-MAY'!T20)="","      ",'HourGH-MAY'!T20)</f>
        <v>0.59</v>
      </c>
    </row>
    <row r="56" spans="1:20">
      <c r="A56" s="127" t="s">
        <v>198</v>
      </c>
      <c r="B56" s="128">
        <f>IF(TRIM('HourGH-MAY'!T22)="","      ",'HourGH-MAY'!T22)</f>
        <v>0.57999999999999996</v>
      </c>
      <c r="C56" s="128">
        <f>IF(TRIM('HourGH-MAY'!T23)="","      ",'HourGH-MAY'!T23)</f>
        <v>0.56999999999999995</v>
      </c>
      <c r="D56" s="128">
        <f>IF(TRIM('HourGH-MAY'!T24)="","      ",'HourGH-MAY'!T24)</f>
        <v>0.54</v>
      </c>
      <c r="E56" s="128">
        <f>IF(TRIM('HourGH-MAY'!T25)="","      ",'HourGH-MAY'!T25)</f>
        <v>0.5</v>
      </c>
      <c r="F56" s="118">
        <f>IF(TRIM('HourGH-MAY'!T26)="","      ",'HourGH-MAY'!T26)</f>
        <v>0.5</v>
      </c>
      <c r="G56" s="118">
        <f>IF(TRIM('HourGH-MAY'!T27)="","      ",'HourGH-MAY'!T27)</f>
        <v>0.49</v>
      </c>
      <c r="H56" s="128">
        <f>IF(TRIM('HourGH-MAY'!T28)="","      ",'HourGH-MAY'!T28)</f>
        <v>0.48</v>
      </c>
      <c r="I56" s="128">
        <f>IF(TRIM('HourGH-MAY'!T29)="","      ",'HourGH-MAY'!T29)</f>
        <v>0.48</v>
      </c>
      <c r="J56" s="128">
        <f>IF(TRIM('HourGH-MAY'!T30)="","      ",'HourGH-MAY'!T30)</f>
        <v>0.31</v>
      </c>
      <c r="K56" s="128">
        <f>IF(TRIM('HourGH-MAY'!T31)="","      ",'HourGH-MAY'!T31)</f>
        <v>0.14000000000000001</v>
      </c>
      <c r="N56" s="117">
        <f>B79</f>
        <v>338.17</v>
      </c>
      <c r="O56">
        <v>1</v>
      </c>
      <c r="P56" s="117" t="str">
        <f>B82</f>
        <v>1:00</v>
      </c>
      <c r="R56" s="117">
        <f>B85</f>
        <v>338.17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IF(TRIM('HourGH-MAY'!T33)="","      ",'HourGH-MAY'!T33)</f>
        <v>0.25</v>
      </c>
      <c r="C57" s="128">
        <f>IF(TRIM('HourGH-MAY'!T34)="","      ",'HourGH-MAY'!T34)</f>
        <v>0.19</v>
      </c>
      <c r="D57" s="128">
        <f>IF(TRIM('HourGH-MAY'!T35)="","      ",'HourGH-MAY'!T35)</f>
        <v>0.18</v>
      </c>
      <c r="E57" s="128">
        <f>IF(TRIM('HourGH-MAY'!T36)="","      ",'HourGH-MAY'!T36)</f>
        <v>0.21</v>
      </c>
      <c r="F57" s="118">
        <f>IF(TRIM('HourGH-MAY'!T37)="","      ",'HourGH-MAY'!T37)</f>
        <v>0.17</v>
      </c>
      <c r="G57" s="118">
        <f>IF(TRIM('HourGH-MAY'!T38)="","      ",'HourGH-MAY'!T38)</f>
        <v>0.15</v>
      </c>
      <c r="H57" s="128">
        <f>IF(TRIM('HourGH-MAY'!T39)="","      ",'HourGH-MAY'!T39)</f>
        <v>0.18</v>
      </c>
      <c r="I57" s="128">
        <f>IF(TRIM('HourGH-MAY'!T40)="","      ",'HourGH-MAY'!T40)</f>
        <v>0.18</v>
      </c>
      <c r="J57" s="128">
        <f>IF(TRIM('HourGH-MAY'!T41)="","      ",'HourGH-MAY'!T41)</f>
        <v>0.19</v>
      </c>
      <c r="K57" s="128">
        <f>IF(TRIM('HourGH-MAY'!T42)="","      ",'HourGH-MAY'!T42)</f>
        <v>0.21</v>
      </c>
      <c r="L57" s="118">
        <f>IF(TRIM('HourGH-MAY'!T43)="","      ",'HourGH-MAY'!T43)</f>
        <v>0.23</v>
      </c>
      <c r="N57" s="117">
        <f>C79</f>
        <v>338.17</v>
      </c>
      <c r="O57">
        <v>2</v>
      </c>
      <c r="P57" s="117" t="str">
        <f>C82</f>
        <v>1:00</v>
      </c>
      <c r="R57" s="117">
        <f>C85</f>
        <v>338.17</v>
      </c>
      <c r="S57">
        <v>2</v>
      </c>
      <c r="T57" s="117" t="str">
        <f>C88</f>
        <v>1:00</v>
      </c>
    </row>
    <row r="58" spans="1:20">
      <c r="A58" s="127" t="s">
        <v>200</v>
      </c>
      <c r="B58" s="128">
        <f>IF(TRIM('HourGH-MAY'!U11)="","      ",'HourGH-MAY'!U11)</f>
        <v>0.56999999999999995</v>
      </c>
      <c r="C58" s="128">
        <f>IF(TRIM('HourGH-MAY'!U12)="","      ",'HourGH-MAY'!U12)</f>
        <v>0.56999999999999995</v>
      </c>
      <c r="D58" s="128">
        <f>IF(TRIM('HourGH-MAY'!U13)="","      ",'HourGH-MAY'!U13)</f>
        <v>0.57999999999999996</v>
      </c>
      <c r="E58" s="128">
        <f>IF(TRIM('HourGH-MAY'!U14)="","      ",'HourGH-MAY'!U14)</f>
        <v>0.56000000000000005</v>
      </c>
      <c r="F58" s="118">
        <f>IF(TRIM('HourGH-MAY'!U15)="","      ",'HourGH-MAY'!U15)</f>
        <v>0.55000000000000004</v>
      </c>
      <c r="G58" s="118">
        <f>IF(TRIM('HourGH-MAY'!U16)="","      ",'HourGH-MAY'!U16)</f>
        <v>0.5</v>
      </c>
      <c r="H58" s="128">
        <f>IF(TRIM('HourGH-MAY'!U17)="","      ",'HourGH-MAY'!U17)</f>
        <v>0.48</v>
      </c>
      <c r="I58" s="128">
        <f>IF(TRIM('HourGH-MAY'!U18)="","      ",'HourGH-MAY'!U18)</f>
        <v>0.49</v>
      </c>
      <c r="J58" s="128">
        <f>IF(TRIM('HourGH-MAY'!U19)="","      ",'HourGH-MAY'!U19)</f>
        <v>0.53</v>
      </c>
      <c r="K58" s="128">
        <f>IF(TRIM('HourGH-MAY'!U20)="","      ",'HourGH-MAY'!U20)</f>
        <v>0.57999999999999996</v>
      </c>
      <c r="N58" s="117">
        <f>D79</f>
        <v>338.18</v>
      </c>
      <c r="O58">
        <v>3</v>
      </c>
      <c r="P58" s="117" t="str">
        <f>D82</f>
        <v>1:00</v>
      </c>
      <c r="R58" s="117">
        <f>D85</f>
        <v>338.18</v>
      </c>
      <c r="S58">
        <v>3</v>
      </c>
      <c r="T58" s="117" t="str">
        <f>D88</f>
        <v>1:00</v>
      </c>
    </row>
    <row r="59" spans="1:20">
      <c r="A59" s="127" t="s">
        <v>201</v>
      </c>
      <c r="B59" s="128">
        <f>IF(TRIM('HourGH-MAY'!U22)="","      ",'HourGH-MAY'!U22)</f>
        <v>0.57999999999999996</v>
      </c>
      <c r="C59" s="128">
        <f>IF(TRIM('HourGH-MAY'!U23)="","      ",'HourGH-MAY'!U23)</f>
        <v>0.56999999999999995</v>
      </c>
      <c r="D59" s="128">
        <f>IF(TRIM('HourGH-MAY'!U24)="","      ",'HourGH-MAY'!U24)</f>
        <v>0.53</v>
      </c>
      <c r="E59" s="128">
        <f>IF(TRIM('HourGH-MAY'!U25)="","      ",'HourGH-MAY'!U25)</f>
        <v>0.5</v>
      </c>
      <c r="F59" s="118">
        <f>IF(TRIM('HourGH-MAY'!U26)="","      ",'HourGH-MAY'!U26)</f>
        <v>0.5</v>
      </c>
      <c r="G59" s="118">
        <f>IF(TRIM('HourGH-MAY'!U27)="","      ",'HourGH-MAY'!U27)</f>
        <v>0.49</v>
      </c>
      <c r="H59" s="128">
        <f>IF(TRIM('HourGH-MAY'!U28)="","      ",'HourGH-MAY'!U28)</f>
        <v>0.48</v>
      </c>
      <c r="I59" s="128">
        <f>IF(TRIM('HourGH-MAY'!U29)="","      ",'HourGH-MAY'!U29)</f>
        <v>0.48</v>
      </c>
      <c r="J59" s="128">
        <f>IF(TRIM('HourGH-MAY'!U30)="","      ",'HourGH-MAY'!U30)</f>
        <v>0.28999999999999998</v>
      </c>
      <c r="K59" s="128">
        <f>IF(TRIM('HourGH-MAY'!U31)="","      ",'HourGH-MAY'!U31)</f>
        <v>0.14000000000000001</v>
      </c>
      <c r="N59" s="117">
        <f>E79</f>
        <v>338.16</v>
      </c>
      <c r="O59">
        <v>4</v>
      </c>
      <c r="P59" s="117" t="str">
        <f>E82</f>
        <v>1:00</v>
      </c>
      <c r="R59" s="117">
        <f>E85</f>
        <v>338.16</v>
      </c>
      <c r="S59">
        <v>4</v>
      </c>
      <c r="T59" s="117" t="str">
        <f>E88</f>
        <v>1:00</v>
      </c>
    </row>
    <row r="60" spans="1:20">
      <c r="A60" s="127" t="s">
        <v>202</v>
      </c>
      <c r="B60" s="128">
        <f>IF(TRIM('HourGH-MAY'!U33)="","      ",'HourGH-MAY'!U33)</f>
        <v>0.25</v>
      </c>
      <c r="C60" s="128">
        <f>IF(TRIM('HourGH-MAY'!U34)="","      ",'HourGH-MAY'!U34)</f>
        <v>0.18</v>
      </c>
      <c r="D60" s="128">
        <f>IF(TRIM('HourGH-MAY'!U35)="","      ",'HourGH-MAY'!U35)</f>
        <v>0.19</v>
      </c>
      <c r="E60" s="128">
        <f>IF(TRIM('HourGH-MAY'!U36)="","      ",'HourGH-MAY'!U36)</f>
        <v>0.2</v>
      </c>
      <c r="F60" s="118">
        <f>IF(TRIM('HourGH-MAY'!U37)="","      ",'HourGH-MAY'!U37)</f>
        <v>0.16</v>
      </c>
      <c r="G60" s="118">
        <f>IF(TRIM('HourGH-MAY'!U38)="","      ",'HourGH-MAY'!U38)</f>
        <v>0.16</v>
      </c>
      <c r="H60" s="128">
        <f>IF(TRIM('HourGH-MAY'!U39)="","      ",'HourGH-MAY'!U39)</f>
        <v>0.18</v>
      </c>
      <c r="I60" s="128">
        <f>IF(TRIM('HourGH-MAY'!U40)="","      ",'HourGH-MAY'!U40)</f>
        <v>0.18</v>
      </c>
      <c r="J60" s="128">
        <f>IF(TRIM('HourGH-MAY'!U41)="","      ",'HourGH-MAY'!U41)</f>
        <v>0.2</v>
      </c>
      <c r="K60" s="128">
        <f>IF(TRIM('HourGH-MAY'!U42)="","      ",'HourGH-MAY'!U42)</f>
        <v>0.22</v>
      </c>
      <c r="L60" s="118">
        <f>IF(TRIM('HourGH-MAY'!U43)="","      ",'HourGH-MAY'!U43)</f>
        <v>0.23</v>
      </c>
      <c r="N60" s="117">
        <f>F79</f>
        <v>338.17</v>
      </c>
      <c r="O60">
        <v>5</v>
      </c>
      <c r="P60" s="117" t="str">
        <f>F82</f>
        <v>1:00</v>
      </c>
      <c r="R60" s="117">
        <f>F85</f>
        <v>338.15000000000003</v>
      </c>
      <c r="S60">
        <v>5</v>
      </c>
      <c r="T60" s="117" t="str">
        <f>F88</f>
        <v>19:00</v>
      </c>
    </row>
    <row r="61" spans="1:20">
      <c r="A61" s="127" t="s">
        <v>203</v>
      </c>
      <c r="B61" s="128">
        <f>IF(TRIM('HourGH-MAY'!V11)="","      ",'HourGH-MAY'!V11)</f>
        <v>0.56999999999999995</v>
      </c>
      <c r="C61" s="128">
        <f>IF(TRIM('HourGH-MAY'!V12)="","      ",'HourGH-MAY'!V12)</f>
        <v>0.56999999999999995</v>
      </c>
      <c r="D61" s="128">
        <f>IF(TRIM('HourGH-MAY'!V13)="","      ",'HourGH-MAY'!V13)</f>
        <v>0.57999999999999996</v>
      </c>
      <c r="E61" s="128">
        <f>IF(TRIM('HourGH-MAY'!V14)="","      ",'HourGH-MAY'!V14)</f>
        <v>0.56000000000000005</v>
      </c>
      <c r="F61" s="118">
        <f>IF(TRIM('HourGH-MAY'!V15)="","      ",'HourGH-MAY'!V15)</f>
        <v>0.55000000000000004</v>
      </c>
      <c r="G61" s="118">
        <f>IF(TRIM('HourGH-MAY'!V16)="","      ",'HourGH-MAY'!V16)</f>
        <v>0.5</v>
      </c>
      <c r="H61" s="128">
        <f>IF(TRIM('HourGH-MAY'!V17)="","      ",'HourGH-MAY'!V17)</f>
        <v>0.48</v>
      </c>
      <c r="I61" s="128">
        <f>IF(TRIM('HourGH-MAY'!V18)="","      ",'HourGH-MAY'!V18)</f>
        <v>0.49</v>
      </c>
      <c r="J61" s="128">
        <f>IF(TRIM('HourGH-MAY'!V19)="","      ",'HourGH-MAY'!V19)</f>
        <v>0.53</v>
      </c>
      <c r="K61" s="128">
        <f>IF(TRIM('HourGH-MAY'!V20)="","      ",'HourGH-MAY'!V20)</f>
        <v>0.57999999999999996</v>
      </c>
      <c r="N61" s="117">
        <f>G79</f>
        <v>338.14000000000004</v>
      </c>
      <c r="O61">
        <v>6</v>
      </c>
      <c r="P61" s="117" t="str">
        <f>G82</f>
        <v>1:00</v>
      </c>
      <c r="R61" s="117">
        <f>G85</f>
        <v>338.1</v>
      </c>
      <c r="S61">
        <v>6</v>
      </c>
      <c r="T61" s="117" t="str">
        <f>G88</f>
        <v>19:00</v>
      </c>
    </row>
    <row r="62" spans="1:20">
      <c r="A62" s="127" t="s">
        <v>204</v>
      </c>
      <c r="B62" s="128">
        <f>IF(TRIM('HourGH-MAY'!V22)="","      ",'HourGH-MAY'!V22)</f>
        <v>0.57999999999999996</v>
      </c>
      <c r="C62" s="128">
        <f>IF(TRIM('HourGH-MAY'!V23)="","      ",'HourGH-MAY'!V23)</f>
        <v>0.56999999999999995</v>
      </c>
      <c r="D62" s="128">
        <f>IF(TRIM('HourGH-MAY'!V24)="","      ",'HourGH-MAY'!V24)</f>
        <v>0.53</v>
      </c>
      <c r="E62" s="128">
        <f>IF(TRIM('HourGH-MAY'!V25)="","      ",'HourGH-MAY'!V25)</f>
        <v>0.5</v>
      </c>
      <c r="F62" s="118">
        <f>IF(TRIM('HourGH-MAY'!V26)="","      ",'HourGH-MAY'!V26)</f>
        <v>0.5</v>
      </c>
      <c r="G62" s="118">
        <f>IF(TRIM('HourGH-MAY'!V27)="","      ",'HourGH-MAY'!V27)</f>
        <v>0.49</v>
      </c>
      <c r="H62" s="128">
        <f>IF(TRIM('HourGH-MAY'!V28)="","      ",'HourGH-MAY'!V28)</f>
        <v>0.48</v>
      </c>
      <c r="I62" s="128">
        <f>IF(TRIM('HourGH-MAY'!V29)="","      ",'HourGH-MAY'!V29)</f>
        <v>0.48</v>
      </c>
      <c r="J62" s="128">
        <f>IF(TRIM('HourGH-MAY'!V30)="","      ",'HourGH-MAY'!V30)</f>
        <v>0.27</v>
      </c>
      <c r="K62" s="128">
        <f>IF(TRIM('HourGH-MAY'!V31)="","      ",'HourGH-MAY'!V31)</f>
        <v>0.14000000000000001</v>
      </c>
      <c r="N62" s="117">
        <f>H79</f>
        <v>338.09000000000003</v>
      </c>
      <c r="O62">
        <v>7</v>
      </c>
      <c r="P62" s="117" t="str">
        <f>H82</f>
        <v>1:00</v>
      </c>
      <c r="R62" s="117">
        <f>H85</f>
        <v>338.08000000000004</v>
      </c>
      <c r="S62">
        <v>7</v>
      </c>
      <c r="T62" s="117" t="str">
        <f>H88</f>
        <v>12:00</v>
      </c>
    </row>
    <row r="63" spans="1:20">
      <c r="A63" s="127" t="s">
        <v>205</v>
      </c>
      <c r="B63" s="128">
        <f>IF(TRIM('HourGH-MAY'!V33)="","      ",'HourGH-MAY'!V33)</f>
        <v>0.25</v>
      </c>
      <c r="C63" s="128">
        <f>IF(TRIM('HourGH-MAY'!V34)="","      ",'HourGH-MAY'!V34)</f>
        <v>0.18</v>
      </c>
      <c r="D63" s="128">
        <f>IF(TRIM('HourGH-MAY'!V35)="","      ",'HourGH-MAY'!V35)</f>
        <v>0.19</v>
      </c>
      <c r="E63" s="128">
        <f>IF(TRIM('HourGH-MAY'!V36)="","      ",'HourGH-MAY'!V36)</f>
        <v>0.2</v>
      </c>
      <c r="F63" s="118">
        <f>IF(TRIM('HourGH-MAY'!V37)="","      ",'HourGH-MAY'!V37)</f>
        <v>0.16</v>
      </c>
      <c r="G63" s="118">
        <f>IF(TRIM('HourGH-MAY'!V38)="","      ",'HourGH-MAY'!V38)</f>
        <v>0.16</v>
      </c>
      <c r="H63" s="128">
        <f>IF(TRIM('HourGH-MAY'!V39)="","      ",'HourGH-MAY'!V39)</f>
        <v>0.18</v>
      </c>
      <c r="I63" s="128">
        <f>IF(TRIM('HourGH-MAY'!V40)="","      ",'HourGH-MAY'!V40)</f>
        <v>0.18</v>
      </c>
      <c r="J63" s="128">
        <f>IF(TRIM('HourGH-MAY'!V41)="","      ",'HourGH-MAY'!V41)</f>
        <v>0.2</v>
      </c>
      <c r="K63" s="128">
        <f>IF(TRIM('HourGH-MAY'!V42)="","      ",'HourGH-MAY'!V42)</f>
        <v>0.22</v>
      </c>
      <c r="L63" s="118">
        <f>IF(TRIM('HourGH-MAY'!V43)="","      ",'HourGH-MAY'!V43)</f>
        <v>0.23</v>
      </c>
      <c r="N63" s="117">
        <f>I79</f>
        <v>338.09000000000003</v>
      </c>
      <c r="O63">
        <v>8</v>
      </c>
      <c r="P63" s="117" t="str">
        <f>I82</f>
        <v>1:00</v>
      </c>
      <c r="R63" s="117">
        <f>I85</f>
        <v>338.09000000000003</v>
      </c>
      <c r="S63">
        <v>8</v>
      </c>
      <c r="T63" s="117" t="str">
        <f>I88</f>
        <v>1:00</v>
      </c>
    </row>
    <row r="64" spans="1:20">
      <c r="A64" s="127" t="s">
        <v>206</v>
      </c>
      <c r="B64" s="128">
        <f>IF(TRIM('HourGH-MAY'!W11)="","      ",'HourGH-MAY'!W11)</f>
        <v>0.56999999999999995</v>
      </c>
      <c r="C64" s="128">
        <f>IF(TRIM('HourGH-MAY'!W12)="","      ",'HourGH-MAY'!W12)</f>
        <v>0.56999999999999995</v>
      </c>
      <c r="D64" s="128">
        <f>IF(TRIM('HourGH-MAY'!W13)="","      ",'HourGH-MAY'!W13)</f>
        <v>0.57999999999999996</v>
      </c>
      <c r="E64" s="128">
        <f>IF(TRIM('HourGH-MAY'!W14)="","      ",'HourGH-MAY'!W14)</f>
        <v>0.56000000000000005</v>
      </c>
      <c r="F64" s="118">
        <f>IF(TRIM('HourGH-MAY'!W15)="","      ",'HourGH-MAY'!W15)</f>
        <v>0.55000000000000004</v>
      </c>
      <c r="G64" s="118">
        <f>IF(TRIM('HourGH-MAY'!W16)="","      ",'HourGH-MAY'!W16)</f>
        <v>0.5</v>
      </c>
      <c r="H64" s="128">
        <f>IF(TRIM('HourGH-MAY'!W17)="","      ",'HourGH-MAY'!W17)</f>
        <v>0.48</v>
      </c>
      <c r="I64" s="128">
        <f>IF(TRIM('HourGH-MAY'!W18)="","      ",'HourGH-MAY'!W18)</f>
        <v>0.49</v>
      </c>
      <c r="J64" s="128">
        <f>IF(TRIM('HourGH-MAY'!W19)="","      ",'HourGH-MAY'!W19)</f>
        <v>0.54</v>
      </c>
      <c r="K64" s="128">
        <f>IF(TRIM('HourGH-MAY'!W20)="","      ",'HourGH-MAY'!W20)</f>
        <v>0.57999999999999996</v>
      </c>
      <c r="N64" s="117">
        <f>J79</f>
        <v>338.15000000000003</v>
      </c>
      <c r="O64">
        <v>9</v>
      </c>
      <c r="P64" s="117" t="str">
        <f>J82</f>
        <v>23:00</v>
      </c>
      <c r="R64" s="117">
        <f>J85</f>
        <v>338.08000000000004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IF(TRIM('HourGH-MAY'!W22)="","      ",'HourGH-MAY'!W22)</f>
        <v>0.57999999999999996</v>
      </c>
      <c r="C65" s="128">
        <f>IF(TRIM('HourGH-MAY'!W23)="","      ",'HourGH-MAY'!W23)</f>
        <v>0.56999999999999995</v>
      </c>
      <c r="D65" s="128">
        <f>IF(TRIM('HourGH-MAY'!W24)="","      ",'HourGH-MAY'!W24)</f>
        <v>0.53</v>
      </c>
      <c r="E65" s="128">
        <f>IF(TRIM('HourGH-MAY'!W25)="","      ",'HourGH-MAY'!W25)</f>
        <v>0.5</v>
      </c>
      <c r="F65" s="118">
        <f>IF(TRIM('HourGH-MAY'!W26)="","      ",'HourGH-MAY'!W26)</f>
        <v>0.5</v>
      </c>
      <c r="G65" s="118">
        <f>IF(TRIM('HourGH-MAY'!W27)="","      ",'HourGH-MAY'!W27)</f>
        <v>0.49</v>
      </c>
      <c r="H65" s="128">
        <f>IF(TRIM('HourGH-MAY'!W28)="","      ",'HourGH-MAY'!W28)</f>
        <v>0.48</v>
      </c>
      <c r="I65" s="128">
        <f>IF(TRIM('HourGH-MAY'!W29)="","      ",'HourGH-MAY'!W29)</f>
        <v>0.48</v>
      </c>
      <c r="J65" s="128">
        <f>IF(TRIM('HourGH-MAY'!W30)="","      ",'HourGH-MAY'!W30)</f>
        <v>0.25</v>
      </c>
      <c r="K65" s="128">
        <f>IF(TRIM('HourGH-MAY'!W31)="","      ",'HourGH-MAY'!W31)</f>
        <v>0.15</v>
      </c>
      <c r="N65" s="117">
        <f>K79</f>
        <v>338.19</v>
      </c>
      <c r="O65">
        <v>10</v>
      </c>
      <c r="P65" s="117" t="str">
        <f>K82</f>
        <v>8:00</v>
      </c>
      <c r="R65" s="117">
        <f>K85</f>
        <v>338.16</v>
      </c>
      <c r="S65">
        <v>10</v>
      </c>
      <c r="T65" s="117" t="str">
        <f>K88</f>
        <v>1:00</v>
      </c>
    </row>
    <row r="66" spans="1:20">
      <c r="A66" s="127" t="s">
        <v>208</v>
      </c>
      <c r="B66" s="128">
        <f>IF(TRIM('HourGH-MAY'!W33)="","      ",'HourGH-MAY'!W33)</f>
        <v>0.25</v>
      </c>
      <c r="C66" s="128">
        <f>IF(TRIM('HourGH-MAY'!W34)="","      ",'HourGH-MAY'!W34)</f>
        <v>0.18</v>
      </c>
      <c r="D66" s="128">
        <f>IF(TRIM('HourGH-MAY'!W35)="","      ",'HourGH-MAY'!W35)</f>
        <v>0.19</v>
      </c>
      <c r="E66" s="128">
        <f>IF(TRIM('HourGH-MAY'!W36)="","      ",'HourGH-MAY'!W36)</f>
        <v>0.2</v>
      </c>
      <c r="F66" s="118">
        <f>IF(TRIM('HourGH-MAY'!W37)="","      ",'HourGH-MAY'!W37)</f>
        <v>0.16</v>
      </c>
      <c r="G66" s="118">
        <f>IF(TRIM('HourGH-MAY'!W38)="","      ",'HourGH-MAY'!W38)</f>
        <v>0.16</v>
      </c>
      <c r="H66" s="128">
        <f>IF(TRIM('HourGH-MAY'!W39)="","      ",'HourGH-MAY'!W39)</f>
        <v>0.18</v>
      </c>
      <c r="I66" s="128">
        <f>IF(TRIM('HourGH-MAY'!W40)="","      ",'HourGH-MAY'!W40)</f>
        <v>0.18</v>
      </c>
      <c r="J66" s="128">
        <f>IF(TRIM('HourGH-MAY'!W41)="","      ",'HourGH-MAY'!W41)</f>
        <v>0.2</v>
      </c>
      <c r="K66" s="128">
        <f>IF(TRIM('HourGH-MAY'!W42)="","      ",'HourGH-MAY'!W42)</f>
        <v>0.22</v>
      </c>
      <c r="L66" s="118">
        <f>IF(TRIM('HourGH-MAY'!W43)="","      ",'HourGH-MAY'!W43)</f>
        <v>0.23</v>
      </c>
      <c r="N66" s="117">
        <f>B80</f>
        <v>338.18</v>
      </c>
      <c r="O66">
        <v>11</v>
      </c>
      <c r="P66" s="117" t="str">
        <f>B83</f>
        <v>1:00</v>
      </c>
      <c r="R66" s="117">
        <f>B86</f>
        <v>338.18</v>
      </c>
      <c r="S66">
        <v>11</v>
      </c>
      <c r="T66" s="117" t="str">
        <f>B89</f>
        <v>1:00</v>
      </c>
    </row>
    <row r="67" spans="1:20">
      <c r="A67" s="127" t="s">
        <v>209</v>
      </c>
      <c r="B67" s="128">
        <f>IF(TRIM('HourGH-MAY'!X11)="","      ",'HourGH-MAY'!X11)</f>
        <v>0.56999999999999995</v>
      </c>
      <c r="C67" s="128">
        <f>IF(TRIM('HourGH-MAY'!X12)="","      ",'HourGH-MAY'!X12)</f>
        <v>0.56999999999999995</v>
      </c>
      <c r="D67" s="128">
        <f>IF(TRIM('HourGH-MAY'!X13)="","      ",'HourGH-MAY'!X13)</f>
        <v>0.57999999999999996</v>
      </c>
      <c r="E67" s="128">
        <f>IF(TRIM('HourGH-MAY'!X14)="","      ",'HourGH-MAY'!X14)</f>
        <v>0.56000000000000005</v>
      </c>
      <c r="F67" s="118">
        <f>IF(TRIM('HourGH-MAY'!X15)="","      ",'HourGH-MAY'!X15)</f>
        <v>0.55000000000000004</v>
      </c>
      <c r="G67" s="118">
        <f>IF(TRIM('HourGH-MAY'!X16)="","      ",'HourGH-MAY'!X16)</f>
        <v>0.5</v>
      </c>
      <c r="H67" s="128">
        <f>IF(TRIM('HourGH-MAY'!X17)="","      ",'HourGH-MAY'!X17)</f>
        <v>0.48</v>
      </c>
      <c r="I67" s="128">
        <f>IF(TRIM('HourGH-MAY'!X18)="","      ",'HourGH-MAY'!X18)</f>
        <v>0.49</v>
      </c>
      <c r="J67" s="128">
        <f>IF(TRIM('HourGH-MAY'!X19)="","      ",'HourGH-MAY'!X19)</f>
        <v>0.54</v>
      </c>
      <c r="K67" s="128">
        <f>IF(TRIM('HourGH-MAY'!X20)="","      ",'HourGH-MAY'!X20)</f>
        <v>0.57999999999999996</v>
      </c>
      <c r="N67" s="117">
        <f>C80</f>
        <v>338.17</v>
      </c>
      <c r="O67">
        <v>12</v>
      </c>
      <c r="P67" s="117" t="str">
        <f>C83</f>
        <v>1:00</v>
      </c>
      <c r="R67" s="117">
        <f>C86</f>
        <v>338.17</v>
      </c>
      <c r="S67">
        <v>12</v>
      </c>
      <c r="T67" s="117" t="str">
        <f>C89</f>
        <v>1:00</v>
      </c>
    </row>
    <row r="68" spans="1:20">
      <c r="A68" s="127" t="s">
        <v>210</v>
      </c>
      <c r="B68" s="128">
        <f>IF(TRIM('HourGH-MAY'!X22)="","      ",'HourGH-MAY'!X22)</f>
        <v>0.57999999999999996</v>
      </c>
      <c r="C68" s="128">
        <f>IF(TRIM('HourGH-MAY'!X23)="","      ",'HourGH-MAY'!X23)</f>
        <v>0.56999999999999995</v>
      </c>
      <c r="D68" s="128">
        <f>IF(TRIM('HourGH-MAY'!X24)="","      ",'HourGH-MAY'!X24)</f>
        <v>0.53</v>
      </c>
      <c r="E68" s="128">
        <f>IF(TRIM('HourGH-MAY'!X25)="","      ",'HourGH-MAY'!X25)</f>
        <v>0.5</v>
      </c>
      <c r="F68" s="118">
        <f>IF(TRIM('HourGH-MAY'!X26)="","      ",'HourGH-MAY'!X26)</f>
        <v>0.5</v>
      </c>
      <c r="G68" s="118">
        <f>IF(TRIM('HourGH-MAY'!X27)="","      ",'HourGH-MAY'!X27)</f>
        <v>0.49</v>
      </c>
      <c r="H68" s="128">
        <f>IF(TRIM('HourGH-MAY'!X28)="","      ",'HourGH-MAY'!X28)</f>
        <v>0.48</v>
      </c>
      <c r="I68" s="128">
        <f>IF(TRIM('HourGH-MAY'!X29)="","      ",'HourGH-MAY'!X29)</f>
        <v>0.48</v>
      </c>
      <c r="J68" s="128">
        <f>IF(TRIM('HourGH-MAY'!X30)="","      ",'HourGH-MAY'!X30)</f>
        <v>0.24</v>
      </c>
      <c r="K68" s="128">
        <f>IF(TRIM('HourGH-MAY'!X31)="","      ",'HourGH-MAY'!X31)</f>
        <v>0.15</v>
      </c>
      <c r="N68" s="117">
        <f>D80</f>
        <v>338.17</v>
      </c>
      <c r="O68">
        <v>13</v>
      </c>
      <c r="P68" s="117" t="str">
        <f>D83</f>
        <v>1:00</v>
      </c>
      <c r="R68" s="117">
        <f>D86</f>
        <v>338.12</v>
      </c>
      <c r="S68">
        <v>13</v>
      </c>
      <c r="T68" s="117" t="str">
        <f>D89</f>
        <v>23:00</v>
      </c>
    </row>
    <row r="69" spans="1:20">
      <c r="A69" s="127" t="s">
        <v>211</v>
      </c>
      <c r="B69" s="128">
        <f>IF(TRIM('HourGH-MAY'!X33)="","      ",'HourGH-MAY'!X33)</f>
        <v>0.25</v>
      </c>
      <c r="C69" s="128">
        <f>IF(TRIM('HourGH-MAY'!X34)="","      ",'HourGH-MAY'!X34)</f>
        <v>0.18</v>
      </c>
      <c r="D69" s="128">
        <f>IF(TRIM('HourGH-MAY'!X35)="","      ",'HourGH-MAY'!X35)</f>
        <v>0.19</v>
      </c>
      <c r="E69" s="128">
        <f>IF(TRIM('HourGH-MAY'!X36)="","      ",'HourGH-MAY'!X36)</f>
        <v>0.2</v>
      </c>
      <c r="F69" s="118">
        <f>IF(TRIM('HourGH-MAY'!X37)="","      ",'HourGH-MAY'!X37)</f>
        <v>0.16</v>
      </c>
      <c r="G69" s="118">
        <f>IF(TRIM('HourGH-MAY'!X38)="","      ",'HourGH-MAY'!X38)</f>
        <v>0.16</v>
      </c>
      <c r="H69" s="128">
        <f>IF(TRIM('HourGH-MAY'!X39)="","      ",'HourGH-MAY'!X39)</f>
        <v>0.18</v>
      </c>
      <c r="I69" s="128">
        <f>IF(TRIM('HourGH-MAY'!X40)="","      ",'HourGH-MAY'!X40)</f>
        <v>0.18</v>
      </c>
      <c r="J69" s="128">
        <f>IF(TRIM('HourGH-MAY'!X41)="","      ",'HourGH-MAY'!X41)</f>
        <v>0.2</v>
      </c>
      <c r="K69" s="128">
        <f>IF(TRIM('HourGH-MAY'!X42)="","      ",'HourGH-MAY'!X42)</f>
        <v>0.22</v>
      </c>
      <c r="L69" s="118">
        <f>IF(TRIM('HourGH-MAY'!X42)="","      ",'HourGH-MAY'!X42)</f>
        <v>0.22</v>
      </c>
      <c r="N69" s="117">
        <f>E80</f>
        <v>338.12</v>
      </c>
      <c r="O69">
        <v>14</v>
      </c>
      <c r="P69" s="117" t="str">
        <f>E83</f>
        <v>1:00</v>
      </c>
      <c r="R69" s="117">
        <f>E86</f>
        <v>338.1</v>
      </c>
      <c r="S69">
        <v>14</v>
      </c>
      <c r="T69" s="117" t="str">
        <f>E89</f>
        <v>6:00</v>
      </c>
    </row>
    <row r="70" spans="1:20">
      <c r="A70" s="127" t="s">
        <v>212</v>
      </c>
      <c r="B70" s="128">
        <f>IF(TRIM('HourGH-MAY'!Y11)="","      ",'HourGH-MAY'!Y11)</f>
        <v>0.56999999999999995</v>
      </c>
      <c r="C70" s="128">
        <f>IF(TRIM('HourGH-MAY'!Y12)="","      ",'HourGH-MAY'!Y12)</f>
        <v>0.56999999999999995</v>
      </c>
      <c r="D70" s="128">
        <f>IF(TRIM('HourGH-MAY'!Y13)="","      ",'HourGH-MAY'!Y13)</f>
        <v>0.57999999999999996</v>
      </c>
      <c r="E70" s="128">
        <f>IF(TRIM('HourGH-MAY'!Y14)="","      ",'HourGH-MAY'!Y14)</f>
        <v>0.56000000000000005</v>
      </c>
      <c r="F70" s="118">
        <f>IF(TRIM('HourGH-MAY'!Y15)="","      ",'HourGH-MAY'!Y15)</f>
        <v>0.55000000000000004</v>
      </c>
      <c r="G70" s="118">
        <f>IF(TRIM('HourGH-MAY'!Y16)="","      ",'HourGH-MAY'!Y16)</f>
        <v>0.5</v>
      </c>
      <c r="H70" s="128">
        <f>IF(TRIM('HourGH-MAY'!Y17)="","      ",'HourGH-MAY'!Y17)</f>
        <v>0.48</v>
      </c>
      <c r="I70" s="128">
        <f>IF(TRIM('HourGH-MAY'!Y18)="","      ",'HourGH-MAY'!Y18)</f>
        <v>0.49</v>
      </c>
      <c r="J70" s="128">
        <f>IF(TRIM('HourGH-MAY'!Y19)="","      ",'HourGH-MAY'!Y19)</f>
        <v>0.55000000000000004</v>
      </c>
      <c r="K70" s="128">
        <f>IF(TRIM('HourGH-MAY'!Y20)="","      ",'HourGH-MAY'!Y20)</f>
        <v>0.57999999999999996</v>
      </c>
      <c r="N70" s="117">
        <f>F80</f>
        <v>338.1</v>
      </c>
      <c r="O70">
        <v>15</v>
      </c>
      <c r="P70" s="117" t="str">
        <f>F83</f>
        <v>1:00</v>
      </c>
      <c r="R70" s="117">
        <f>F86</f>
        <v>338.1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IF(TRIM('HourGH-MAY'!Y22)="","      ",'HourGH-MAY'!Y22)</f>
        <v>0.57999999999999996</v>
      </c>
      <c r="C71" s="128">
        <f>IF(TRIM('HourGH-MAY'!Y23)="","      ",'HourGH-MAY'!Y23)</f>
        <v>0.56999999999999995</v>
      </c>
      <c r="D71" s="128">
        <f>IF(TRIM('HourGH-MAY'!Y24)="","      ",'HourGH-MAY'!Y24)</f>
        <v>0.52</v>
      </c>
      <c r="E71" s="128">
        <f>IF(TRIM('HourGH-MAY'!Y25)="","      ",'HourGH-MAY'!Y25)</f>
        <v>0.5</v>
      </c>
      <c r="F71" s="118">
        <f>IF(TRIM('HourGH-MAY'!Y26)="","      ",'HourGH-MAY'!Y26)</f>
        <v>0.5</v>
      </c>
      <c r="G71" s="118">
        <f>IF(TRIM('HourGH-MAY'!Y27)="","      ",'HourGH-MAY'!Y27)</f>
        <v>0.49</v>
      </c>
      <c r="H71" s="128">
        <f>IF(TRIM('HourGH-MAY'!Y28)="","      ",'HourGH-MAY'!Y28)</f>
        <v>0.48</v>
      </c>
      <c r="I71" s="128">
        <f>IF(TRIM('HourGH-MAY'!Y29)="","      ",'HourGH-MAY'!Y29)</f>
        <v>0.48</v>
      </c>
      <c r="J71" s="128">
        <f>IF(TRIM('HourGH-MAY'!Y30)="","      ",'HourGH-MAY'!Y30)</f>
        <v>0.23</v>
      </c>
      <c r="K71" s="128">
        <f>IF(TRIM('HourGH-MAY'!Y31)="","      ",'HourGH-MAY'!Y31)</f>
        <v>0.16</v>
      </c>
      <c r="N71" s="117">
        <f>G80</f>
        <v>338.09000000000003</v>
      </c>
      <c r="O71">
        <v>16</v>
      </c>
      <c r="P71" s="117" t="str">
        <f>G83</f>
        <v>1:00</v>
      </c>
      <c r="R71" s="117">
        <f>G86</f>
        <v>338.09000000000003</v>
      </c>
      <c r="S71">
        <v>16</v>
      </c>
      <c r="T71" s="117" t="str">
        <f>G89</f>
        <v>1:00</v>
      </c>
    </row>
    <row r="72" spans="1:20">
      <c r="A72" s="127" t="s">
        <v>214</v>
      </c>
      <c r="B72" s="128">
        <f>IF(TRIM('HourGH-MAY'!Y33)="","      ",'HourGH-MAY'!Y33)</f>
        <v>0.24</v>
      </c>
      <c r="C72" s="128">
        <f>IF(TRIM('HourGH-MAY'!Y34)="","      ",'HourGH-MAY'!Y34)</f>
        <v>0.18</v>
      </c>
      <c r="D72" s="128">
        <f>IF(TRIM('HourGH-MAY'!Y35)="","      ",'HourGH-MAY'!Y35)</f>
        <v>0.2</v>
      </c>
      <c r="E72" s="128">
        <f>IF(TRIM('HourGH-MAY'!Y36)="","      ",'HourGH-MAY'!Y36)</f>
        <v>0.2</v>
      </c>
      <c r="F72" s="118">
        <f>IF(TRIM('HourGH-MAY'!Y37)="","      ",'HourGH-MAY'!Y37)</f>
        <v>0.16</v>
      </c>
      <c r="G72" s="118">
        <f>IF(TRIM('HourGH-MAY'!Y38)="","      ",'HourGH-MAY'!Y38)</f>
        <v>0.16</v>
      </c>
      <c r="H72" s="128">
        <f>IF(TRIM('HourGH-MAY'!Y39)="","      ",'HourGH-MAY'!Y39)</f>
        <v>0.18</v>
      </c>
      <c r="I72" s="128">
        <f>IF(TRIM('HourGH-MAY'!Y40)="","      ",'HourGH-MAY'!Y40)</f>
        <v>0.18</v>
      </c>
      <c r="J72" s="128">
        <f>IF(TRIM('HourGH-MAY'!Y41)="","      ",'HourGH-MAY'!Y41)</f>
        <v>0.2</v>
      </c>
      <c r="K72" s="128">
        <f>IF(TRIM('HourGH-MAY'!Y42)="","      ",'HourGH-MAY'!Y42)</f>
        <v>0.22</v>
      </c>
      <c r="L72" s="118">
        <f>IF(TRIM('HourGH-MAY'!Y43)="","      ",'HourGH-MAY'!Y43)</f>
        <v>0.23</v>
      </c>
      <c r="N72" s="117">
        <f>H80</f>
        <v>338.08000000000004</v>
      </c>
      <c r="O72">
        <v>17</v>
      </c>
      <c r="P72" s="117" t="str">
        <f>H83</f>
        <v>1:00</v>
      </c>
      <c r="R72" s="117">
        <f>H86</f>
        <v>338.08000000000004</v>
      </c>
      <c r="S72">
        <v>17</v>
      </c>
      <c r="T72" s="117" t="str">
        <f>H89</f>
        <v>1:00</v>
      </c>
    </row>
    <row r="73" spans="1:20">
      <c r="A73" s="127" t="s">
        <v>215</v>
      </c>
      <c r="B73" s="128">
        <f>IF(TRIM('HourGH-MAY'!Z11)="","      ",'HourGH-MAY'!Z11)</f>
        <v>0.56999999999999995</v>
      </c>
      <c r="C73" s="128">
        <f>IF(TRIM('HourGH-MAY'!Z12)="","      ",'HourGH-MAY'!Z12)</f>
        <v>0.56999999999999995</v>
      </c>
      <c r="D73" s="128">
        <f>IF(TRIM('HourGH-MAY'!Z13)="","      ",'HourGH-MAY'!Z13)</f>
        <v>0.57999999999999996</v>
      </c>
      <c r="E73" s="128">
        <f>IF(TRIM('HourGH-MAY'!Z14)="","      ",'HourGH-MAY'!Z14)</f>
        <v>0.56000000000000005</v>
      </c>
      <c r="F73" s="118">
        <f>IF(TRIM('HourGH-MAY'!Z15)="","      ",'HourGH-MAY'!Z15)</f>
        <v>0.55000000000000004</v>
      </c>
      <c r="G73" s="118">
        <f>IF(TRIM('HourGH-MAY'!Z16)="","      ",'HourGH-MAY'!Z16)</f>
        <v>0.5</v>
      </c>
      <c r="H73" s="128">
        <f>IF(TRIM('HourGH-MAY'!Z17)="","      ",'HourGH-MAY'!Z17)</f>
        <v>0.48</v>
      </c>
      <c r="I73" s="128">
        <f>IF(TRIM('HourGH-MAY'!Z18)="","      ",'HourGH-MAY'!Z18)</f>
        <v>0.49</v>
      </c>
      <c r="J73" s="128">
        <f>IF(TRIM('HourGH-MAY'!Z19)="","      ",'HourGH-MAY'!Z19)</f>
        <v>0.55000000000000004</v>
      </c>
      <c r="K73" s="128">
        <f>IF(TRIM('HourGH-MAY'!Z20)="","      ",'HourGH-MAY'!Z20)</f>
        <v>0.57999999999999996</v>
      </c>
      <c r="N73" s="117">
        <f>I80</f>
        <v>338.08000000000004</v>
      </c>
      <c r="O73">
        <v>18</v>
      </c>
      <c r="P73" s="117" t="str">
        <f>I83</f>
        <v>1:00</v>
      </c>
      <c r="R73" s="117">
        <f>I86</f>
        <v>338.08000000000004</v>
      </c>
      <c r="S73">
        <v>18</v>
      </c>
      <c r="T73" s="117" t="str">
        <f>I89</f>
        <v>1:00</v>
      </c>
    </row>
    <row r="74" spans="1:20">
      <c r="A74" s="127" t="s">
        <v>216</v>
      </c>
      <c r="B74" s="128">
        <f>IF(TRIM('HourGH-MAY'!Z22)="","      ",'HourGH-MAY'!Z22)</f>
        <v>0.57999999999999996</v>
      </c>
      <c r="C74" s="128">
        <f>IF(TRIM('HourGH-MAY'!Z23)="","      ",'HourGH-MAY'!Z23)</f>
        <v>0.56999999999999995</v>
      </c>
      <c r="D74" s="128">
        <f>IF(TRIM('HourGH-MAY'!Z24)="","      ",'HourGH-MAY'!Z24)</f>
        <v>0.52</v>
      </c>
      <c r="E74" s="128">
        <f>IF(TRIM('HourGH-MAY'!Z25)="","      ",'HourGH-MAY'!Z25)</f>
        <v>0.5</v>
      </c>
      <c r="F74" s="118">
        <f>IF(TRIM('HourGH-MAY'!Z26)="","      ",'HourGH-MAY'!Z26)</f>
        <v>0.5</v>
      </c>
      <c r="G74" s="118">
        <f>IF(TRIM('HourGH-MAY'!Z27)="","      ",'HourGH-MAY'!Z27)</f>
        <v>0.49</v>
      </c>
      <c r="H74" s="128">
        <f>IF(TRIM('HourGH-MAY'!Z28)="","      ",'HourGH-MAY'!Z28)</f>
        <v>0.48</v>
      </c>
      <c r="I74" s="128">
        <f>IF(TRIM('HourGH-MAY'!Z29)="","      ",'HourGH-MAY'!Z29)</f>
        <v>0.48</v>
      </c>
      <c r="J74" s="128">
        <f>IF(TRIM('HourGH-MAY'!Z30)="","      ",'HourGH-MAY'!Z30)</f>
        <v>0.22</v>
      </c>
      <c r="K74" s="128">
        <f>IF(TRIM('HourGH-MAY'!Z31)="","      ",'HourGH-MAY'!Z31)</f>
        <v>0.16</v>
      </c>
      <c r="N74" s="117">
        <f>J80</f>
        <v>338.08000000000004</v>
      </c>
      <c r="O74">
        <v>19</v>
      </c>
      <c r="P74" s="117" t="str">
        <f>J83</f>
        <v>1:00</v>
      </c>
      <c r="R74" s="117">
        <f>J86</f>
        <v>337.82000000000005</v>
      </c>
      <c r="S74">
        <v>19</v>
      </c>
      <c r="T74" s="117" t="str">
        <f>J89</f>
        <v>24:00</v>
      </c>
    </row>
    <row r="75" spans="1:20">
      <c r="A75" s="127" t="s">
        <v>217</v>
      </c>
      <c r="B75" s="128">
        <f>IF(TRIM('HourGH-MAY'!Z33)="","      ",'HourGH-MAY'!Z33)</f>
        <v>0.24</v>
      </c>
      <c r="C75" s="128">
        <f>IF(TRIM('HourGH-MAY'!Z34)="","      ",'HourGH-MAY'!Z34)</f>
        <v>0.18</v>
      </c>
      <c r="D75" s="128">
        <f>IF(TRIM('HourGH-MAY'!Z35)="","      ",'HourGH-MAY'!Z35)</f>
        <v>0.2</v>
      </c>
      <c r="E75" s="128">
        <f>IF(TRIM('HourGH-MAY'!Z36)="","      ",'HourGH-MAY'!Z36)</f>
        <v>0.2</v>
      </c>
      <c r="F75" s="118">
        <f>IF(TRIM('HourGH-MAY'!Z37)="","      ",'HourGH-MAY'!Z37)</f>
        <v>0.16</v>
      </c>
      <c r="G75" s="118">
        <f>IF(TRIM('HourGH-MAY'!Z38)="","      ",'HourGH-MAY'!Z38)</f>
        <v>0.16</v>
      </c>
      <c r="H75" s="128">
        <f>IF(TRIM('HourGH-MAY'!Z39)="","      ",'HourGH-MAY'!Z39)</f>
        <v>0.18</v>
      </c>
      <c r="I75" s="128">
        <f>IF(TRIM('HourGH-MAY'!Z40)="","      ",'HourGH-MAY'!Z40)</f>
        <v>0.18</v>
      </c>
      <c r="J75" s="128">
        <f>IF(TRIM('HourGH-MAY'!Z41)="","      ",'HourGH-MAY'!Z41)</f>
        <v>0.2</v>
      </c>
      <c r="K75" s="128">
        <f>IF(TRIM('HourGH-MAY'!Z42)="","      ",'HourGH-MAY'!Z42)</f>
        <v>0.22</v>
      </c>
      <c r="L75" s="118">
        <f>IF(TRIM('HourGH-MAY'!Z43)="","      ",'HourGH-MAY'!Z43)</f>
        <v>0.23</v>
      </c>
      <c r="N75" s="117">
        <f>K80</f>
        <v>337.81</v>
      </c>
      <c r="O75">
        <v>20</v>
      </c>
      <c r="P75" s="117" t="str">
        <f>K83</f>
        <v>1:00</v>
      </c>
      <c r="R75" s="117">
        <f>K86</f>
        <v>337.73</v>
      </c>
      <c r="S75">
        <v>20</v>
      </c>
      <c r="T75" s="117" t="str">
        <f>K89</f>
        <v>12:00</v>
      </c>
    </row>
    <row r="76" spans="1:20">
      <c r="A76" t="s">
        <v>228</v>
      </c>
      <c r="B76" s="119">
        <f>IF(TRIM('HourGH-MAY'!AB11)="","",'HourGH-MAY'!AB11)</f>
        <v>338.17</v>
      </c>
      <c r="C76" s="119">
        <f>IF(TRIM('HourGH-MAY'!AB12)="","",'HourGH-MAY'!AB12)</f>
        <v>338.17</v>
      </c>
      <c r="D76" s="119">
        <f>IF(TRIM('HourGH-MAY'!AB13)="","",'HourGH-MAY'!AB13)</f>
        <v>338.18</v>
      </c>
      <c r="E76" s="119">
        <f>IF(TRIM('HourGH-MAY'!AB14)="","",'HourGH-MAY'!AB14)</f>
        <v>338.16</v>
      </c>
      <c r="F76" s="119">
        <f>IF(TRIM('HourGH-MAY'!AB15)="","",'HourGH-MAY'!AB15)</f>
        <v>338.16250000000002</v>
      </c>
      <c r="G76" s="119">
        <f>IF(TRIM('HourGH-MAY'!AB16)="","",'HourGH-MAY'!AB16)</f>
        <v>338.12</v>
      </c>
      <c r="H76" s="119">
        <f>IF(TRIM('HourGH-MAY'!AB17)="","",'HourGH-MAY'!AB17)</f>
        <v>338.08458333333334</v>
      </c>
      <c r="I76" s="119">
        <f>IF(TRIM('HourGH-MAY'!AB18)="","",'HourGH-MAY'!AB18)</f>
        <v>338.09000000000003</v>
      </c>
      <c r="J76" s="119">
        <f>IF(TRIM('HourGH-MAY'!AB19)="","",'HourGH-MAY'!AB19)</f>
        <v>338.10541666666671</v>
      </c>
      <c r="K76" s="119">
        <f>IF(TRIM('HourGH-MAY'!AB20)="","",'HourGH-MAY'!AB20)</f>
        <v>338.18208333333337</v>
      </c>
      <c r="N76" s="117">
        <f>B81</f>
        <v>337.85</v>
      </c>
      <c r="O76">
        <v>21</v>
      </c>
      <c r="P76" s="117" t="str">
        <f>B84</f>
        <v>15:00</v>
      </c>
      <c r="R76" s="117">
        <f>B87</f>
        <v>337.77000000000004</v>
      </c>
      <c r="S76">
        <v>21</v>
      </c>
      <c r="T76" s="117" t="str">
        <f>B90</f>
        <v>1:00</v>
      </c>
    </row>
    <row r="77" spans="1:20">
      <c r="A77" t="s">
        <v>229</v>
      </c>
      <c r="B77" s="119">
        <f>IF(TRIM('HourGH-MAY'!AB22)="","",'HourGH-MAY'!AB22)</f>
        <v>338.18</v>
      </c>
      <c r="C77" s="119">
        <f>IF(TRIM('HourGH-MAY'!AB23)="","",'HourGH-MAY'!AB23)</f>
        <v>338.17</v>
      </c>
      <c r="D77" s="119">
        <f>IF(TRIM('HourGH-MAY'!AB24)="","",'HourGH-MAY'!AB24)</f>
        <v>338.1491666666667</v>
      </c>
      <c r="E77" s="119">
        <f>IF(TRIM('HourGH-MAY'!AB25)="","",'HourGH-MAY'!AB25)</f>
        <v>338.10291666666672</v>
      </c>
      <c r="F77" s="119">
        <f>IF(TRIM('HourGH-MAY'!AB26)="","",'HourGH-MAY'!AB26)</f>
        <v>338.1</v>
      </c>
      <c r="G77" s="119">
        <f>IF(TRIM('HourGH-MAY'!AB27)="","",'HourGH-MAY'!AB27)</f>
        <v>338.09000000000003</v>
      </c>
      <c r="H77" s="119">
        <f>IF(TRIM('HourGH-MAY'!AB28)="","",'HourGH-MAY'!AB28)</f>
        <v>338.08000000000004</v>
      </c>
      <c r="I77" s="119">
        <f>IF(TRIM('HourGH-MAY'!AB29)="","",'HourGH-MAY'!AB29)</f>
        <v>338.08000000000004</v>
      </c>
      <c r="J77" s="119">
        <f>IF(TRIM('HourGH-MAY'!AB30)="","",'HourGH-MAY'!AB30)</f>
        <v>337.98625000000004</v>
      </c>
      <c r="K77" s="119">
        <f>IF(TRIM('HourGH-MAY'!AB31)="","",'HourGH-MAY'!AB31)</f>
        <v>337.75166666666667</v>
      </c>
      <c r="N77" s="117">
        <f>C81</f>
        <v>337.83000000000004</v>
      </c>
      <c r="O77">
        <v>22</v>
      </c>
      <c r="P77" s="117" t="str">
        <f>C84</f>
        <v>1:00</v>
      </c>
      <c r="R77" s="117">
        <f>C87</f>
        <v>337.78000000000003</v>
      </c>
      <c r="S77">
        <v>22</v>
      </c>
      <c r="T77" s="117" t="str">
        <f>C90</f>
        <v>19:00</v>
      </c>
    </row>
    <row r="78" spans="1:20">
      <c r="A78" t="s">
        <v>230</v>
      </c>
      <c r="B78" s="119">
        <f>IF(TRIM('HourGH-MAY'!AB33)="","",'HourGH-MAY'!AB33)</f>
        <v>337.82041666666669</v>
      </c>
      <c r="C78" s="119">
        <f>IF(TRIM('HourGH-MAY'!AB34)="","",'HourGH-MAY'!AB34)</f>
        <v>337.79666666666668</v>
      </c>
      <c r="D78" s="119">
        <f>IF(TRIM('HourGH-MAY'!AB35)="","",'HourGH-MAY'!AB35)</f>
        <v>337.79</v>
      </c>
      <c r="E78" s="119">
        <f>IF(TRIM('HourGH-MAY'!AB36)="","",'HourGH-MAY'!AB36)</f>
        <v>337.81</v>
      </c>
      <c r="F78" s="119">
        <f>IF(TRIM('HourGH-MAY'!AB37)="","",'HourGH-MAY'!AB37)</f>
        <v>337.77500000000003</v>
      </c>
      <c r="G78" s="119">
        <f>IF(TRIM('HourGH-MAY'!AB38)="","",'HourGH-MAY'!AB38)</f>
        <v>337.74958333333336</v>
      </c>
      <c r="H78" s="119">
        <f>IF(TRIM('HourGH-MAY'!AB39)="","",'HourGH-MAY'!AB39)</f>
        <v>337.77791666666667</v>
      </c>
      <c r="I78" s="119">
        <f>IF(TRIM('HourGH-MAY'!AB40)="","",'HourGH-MAY'!AB40)</f>
        <v>337.78000000000003</v>
      </c>
      <c r="J78" s="119">
        <f>IF(TRIM('HourGH-MAY'!AB41)="","",'HourGH-MAY'!AB41)</f>
        <v>337.79</v>
      </c>
      <c r="K78" s="119">
        <f>IF(TRIM('HourGH-MAY'!AB42)="","",'HourGH-MAY'!AB42)</f>
        <v>337.81</v>
      </c>
      <c r="N78" s="117">
        <f>D81</f>
        <v>337.8</v>
      </c>
      <c r="O78">
        <v>23</v>
      </c>
      <c r="P78" s="117" t="str">
        <f>D84</f>
        <v>5:00</v>
      </c>
      <c r="R78" s="117">
        <f>D87</f>
        <v>337.78000000000003</v>
      </c>
      <c r="S78">
        <v>23</v>
      </c>
      <c r="T78" s="117" t="str">
        <f>D90</f>
        <v>12:00</v>
      </c>
    </row>
    <row r="79" spans="1:20">
      <c r="A79" t="s">
        <v>231</v>
      </c>
      <c r="B79" s="119">
        <f>IF(TRIM('HourGH-MAY'!AC11)="","",'HourGH-MAY'!AC11)</f>
        <v>338.17</v>
      </c>
      <c r="C79" s="119">
        <f>IF(TRIM('HourGH-MAY'!AC12)="","",'HourGH-MAY'!AC12)</f>
        <v>338.17</v>
      </c>
      <c r="D79" s="119">
        <f>IF(TRIM('HourGH-MAY'!AC13)="","",'HourGH-MAY'!AC13)</f>
        <v>338.18</v>
      </c>
      <c r="E79" s="119">
        <f>IF(TRIM('HourGH-MAY'!AC14)="","",'HourGH-MAY'!AC14)</f>
        <v>338.16</v>
      </c>
      <c r="F79" s="119">
        <f>IF(TRIM('HourGH-MAY'!AC15)="","",'HourGH-MAY'!AC15)</f>
        <v>338.17</v>
      </c>
      <c r="G79" s="119">
        <f>IF(TRIM('HourGH-MAY'!AC16)="","",'HourGH-MAY'!AC16)</f>
        <v>338.14000000000004</v>
      </c>
      <c r="H79" s="119">
        <f>IF(TRIM('HourGH-MAY'!AC17)="","",'HourGH-MAY'!AC17)</f>
        <v>338.09000000000003</v>
      </c>
      <c r="I79" s="119">
        <f>IF(TRIM('HourGH-MAY'!AC18)="","",'HourGH-MAY'!AC18)</f>
        <v>338.09000000000003</v>
      </c>
      <c r="J79" s="119">
        <f>IF(TRIM('HourGH-MAY'!AC19)="","",'HourGH-MAY'!AC19)</f>
        <v>338.15000000000003</v>
      </c>
      <c r="K79" s="119">
        <f>IF(TRIM('HourGH-MAY'!AC20)="","",'HourGH-MAY'!AC20)</f>
        <v>338.19</v>
      </c>
      <c r="N79" s="117">
        <f>E81</f>
        <v>337.82000000000005</v>
      </c>
      <c r="O79">
        <v>24</v>
      </c>
      <c r="P79" s="117" t="str">
        <f>E84</f>
        <v>6:00</v>
      </c>
      <c r="R79" s="117">
        <f>E87</f>
        <v>337.8</v>
      </c>
      <c r="S79">
        <v>24</v>
      </c>
      <c r="T79" s="117" t="str">
        <f>E90</f>
        <v>1:00</v>
      </c>
    </row>
    <row r="80" spans="1:20">
      <c r="A80" t="s">
        <v>232</v>
      </c>
      <c r="B80" s="119">
        <f>IF(TRIM('HourGH-MAY'!AC22)="","",'HourGH-MAY'!AC22)</f>
        <v>338.18</v>
      </c>
      <c r="C80" s="119">
        <f>IF(TRIM('HourGH-MAY'!AC23)="","",'HourGH-MAY'!AC23)</f>
        <v>338.17</v>
      </c>
      <c r="D80" s="119">
        <f>IF(TRIM('HourGH-MAY'!AC24)="","",'HourGH-MAY'!AC24)</f>
        <v>338.17</v>
      </c>
      <c r="E80" s="119">
        <f>IF(TRIM('HourGH-MAY'!AC25)="","",'HourGH-MAY'!AC25)</f>
        <v>338.12</v>
      </c>
      <c r="F80" s="119">
        <f>IF(TRIM('HourGH-MAY'!AC26)="","",'HourGH-MAY'!AC26)</f>
        <v>338.1</v>
      </c>
      <c r="G80" s="119">
        <f>IF(TRIM('HourGH-MAY'!AC27)="","",'HourGH-MAY'!AC27)</f>
        <v>338.09000000000003</v>
      </c>
      <c r="H80" s="119">
        <f>IF(TRIM('HourGH-MAY'!AC28)="","",'HourGH-MAY'!AC28)</f>
        <v>338.08000000000004</v>
      </c>
      <c r="I80" s="119">
        <f>IF(TRIM('HourGH-MAY'!AC29)="","",'HourGH-MAY'!AC29)</f>
        <v>338.08000000000004</v>
      </c>
      <c r="J80" s="119">
        <f>IF(TRIM('HourGH-MAY'!AC30)="","",'HourGH-MAY'!AC30)</f>
        <v>338.08000000000004</v>
      </c>
      <c r="K80" s="119">
        <f>IF(TRIM('HourGH-MAY'!AC31)="","",'HourGH-MAY'!AC31)</f>
        <v>337.81</v>
      </c>
      <c r="N80" s="117">
        <f>F81</f>
        <v>337.79</v>
      </c>
      <c r="O80">
        <v>25</v>
      </c>
      <c r="P80" s="117" t="str">
        <f>F84</f>
        <v>1:00</v>
      </c>
      <c r="R80" s="117">
        <f>F87</f>
        <v>337.76000000000005</v>
      </c>
      <c r="S80">
        <v>25</v>
      </c>
      <c r="T80" s="117" t="str">
        <f>F90</f>
        <v>19:00</v>
      </c>
    </row>
    <row r="81" spans="1:20">
      <c r="A81" t="s">
        <v>233</v>
      </c>
      <c r="B81" s="119">
        <f>IF(TRIM('HourGH-MAY'!AC33)="","",'HourGH-MAY'!AC33)</f>
        <v>337.85</v>
      </c>
      <c r="C81" s="119">
        <f>IF(TRIM('HourGH-MAY'!AC34)="","",'HourGH-MAY'!AC34)</f>
        <v>337.83000000000004</v>
      </c>
      <c r="D81" s="119">
        <f>IF(TRIM('HourGH-MAY'!AC35)="","",'HourGH-MAY'!AC35)</f>
        <v>337.8</v>
      </c>
      <c r="E81" s="119">
        <f>IF(TRIM('HourGH-MAY'!AC36)="","",'HourGH-MAY'!AC36)</f>
        <v>337.82000000000005</v>
      </c>
      <c r="F81" s="119">
        <f>IF(TRIM('HourGH-MAY'!AC37)="","",'HourGH-MAY'!AC37)</f>
        <v>337.79</v>
      </c>
      <c r="G81" s="119">
        <f>IF(TRIM('HourGH-MAY'!AC38)="","",'HourGH-MAY'!AC38)</f>
        <v>337.76000000000005</v>
      </c>
      <c r="H81" s="119">
        <f>IF(TRIM('HourGH-MAY'!AC39)="","",'HourGH-MAY'!AC39)</f>
        <v>337.78000000000003</v>
      </c>
      <c r="I81" s="119">
        <f>IF(TRIM('HourGH-MAY'!AC40)="","",'HourGH-MAY'!AC40)</f>
        <v>337.78000000000003</v>
      </c>
      <c r="J81" s="119">
        <f>IF(TRIM('HourGH-MAY'!AC41)="","",'HourGH-MAY'!AC41)</f>
        <v>337.8</v>
      </c>
      <c r="K81" s="119">
        <f>IF(TRIM('HourGH-MAY'!AC42)="","",'HourGH-MAY'!AC42)</f>
        <v>337.82000000000005</v>
      </c>
      <c r="N81" s="117">
        <f>G81</f>
        <v>337.76000000000005</v>
      </c>
      <c r="O81">
        <v>26</v>
      </c>
      <c r="P81" s="117" t="str">
        <f>G84</f>
        <v>19:00</v>
      </c>
      <c r="R81" s="117">
        <f>G87</f>
        <v>337.74</v>
      </c>
      <c r="S81">
        <v>26</v>
      </c>
      <c r="T81" s="117" t="str">
        <f>G90</f>
        <v>6:00</v>
      </c>
    </row>
    <row r="82" spans="1:20">
      <c r="A82" t="s">
        <v>219</v>
      </c>
      <c r="B82" s="119" t="str">
        <f>'HourGH-MAY'!AD11&amp;":00"</f>
        <v>1:00</v>
      </c>
      <c r="C82" s="119" t="str">
        <f>'HourGH-MAY'!AD12&amp;":00"</f>
        <v>1:00</v>
      </c>
      <c r="D82" s="119" t="str">
        <f>'HourGH-MAY'!AD13&amp;":00"</f>
        <v>1:00</v>
      </c>
      <c r="E82" s="119" t="str">
        <f>'HourGH-MAY'!AD14&amp;":00"</f>
        <v>1:00</v>
      </c>
      <c r="F82" s="119" t="str">
        <f>'HourGH-MAY'!AD15&amp;":00"</f>
        <v>1:00</v>
      </c>
      <c r="G82" s="119" t="str">
        <f>'HourGH-MAY'!AD16&amp;":00"</f>
        <v>1:00</v>
      </c>
      <c r="H82" s="119" t="str">
        <f>'HourGH-MAY'!AD17&amp;":00"</f>
        <v>1:00</v>
      </c>
      <c r="I82" s="119" t="str">
        <f>'HourGH-MAY'!AD18&amp;":00"</f>
        <v>1:00</v>
      </c>
      <c r="J82" s="119" t="str">
        <f>'HourGH-MAY'!AD19&amp;":00"</f>
        <v>23:00</v>
      </c>
      <c r="K82" s="119" t="str">
        <f>'HourGH-MAY'!AD20&amp;":00"</f>
        <v>8:00</v>
      </c>
      <c r="N82" s="117">
        <f>H81</f>
        <v>337.78000000000003</v>
      </c>
      <c r="O82">
        <v>27</v>
      </c>
      <c r="P82" s="117" t="str">
        <f>H84</f>
        <v>6:00</v>
      </c>
      <c r="R82" s="117">
        <f>H87</f>
        <v>337.77000000000004</v>
      </c>
      <c r="S82">
        <v>27</v>
      </c>
      <c r="T82" s="117" t="str">
        <f>H90</f>
        <v>1:00</v>
      </c>
    </row>
    <row r="83" spans="1:20">
      <c r="A83" t="s">
        <v>220</v>
      </c>
      <c r="B83" s="119" t="str">
        <f>'HourGH-MAY'!AD22&amp;":00"</f>
        <v>1:00</v>
      </c>
      <c r="C83" s="119" t="str">
        <f>'HourGH-MAY'!AD23&amp;":00"</f>
        <v>1:00</v>
      </c>
      <c r="D83" s="119" t="str">
        <f>'HourGH-MAY'!AD24&amp;":00"</f>
        <v>1:00</v>
      </c>
      <c r="E83" s="119" t="str">
        <f>'HourGH-MAY'!AD25&amp;":00"</f>
        <v>1:00</v>
      </c>
      <c r="F83" s="119" t="str">
        <f>'HourGH-MAY'!AD26&amp;":00"</f>
        <v>1:00</v>
      </c>
      <c r="G83" s="119" t="str">
        <f>'HourGH-MAY'!AD27&amp;":00"</f>
        <v>1:00</v>
      </c>
      <c r="H83" s="119" t="str">
        <f>'HourGH-MAY'!AD28&amp;":00"</f>
        <v>1:00</v>
      </c>
      <c r="I83" s="119" t="str">
        <f>'HourGH-MAY'!AD29&amp;":00"</f>
        <v>1:00</v>
      </c>
      <c r="J83" s="119" t="str">
        <f>'HourGH-MAY'!AD30&amp;":00"</f>
        <v>1:00</v>
      </c>
      <c r="K83" s="119" t="str">
        <f>'HourGH-MAY'!AD31&amp;":00"</f>
        <v>1:00</v>
      </c>
      <c r="N83" s="117">
        <f>I81</f>
        <v>337.78000000000003</v>
      </c>
      <c r="O83">
        <v>28</v>
      </c>
      <c r="P83" s="117" t="str">
        <f>I84</f>
        <v>1:00</v>
      </c>
      <c r="R83" s="117">
        <f>I87</f>
        <v>337.78000000000003</v>
      </c>
      <c r="S83">
        <v>28</v>
      </c>
      <c r="T83" s="117" t="str">
        <f>I90</f>
        <v>1:00</v>
      </c>
    </row>
    <row r="84" spans="1:20">
      <c r="A84" t="s">
        <v>221</v>
      </c>
      <c r="B84" s="119" t="str">
        <f>'HourGH-MAY'!AD33&amp;":00"</f>
        <v>15:00</v>
      </c>
      <c r="C84" s="119" t="str">
        <f>'HourGH-MAY'!AD34&amp;":00"</f>
        <v>1:00</v>
      </c>
      <c r="D84" s="119" t="str">
        <f>'HourGH-MAY'!AD35&amp;":00"</f>
        <v>5:00</v>
      </c>
      <c r="E84" s="119" t="str">
        <f>'HourGH-MAY'!AD36&amp;":00"</f>
        <v>6:00</v>
      </c>
      <c r="F84" s="119" t="str">
        <f>'HourGH-MAY'!AD37&amp;":00"</f>
        <v>1:00</v>
      </c>
      <c r="G84" s="119" t="str">
        <f>'HourGH-MAY'!AD38&amp;":00"</f>
        <v>19:00</v>
      </c>
      <c r="H84" s="119" t="str">
        <f>'HourGH-MAY'!AD39&amp;":00"</f>
        <v>6:00</v>
      </c>
      <c r="I84" s="119" t="str">
        <f>'HourGH-MAY'!AD40&amp;":00"</f>
        <v>1:00</v>
      </c>
      <c r="J84" s="119" t="str">
        <f>'HourGH-MAY'!AD41&amp;":00"</f>
        <v>19:00</v>
      </c>
      <c r="K84" s="119" t="str">
        <f>'HourGH-MAY'!AD42&amp;":00"</f>
        <v>19:00</v>
      </c>
      <c r="N84" s="117">
        <f>J81</f>
        <v>337.8</v>
      </c>
      <c r="O84">
        <v>29</v>
      </c>
      <c r="P84" s="117" t="str">
        <f>J84</f>
        <v>19:00</v>
      </c>
      <c r="R84" s="117">
        <f>J87</f>
        <v>337.78000000000003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'HourGH-MAY'!AE11</f>
        <v>338.17</v>
      </c>
      <c r="C85" s="129">
        <f>'HourGH-MAY'!AE12</f>
        <v>338.17</v>
      </c>
      <c r="D85" s="129">
        <f>'HourGH-MAY'!AE13</f>
        <v>338.18</v>
      </c>
      <c r="E85" s="129">
        <f>'HourGH-MAY'!AE14</f>
        <v>338.16</v>
      </c>
      <c r="F85" s="129">
        <f>'HourGH-MAY'!AE15</f>
        <v>338.15000000000003</v>
      </c>
      <c r="G85" s="129">
        <f>'HourGH-MAY'!AE16</f>
        <v>338.1</v>
      </c>
      <c r="H85" s="129">
        <f>'HourGH-MAY'!AE17</f>
        <v>338.08000000000004</v>
      </c>
      <c r="I85" s="129">
        <f>'HourGH-MAY'!AE18</f>
        <v>338.09000000000003</v>
      </c>
      <c r="J85" s="129">
        <f>'HourGH-MAY'!AE19</f>
        <v>338.08000000000004</v>
      </c>
      <c r="K85" s="129">
        <f>'HourGH-MAY'!AE20</f>
        <v>338.16</v>
      </c>
      <c r="N85" s="117">
        <f>K81</f>
        <v>337.82000000000005</v>
      </c>
      <c r="O85">
        <v>30</v>
      </c>
      <c r="P85" s="117" t="str">
        <f>K84</f>
        <v>19:00</v>
      </c>
      <c r="R85" s="117">
        <f>K87</f>
        <v>337.8</v>
      </c>
      <c r="S85">
        <v>30</v>
      </c>
      <c r="T85" s="117" t="str">
        <f>K90</f>
        <v>1:00</v>
      </c>
    </row>
    <row r="86" spans="1:20">
      <c r="A86" t="s">
        <v>235</v>
      </c>
      <c r="B86" s="129">
        <f>'HourGH-MAY'!AE22</f>
        <v>338.18</v>
      </c>
      <c r="C86" s="129">
        <f>'HourGH-MAY'!AE23</f>
        <v>338.17</v>
      </c>
      <c r="D86" s="129">
        <f>'HourGH-MAY'!AE24</f>
        <v>338.12</v>
      </c>
      <c r="E86" s="129">
        <f>'HourGH-MAY'!AE25</f>
        <v>338.1</v>
      </c>
      <c r="F86" s="129">
        <f>'HourGH-MAY'!AE26</f>
        <v>338.1</v>
      </c>
      <c r="G86" s="129">
        <f>'HourGH-MAY'!AE27</f>
        <v>338.09000000000003</v>
      </c>
      <c r="H86" s="129">
        <f>'HourGH-MAY'!AE28</f>
        <v>338.08000000000004</v>
      </c>
      <c r="I86" s="129">
        <f>'HourGH-MAY'!AE29</f>
        <v>338.08000000000004</v>
      </c>
      <c r="J86" s="129">
        <f>'HourGH-MAY'!AE30</f>
        <v>337.82000000000005</v>
      </c>
      <c r="K86" s="129">
        <f>'HourGH-MAY'!AE31</f>
        <v>337.73</v>
      </c>
    </row>
    <row r="87" spans="1:20">
      <c r="A87" t="s">
        <v>236</v>
      </c>
      <c r="B87" s="129">
        <f>'HourGH-MAY'!AE33</f>
        <v>337.77000000000004</v>
      </c>
      <c r="C87" s="129">
        <f>'HourGH-MAY'!AE34</f>
        <v>337.78000000000003</v>
      </c>
      <c r="D87" s="129">
        <f>'HourGH-MAY'!AE35</f>
        <v>337.78000000000003</v>
      </c>
      <c r="E87" s="129">
        <f>'HourGH-MAY'!AE36</f>
        <v>337.8</v>
      </c>
      <c r="F87" s="129">
        <f>'HourGH-MAY'!AE37</f>
        <v>337.76000000000005</v>
      </c>
      <c r="G87" s="129">
        <f>'HourGH-MAY'!AE38</f>
        <v>337.74</v>
      </c>
      <c r="H87" s="129">
        <f>'HourGH-MAY'!AE39</f>
        <v>337.77000000000004</v>
      </c>
      <c r="I87" s="129">
        <f>'HourGH-MAY'!AE40</f>
        <v>337.78000000000003</v>
      </c>
      <c r="J87" s="129">
        <f>'HourGH-MAY'!AE41</f>
        <v>337.78000000000003</v>
      </c>
      <c r="K87" s="129">
        <f>'HourGH-MAY'!AE42</f>
        <v>337.8</v>
      </c>
    </row>
    <row r="88" spans="1:20">
      <c r="A88" t="s">
        <v>222</v>
      </c>
      <c r="B88" s="119" t="str">
        <f>'HourGH-MAY'!AF11&amp;":00"</f>
        <v>1:00</v>
      </c>
      <c r="C88" s="119" t="str">
        <f>'HourGH-MAY'!AF12&amp;":00"</f>
        <v>1:00</v>
      </c>
      <c r="D88" s="119" t="str">
        <f>'HourGH-MAY'!AF13&amp;":00"</f>
        <v>1:00</v>
      </c>
      <c r="E88" s="119" t="str">
        <f>'HourGH-MAY'!AF14&amp;":00"</f>
        <v>1:00</v>
      </c>
      <c r="F88" s="119" t="str">
        <f>'HourGH-MAY'!AF15&amp;":00"</f>
        <v>19:00</v>
      </c>
      <c r="G88" s="119" t="str">
        <f>'HourGH-MAY'!AF16&amp;":00"</f>
        <v>19:00</v>
      </c>
      <c r="H88" s="119" t="str">
        <f>'HourGH-MAY'!AF17&amp;":00"</f>
        <v>12:00</v>
      </c>
      <c r="I88" s="119" t="str">
        <f>'HourGH-MAY'!AF18&amp;":00"</f>
        <v>1:00</v>
      </c>
      <c r="J88" s="119" t="str">
        <f>'HourGH-MAY'!AF19&amp;":00"</f>
        <v>1:00</v>
      </c>
      <c r="K88" s="119" t="str">
        <f>'HourGH-MAY'!AF20&amp;":00"</f>
        <v>1:00</v>
      </c>
      <c r="N88" s="118">
        <f>MATCH(N90,N56:N85,0)</f>
        <v>10</v>
      </c>
      <c r="P88">
        <f>MATCH(P89,R56:R85,0)</f>
        <v>20</v>
      </c>
    </row>
    <row r="89" spans="1:20">
      <c r="A89" t="s">
        <v>223</v>
      </c>
      <c r="B89" s="119" t="str">
        <f>'HourGH-MAY'!AF22&amp;":00"</f>
        <v>1:00</v>
      </c>
      <c r="C89" s="119" t="str">
        <f>'HourGH-MAY'!AF23&amp;":00"</f>
        <v>1:00</v>
      </c>
      <c r="D89" s="119" t="str">
        <f>'HourGH-MAY'!AF24&amp;":00"</f>
        <v>23:00</v>
      </c>
      <c r="E89" s="119" t="str">
        <f>'HourGH-MAY'!AF25&amp;":00"</f>
        <v>6:00</v>
      </c>
      <c r="F89" s="119" t="str">
        <f>'HourGH-MAY'!AF26&amp;":00"</f>
        <v>1:00</v>
      </c>
      <c r="G89" s="119" t="str">
        <f>'HourGH-MAY'!AF27&amp;":00"</f>
        <v>1:00</v>
      </c>
      <c r="H89" s="119" t="str">
        <f>'HourGH-MAY'!AF28&amp;":00"</f>
        <v>1:00</v>
      </c>
      <c r="I89" s="119" t="str">
        <f>'HourGH-MAY'!AF29&amp;":00"</f>
        <v>1:00</v>
      </c>
      <c r="J89" s="119" t="str">
        <f>'HourGH-MAY'!AF30&amp;":00"</f>
        <v>24:00</v>
      </c>
      <c r="K89" s="119" t="str">
        <f>'HourGH-MAY'!AF31&amp;":00"</f>
        <v>12:00</v>
      </c>
      <c r="O89" s="118" t="str">
        <f>INDEX(P56:P85,N88)</f>
        <v>8:00</v>
      </c>
      <c r="P89" s="129">
        <f>MIN(B85:K87)</f>
        <v>337.73</v>
      </c>
      <c r="R89" t="str">
        <f>INDEX(T56:T85,P88)</f>
        <v>12:00</v>
      </c>
    </row>
    <row r="90" spans="1:20">
      <c r="A90" t="s">
        <v>224</v>
      </c>
      <c r="B90" s="119" t="str">
        <f>'HourGH-MAY'!AF33&amp;":00"</f>
        <v>1:00</v>
      </c>
      <c r="C90" s="119" t="str">
        <f>'HourGH-MAY'!AF34&amp;":00"</f>
        <v>19:00</v>
      </c>
      <c r="D90" s="119" t="str">
        <f>'HourGH-MAY'!AF35&amp;":00"</f>
        <v>12:00</v>
      </c>
      <c r="E90" s="119" t="str">
        <f>'HourGH-MAY'!AF36&amp;":00"</f>
        <v>1:00</v>
      </c>
      <c r="F90" s="119" t="str">
        <f>'HourGH-MAY'!AF37&amp;":00"</f>
        <v>19:00</v>
      </c>
      <c r="G90" s="119" t="str">
        <f>'HourGH-MAY'!AF38&amp;":00"</f>
        <v>6:00</v>
      </c>
      <c r="H90" s="119" t="str">
        <f>'HourGH-MAY'!AF39&amp;":00"</f>
        <v>1:00</v>
      </c>
      <c r="I90" s="119" t="str">
        <f>'HourGH-MAY'!AF40&amp;":00"</f>
        <v>1:00</v>
      </c>
      <c r="J90" s="119" t="str">
        <f>'HourGH-MAY'!AF41&amp;":00"</f>
        <v>1:00</v>
      </c>
      <c r="K90" s="119" t="str">
        <f>'HourGH-MAY'!AF42&amp;":00"</f>
        <v>1:00</v>
      </c>
      <c r="N90" s="119">
        <f>MAX(B79:K81)</f>
        <v>338.19</v>
      </c>
      <c r="O90" s="118">
        <f>N88</f>
        <v>10</v>
      </c>
    </row>
    <row r="91" spans="1:20">
      <c r="A91" t="s">
        <v>218</v>
      </c>
      <c r="B91" s="119">
        <f>AVERAGE(B76:K78)</f>
        <v>338.0004722222223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338.19 DATE 10 TIME 8:00 MIN 337.73 DATE 20 TIME 12:00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92"/>
  <sheetViews>
    <sheetView workbookViewId="0">
      <selection sqref="A1:K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238</v>
      </c>
      <c r="B2" s="118">
        <f>'HourGH-JUN'!W7</f>
        <v>337.6</v>
      </c>
      <c r="C2" s="118" t="str">
        <f>'HourGH-JUN'!Z7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IF(TRIM('HourGH-JUN'!C11)="","      ",'HourGH-JUN'!C11)</f>
        <v>0.23</v>
      </c>
      <c r="C4" s="128">
        <f>IF(TRIM('HourGH-JUN'!C12)="","      ",'HourGH-JUN'!C12)</f>
        <v>0.23</v>
      </c>
      <c r="D4" s="128">
        <f>IF(TRIM('HourGH-JUN'!C13)="","      ",'HourGH-JUN'!C13)</f>
        <v>0.21</v>
      </c>
      <c r="E4" s="128">
        <f>IF(TRIM('HourGH-JUN'!C14)="","      ",'HourGH-JUN'!C14)</f>
        <v>0.22</v>
      </c>
      <c r="F4" s="118">
        <f>IF(TRIM('HourGH-JUN'!C15)="","      ",'HourGH-JUN'!C15)</f>
        <v>0.19</v>
      </c>
      <c r="G4" s="118">
        <f>IF(TRIM('HourGH-JUN'!C16)="","      ",'HourGH-JUN'!C16)</f>
        <v>0.2</v>
      </c>
      <c r="H4" s="118">
        <f>IF(TRIM('HourGH-JUN'!C17)="","      ",'HourGH-JUN'!C17)</f>
        <v>0.24</v>
      </c>
      <c r="I4" s="118">
        <f>IF(TRIM('HourGH-JUN'!C18)="","      ",'HourGH-JUN'!C18)</f>
        <v>0.24</v>
      </c>
      <c r="J4" s="118">
        <f>IF(TRIM('HourGH-JUN'!C19)="","      ",'HourGH-JUN'!C19)</f>
        <v>0.24</v>
      </c>
      <c r="K4" s="118">
        <f>IF(TRIM('HourGH-JUN'!C20)="","      ",'HourGH-JUN'!C20)</f>
        <v>0.18</v>
      </c>
    </row>
    <row r="5" spans="1:15">
      <c r="A5" s="127" t="s">
        <v>147</v>
      </c>
      <c r="B5" s="118">
        <f>IF(TRIM('HourGH-JUN'!C22)="","      ",'HourGH-JUN'!C22)</f>
        <v>0.18</v>
      </c>
      <c r="C5" s="118">
        <f>IF(TRIM('HourGH-JUN'!C23)="","      ",'HourGH-JUN'!C23)</f>
        <v>0.55000000000000004</v>
      </c>
      <c r="D5" s="118">
        <f>IF(TRIM('HourGH-JUN'!C24)="","      ",'HourGH-JUN'!C24)</f>
        <v>0.54</v>
      </c>
      <c r="E5" s="118">
        <f>IF(TRIM('HourGH-JUN'!C25)="","      ",'HourGH-JUN'!C25)</f>
        <v>0.33</v>
      </c>
      <c r="F5" s="118">
        <f>IF(TRIM('HourGH-JUN'!C26)="","      ",'HourGH-JUN'!C26)</f>
        <v>0.23</v>
      </c>
      <c r="G5" s="118">
        <f>IF(TRIM('HourGH-JUN'!C27)="","      ",'HourGH-JUN'!C27)</f>
        <v>0.2</v>
      </c>
      <c r="H5" s="118">
        <f>IF(TRIM('HourGH-JUN'!C28)="","      ",'HourGH-JUN'!C28)</f>
        <v>0.2</v>
      </c>
      <c r="I5" s="118">
        <f>IF(TRIM('HourGH-JUN'!C29)="","      ",'HourGH-JUN'!C29)</f>
        <v>0.21</v>
      </c>
      <c r="J5" s="118">
        <f>IF(TRIM('HourGH-JUN'!C30)="","      ",'HourGH-JUN'!C30)</f>
        <v>0.22</v>
      </c>
      <c r="K5" s="118">
        <f>IF(TRIM('HourGH-JUN'!C31)="","      ",'HourGH-JUN'!C31)</f>
        <v>0.22</v>
      </c>
    </row>
    <row r="6" spans="1:15">
      <c r="A6" s="127" t="s">
        <v>148</v>
      </c>
      <c r="B6" s="118">
        <f>IF(TRIM('HourGH-JUN'!C33)="","      ",'HourGH-JUN'!C33)</f>
        <v>0.27</v>
      </c>
      <c r="C6" s="118">
        <f>IF(TRIM('HourGH-JUN'!C34)="","      ",'HourGH-JUN'!C34)</f>
        <v>0.24</v>
      </c>
      <c r="D6" s="118">
        <f>IF(TRIM('HourGH-JUN'!C35)="","      ",'HourGH-JUN'!C35)</f>
        <v>0.23</v>
      </c>
      <c r="E6" s="118">
        <f>IF(TRIM('HourGH-JUN'!C36)="","      ",'HourGH-JUN'!C36)</f>
        <v>0.7</v>
      </c>
      <c r="F6" s="118">
        <f>IF(TRIM('HourGH-JUN'!C37)="","      ",'HourGH-JUN'!C37)</f>
        <v>0.28000000000000003</v>
      </c>
      <c r="G6" s="118">
        <f>IF(TRIM('HourGH-JUN'!C38)="","      ",'HourGH-JUN'!C38)</f>
        <v>0.25</v>
      </c>
      <c r="H6" s="118">
        <f>IF(TRIM('HourGH-JUN'!C39)="","      ",'HourGH-JUN'!C39)</f>
        <v>0.26</v>
      </c>
      <c r="I6" s="118">
        <f>IF(TRIM('HourGH-JUN'!C40)="","      ",'HourGH-JUN'!C40)</f>
        <v>0.23</v>
      </c>
      <c r="J6" s="118">
        <f>IF(TRIM('HourGH-JUN'!C41)="","      ",'HourGH-JUN'!C41)</f>
        <v>0.23</v>
      </c>
      <c r="K6" s="118">
        <f>IF(TRIM('HourGH-JUN'!C42)="","      ",'HourGH-JUN'!C42)</f>
        <v>0.25</v>
      </c>
    </row>
    <row r="7" spans="1:15">
      <c r="A7" s="127" t="s">
        <v>149</v>
      </c>
      <c r="B7" s="128">
        <f>IF(TRIM('HourGH-JUN'!D11)="","      ",'HourGH-JUN'!D11)</f>
        <v>0.23</v>
      </c>
      <c r="C7" s="128">
        <f>IF(TRIM('HourGH-JUN'!D12)="","      ",'HourGH-JUN'!D12)</f>
        <v>0.23</v>
      </c>
      <c r="D7" s="128">
        <f>IF(TRIM('HourGH-JUN'!D13)="","      ",'HourGH-JUN'!D13)</f>
        <v>0.21</v>
      </c>
      <c r="E7" s="128">
        <f>IF(TRIM('HourGH-JUN'!D14)="","      ",'HourGH-JUN'!D14)</f>
        <v>0.22</v>
      </c>
      <c r="F7" s="118">
        <f>IF(TRIM('HourGH-JUN'!D15)="","      ",'HourGH-JUN'!D15)</f>
        <v>0.19</v>
      </c>
      <c r="G7" s="118">
        <f>IF(TRIM('HourGH-JUN'!D16)="","      ",'HourGH-JUN'!D16)</f>
        <v>0.2</v>
      </c>
      <c r="H7" s="118">
        <f>IF(TRIM('HourGH-JUN'!D17)="","      ",'HourGH-JUN'!D17)</f>
        <v>0.24</v>
      </c>
      <c r="I7" s="118">
        <f>IF(TRIM('HourGH-JUN'!D18)="","      ",'HourGH-JUN'!D18)</f>
        <v>0.24</v>
      </c>
      <c r="J7" s="118">
        <f>IF(TRIM('HourGH-JUN'!D19)="","      ",'HourGH-JUN'!D19)</f>
        <v>0.24</v>
      </c>
      <c r="K7" s="118">
        <f>IF(TRIM('HourGH-JUN'!D20)="","      ",'HourGH-JUN'!D20)</f>
        <v>0.18</v>
      </c>
    </row>
    <row r="8" spans="1:15">
      <c r="A8" s="127" t="s">
        <v>150</v>
      </c>
      <c r="B8" s="118">
        <f>IF(TRIM('HourGH-JUN'!D22)="","      ",'HourGH-JUN'!D22)</f>
        <v>0.18</v>
      </c>
      <c r="C8" s="118">
        <f>IF(TRIM('HourGH-JUN'!D23)="","      ",'HourGH-JUN'!D23)</f>
        <v>0.59</v>
      </c>
      <c r="D8" s="118">
        <f>IF(TRIM('HourGH-JUN'!D24)="","      ",'HourGH-JUN'!D24)</f>
        <v>0.52</v>
      </c>
      <c r="E8" s="118">
        <f>IF(TRIM('HourGH-JUN'!D25)="","      ",'HourGH-JUN'!D25)</f>
        <v>0.33</v>
      </c>
      <c r="F8" s="118">
        <f>IF(TRIM('HourGH-JUN'!D26)="","      ",'HourGH-JUN'!D26)</f>
        <v>0.23</v>
      </c>
      <c r="G8" s="118">
        <f>IF(TRIM('HourGH-JUN'!D27)="","      ",'HourGH-JUN'!D27)</f>
        <v>0.2</v>
      </c>
      <c r="H8" s="118">
        <f>IF(TRIM('HourGH-JUN'!D28)="","      ",'HourGH-JUN'!D28)</f>
        <v>0.2</v>
      </c>
      <c r="I8" s="118">
        <f>IF(TRIM('HourGH-JUN'!D29)="","      ",'HourGH-JUN'!D29)</f>
        <v>0.21</v>
      </c>
      <c r="J8" s="118">
        <f>IF(TRIM('HourGH-JUN'!D30)="","      ",'HourGH-JUN'!D30)</f>
        <v>0.22</v>
      </c>
      <c r="K8" s="118">
        <f>IF(TRIM('HourGH-JUN'!D31)="","      ",'HourGH-JUN'!D31)</f>
        <v>0.23</v>
      </c>
    </row>
    <row r="9" spans="1:15">
      <c r="A9" s="127" t="s">
        <v>151</v>
      </c>
      <c r="B9" s="118">
        <f>IF(TRIM('HourGH-JUN'!D33)="","      ",'HourGH-JUN'!D33)</f>
        <v>0.27</v>
      </c>
      <c r="C9" s="118">
        <f>IF(TRIM('HourGH-JUN'!D34)="","      ",'HourGH-JUN'!D34)</f>
        <v>0.24</v>
      </c>
      <c r="D9" s="118">
        <f>IF(TRIM('HourGH-JUN'!D35)="","      ",'HourGH-JUN'!D35)</f>
        <v>0.23</v>
      </c>
      <c r="E9" s="118">
        <f>IF(TRIM('HourGH-JUN'!D36)="","      ",'HourGH-JUN'!D36)</f>
        <v>0.71</v>
      </c>
      <c r="F9" s="118">
        <f>IF(TRIM('HourGH-JUN'!D37)="","      ",'HourGH-JUN'!D37)</f>
        <v>0.27</v>
      </c>
      <c r="G9" s="118">
        <f>IF(TRIM('HourGH-JUN'!D38)="","      ",'HourGH-JUN'!D38)</f>
        <v>0.25</v>
      </c>
      <c r="H9" s="118">
        <f>IF(TRIM('HourGH-JUN'!D39)="","      ",'HourGH-JUN'!D39)</f>
        <v>0.26</v>
      </c>
      <c r="I9" s="118">
        <f>IF(TRIM('HourGH-JUN'!D40)="","      ",'HourGH-JUN'!D40)</f>
        <v>0.23</v>
      </c>
      <c r="J9" s="118">
        <f>IF(TRIM('HourGH-JUN'!D41)="","      ",'HourGH-JUN'!D41)</f>
        <v>0.23</v>
      </c>
      <c r="K9" s="118">
        <f>IF(TRIM('HourGH-JUN'!D42)="","      ",'HourGH-JUN'!D42)</f>
        <v>0.25</v>
      </c>
    </row>
    <row r="10" spans="1:15">
      <c r="A10" s="127" t="s">
        <v>152</v>
      </c>
      <c r="B10" s="128">
        <f>IF(TRIM('HourGH-JUN'!E11)="","      ",'HourGH-JUN'!E11)</f>
        <v>0.23</v>
      </c>
      <c r="C10" s="128">
        <f>IF(TRIM('HourGH-JUN'!E12)="","      ",'HourGH-JUN'!E12)</f>
        <v>0.23</v>
      </c>
      <c r="D10" s="128">
        <f>IF(TRIM('HourGH-JUN'!E13)="","      ",'HourGH-JUN'!E13)</f>
        <v>0.21</v>
      </c>
      <c r="E10" s="128">
        <f>IF(TRIM('HourGH-JUN'!E14)="","      ",'HourGH-JUN'!E14)</f>
        <v>0.22</v>
      </c>
      <c r="F10" s="118">
        <f>IF(TRIM('HourGH-JUN'!E15)="","      ",'HourGH-JUN'!E15)</f>
        <v>0.19</v>
      </c>
      <c r="G10" s="118">
        <f>IF(TRIM('HourGH-JUN'!E16)="","      ",'HourGH-JUN'!E16)</f>
        <v>0.2</v>
      </c>
      <c r="H10" s="118">
        <f>IF(TRIM('HourGH-JUN'!E17)="","      ",'HourGH-JUN'!E17)</f>
        <v>0.24</v>
      </c>
      <c r="I10" s="118">
        <f>IF(TRIM('HourGH-JUN'!E18)="","      ",'HourGH-JUN'!E18)</f>
        <v>0.24</v>
      </c>
      <c r="J10" s="118">
        <f>IF(TRIM('HourGH-JUN'!E19)="","      ",'HourGH-JUN'!E19)</f>
        <v>0.24</v>
      </c>
      <c r="K10" s="118">
        <f>IF(TRIM('HourGH-JUN'!E20)="","      ",'HourGH-JUN'!E20)</f>
        <v>0.18</v>
      </c>
    </row>
    <row r="11" spans="1:15">
      <c r="A11" s="127" t="s">
        <v>153</v>
      </c>
      <c r="B11" s="118">
        <f>IF(TRIM('HourGH-JUN'!E22)="","      ",'HourGH-JUN'!E22)</f>
        <v>0.19</v>
      </c>
      <c r="C11" s="118">
        <f>IF(TRIM('HourGH-JUN'!E23)="","      ",'HourGH-JUN'!E23)</f>
        <v>0.62</v>
      </c>
      <c r="D11" s="118">
        <f>IF(TRIM('HourGH-JUN'!E24)="","      ",'HourGH-JUN'!E24)</f>
        <v>0.5</v>
      </c>
      <c r="E11" s="118">
        <f>IF(TRIM('HourGH-JUN'!E25)="","      ",'HourGH-JUN'!E25)</f>
        <v>0.32</v>
      </c>
      <c r="F11" s="118">
        <f>IF(TRIM('HourGH-JUN'!E26)="","      ",'HourGH-JUN'!E26)</f>
        <v>0.23</v>
      </c>
      <c r="G11" s="118">
        <f>IF(TRIM('HourGH-JUN'!E27)="","      ",'HourGH-JUN'!E27)</f>
        <v>0.2</v>
      </c>
      <c r="H11" s="118">
        <f>IF(TRIM('HourGH-JUN'!E28)="","      ",'HourGH-JUN'!E28)</f>
        <v>0.2</v>
      </c>
      <c r="I11" s="118">
        <f>IF(TRIM('HourGH-JUN'!E29)="","      ",'HourGH-JUN'!E29)</f>
        <v>0.21</v>
      </c>
      <c r="J11" s="118">
        <f>IF(TRIM('HourGH-JUN'!E30)="","      ",'HourGH-JUN'!E30)</f>
        <v>0.22</v>
      </c>
      <c r="K11" s="118">
        <f>IF(TRIM('HourGH-JUN'!E31)="","      ",'HourGH-JUN'!E31)</f>
        <v>0.23</v>
      </c>
    </row>
    <row r="12" spans="1:15">
      <c r="A12" s="127" t="s">
        <v>154</v>
      </c>
      <c r="B12" s="118">
        <f>IF(TRIM('HourGH-JUN'!E33)="","      ",'HourGH-JUN'!E33)</f>
        <v>0.27</v>
      </c>
      <c r="C12" s="118">
        <f>IF(TRIM('HourGH-JUN'!E34)="","      ",'HourGH-JUN'!E34)</f>
        <v>0.24</v>
      </c>
      <c r="D12" s="118">
        <f>IF(TRIM('HourGH-JUN'!E35)="","      ",'HourGH-JUN'!E35)</f>
        <v>0.23</v>
      </c>
      <c r="E12" s="118">
        <f>IF(TRIM('HourGH-JUN'!E36)="","      ",'HourGH-JUN'!E36)</f>
        <v>0.72</v>
      </c>
      <c r="F12" s="118">
        <f>IF(TRIM('HourGH-JUN'!E37)="","      ",'HourGH-JUN'!E37)</f>
        <v>0.26</v>
      </c>
      <c r="G12" s="118">
        <f>IF(TRIM('HourGH-JUN'!E38)="","      ",'HourGH-JUN'!E38)</f>
        <v>0.25</v>
      </c>
      <c r="H12" s="118">
        <f>IF(TRIM('HourGH-JUN'!E39)="","      ",'HourGH-JUN'!E39)</f>
        <v>0.26</v>
      </c>
      <c r="I12" s="118">
        <f>IF(TRIM('HourGH-JUN'!E40)="","      ",'HourGH-JUN'!E40)</f>
        <v>0.23</v>
      </c>
      <c r="J12" s="118">
        <f>IF(TRIM('HourGH-JUN'!E41)="","      ",'HourGH-JUN'!E41)</f>
        <v>0.23</v>
      </c>
      <c r="K12" s="118">
        <f>IF(TRIM('HourGH-JUN'!E42)="","      ",'HourGH-JUN'!E42)</f>
        <v>0.25</v>
      </c>
    </row>
    <row r="13" spans="1:15">
      <c r="A13" s="127" t="s">
        <v>155</v>
      </c>
      <c r="B13" s="128">
        <f>IF(TRIM('HourGH-JUN'!F11)="","      ",'HourGH-JUN'!F11)</f>
        <v>0.23</v>
      </c>
      <c r="C13" s="128">
        <f>IF(TRIM('HourGH-JUN'!F12)="","      ",'HourGH-JUN'!F12)</f>
        <v>0.23</v>
      </c>
      <c r="D13" s="128">
        <f>IF(TRIM('HourGH-JUN'!F13)="","      ",'HourGH-JUN'!F13)</f>
        <v>0.21</v>
      </c>
      <c r="E13" s="128">
        <f>IF(TRIM('HourGH-JUN'!F14)="","      ",'HourGH-JUN'!F14)</f>
        <v>0.22</v>
      </c>
      <c r="F13" s="118">
        <f>IF(TRIM('HourGH-JUN'!F15)="","      ",'HourGH-JUN'!F15)</f>
        <v>0.19</v>
      </c>
      <c r="G13" s="118">
        <f>IF(TRIM('HourGH-JUN'!F16)="","      ",'HourGH-JUN'!F16)</f>
        <v>0.2</v>
      </c>
      <c r="H13" s="118">
        <f>IF(TRIM('HourGH-JUN'!F17)="","      ",'HourGH-JUN'!F17)</f>
        <v>0.24</v>
      </c>
      <c r="I13" s="118">
        <f>IF(TRIM('HourGH-JUN'!F18)="","      ",'HourGH-JUN'!F18)</f>
        <v>0.24</v>
      </c>
      <c r="J13" s="118">
        <f>IF(TRIM('HourGH-JUN'!F19)="","      ",'HourGH-JUN'!F19)</f>
        <v>0.24</v>
      </c>
      <c r="K13" s="118">
        <f>IF(TRIM('HourGH-JUN'!F20)="","      ",'HourGH-JUN'!F20)</f>
        <v>0.17</v>
      </c>
    </row>
    <row r="14" spans="1:15">
      <c r="A14" s="127" t="s">
        <v>156</v>
      </c>
      <c r="B14" s="118">
        <f>IF(TRIM('HourGH-JUN'!F22)="","      ",'HourGH-JUN'!F22)</f>
        <v>0.19</v>
      </c>
      <c r="C14" s="118">
        <f>IF(TRIM('HourGH-JUN'!F23)="","      ",'HourGH-JUN'!F23)</f>
        <v>0.64</v>
      </c>
      <c r="D14" s="118">
        <f>IF(TRIM('HourGH-JUN'!F24)="","      ",'HourGH-JUN'!F24)</f>
        <v>0.48</v>
      </c>
      <c r="E14" s="118">
        <f>IF(TRIM('HourGH-JUN'!F25)="","      ",'HourGH-JUN'!F25)</f>
        <v>0.32</v>
      </c>
      <c r="F14" s="118">
        <f>IF(TRIM('HourGH-JUN'!F26)="","      ",'HourGH-JUN'!F26)</f>
        <v>0.23</v>
      </c>
      <c r="G14" s="118">
        <f>IF(TRIM('HourGH-JUN'!F27)="","      ",'HourGH-JUN'!F27)</f>
        <v>0.2</v>
      </c>
      <c r="H14" s="118">
        <f>IF(TRIM('HourGH-JUN'!F28)="","      ",'HourGH-JUN'!F28)</f>
        <v>0.2</v>
      </c>
      <c r="I14" s="118">
        <f>IF(TRIM('HourGH-JUN'!F29)="","      ",'HourGH-JUN'!F29)</f>
        <v>0.21</v>
      </c>
      <c r="J14" s="118">
        <f>IF(TRIM('HourGH-JUN'!F30)="","      ",'HourGH-JUN'!F30)</f>
        <v>0.22</v>
      </c>
      <c r="K14" s="118">
        <f>IF(TRIM('HourGH-JUN'!F31)="","      ",'HourGH-JUN'!F31)</f>
        <v>0.23</v>
      </c>
    </row>
    <row r="15" spans="1:15">
      <c r="A15" s="127" t="s">
        <v>157</v>
      </c>
      <c r="B15" s="118">
        <f>IF(TRIM('HourGH-JUN'!F33)="","      ",'HourGH-JUN'!F33)</f>
        <v>0.27</v>
      </c>
      <c r="C15" s="118">
        <f>IF(TRIM('HourGH-JUN'!F34)="","      ",'HourGH-JUN'!F34)</f>
        <v>0.24</v>
      </c>
      <c r="D15" s="118">
        <f>IF(TRIM('HourGH-JUN'!F35)="","      ",'HourGH-JUN'!F35)</f>
        <v>0.23</v>
      </c>
      <c r="E15" s="118">
        <f>IF(TRIM('HourGH-JUN'!F36)="","      ",'HourGH-JUN'!F36)</f>
        <v>0.72</v>
      </c>
      <c r="F15" s="118">
        <f>IF(TRIM('HourGH-JUN'!F37)="","      ",'HourGH-JUN'!F37)</f>
        <v>0.25</v>
      </c>
      <c r="G15" s="118">
        <f>IF(TRIM('HourGH-JUN'!F38)="","      ",'HourGH-JUN'!F38)</f>
        <v>0.25</v>
      </c>
      <c r="H15" s="118">
        <f>IF(TRIM('HourGH-JUN'!F39)="","      ",'HourGH-JUN'!F39)</f>
        <v>0.26</v>
      </c>
      <c r="I15" s="118">
        <f>IF(TRIM('HourGH-JUN'!F40)="","      ",'HourGH-JUN'!F40)</f>
        <v>0.23</v>
      </c>
      <c r="J15" s="118">
        <f>IF(TRIM('HourGH-JUN'!F41)="","      ",'HourGH-JUN'!F41)</f>
        <v>0.23</v>
      </c>
      <c r="K15" s="118">
        <f>IF(TRIM('HourGH-JUN'!F42)="","      ",'HourGH-JUN'!F42)</f>
        <v>0.25</v>
      </c>
    </row>
    <row r="16" spans="1:15">
      <c r="A16" s="127" t="s">
        <v>158</v>
      </c>
      <c r="B16" s="128">
        <f>IF(TRIM('HourGH-JUN'!G11)="","      ",'HourGH-JUN'!G11)</f>
        <v>0.23</v>
      </c>
      <c r="C16" s="128">
        <f>IF(TRIM('HourGH-JUN'!G12)="","      ",'HourGH-JUN'!G12)</f>
        <v>0.23</v>
      </c>
      <c r="D16" s="128">
        <f>IF(TRIM('HourGH-JUN'!G13)="","      ",'HourGH-JUN'!G13)</f>
        <v>0.21</v>
      </c>
      <c r="E16" s="128">
        <f>IF(TRIM('HourGH-JUN'!G14)="","      ",'HourGH-JUN'!G14)</f>
        <v>0.22</v>
      </c>
      <c r="F16" s="118">
        <f>IF(TRIM('HourGH-JUN'!G15)="","      ",'HourGH-JUN'!G15)</f>
        <v>0.19</v>
      </c>
      <c r="G16" s="118">
        <f>IF(TRIM('HourGH-JUN'!G16)="","      ",'HourGH-JUN'!G16)</f>
        <v>0.2</v>
      </c>
      <c r="H16" s="118">
        <f>IF(TRIM('HourGH-JUN'!G17)="","      ",'HourGH-JUN'!G17)</f>
        <v>0.24</v>
      </c>
      <c r="I16" s="118">
        <f>IF(TRIM('HourGH-JUN'!G18)="","      ",'HourGH-JUN'!G18)</f>
        <v>0.24</v>
      </c>
      <c r="J16" s="118">
        <f>IF(TRIM('HourGH-JUN'!G19)="","      ",'HourGH-JUN'!G19)</f>
        <v>0.24</v>
      </c>
      <c r="K16" s="118">
        <f>IF(TRIM('HourGH-JUN'!G20)="","      ",'HourGH-JUN'!G20)</f>
        <v>0.17</v>
      </c>
    </row>
    <row r="17" spans="1:11">
      <c r="A17" s="127" t="s">
        <v>159</v>
      </c>
      <c r="B17" s="118">
        <f>IF(TRIM('HourGH-JUN'!G22)="","      ",'HourGH-JUN'!G22)</f>
        <v>0.2</v>
      </c>
      <c r="C17" s="118">
        <f>IF(TRIM('HourGH-JUN'!G23)="","      ",'HourGH-JUN'!G23)</f>
        <v>0.66</v>
      </c>
      <c r="D17" s="118">
        <f>IF(TRIM('HourGH-JUN'!G24)="","      ",'HourGH-JUN'!G24)</f>
        <v>0.47</v>
      </c>
      <c r="E17" s="118">
        <f>IF(TRIM('HourGH-JUN'!G25)="","      ",'HourGH-JUN'!G25)</f>
        <v>0.31</v>
      </c>
      <c r="F17" s="118">
        <f>IF(TRIM('HourGH-JUN'!G26)="","      ",'HourGH-JUN'!G26)</f>
        <v>0.23</v>
      </c>
      <c r="G17" s="118">
        <f>IF(TRIM('HourGH-JUN'!G27)="","      ",'HourGH-JUN'!G27)</f>
        <v>0.2</v>
      </c>
      <c r="H17" s="118">
        <f>IF(TRIM('HourGH-JUN'!G28)="","      ",'HourGH-JUN'!G28)</f>
        <v>0.2</v>
      </c>
      <c r="I17" s="118">
        <f>IF(TRIM('HourGH-JUN'!G29)="","      ",'HourGH-JUN'!G29)</f>
        <v>0.21</v>
      </c>
      <c r="J17" s="118">
        <f>IF(TRIM('HourGH-JUN'!G30)="","      ",'HourGH-JUN'!G30)</f>
        <v>0.22</v>
      </c>
      <c r="K17" s="118">
        <f>IF(TRIM('HourGH-JUN'!G31)="","      ",'HourGH-JUN'!G31)</f>
        <v>0.23</v>
      </c>
    </row>
    <row r="18" spans="1:11">
      <c r="A18" s="127" t="s">
        <v>160</v>
      </c>
      <c r="B18" s="118">
        <f>IF(TRIM('HourGH-JUN'!G33)="","      ",'HourGH-JUN'!G33)</f>
        <v>0.27</v>
      </c>
      <c r="C18" s="118">
        <f>IF(TRIM('HourGH-JUN'!G34)="","      ",'HourGH-JUN'!G34)</f>
        <v>0.24</v>
      </c>
      <c r="D18" s="118">
        <f>IF(TRIM('HourGH-JUN'!G35)="","      ",'HourGH-JUN'!G35)</f>
        <v>0.23</v>
      </c>
      <c r="E18" s="118">
        <f>IF(TRIM('HourGH-JUN'!G36)="","      ",'HourGH-JUN'!G36)</f>
        <v>0.72</v>
      </c>
      <c r="F18" s="118">
        <f>IF(TRIM('HourGH-JUN'!G37)="","      ",'HourGH-JUN'!G37)</f>
        <v>0.24</v>
      </c>
      <c r="G18" s="118">
        <f>IF(TRIM('HourGH-JUN'!G38)="","      ",'HourGH-JUN'!G38)</f>
        <v>0.25</v>
      </c>
      <c r="H18" s="118">
        <f>IF(TRIM('HourGH-JUN'!G39)="","      ",'HourGH-JUN'!G39)</f>
        <v>0.26</v>
      </c>
      <c r="I18" s="118">
        <f>IF(TRIM('HourGH-JUN'!G40)="","      ",'HourGH-JUN'!G40)</f>
        <v>0.23</v>
      </c>
      <c r="J18" s="118">
        <f>IF(TRIM('HourGH-JUN'!G41)="","      ",'HourGH-JUN'!G41)</f>
        <v>0.23</v>
      </c>
      <c r="K18" s="118">
        <f>IF(TRIM('HourGH-JUN'!G42)="","      ",'HourGH-JUN'!G42)</f>
        <v>0.25</v>
      </c>
    </row>
    <row r="19" spans="1:11">
      <c r="A19" s="127" t="s">
        <v>161</v>
      </c>
      <c r="B19" s="128">
        <f>IF(TRIM('HourGH-JUN'!H11)="","      ",'HourGH-JUN'!H11)</f>
        <v>0.23</v>
      </c>
      <c r="C19" s="128">
        <f>IF(TRIM('HourGH-JUN'!H12)="","      ",'HourGH-JUN'!H12)</f>
        <v>0.23</v>
      </c>
      <c r="D19" s="128">
        <f>IF(TRIM('HourGH-JUN'!H13)="","      ",'HourGH-JUN'!H13)</f>
        <v>0.21</v>
      </c>
      <c r="E19" s="128">
        <f>IF(TRIM('HourGH-JUN'!H14)="","      ",'HourGH-JUN'!H14)</f>
        <v>0.22</v>
      </c>
      <c r="F19" s="118">
        <f>IF(TRIM('HourGH-JUN'!H15)="","      ",'HourGH-JUN'!H15)</f>
        <v>0.19</v>
      </c>
      <c r="G19" s="118">
        <f>IF(TRIM('HourGH-JUN'!H16)="","      ",'HourGH-JUN'!H16)</f>
        <v>0.2</v>
      </c>
      <c r="H19" s="118">
        <f>IF(TRIM('HourGH-JUN'!H17)="","      ",'HourGH-JUN'!H17)</f>
        <v>0.24</v>
      </c>
      <c r="I19" s="118">
        <f>IF(TRIM('HourGH-JUN'!H18)="","      ",'HourGH-JUN'!H18)</f>
        <v>0.24</v>
      </c>
      <c r="J19" s="118">
        <f>IF(TRIM('HourGH-JUN'!H19)="","      ",'HourGH-JUN'!H19)</f>
        <v>0.24</v>
      </c>
      <c r="K19" s="118">
        <f>IF(TRIM('HourGH-JUN'!H20)="","      ",'HourGH-JUN'!H20)</f>
        <v>0.17</v>
      </c>
    </row>
    <row r="20" spans="1:11">
      <c r="A20" s="127" t="s">
        <v>162</v>
      </c>
      <c r="B20" s="118">
        <f>IF(TRIM('HourGH-JUN'!H22)="","      ",'HourGH-JUN'!H22)</f>
        <v>0.21</v>
      </c>
      <c r="C20" s="118">
        <f>IF(TRIM('HourGH-JUN'!H23)="","      ",'HourGH-JUN'!H23)</f>
        <v>0.68</v>
      </c>
      <c r="D20" s="118">
        <f>IF(TRIM('HourGH-JUN'!H24)="","      ",'HourGH-JUN'!H24)</f>
        <v>0.45</v>
      </c>
      <c r="E20" s="118">
        <f>IF(TRIM('HourGH-JUN'!H25)="","      ",'HourGH-JUN'!H25)</f>
        <v>0.3</v>
      </c>
      <c r="F20" s="118">
        <f>IF(TRIM('HourGH-JUN'!H26)="","      ",'HourGH-JUN'!H26)</f>
        <v>0.22</v>
      </c>
      <c r="G20" s="118">
        <f>IF(TRIM('HourGH-JUN'!H27)="","      ",'HourGH-JUN'!H27)</f>
        <v>0.2</v>
      </c>
      <c r="H20" s="118">
        <f>IF(TRIM('HourGH-JUN'!H28)="","      ",'HourGH-JUN'!H28)</f>
        <v>0.2</v>
      </c>
      <c r="I20" s="118">
        <f>IF(TRIM('HourGH-JUN'!H29)="","      ",'HourGH-JUN'!H29)</f>
        <v>0.21</v>
      </c>
      <c r="J20" s="118">
        <f>IF(TRIM('HourGH-JUN'!H30)="","      ",'HourGH-JUN'!H30)</f>
        <v>0.22</v>
      </c>
      <c r="K20" s="118">
        <f>IF(TRIM('HourGH-JUN'!H31)="","      ",'HourGH-JUN'!H31)</f>
        <v>0.24</v>
      </c>
    </row>
    <row r="21" spans="1:11">
      <c r="A21" s="127" t="s">
        <v>163</v>
      </c>
      <c r="B21" s="118">
        <f>IF(TRIM('HourGH-JUN'!H33)="","      ",'HourGH-JUN'!H33)</f>
        <v>0.27</v>
      </c>
      <c r="C21" s="118">
        <f>IF(TRIM('HourGH-JUN'!H34)="","      ",'HourGH-JUN'!H34)</f>
        <v>0.24</v>
      </c>
      <c r="D21" s="118">
        <f>IF(TRIM('HourGH-JUN'!H35)="","      ",'HourGH-JUN'!H35)</f>
        <v>0.23</v>
      </c>
      <c r="E21" s="118">
        <f>IF(TRIM('HourGH-JUN'!H36)="","      ",'HourGH-JUN'!H36)</f>
        <v>0.72</v>
      </c>
      <c r="F21" s="118">
        <f>IF(TRIM('HourGH-JUN'!H37)="","      ",'HourGH-JUN'!H37)</f>
        <v>0.24</v>
      </c>
      <c r="G21" s="118">
        <f>IF(TRIM('HourGH-JUN'!H38)="","      ",'HourGH-JUN'!H38)</f>
        <v>0.26</v>
      </c>
      <c r="H21" s="118">
        <f>IF(TRIM('HourGH-JUN'!H39)="","      ",'HourGH-JUN'!H39)</f>
        <v>0.26</v>
      </c>
      <c r="I21" s="118">
        <f>IF(TRIM('HourGH-JUN'!H40)="","      ",'HourGH-JUN'!H40)</f>
        <v>0.23</v>
      </c>
      <c r="J21" s="118">
        <f>IF(TRIM('HourGH-JUN'!H41)="","      ",'HourGH-JUN'!H41)</f>
        <v>0.23</v>
      </c>
      <c r="K21" s="118">
        <f>IF(TRIM('HourGH-JUN'!H42)="","      ",'HourGH-JUN'!H42)</f>
        <v>0.25</v>
      </c>
    </row>
    <row r="22" spans="1:11">
      <c r="A22" s="127" t="s">
        <v>164</v>
      </c>
      <c r="B22" s="128">
        <f>IF(TRIM('HourGH-JUN'!I11)="","      ",'HourGH-JUN'!I11)</f>
        <v>0.23</v>
      </c>
      <c r="C22" s="128">
        <f>IF(TRIM('HourGH-JUN'!I12)="","      ",'HourGH-JUN'!I12)</f>
        <v>0.23</v>
      </c>
      <c r="D22" s="128">
        <f>IF(TRIM('HourGH-JUN'!I13)="","      ",'HourGH-JUN'!I13)</f>
        <v>0.22</v>
      </c>
      <c r="E22" s="128">
        <f>IF(TRIM('HourGH-JUN'!I14)="","      ",'HourGH-JUN'!I14)</f>
        <v>0.22</v>
      </c>
      <c r="F22" s="118">
        <f>IF(TRIM('HourGH-JUN'!I15)="","      ",'HourGH-JUN'!I15)</f>
        <v>0.19</v>
      </c>
      <c r="G22" s="118">
        <f>IF(TRIM('HourGH-JUN'!I16)="","      ",'HourGH-JUN'!I16)</f>
        <v>0.21</v>
      </c>
      <c r="H22" s="128">
        <f>IF(TRIM('HourGH-JUN'!I17)="","      ",'HourGH-JUN'!I17)</f>
        <v>0.24</v>
      </c>
      <c r="I22" s="128">
        <f>IF(TRIM('HourGH-JUN'!I18)="","      ",'HourGH-JUN'!I18)</f>
        <v>0.24</v>
      </c>
      <c r="J22" s="128">
        <f>IF(TRIM('HourGH-JUN'!I19)="","      ",'HourGH-JUN'!I19)</f>
        <v>0.24</v>
      </c>
      <c r="K22" s="128">
        <f>IF(TRIM('HourGH-JUN'!I20)="","      ",'HourGH-JUN'!I20)</f>
        <v>0.17</v>
      </c>
    </row>
    <row r="23" spans="1:11">
      <c r="A23" s="127" t="s">
        <v>165</v>
      </c>
      <c r="B23" s="128">
        <f>IF(TRIM('HourGH-JUN'!I22)="","      ",'HourGH-JUN'!I22)</f>
        <v>0.22</v>
      </c>
      <c r="C23" s="128">
        <f>IF(TRIM('HourGH-JUN'!I23)="","      ",'HourGH-JUN'!I23)</f>
        <v>0.7</v>
      </c>
      <c r="D23" s="128">
        <f>IF(TRIM('HourGH-JUN'!I24)="","      ",'HourGH-JUN'!I24)</f>
        <v>0.44</v>
      </c>
      <c r="E23" s="128">
        <f>IF(TRIM('HourGH-JUN'!I25)="","      ",'HourGH-JUN'!I25)</f>
        <v>0.3</v>
      </c>
      <c r="F23" s="118">
        <f>IF(TRIM('HourGH-JUN'!I26)="","      ",'HourGH-JUN'!I26)</f>
        <v>0.22</v>
      </c>
      <c r="G23" s="118">
        <f>IF(TRIM('HourGH-JUN'!I27)="","      ",'HourGH-JUN'!I27)</f>
        <v>0.2</v>
      </c>
      <c r="H23" s="118">
        <f>IF(TRIM('HourGH-JUN'!I28)="","      ",'HourGH-JUN'!I28)</f>
        <v>0.2</v>
      </c>
      <c r="I23" s="118">
        <f>IF(TRIM('HourGH-JUN'!I29)="","      ",'HourGH-JUN'!I29)</f>
        <v>0.21</v>
      </c>
      <c r="J23" s="118">
        <f>IF(TRIM('HourGH-JUN'!I30)="","      ",'HourGH-JUN'!I30)</f>
        <v>0.21</v>
      </c>
      <c r="K23" s="118">
        <f>IF(TRIM('HourGH-JUN'!I31)="","      ",'HourGH-JUN'!I31)</f>
        <v>0.24</v>
      </c>
    </row>
    <row r="24" spans="1:11">
      <c r="A24" s="127" t="s">
        <v>166</v>
      </c>
      <c r="B24" s="128">
        <f>IF(TRIM('HourGH-JUN'!I33)="","      ",'HourGH-JUN'!I33)</f>
        <v>0.27</v>
      </c>
      <c r="C24" s="128">
        <f>IF(TRIM('HourGH-JUN'!I34)="","      ",'HourGH-JUN'!I34)</f>
        <v>0.24</v>
      </c>
      <c r="D24" s="128">
        <f>IF(TRIM('HourGH-JUN'!I35)="","      ",'HourGH-JUN'!I35)</f>
        <v>0.23</v>
      </c>
      <c r="E24" s="128">
        <f>IF(TRIM('HourGH-JUN'!I36)="","      ",'HourGH-JUN'!I36)</f>
        <v>0.71</v>
      </c>
      <c r="F24" s="118">
        <f>IF(TRIM('HourGH-JUN'!I37)="","      ",'HourGH-JUN'!I37)</f>
        <v>0.24</v>
      </c>
      <c r="G24" s="118">
        <f>IF(TRIM('HourGH-JUN'!I38)="","      ",'HourGH-JUN'!I38)</f>
        <v>0.26</v>
      </c>
      <c r="H24" s="118">
        <f>IF(TRIM('HourGH-JUN'!I39)="","      ",'HourGH-JUN'!I39)</f>
        <v>0.26</v>
      </c>
      <c r="I24" s="118">
        <f>IF(TRIM('HourGH-JUN'!I40)="","      ",'HourGH-JUN'!I40)</f>
        <v>0.23</v>
      </c>
      <c r="J24" s="118">
        <f>IF(TRIM('HourGH-JUN'!I41)="","      ",'HourGH-JUN'!I41)</f>
        <v>0.23</v>
      </c>
      <c r="K24" s="118">
        <f>IF(TRIM('HourGH-JUN'!I42)="","      ",'HourGH-JUN'!I42)</f>
        <v>0.25</v>
      </c>
    </row>
    <row r="25" spans="1:11">
      <c r="A25" s="127" t="s">
        <v>167</v>
      </c>
      <c r="B25" s="128">
        <f>IF(TRIM('HourGH-JUN'!J11)="","      ",'HourGH-JUN'!J11)</f>
        <v>0.23</v>
      </c>
      <c r="C25" s="128">
        <f>IF(TRIM('HourGH-JUN'!J12)="","      ",'HourGH-JUN'!J12)</f>
        <v>0.23</v>
      </c>
      <c r="D25" s="128">
        <f>IF(TRIM('HourGH-JUN'!J13)="","      ",'HourGH-JUN'!J13)</f>
        <v>0.22</v>
      </c>
      <c r="E25" s="128">
        <f>IF(TRIM('HourGH-JUN'!J14)="","      ",'HourGH-JUN'!J14)</f>
        <v>0.22</v>
      </c>
      <c r="F25" s="118">
        <f>IF(TRIM('HourGH-JUN'!J15)="","      ",'HourGH-JUN'!J15)</f>
        <v>0.19</v>
      </c>
      <c r="G25" s="118">
        <f>IF(TRIM('HourGH-JUN'!J16)="","      ",'HourGH-JUN'!J16)</f>
        <v>0.21</v>
      </c>
      <c r="H25" s="128">
        <f>IF(TRIM('HourGH-JUN'!J17)="","      ",'HourGH-JUN'!J17)</f>
        <v>0.24</v>
      </c>
      <c r="I25" s="128">
        <f>IF(TRIM('HourGH-JUN'!J18)="","      ",'HourGH-JUN'!J18)</f>
        <v>0.24</v>
      </c>
      <c r="J25" s="128">
        <f>IF(TRIM('HourGH-JUN'!J19)="","      ",'HourGH-JUN'!J19)</f>
        <v>0.24</v>
      </c>
      <c r="K25" s="128">
        <f>IF(TRIM('HourGH-JUN'!J20)="","      ",'HourGH-JUN'!J20)</f>
        <v>0.17</v>
      </c>
    </row>
    <row r="26" spans="1:11">
      <c r="A26" s="127" t="s">
        <v>168</v>
      </c>
      <c r="B26" s="128">
        <f>IF(TRIM('HourGH-JUN'!J22)="","      ",'HourGH-JUN'!J22)</f>
        <v>0.23</v>
      </c>
      <c r="C26" s="128">
        <f>IF(TRIM('HourGH-JUN'!J23)="","      ",'HourGH-JUN'!J23)</f>
        <v>0.72</v>
      </c>
      <c r="D26" s="128">
        <f>IF(TRIM('HourGH-JUN'!J24)="","      ",'HourGH-JUN'!J24)</f>
        <v>0.43</v>
      </c>
      <c r="E26" s="128">
        <f>IF(TRIM('HourGH-JUN'!J25)="","      ",'HourGH-JUN'!J25)</f>
        <v>0.28999999999999998</v>
      </c>
      <c r="F26" s="118">
        <f>IF(TRIM('HourGH-JUN'!J26)="","      ",'HourGH-JUN'!J26)</f>
        <v>0.22</v>
      </c>
      <c r="G26" s="118">
        <f>IF(TRIM('HourGH-JUN'!J27)="","      ",'HourGH-JUN'!J27)</f>
        <v>0.2</v>
      </c>
      <c r="H26" s="128">
        <f>IF(TRIM('HourGH-JUN'!J28)="","      ",'HourGH-JUN'!J28)</f>
        <v>0.2</v>
      </c>
      <c r="I26" s="128">
        <f>IF(TRIM('HourGH-JUN'!J29)="","      ",'HourGH-JUN'!J29)</f>
        <v>0.21</v>
      </c>
      <c r="J26" s="128">
        <f>IF(TRIM('HourGH-JUN'!J30)="","      ",'HourGH-JUN'!J30)</f>
        <v>0.21</v>
      </c>
      <c r="K26" s="128">
        <f>IF(TRIM('HourGH-JUN'!J31)="","      ",'HourGH-JUN'!J31)</f>
        <v>0.24</v>
      </c>
    </row>
    <row r="27" spans="1:11">
      <c r="A27" s="127" t="s">
        <v>169</v>
      </c>
      <c r="B27" s="128">
        <f>IF(TRIM('HourGH-JUN'!J33)="","      ",'HourGH-JUN'!J33)</f>
        <v>0.27</v>
      </c>
      <c r="C27" s="128">
        <f>IF(TRIM('HourGH-JUN'!J34)="","      ",'HourGH-JUN'!J34)</f>
        <v>0.24</v>
      </c>
      <c r="D27" s="128">
        <f>IF(TRIM('HourGH-JUN'!J35)="","      ",'HourGH-JUN'!J35)</f>
        <v>0.23</v>
      </c>
      <c r="E27" s="128">
        <f>IF(TRIM('HourGH-JUN'!J36)="","      ",'HourGH-JUN'!J36)</f>
        <v>0.7</v>
      </c>
      <c r="F27" s="118">
        <f>IF(TRIM('HourGH-JUN'!J37)="","      ",'HourGH-JUN'!J37)</f>
        <v>0.24</v>
      </c>
      <c r="G27" s="118">
        <f>IF(TRIM('HourGH-JUN'!J38)="","      ",'HourGH-JUN'!J38)</f>
        <v>0.26</v>
      </c>
      <c r="H27" s="128">
        <f>IF(TRIM('HourGH-JUN'!J39)="","      ",'HourGH-JUN'!J39)</f>
        <v>0.26</v>
      </c>
      <c r="I27" s="128">
        <f>IF(TRIM('HourGH-JUN'!J40)="","      ",'HourGH-JUN'!J40)</f>
        <v>0.23</v>
      </c>
      <c r="J27" s="128">
        <f>IF(TRIM('HourGH-JUN'!J41)="","      ",'HourGH-JUN'!J41)</f>
        <v>0.23</v>
      </c>
      <c r="K27" s="128">
        <f>IF(TRIM('HourGH-JUN'!J42)="","      ",'HourGH-JUN'!J42)</f>
        <v>0.25</v>
      </c>
    </row>
    <row r="28" spans="1:11">
      <c r="A28" s="127" t="s">
        <v>170</v>
      </c>
      <c r="B28" s="128">
        <f>IF(TRIM('HourGH-JUN'!K11)="","      ",'HourGH-JUN'!K11)</f>
        <v>0.23</v>
      </c>
      <c r="C28" s="128">
        <f>IF(TRIM('HourGH-JUN'!K12)="","      ",'HourGH-JUN'!K12)</f>
        <v>0.23</v>
      </c>
      <c r="D28" s="128">
        <f>IF(TRIM('HourGH-JUN'!K13)="","      ",'HourGH-JUN'!K13)</f>
        <v>0.22</v>
      </c>
      <c r="E28" s="128">
        <f>IF(TRIM('HourGH-JUN'!K14)="","      ",'HourGH-JUN'!K14)</f>
        <v>0.22</v>
      </c>
      <c r="F28" s="118">
        <f>IF(TRIM('HourGH-JUN'!K15)="","      ",'HourGH-JUN'!K15)</f>
        <v>0.19</v>
      </c>
      <c r="G28" s="118">
        <f>IF(TRIM('HourGH-JUN'!K16)="","      ",'HourGH-JUN'!K16)</f>
        <v>0.21</v>
      </c>
      <c r="H28" s="128">
        <f>IF(TRIM('HourGH-JUN'!K17)="","      ",'HourGH-JUN'!K17)</f>
        <v>0.24</v>
      </c>
      <c r="I28" s="128">
        <f>IF(TRIM('HourGH-JUN'!K18)="","      ",'HourGH-JUN'!K18)</f>
        <v>0.24</v>
      </c>
      <c r="J28" s="128">
        <f>IF(TRIM('HourGH-JUN'!K19)="","      ",'HourGH-JUN'!K19)</f>
        <v>0.23</v>
      </c>
      <c r="K28" s="128">
        <f>IF(TRIM('HourGH-JUN'!K20)="","      ",'HourGH-JUN'!K20)</f>
        <v>0.17</v>
      </c>
    </row>
    <row r="29" spans="1:11">
      <c r="A29" s="127" t="s">
        <v>171</v>
      </c>
      <c r="B29" s="128">
        <f>IF(TRIM('HourGH-JUN'!K22)="","      ",'HourGH-JUN'!K22)</f>
        <v>0.24</v>
      </c>
      <c r="C29" s="128">
        <f>IF(TRIM('HourGH-JUN'!K23)="","      ",'HourGH-JUN'!K23)</f>
        <v>0.73</v>
      </c>
      <c r="D29" s="128">
        <f>IF(TRIM('HourGH-JUN'!K24)="","      ",'HourGH-JUN'!K24)</f>
        <v>0.42</v>
      </c>
      <c r="E29" s="128">
        <f>IF(TRIM('HourGH-JUN'!K25)="","      ",'HourGH-JUN'!K25)</f>
        <v>0.28999999999999998</v>
      </c>
      <c r="F29" s="118">
        <f>IF(TRIM('HourGH-JUN'!K26)="","      ",'HourGH-JUN'!K26)</f>
        <v>0.22</v>
      </c>
      <c r="G29" s="118">
        <f>IF(TRIM('HourGH-JUN'!K27)="","      ",'HourGH-JUN'!K27)</f>
        <v>0.2</v>
      </c>
      <c r="H29" s="128">
        <f>IF(TRIM('HourGH-JUN'!K28)="","      ",'HourGH-JUN'!K28)</f>
        <v>0.2</v>
      </c>
      <c r="I29" s="128">
        <f>IF(TRIM('HourGH-JUN'!K29)="","      ",'HourGH-JUN'!K29)</f>
        <v>0.21</v>
      </c>
      <c r="J29" s="128">
        <f>IF(TRIM('HourGH-JUN'!K30)="","      ",'HourGH-JUN'!K30)</f>
        <v>0.2</v>
      </c>
      <c r="K29" s="128">
        <f>IF(TRIM('HourGH-JUN'!K31)="","      ",'HourGH-JUN'!K31)</f>
        <v>0.24</v>
      </c>
    </row>
    <row r="30" spans="1:11">
      <c r="A30" s="127" t="s">
        <v>172</v>
      </c>
      <c r="B30" s="128">
        <f>IF(TRIM('HourGH-JUN'!K33)="","      ",'HourGH-JUN'!K33)</f>
        <v>0.27</v>
      </c>
      <c r="C30" s="128">
        <f>IF(TRIM('HourGH-JUN'!K34)="","      ",'HourGH-JUN'!K34)</f>
        <v>0.24</v>
      </c>
      <c r="D30" s="128">
        <f>IF(TRIM('HourGH-JUN'!K35)="","      ",'HourGH-JUN'!K35)</f>
        <v>0.24</v>
      </c>
      <c r="E30" s="128">
        <f>IF(TRIM('HourGH-JUN'!K36)="","      ",'HourGH-JUN'!K36)</f>
        <v>0.69</v>
      </c>
      <c r="F30" s="118">
        <f>IF(TRIM('HourGH-JUN'!K37)="","      ",'HourGH-JUN'!K37)</f>
        <v>0.24</v>
      </c>
      <c r="G30" s="118">
        <f>IF(TRIM('HourGH-JUN'!K38)="","      ",'HourGH-JUN'!K38)</f>
        <v>0.26</v>
      </c>
      <c r="H30" s="128">
        <f>IF(TRIM('HourGH-JUN'!K39)="","      ",'HourGH-JUN'!K39)</f>
        <v>0.26</v>
      </c>
      <c r="I30" s="128">
        <f>IF(TRIM('HourGH-JUN'!K40)="","      ",'HourGH-JUN'!K40)</f>
        <v>0.23</v>
      </c>
      <c r="J30" s="128">
        <f>IF(TRIM('HourGH-JUN'!K41)="","      ",'HourGH-JUN'!K41)</f>
        <v>0.23</v>
      </c>
      <c r="K30" s="128">
        <f>IF(TRIM('HourGH-JUN'!K42)="","      ",'HourGH-JUN'!K42)</f>
        <v>0.25</v>
      </c>
    </row>
    <row r="31" spans="1:11">
      <c r="A31" s="127" t="s">
        <v>173</v>
      </c>
      <c r="B31" s="128">
        <f>IF(TRIM('HourGH-JUN'!L11)="","      ",'HourGH-JUN'!L11)</f>
        <v>0.23</v>
      </c>
      <c r="C31" s="128">
        <f>IF(TRIM('HourGH-JUN'!L12)="","      ",'HourGH-JUN'!L12)</f>
        <v>0.23</v>
      </c>
      <c r="D31" s="128">
        <f>IF(TRIM('HourGH-JUN'!L13)="","      ",'HourGH-JUN'!L13)</f>
        <v>0.23</v>
      </c>
      <c r="E31" s="128">
        <f>IF(TRIM('HourGH-JUN'!L14)="","      ",'HourGH-JUN'!L14)</f>
        <v>0.22</v>
      </c>
      <c r="F31" s="118">
        <f>IF(TRIM('HourGH-JUN'!L15)="","      ",'HourGH-JUN'!L15)</f>
        <v>0.19</v>
      </c>
      <c r="G31" s="118">
        <f>IF(TRIM('HourGH-JUN'!L16)="","      ",'HourGH-JUN'!L16)</f>
        <v>0.21</v>
      </c>
      <c r="H31" s="128">
        <f>IF(TRIM('HourGH-JUN'!L17)="","      ",'HourGH-JUN'!L17)</f>
        <v>0.24</v>
      </c>
      <c r="I31" s="128">
        <f>IF(TRIM('HourGH-JUN'!L18)="","      ",'HourGH-JUN'!L18)</f>
        <v>0.24</v>
      </c>
      <c r="J31" s="128">
        <f>IF(TRIM('HourGH-JUN'!L19)="","      ",'HourGH-JUN'!L19)</f>
        <v>0.23</v>
      </c>
      <c r="K31" s="128">
        <f>IF(TRIM('HourGH-JUN'!L20)="","      ",'HourGH-JUN'!L20)</f>
        <v>0.17</v>
      </c>
    </row>
    <row r="32" spans="1:11">
      <c r="A32" s="127" t="s">
        <v>174</v>
      </c>
      <c r="B32" s="128">
        <f>IF(TRIM('HourGH-JUN'!L22)="","      ",'HourGH-JUN'!L22)</f>
        <v>0.25</v>
      </c>
      <c r="C32" s="128">
        <f>IF(TRIM('HourGH-JUN'!L23)="","      ",'HourGH-JUN'!L23)</f>
        <v>0.74</v>
      </c>
      <c r="D32" s="128">
        <f>IF(TRIM('HourGH-JUN'!L24)="","      ",'HourGH-JUN'!L24)</f>
        <v>0.41</v>
      </c>
      <c r="E32" s="128">
        <f>IF(TRIM('HourGH-JUN'!L25)="","      ",'HourGH-JUN'!L25)</f>
        <v>0.28999999999999998</v>
      </c>
      <c r="F32" s="118">
        <f>IF(TRIM('HourGH-JUN'!L26)="","      ",'HourGH-JUN'!L26)</f>
        <v>0.22</v>
      </c>
      <c r="G32" s="118">
        <f>IF(TRIM('HourGH-JUN'!L27)="","      ",'HourGH-JUN'!L27)</f>
        <v>0.2</v>
      </c>
      <c r="H32" s="128">
        <f>IF(TRIM('HourGH-JUN'!L28)="","      ",'HourGH-JUN'!L28)</f>
        <v>0.2</v>
      </c>
      <c r="I32" s="128">
        <f>IF(TRIM('HourGH-JUN'!L29)="","      ",'HourGH-JUN'!L29)</f>
        <v>0.21</v>
      </c>
      <c r="J32" s="128">
        <f>IF(TRIM('HourGH-JUN'!L30)="","      ",'HourGH-JUN'!L30)</f>
        <v>0.2</v>
      </c>
      <c r="K32" s="128">
        <f>IF(TRIM('HourGH-JUN'!L31)="","      ",'HourGH-JUN'!L31)</f>
        <v>0.24</v>
      </c>
    </row>
    <row r="33" spans="1:11">
      <c r="A33" s="127" t="s">
        <v>175</v>
      </c>
      <c r="B33" s="128">
        <f>IF(TRIM('HourGH-JUN'!L33)="","      ",'HourGH-JUN'!L33)</f>
        <v>0.27</v>
      </c>
      <c r="C33" s="128">
        <f>IF(TRIM('HourGH-JUN'!L34)="","      ",'HourGH-JUN'!L34)</f>
        <v>0.24</v>
      </c>
      <c r="D33" s="128">
        <f>IF(TRIM('HourGH-JUN'!L35)="","      ",'HourGH-JUN'!L35)</f>
        <v>0.25</v>
      </c>
      <c r="E33" s="128">
        <f>IF(TRIM('HourGH-JUN'!L36)="","      ",'HourGH-JUN'!L36)</f>
        <v>0.68</v>
      </c>
      <c r="F33" s="118">
        <f>IF(TRIM('HourGH-JUN'!L37)="","      ",'HourGH-JUN'!L37)</f>
        <v>0.24</v>
      </c>
      <c r="G33" s="118">
        <f>IF(TRIM('HourGH-JUN'!L38)="","      ",'HourGH-JUN'!L38)</f>
        <v>0.26</v>
      </c>
      <c r="H33" s="128">
        <f>IF(TRIM('HourGH-JUN'!L39)="","      ",'HourGH-JUN'!L39)</f>
        <v>0.26</v>
      </c>
      <c r="I33" s="128">
        <f>IF(TRIM('HourGH-JUN'!L40)="","      ",'HourGH-JUN'!L40)</f>
        <v>0.23</v>
      </c>
      <c r="J33" s="128">
        <f>IF(TRIM('HourGH-JUN'!L41)="","      ",'HourGH-JUN'!L41)</f>
        <v>0.23</v>
      </c>
      <c r="K33" s="128">
        <f>IF(TRIM('HourGH-JUN'!L42)="","      ",'HourGH-JUN'!L42)</f>
        <v>0.25</v>
      </c>
    </row>
    <row r="34" spans="1:11">
      <c r="A34" s="127" t="s">
        <v>176</v>
      </c>
      <c r="B34" s="128">
        <f>IF(TRIM('HourGH-JUN'!M11)="","      ",'HourGH-JUN'!M11)</f>
        <v>0.23</v>
      </c>
      <c r="C34" s="128">
        <f>IF(TRIM('HourGH-JUN'!M12)="","      ",'HourGH-JUN'!M12)</f>
        <v>0.23</v>
      </c>
      <c r="D34" s="128">
        <f>IF(TRIM('HourGH-JUN'!M13)="","      ",'HourGH-JUN'!M13)</f>
        <v>0.23</v>
      </c>
      <c r="E34" s="128">
        <f>IF(TRIM('HourGH-JUN'!M14)="","      ",'HourGH-JUN'!M14)</f>
        <v>0.22</v>
      </c>
      <c r="F34" s="118">
        <f>IF(TRIM('HourGH-JUN'!M15)="","      ",'HourGH-JUN'!M15)</f>
        <v>0.19</v>
      </c>
      <c r="G34" s="118">
        <f>IF(TRIM('HourGH-JUN'!M16)="","      ",'HourGH-JUN'!M16)</f>
        <v>0.21</v>
      </c>
      <c r="H34" s="128">
        <f>IF(TRIM('HourGH-JUN'!M17)="","      ",'HourGH-JUN'!M17)</f>
        <v>0.24</v>
      </c>
      <c r="I34" s="128">
        <f>IF(TRIM('HourGH-JUN'!M18)="","      ",'HourGH-JUN'!M18)</f>
        <v>0.24</v>
      </c>
      <c r="J34" s="128">
        <f>IF(TRIM('HourGH-JUN'!M19)="","      ",'HourGH-JUN'!M19)</f>
        <v>0.22</v>
      </c>
      <c r="K34" s="128">
        <f>IF(TRIM('HourGH-JUN'!M20)="","      ",'HourGH-JUN'!M20)</f>
        <v>0.17</v>
      </c>
    </row>
    <row r="35" spans="1:11">
      <c r="A35" s="127" t="s">
        <v>177</v>
      </c>
      <c r="B35" s="128">
        <f>IF(TRIM('HourGH-JUN'!M22)="","      ",'HourGH-JUN'!M22)</f>
        <v>0.26</v>
      </c>
      <c r="C35" s="128">
        <f>IF(TRIM('HourGH-JUN'!M23)="","      ",'HourGH-JUN'!M23)</f>
        <v>0.74</v>
      </c>
      <c r="D35" s="128">
        <f>IF(TRIM('HourGH-JUN'!M24)="","      ",'HourGH-JUN'!M24)</f>
        <v>0.4</v>
      </c>
      <c r="E35" s="128">
        <f>IF(TRIM('HourGH-JUN'!M25)="","      ",'HourGH-JUN'!M25)</f>
        <v>0.28000000000000003</v>
      </c>
      <c r="F35" s="118">
        <f>IF(TRIM('HourGH-JUN'!M26)="","      ",'HourGH-JUN'!M26)</f>
        <v>0.22</v>
      </c>
      <c r="G35" s="118">
        <f>IF(TRIM('HourGH-JUN'!M27)="","      ",'HourGH-JUN'!M27)</f>
        <v>0.2</v>
      </c>
      <c r="H35" s="128">
        <f>IF(TRIM('HourGH-JUN'!M28)="","      ",'HourGH-JUN'!M28)</f>
        <v>0.2</v>
      </c>
      <c r="I35" s="128">
        <f>IF(TRIM('HourGH-JUN'!M29)="","      ",'HourGH-JUN'!M29)</f>
        <v>0.21</v>
      </c>
      <c r="J35" s="128">
        <f>IF(TRIM('HourGH-JUN'!M30)="","      ",'HourGH-JUN'!M30)</f>
        <v>0.2</v>
      </c>
      <c r="K35" s="128">
        <f>IF(TRIM('HourGH-JUN'!M31)="","      ",'HourGH-JUN'!M31)</f>
        <v>0.24</v>
      </c>
    </row>
    <row r="36" spans="1:11">
      <c r="A36" s="127" t="s">
        <v>178</v>
      </c>
      <c r="B36" s="128">
        <f>IF(TRIM('HourGH-JUN'!M33)="","      ",'HourGH-JUN'!M33)</f>
        <v>0.27</v>
      </c>
      <c r="C36" s="128">
        <f>IF(TRIM('HourGH-JUN'!M34)="","      ",'HourGH-JUN'!M34)</f>
        <v>0.24</v>
      </c>
      <c r="D36" s="128">
        <f>IF(TRIM('HourGH-JUN'!M35)="","      ",'HourGH-JUN'!M35)</f>
        <v>0.26</v>
      </c>
      <c r="E36" s="128">
        <f>IF(TRIM('HourGH-JUN'!M36)="","      ",'HourGH-JUN'!M36)</f>
        <v>0.66</v>
      </c>
      <c r="F36" s="118">
        <f>IF(TRIM('HourGH-JUN'!M37)="","      ",'HourGH-JUN'!M37)</f>
        <v>0.24</v>
      </c>
      <c r="G36" s="118">
        <f>IF(TRIM('HourGH-JUN'!M38)="","      ",'HourGH-JUN'!M38)</f>
        <v>0.26</v>
      </c>
      <c r="H36" s="128">
        <f>IF(TRIM('HourGH-JUN'!M39)="","      ",'HourGH-JUN'!M39)</f>
        <v>0.25</v>
      </c>
      <c r="I36" s="128">
        <f>IF(TRIM('HourGH-JUN'!M40)="","      ",'HourGH-JUN'!M40)</f>
        <v>0.23</v>
      </c>
      <c r="J36" s="128">
        <f>IF(TRIM('HourGH-JUN'!M41)="","      ",'HourGH-JUN'!M41)</f>
        <v>0.23</v>
      </c>
      <c r="K36" s="128">
        <f>IF(TRIM('HourGH-JUN'!M42)="","      ",'HourGH-JUN'!M42)</f>
        <v>0.25</v>
      </c>
    </row>
    <row r="37" spans="1:11">
      <c r="A37" s="127" t="s">
        <v>179</v>
      </c>
      <c r="B37" s="128">
        <f>IF(TRIM('HourGH-JUN'!N11)="","      ",'HourGH-JUN'!N11)</f>
        <v>0.23</v>
      </c>
      <c r="C37" s="128">
        <f>IF(TRIM('HourGH-JUN'!N12)="","      ",'HourGH-JUN'!N12)</f>
        <v>0.23</v>
      </c>
      <c r="D37" s="128">
        <f>IF(TRIM('HourGH-JUN'!N13)="","      ",'HourGH-JUN'!N13)</f>
        <v>0.23</v>
      </c>
      <c r="E37" s="128">
        <f>IF(TRIM('HourGH-JUN'!N14)="","      ",'HourGH-JUN'!N14)</f>
        <v>0.22</v>
      </c>
      <c r="F37" s="118">
        <f>IF(TRIM('HourGH-JUN'!N15)="","      ",'HourGH-JUN'!N15)</f>
        <v>0.19</v>
      </c>
      <c r="G37" s="118">
        <f>IF(TRIM('HourGH-JUN'!N16)="","      ",'HourGH-JUN'!N16)</f>
        <v>0.21</v>
      </c>
      <c r="H37" s="128">
        <f>IF(TRIM('HourGH-JUN'!N17)="","      ",'HourGH-JUN'!N17)</f>
        <v>0.24</v>
      </c>
      <c r="I37" s="128">
        <f>IF(TRIM('HourGH-JUN'!N18)="","      ",'HourGH-JUN'!N18)</f>
        <v>0.24</v>
      </c>
      <c r="J37" s="128">
        <f>IF(TRIM('HourGH-JUN'!N19)="","      ",'HourGH-JUN'!N19)</f>
        <v>0.22</v>
      </c>
      <c r="K37" s="128">
        <f>IF(TRIM('HourGH-JUN'!N20)="","      ",'HourGH-JUN'!N20)</f>
        <v>0.17</v>
      </c>
    </row>
    <row r="38" spans="1:11">
      <c r="A38" s="127" t="s">
        <v>180</v>
      </c>
      <c r="B38" s="128">
        <f>IF(TRIM('HourGH-JUN'!N22)="","      ",'HourGH-JUN'!N22)</f>
        <v>0.27</v>
      </c>
      <c r="C38" s="128">
        <f>IF(TRIM('HourGH-JUN'!N23)="","      ",'HourGH-JUN'!N23)</f>
        <v>0.74</v>
      </c>
      <c r="D38" s="128">
        <f>IF(TRIM('HourGH-JUN'!N24)="","      ",'HourGH-JUN'!N24)</f>
        <v>0.39</v>
      </c>
      <c r="E38" s="128">
        <f>IF(TRIM('HourGH-JUN'!N25)="","      ",'HourGH-JUN'!N25)</f>
        <v>0.28000000000000003</v>
      </c>
      <c r="F38" s="118">
        <f>IF(TRIM('HourGH-JUN'!N26)="","      ",'HourGH-JUN'!N26)</f>
        <v>0.22</v>
      </c>
      <c r="G38" s="118">
        <f>IF(TRIM('HourGH-JUN'!N27)="","      ",'HourGH-JUN'!N27)</f>
        <v>0.2</v>
      </c>
      <c r="H38" s="128">
        <f>IF(TRIM('HourGH-JUN'!N28)="","      ",'HourGH-JUN'!N28)</f>
        <v>0.2</v>
      </c>
      <c r="I38" s="128">
        <f>IF(TRIM('HourGH-JUN'!N29)="","      ",'HourGH-JUN'!N29)</f>
        <v>0.21</v>
      </c>
      <c r="J38" s="128">
        <f>IF(TRIM('HourGH-JUN'!N30)="","      ",'HourGH-JUN'!N30)</f>
        <v>0.19</v>
      </c>
      <c r="K38" s="128">
        <f>IF(TRIM('HourGH-JUN'!N31)="","      ",'HourGH-JUN'!N31)</f>
        <v>0.24</v>
      </c>
    </row>
    <row r="39" spans="1:11">
      <c r="A39" s="127" t="s">
        <v>181</v>
      </c>
      <c r="B39" s="128">
        <f>IF(TRIM('HourGH-JUN'!N33)="","      ",'HourGH-JUN'!N33)</f>
        <v>0.27</v>
      </c>
      <c r="C39" s="128">
        <f>IF(TRIM('HourGH-JUN'!N34)="","      ",'HourGH-JUN'!N34)</f>
        <v>0.24</v>
      </c>
      <c r="D39" s="128">
        <f>IF(TRIM('HourGH-JUN'!N35)="","      ",'HourGH-JUN'!N35)</f>
        <v>0.28000000000000003</v>
      </c>
      <c r="E39" s="128">
        <f>IF(TRIM('HourGH-JUN'!N36)="","      ",'HourGH-JUN'!N36)</f>
        <v>0.64</v>
      </c>
      <c r="F39" s="118">
        <f>IF(TRIM('HourGH-JUN'!N37)="","      ",'HourGH-JUN'!N37)</f>
        <v>0.23</v>
      </c>
      <c r="G39" s="118">
        <f>IF(TRIM('HourGH-JUN'!N38)="","      ",'HourGH-JUN'!N38)</f>
        <v>0.26</v>
      </c>
      <c r="H39" s="128">
        <f>IF(TRIM('HourGH-JUN'!N39)="","      ",'HourGH-JUN'!N39)</f>
        <v>0.25</v>
      </c>
      <c r="I39" s="128">
        <f>IF(TRIM('HourGH-JUN'!N40)="","      ",'HourGH-JUN'!N40)</f>
        <v>0.23</v>
      </c>
      <c r="J39" s="128">
        <f>IF(TRIM('HourGH-JUN'!N41)="","      ",'HourGH-JUN'!N41)</f>
        <v>0.23</v>
      </c>
      <c r="K39" s="128">
        <f>IF(TRIM('HourGH-JUN'!N42)="","      ",'HourGH-JUN'!N42)</f>
        <v>0.25</v>
      </c>
    </row>
    <row r="40" spans="1:11">
      <c r="A40" s="127" t="s">
        <v>182</v>
      </c>
      <c r="B40" s="128">
        <f>IF(TRIM('HourGH-JUN'!O11)="","      ",'HourGH-JUN'!O11)</f>
        <v>0.23</v>
      </c>
      <c r="C40" s="128">
        <f>IF(TRIM('HourGH-JUN'!O12)="","      ",'HourGH-JUN'!O12)</f>
        <v>0.22</v>
      </c>
      <c r="D40" s="128">
        <f>IF(TRIM('HourGH-JUN'!O13)="","      ",'HourGH-JUN'!O13)</f>
        <v>0.24</v>
      </c>
      <c r="E40" s="128">
        <f>IF(TRIM('HourGH-JUN'!O14)="","      ",'HourGH-JUN'!O14)</f>
        <v>0.21</v>
      </c>
      <c r="F40" s="118">
        <f>IF(TRIM('HourGH-JUN'!O15)="","      ",'HourGH-JUN'!O15)</f>
        <v>0.2</v>
      </c>
      <c r="G40" s="118">
        <f>IF(TRIM('HourGH-JUN'!O16)="","      ",'HourGH-JUN'!O16)</f>
        <v>0.22</v>
      </c>
      <c r="H40" s="128">
        <f>IF(TRIM('HourGH-JUN'!O17)="","      ",'HourGH-JUN'!O17)</f>
        <v>0.24</v>
      </c>
      <c r="I40" s="128">
        <f>IF(TRIM('HourGH-JUN'!O18)="","      ",'HourGH-JUN'!O18)</f>
        <v>0.24</v>
      </c>
      <c r="J40" s="128">
        <f>IF(TRIM('HourGH-JUN'!O19)="","      ",'HourGH-JUN'!O19)</f>
        <v>0.21</v>
      </c>
      <c r="K40" s="128">
        <f>IF(TRIM('HourGH-JUN'!O20)="","      ",'HourGH-JUN'!O20)</f>
        <v>0.16</v>
      </c>
    </row>
    <row r="41" spans="1:11">
      <c r="A41" s="127" t="s">
        <v>183</v>
      </c>
      <c r="B41" s="128">
        <f>IF(TRIM('HourGH-JUN'!O22)="","      ",'HourGH-JUN'!O22)</f>
        <v>0.28000000000000003</v>
      </c>
      <c r="C41" s="128">
        <f>IF(TRIM('HourGH-JUN'!O23)="","      ",'HourGH-JUN'!O23)</f>
        <v>0.74</v>
      </c>
      <c r="D41" s="128">
        <f>IF(TRIM('HourGH-JUN'!O24)="","      ",'HourGH-JUN'!O24)</f>
        <v>0.39</v>
      </c>
      <c r="E41" s="128">
        <f>IF(TRIM('HourGH-JUN'!O25)="","      ",'HourGH-JUN'!O25)</f>
        <v>0.28000000000000003</v>
      </c>
      <c r="F41" s="118">
        <f>IF(TRIM('HourGH-JUN'!O26)="","      ",'HourGH-JUN'!O26)</f>
        <v>0.21</v>
      </c>
      <c r="G41" s="118">
        <f>IF(TRIM('HourGH-JUN'!O27)="","      ",'HourGH-JUN'!O27)</f>
        <v>0.2</v>
      </c>
      <c r="H41" s="128">
        <f>IF(TRIM('HourGH-JUN'!O28)="","      ",'HourGH-JUN'!O28)</f>
        <v>0.2</v>
      </c>
      <c r="I41" s="128">
        <f>IF(TRIM('HourGH-JUN'!O29)="","      ",'HourGH-JUN'!O29)</f>
        <v>0.21</v>
      </c>
      <c r="J41" s="128">
        <f>IF(TRIM('HourGH-JUN'!O30)="","      ",'HourGH-JUN'!O30)</f>
        <v>0.19</v>
      </c>
      <c r="K41" s="128">
        <f>IF(TRIM('HourGH-JUN'!O31)="","      ",'HourGH-JUN'!O31)</f>
        <v>0.25</v>
      </c>
    </row>
    <row r="42" spans="1:11">
      <c r="A42" s="127" t="s">
        <v>184</v>
      </c>
      <c r="B42" s="128">
        <f>IF(TRIM('HourGH-JUN'!O33)="","      ",'HourGH-JUN'!O33)</f>
        <v>0.26</v>
      </c>
      <c r="C42" s="128">
        <f>IF(TRIM('HourGH-JUN'!O34)="","      ",'HourGH-JUN'!O34)</f>
        <v>0.24</v>
      </c>
      <c r="D42" s="128">
        <f>IF(TRIM('HourGH-JUN'!O35)="","      ",'HourGH-JUN'!O35)</f>
        <v>0.3</v>
      </c>
      <c r="E42" s="128">
        <f>IF(TRIM('HourGH-JUN'!O36)="","      ",'HourGH-JUN'!O36)</f>
        <v>0.61</v>
      </c>
      <c r="F42" s="118">
        <f>IF(TRIM('HourGH-JUN'!O37)="","      ",'HourGH-JUN'!O37)</f>
        <v>0.23</v>
      </c>
      <c r="G42" s="118">
        <f>IF(TRIM('HourGH-JUN'!O38)="","      ",'HourGH-JUN'!O38)</f>
        <v>0.25</v>
      </c>
      <c r="H42" s="128">
        <f>IF(TRIM('HourGH-JUN'!O39)="","      ",'HourGH-JUN'!O39)</f>
        <v>0.25</v>
      </c>
      <c r="I42" s="128">
        <f>IF(TRIM('HourGH-JUN'!O40)="","      ",'HourGH-JUN'!O40)</f>
        <v>0.23</v>
      </c>
      <c r="J42" s="128">
        <f>IF(TRIM('HourGH-JUN'!O41)="","      ",'HourGH-JUN'!O41)</f>
        <v>0.24</v>
      </c>
      <c r="K42" s="128">
        <f>IF(TRIM('HourGH-JUN'!O42)="","      ",'HourGH-JUN'!O42)</f>
        <v>0.24</v>
      </c>
    </row>
    <row r="43" spans="1:11">
      <c r="A43" s="127" t="s">
        <v>185</v>
      </c>
      <c r="B43" s="128">
        <f>IF(TRIM('HourGH-JUN'!P11)="","      ",'HourGH-JUN'!P11)</f>
        <v>0.23</v>
      </c>
      <c r="C43" s="128">
        <f>IF(TRIM('HourGH-JUN'!P12)="","      ",'HourGH-JUN'!P12)</f>
        <v>0.22</v>
      </c>
      <c r="D43" s="128">
        <f>IF(TRIM('HourGH-JUN'!P13)="","      ",'HourGH-JUN'!P13)</f>
        <v>0.24</v>
      </c>
      <c r="E43" s="128">
        <f>IF(TRIM('HourGH-JUN'!P14)="","      ",'HourGH-JUN'!P14)</f>
        <v>0.21</v>
      </c>
      <c r="F43" s="118">
        <f>IF(TRIM('HourGH-JUN'!P15)="","      ",'HourGH-JUN'!P15)</f>
        <v>0.2</v>
      </c>
      <c r="G43" s="118">
        <f>IF(TRIM('HourGH-JUN'!P16)="","      ",'HourGH-JUN'!P16)</f>
        <v>0.22</v>
      </c>
      <c r="H43" s="128">
        <f>IF(TRIM('HourGH-JUN'!P17)="","      ",'HourGH-JUN'!P17)</f>
        <v>0.24</v>
      </c>
      <c r="I43" s="128">
        <f>IF(TRIM('HourGH-JUN'!P18)="","      ",'HourGH-JUN'!P18)</f>
        <v>0.24</v>
      </c>
      <c r="J43" s="128">
        <f>IF(TRIM('HourGH-JUN'!P19)="","      ",'HourGH-JUN'!P19)</f>
        <v>0.21</v>
      </c>
      <c r="K43" s="128">
        <f>IF(TRIM('HourGH-JUN'!P20)="","      ",'HourGH-JUN'!P20)</f>
        <v>0.16</v>
      </c>
    </row>
    <row r="44" spans="1:11">
      <c r="A44" s="127" t="s">
        <v>186</v>
      </c>
      <c r="B44" s="128">
        <f>IF(TRIM('HourGH-JUN'!P22)="","      ",'HourGH-JUN'!P22)</f>
        <v>0.28999999999999998</v>
      </c>
      <c r="C44" s="128">
        <f>IF(TRIM('HourGH-JUN'!P23)="","      ",'HourGH-JUN'!P23)</f>
        <v>0.73</v>
      </c>
      <c r="D44" s="128">
        <f>IF(TRIM('HourGH-JUN'!P24)="","      ",'HourGH-JUN'!P24)</f>
        <v>0.38</v>
      </c>
      <c r="E44" s="128">
        <f>IF(TRIM('HourGH-JUN'!P25)="","      ",'HourGH-JUN'!P25)</f>
        <v>0.27</v>
      </c>
      <c r="F44" s="118">
        <f>IF(TRIM('HourGH-JUN'!P26)="","      ",'HourGH-JUN'!P26)</f>
        <v>0.21</v>
      </c>
      <c r="G44" s="118">
        <f>IF(TRIM('HourGH-JUN'!P27)="","      ",'HourGH-JUN'!P27)</f>
        <v>0.2</v>
      </c>
      <c r="H44" s="128">
        <f>IF(TRIM('HourGH-JUN'!P28)="","      ",'HourGH-JUN'!P28)</f>
        <v>0.2</v>
      </c>
      <c r="I44" s="128">
        <f>IF(TRIM('HourGH-JUN'!P29)="","      ",'HourGH-JUN'!P29)</f>
        <v>0.21</v>
      </c>
      <c r="J44" s="128">
        <f>IF(TRIM('HourGH-JUN'!P30)="","      ",'HourGH-JUN'!P30)</f>
        <v>0.19</v>
      </c>
      <c r="K44" s="128">
        <f>IF(TRIM('HourGH-JUN'!P31)="","      ",'HourGH-JUN'!P31)</f>
        <v>0.25</v>
      </c>
    </row>
    <row r="45" spans="1:11">
      <c r="A45" s="127" t="s">
        <v>187</v>
      </c>
      <c r="B45" s="128">
        <f>IF(TRIM('HourGH-JUN'!P33)="","      ",'HourGH-JUN'!P33)</f>
        <v>0.26</v>
      </c>
      <c r="C45" s="128">
        <f>IF(TRIM('HourGH-JUN'!P34)="","      ",'HourGH-JUN'!P34)</f>
        <v>0.24</v>
      </c>
      <c r="D45" s="128">
        <f>IF(TRIM('HourGH-JUN'!P35)="","      ",'HourGH-JUN'!P35)</f>
        <v>0.32</v>
      </c>
      <c r="E45" s="128">
        <f>IF(TRIM('HourGH-JUN'!P36)="","      ",'HourGH-JUN'!P36)</f>
        <v>0.57999999999999996</v>
      </c>
      <c r="F45" s="118">
        <f>IF(TRIM('HourGH-JUN'!P37)="","      ",'HourGH-JUN'!P37)</f>
        <v>0.23</v>
      </c>
      <c r="G45" s="118">
        <f>IF(TRIM('HourGH-JUN'!P38)="","      ",'HourGH-JUN'!P38)</f>
        <v>0.25</v>
      </c>
      <c r="H45" s="128">
        <f>IF(TRIM('HourGH-JUN'!P39)="","      ",'HourGH-JUN'!P39)</f>
        <v>0.25</v>
      </c>
      <c r="I45" s="128">
        <f>IF(TRIM('HourGH-JUN'!P40)="","      ",'HourGH-JUN'!P40)</f>
        <v>0.23</v>
      </c>
      <c r="J45" s="128">
        <f>IF(TRIM('HourGH-JUN'!P41)="","      ",'HourGH-JUN'!P41)</f>
        <v>0.24</v>
      </c>
      <c r="K45" s="128">
        <f>IF(TRIM('HourGH-JUN'!P42)="","      ",'HourGH-JUN'!P42)</f>
        <v>0.24</v>
      </c>
    </row>
    <row r="46" spans="1:11">
      <c r="A46" s="127" t="s">
        <v>188</v>
      </c>
      <c r="B46" s="128">
        <f>IF(TRIM('HourGH-JUN'!Q11)="","      ",'HourGH-JUN'!Q11)</f>
        <v>0.23</v>
      </c>
      <c r="C46" s="128">
        <f>IF(TRIM('HourGH-JUN'!Q12)="","      ",'HourGH-JUN'!Q12)</f>
        <v>0.22</v>
      </c>
      <c r="D46" s="128">
        <f>IF(TRIM('HourGH-JUN'!Q13)="","      ",'HourGH-JUN'!Q13)</f>
        <v>0.24</v>
      </c>
      <c r="E46" s="128">
        <f>IF(TRIM('HourGH-JUN'!Q14)="","      ",'HourGH-JUN'!Q14)</f>
        <v>0.21</v>
      </c>
      <c r="F46" s="118">
        <f>IF(TRIM('HourGH-JUN'!Q15)="","      ",'HourGH-JUN'!Q15)</f>
        <v>0.2</v>
      </c>
      <c r="G46" s="118">
        <f>IF(TRIM('HourGH-JUN'!Q16)="","      ",'HourGH-JUN'!Q16)</f>
        <v>0.22</v>
      </c>
      <c r="H46" s="128">
        <f>IF(TRIM('HourGH-JUN'!Q17)="","      ",'HourGH-JUN'!Q17)</f>
        <v>0.24</v>
      </c>
      <c r="I46" s="128">
        <f>IF(TRIM('HourGH-JUN'!Q18)="","      ",'HourGH-JUN'!Q18)</f>
        <v>0.24</v>
      </c>
      <c r="J46" s="128">
        <f>IF(TRIM('HourGH-JUN'!Q19)="","      ",'HourGH-JUN'!Q19)</f>
        <v>0.21</v>
      </c>
      <c r="K46" s="128">
        <f>IF(TRIM('HourGH-JUN'!Q20)="","      ",'HourGH-JUN'!Q20)</f>
        <v>0.16</v>
      </c>
    </row>
    <row r="47" spans="1:11">
      <c r="A47" s="127" t="s">
        <v>189</v>
      </c>
      <c r="B47" s="128">
        <f>IF(TRIM('HourGH-JUN'!Q22)="","      ",'HourGH-JUN'!Q22)</f>
        <v>0.31</v>
      </c>
      <c r="C47" s="128">
        <f>IF(TRIM('HourGH-JUN'!Q23)="","      ",'HourGH-JUN'!Q23)</f>
        <v>0.72</v>
      </c>
      <c r="D47" s="128">
        <f>IF(TRIM('HourGH-JUN'!Q24)="","      ",'HourGH-JUN'!Q24)</f>
        <v>0.38</v>
      </c>
      <c r="E47" s="128">
        <f>IF(TRIM('HourGH-JUN'!Q25)="","      ",'HourGH-JUN'!Q25)</f>
        <v>0.27</v>
      </c>
      <c r="F47" s="118">
        <f>IF(TRIM('HourGH-JUN'!Q26)="","      ",'HourGH-JUN'!Q26)</f>
        <v>0.21</v>
      </c>
      <c r="G47" s="118">
        <f>IF(TRIM('HourGH-JUN'!Q27)="","      ",'HourGH-JUN'!Q27)</f>
        <v>0.2</v>
      </c>
      <c r="H47" s="128">
        <f>IF(TRIM('HourGH-JUN'!Q28)="","      ",'HourGH-JUN'!Q28)</f>
        <v>0.2</v>
      </c>
      <c r="I47" s="128">
        <f>IF(TRIM('HourGH-JUN'!Q29)="","      ",'HourGH-JUN'!Q29)</f>
        <v>0.21</v>
      </c>
      <c r="J47" s="128">
        <f>IF(TRIM('HourGH-JUN'!Q30)="","      ",'HourGH-JUN'!Q30)</f>
        <v>0.19</v>
      </c>
      <c r="K47" s="128">
        <f>IF(TRIM('HourGH-JUN'!Q31)="","      ",'HourGH-JUN'!Q31)</f>
        <v>0.25</v>
      </c>
    </row>
    <row r="48" spans="1:11">
      <c r="A48" s="127" t="s">
        <v>190</v>
      </c>
      <c r="B48" s="128">
        <f>IF(TRIM('HourGH-JUN'!Q33)="","      ",'HourGH-JUN'!Q33)</f>
        <v>0.26</v>
      </c>
      <c r="C48" s="128">
        <f>IF(TRIM('HourGH-JUN'!Q34)="","      ",'HourGH-JUN'!Q34)</f>
        <v>0.24</v>
      </c>
      <c r="D48" s="128">
        <f>IF(TRIM('HourGH-JUN'!Q35)="","      ",'HourGH-JUN'!Q35)</f>
        <v>0.35</v>
      </c>
      <c r="E48" s="128">
        <f>IF(TRIM('HourGH-JUN'!Q36)="","      ",'HourGH-JUN'!Q36)</f>
        <v>0.54</v>
      </c>
      <c r="F48" s="118">
        <f>IF(TRIM('HourGH-JUN'!Q37)="","      ",'HourGH-JUN'!Q37)</f>
        <v>0.23</v>
      </c>
      <c r="G48" s="118">
        <f>IF(TRIM('HourGH-JUN'!Q38)="","      ",'HourGH-JUN'!Q38)</f>
        <v>0.25</v>
      </c>
      <c r="H48" s="128">
        <f>IF(TRIM('HourGH-JUN'!Q39)="","      ",'HourGH-JUN'!Q39)</f>
        <v>0.25</v>
      </c>
      <c r="I48" s="128">
        <f>IF(TRIM('HourGH-JUN'!Q40)="","      ",'HourGH-JUN'!Q40)</f>
        <v>0.23</v>
      </c>
      <c r="J48" s="128">
        <f>IF(TRIM('HourGH-JUN'!Q41)="","      ",'HourGH-JUN'!Q41)</f>
        <v>0.24</v>
      </c>
      <c r="K48" s="128">
        <f>IF(TRIM('HourGH-JUN'!Q42)="","      ",'HourGH-JUN'!Q42)</f>
        <v>0.24</v>
      </c>
    </row>
    <row r="49" spans="1:20">
      <c r="A49" s="127" t="s">
        <v>191</v>
      </c>
      <c r="B49" s="128">
        <f>IF(TRIM('HourGH-JUN'!R11)="","      ",'HourGH-JUN'!R11)</f>
        <v>0.23</v>
      </c>
      <c r="C49" s="128">
        <f>IF(TRIM('HourGH-JUN'!R12)="","      ",'HourGH-JUN'!R12)</f>
        <v>0.22</v>
      </c>
      <c r="D49" s="128">
        <f>IF(TRIM('HourGH-JUN'!R13)="","      ",'HourGH-JUN'!R13)</f>
        <v>0.24</v>
      </c>
      <c r="E49" s="128">
        <f>IF(TRIM('HourGH-JUN'!R14)="","      ",'HourGH-JUN'!R14)</f>
        <v>0.21</v>
      </c>
      <c r="F49" s="118">
        <f>IF(TRIM('HourGH-JUN'!R15)="","      ",'HourGH-JUN'!R15)</f>
        <v>0.2</v>
      </c>
      <c r="G49" s="118">
        <f>IF(TRIM('HourGH-JUN'!R16)="","      ",'HourGH-JUN'!R16)</f>
        <v>0.22</v>
      </c>
      <c r="H49" s="128">
        <f>IF(TRIM('HourGH-JUN'!R17)="","      ",'HourGH-JUN'!R17)</f>
        <v>0.24</v>
      </c>
      <c r="I49" s="128">
        <f>IF(TRIM('HourGH-JUN'!R18)="","      ",'HourGH-JUN'!R18)</f>
        <v>0.24</v>
      </c>
      <c r="J49" s="128">
        <f>IF(TRIM('HourGH-JUN'!R19)="","      ",'HourGH-JUN'!R19)</f>
        <v>0.21</v>
      </c>
      <c r="K49" s="128">
        <f>IF(TRIM('HourGH-JUN'!R20)="","      ",'HourGH-JUN'!R20)</f>
        <v>0.16</v>
      </c>
    </row>
    <row r="50" spans="1:20">
      <c r="A50" s="127" t="s">
        <v>192</v>
      </c>
      <c r="B50" s="128">
        <f>IF(TRIM('HourGH-JUN'!R22)="","      ",'HourGH-JUN'!R22)</f>
        <v>0.33</v>
      </c>
      <c r="C50" s="128">
        <f>IF(TRIM('HourGH-JUN'!R23)="","      ",'HourGH-JUN'!R23)</f>
        <v>0.71</v>
      </c>
      <c r="D50" s="128">
        <f>IF(TRIM('HourGH-JUN'!R24)="","      ",'HourGH-JUN'!R24)</f>
        <v>0.37</v>
      </c>
      <c r="E50" s="128">
        <f>IF(TRIM('HourGH-JUN'!R25)="","      ",'HourGH-JUN'!R25)</f>
        <v>0.26</v>
      </c>
      <c r="F50" s="118">
        <f>IF(TRIM('HourGH-JUN'!R26)="","      ",'HourGH-JUN'!R26)</f>
        <v>0.21</v>
      </c>
      <c r="G50" s="118">
        <f>IF(TRIM('HourGH-JUN'!R27)="","      ",'HourGH-JUN'!R27)</f>
        <v>0.2</v>
      </c>
      <c r="H50" s="128">
        <f>IF(TRIM('HourGH-JUN'!R28)="","      ",'HourGH-JUN'!R28)</f>
        <v>0.2</v>
      </c>
      <c r="I50" s="128">
        <f>IF(TRIM('HourGH-JUN'!R29)="","      ",'HourGH-JUN'!R29)</f>
        <v>0.21</v>
      </c>
      <c r="J50" s="128">
        <f>IF(TRIM('HourGH-JUN'!R30)="","      ",'HourGH-JUN'!R30)</f>
        <v>0.19</v>
      </c>
      <c r="K50" s="128">
        <f>IF(TRIM('HourGH-JUN'!R31)="","      ",'HourGH-JUN'!R31)</f>
        <v>0.25</v>
      </c>
    </row>
    <row r="51" spans="1:20">
      <c r="A51" s="127" t="s">
        <v>193</v>
      </c>
      <c r="B51" s="128">
        <f>IF(TRIM('HourGH-JUN'!R33)="","      ",'HourGH-JUN'!R33)</f>
        <v>0.26</v>
      </c>
      <c r="C51" s="128">
        <f>IF(TRIM('HourGH-JUN'!R34)="","      ",'HourGH-JUN'!R34)</f>
        <v>0.24</v>
      </c>
      <c r="D51" s="128">
        <f>IF(TRIM('HourGH-JUN'!R35)="","      ",'HourGH-JUN'!R35)</f>
        <v>0.38</v>
      </c>
      <c r="E51" s="128">
        <f>IF(TRIM('HourGH-JUN'!R36)="","      ",'HourGH-JUN'!R36)</f>
        <v>0.5</v>
      </c>
      <c r="F51" s="118">
        <f>IF(TRIM('HourGH-JUN'!R37)="","      ",'HourGH-JUN'!R37)</f>
        <v>0.23</v>
      </c>
      <c r="G51" s="118">
        <f>IF(TRIM('HourGH-JUN'!R38)="","      ",'HourGH-JUN'!R38)</f>
        <v>0.25</v>
      </c>
      <c r="H51" s="128">
        <f>IF(TRIM('HourGH-JUN'!R39)="","      ",'HourGH-JUN'!R39)</f>
        <v>0.25</v>
      </c>
      <c r="I51" s="128">
        <f>IF(TRIM('HourGH-JUN'!R40)="","      ",'HourGH-JUN'!R40)</f>
        <v>0.23</v>
      </c>
      <c r="J51" s="128">
        <f>IF(TRIM('HourGH-JUN'!R41)="","      ",'HourGH-JUN'!R41)</f>
        <v>0.24</v>
      </c>
      <c r="K51" s="128">
        <f>IF(TRIM('HourGH-JUN'!R42)="","      ",'HourGH-JUN'!R42)</f>
        <v>0.24</v>
      </c>
    </row>
    <row r="52" spans="1:20">
      <c r="A52" s="127" t="s">
        <v>194</v>
      </c>
      <c r="B52" s="128">
        <f>IF(TRIM('HourGH-JUN'!S11)="","      ",'HourGH-JUN'!S11)</f>
        <v>0.23</v>
      </c>
      <c r="C52" s="128">
        <f>IF(TRIM('HourGH-JUN'!S12)="","      ",'HourGH-JUN'!S12)</f>
        <v>0.22</v>
      </c>
      <c r="D52" s="128">
        <f>IF(TRIM('HourGH-JUN'!S13)="","      ",'HourGH-JUN'!S13)</f>
        <v>0.24</v>
      </c>
      <c r="E52" s="128">
        <f>IF(TRIM('HourGH-JUN'!S14)="","      ",'HourGH-JUN'!S14)</f>
        <v>0.21</v>
      </c>
      <c r="F52" s="118">
        <f>IF(TRIM('HourGH-JUN'!S15)="","      ",'HourGH-JUN'!S15)</f>
        <v>0.2</v>
      </c>
      <c r="G52" s="118">
        <f>IF(TRIM('HourGH-JUN'!S16)="","      ",'HourGH-JUN'!S16)</f>
        <v>0.22</v>
      </c>
      <c r="H52" s="128">
        <f>IF(TRIM('HourGH-JUN'!S17)="","      ",'HourGH-JUN'!S17)</f>
        <v>0.24</v>
      </c>
      <c r="I52" s="128">
        <f>IF(TRIM('HourGH-JUN'!S18)="","      ",'HourGH-JUN'!S18)</f>
        <v>0.24</v>
      </c>
      <c r="J52" s="128">
        <f>IF(TRIM('HourGH-JUN'!S19)="","      ",'HourGH-JUN'!S19)</f>
        <v>0.2</v>
      </c>
      <c r="K52" s="128">
        <f>IF(TRIM('HourGH-JUN'!S20)="","      ",'HourGH-JUN'!S20)</f>
        <v>0.16</v>
      </c>
    </row>
    <row r="53" spans="1:20">
      <c r="A53" s="127" t="s">
        <v>195</v>
      </c>
      <c r="B53" s="128">
        <f>IF(TRIM('HourGH-JUN'!S22)="","      ",'HourGH-JUN'!S22)</f>
        <v>0.35</v>
      </c>
      <c r="C53" s="128">
        <f>IF(TRIM('HourGH-JUN'!S23)="","      ",'HourGH-JUN'!S23)</f>
        <v>0.7</v>
      </c>
      <c r="D53" s="128">
        <f>IF(TRIM('HourGH-JUN'!S24)="","      ",'HourGH-JUN'!S24)</f>
        <v>0.37</v>
      </c>
      <c r="E53" s="128">
        <f>IF(TRIM('HourGH-JUN'!S25)="","      ",'HourGH-JUN'!S25)</f>
        <v>0.26</v>
      </c>
      <c r="F53" s="118">
        <f>IF(TRIM('HourGH-JUN'!S26)="","      ",'HourGH-JUN'!S26)</f>
        <v>0.21</v>
      </c>
      <c r="G53" s="118">
        <f>IF(TRIM('HourGH-JUN'!S27)="","      ",'HourGH-JUN'!S27)</f>
        <v>0.2</v>
      </c>
      <c r="H53" s="128">
        <f>IF(TRIM('HourGH-JUN'!S28)="","      ",'HourGH-JUN'!S28)</f>
        <v>0.2</v>
      </c>
      <c r="I53" s="128">
        <f>IF(TRIM('HourGH-JUN'!S29)="","      ",'HourGH-JUN'!S29)</f>
        <v>0.21</v>
      </c>
      <c r="J53" s="128">
        <f>IF(TRIM('HourGH-JUN'!S30)="","      ",'HourGH-JUN'!S30)</f>
        <v>0.2</v>
      </c>
      <c r="K53" s="128">
        <f>IF(TRIM('HourGH-JUN'!S31)="","      ",'HourGH-JUN'!S31)</f>
        <v>0.25</v>
      </c>
    </row>
    <row r="54" spans="1:20">
      <c r="A54" s="127" t="s">
        <v>196</v>
      </c>
      <c r="B54" s="128">
        <f>IF(TRIM('HourGH-JUN'!S33)="","      ",'HourGH-JUN'!S33)</f>
        <v>0.26</v>
      </c>
      <c r="C54" s="128">
        <f>IF(TRIM('HourGH-JUN'!S34)="","      ",'HourGH-JUN'!S34)</f>
        <v>0.24</v>
      </c>
      <c r="D54" s="128">
        <f>IF(TRIM('HourGH-JUN'!S35)="","      ",'HourGH-JUN'!S35)</f>
        <v>0.42</v>
      </c>
      <c r="E54" s="128">
        <f>IF(TRIM('HourGH-JUN'!S36)="","      ",'HourGH-JUN'!S36)</f>
        <v>0.46</v>
      </c>
      <c r="F54" s="118">
        <f>IF(TRIM('HourGH-JUN'!S37)="","      ",'HourGH-JUN'!S37)</f>
        <v>0.23</v>
      </c>
      <c r="G54" s="118">
        <f>IF(TRIM('HourGH-JUN'!S38)="","      ",'HourGH-JUN'!S38)</f>
        <v>0.25</v>
      </c>
      <c r="H54" s="128">
        <f>IF(TRIM('HourGH-JUN'!S39)="","      ",'HourGH-JUN'!S39)</f>
        <v>0.25</v>
      </c>
      <c r="I54" s="128">
        <f>IF(TRIM('HourGH-JUN'!S40)="","      ",'HourGH-JUN'!S40)</f>
        <v>0.23</v>
      </c>
      <c r="J54" s="128">
        <f>IF(TRIM('HourGH-JUN'!S41)="","      ",'HourGH-JUN'!S41)</f>
        <v>0.24</v>
      </c>
      <c r="K54" s="128">
        <f>IF(TRIM('HourGH-JUN'!S42)="","      ",'HourGH-JUN'!S42)</f>
        <v>0.24</v>
      </c>
    </row>
    <row r="55" spans="1:20">
      <c r="A55" s="127" t="s">
        <v>197</v>
      </c>
      <c r="B55" s="128">
        <f>IF(TRIM('HourGH-JUN'!T11)="","      ",'HourGH-JUN'!T11)</f>
        <v>0.23</v>
      </c>
      <c r="C55" s="128">
        <f>IF(TRIM('HourGH-JUN'!T12)="","      ",'HourGH-JUN'!T12)</f>
        <v>0.22</v>
      </c>
      <c r="D55" s="128">
        <f>IF(TRIM('HourGH-JUN'!T13)="","      ",'HourGH-JUN'!T13)</f>
        <v>0.23</v>
      </c>
      <c r="E55" s="128">
        <f>IF(TRIM('HourGH-JUN'!T14)="","      ",'HourGH-JUN'!T14)</f>
        <v>0.21</v>
      </c>
      <c r="F55" s="118">
        <f>IF(TRIM('HourGH-JUN'!T15)="","      ",'HourGH-JUN'!T15)</f>
        <v>0.2</v>
      </c>
      <c r="G55" s="118">
        <f>IF(TRIM('HourGH-JUN'!T16)="","      ",'HourGH-JUN'!T16)</f>
        <v>0.22</v>
      </c>
      <c r="H55" s="128">
        <f>IF(TRIM('HourGH-JUN'!T17)="","      ",'HourGH-JUN'!T17)</f>
        <v>0.24</v>
      </c>
      <c r="I55" s="128">
        <f>IF(TRIM('HourGH-JUN'!T18)="","      ",'HourGH-JUN'!T18)</f>
        <v>0.24</v>
      </c>
      <c r="J55" s="128">
        <f>IF(TRIM('HourGH-JUN'!T19)="","      ",'HourGH-JUN'!T19)</f>
        <v>0.2</v>
      </c>
      <c r="K55" s="128">
        <f>IF(TRIM('HourGH-JUN'!T20)="","      ",'HourGH-JUN'!T20)</f>
        <v>0.16</v>
      </c>
    </row>
    <row r="56" spans="1:20">
      <c r="A56" s="127" t="s">
        <v>198</v>
      </c>
      <c r="B56" s="128">
        <f>IF(TRIM('HourGH-JUN'!T22)="","      ",'HourGH-JUN'!T22)</f>
        <v>0.37</v>
      </c>
      <c r="C56" s="128">
        <f>IF(TRIM('HourGH-JUN'!T23)="","      ",'HourGH-JUN'!T23)</f>
        <v>0.68</v>
      </c>
      <c r="D56" s="128">
        <f>IF(TRIM('HourGH-JUN'!T24)="","      ",'HourGH-JUN'!T24)</f>
        <v>0.36</v>
      </c>
      <c r="E56" s="128">
        <f>IF(TRIM('HourGH-JUN'!T25)="","      ",'HourGH-JUN'!T25)</f>
        <v>0.25</v>
      </c>
      <c r="F56" s="118">
        <f>IF(TRIM('HourGH-JUN'!T26)="","      ",'HourGH-JUN'!T26)</f>
        <v>0.21</v>
      </c>
      <c r="G56" s="118">
        <f>IF(TRIM('HourGH-JUN'!T27)="","      ",'HourGH-JUN'!T27)</f>
        <v>0.2</v>
      </c>
      <c r="H56" s="128">
        <f>IF(TRIM('HourGH-JUN'!T28)="","      ",'HourGH-JUN'!T28)</f>
        <v>0.2</v>
      </c>
      <c r="I56" s="128">
        <f>IF(TRIM('HourGH-JUN'!T29)="","      ",'HourGH-JUN'!T29)</f>
        <v>0.21</v>
      </c>
      <c r="J56" s="128">
        <f>IF(TRIM('HourGH-JUN'!T30)="","      ",'HourGH-JUN'!T30)</f>
        <v>0.2</v>
      </c>
      <c r="K56" s="128">
        <f>IF(TRIM('HourGH-JUN'!T31)="","      ",'HourGH-JUN'!T31)</f>
        <v>0.25</v>
      </c>
      <c r="N56" s="117">
        <f>B79</f>
        <v>337.83000000000004</v>
      </c>
      <c r="O56">
        <v>1</v>
      </c>
      <c r="P56" s="117" t="str">
        <f>B82</f>
        <v>1:00</v>
      </c>
      <c r="R56" s="117">
        <f>B85</f>
        <v>337.83000000000004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IF(TRIM('HourGH-JUN'!T33)="","      ",'HourGH-JUN'!T33)</f>
        <v>0.26</v>
      </c>
      <c r="C57" s="128">
        <f>IF(TRIM('HourGH-JUN'!T34)="","      ",'HourGH-JUN'!T34)</f>
        <v>0.24</v>
      </c>
      <c r="D57" s="128">
        <f>IF(TRIM('HourGH-JUN'!T35)="","      ",'HourGH-JUN'!T35)</f>
        <v>0.46</v>
      </c>
      <c r="E57" s="128">
        <f>IF(TRIM('HourGH-JUN'!T36)="","      ",'HourGH-JUN'!T36)</f>
        <v>0.43</v>
      </c>
      <c r="F57" s="118">
        <f>IF(TRIM('HourGH-JUN'!T37)="","      ",'HourGH-JUN'!T37)</f>
        <v>0.24</v>
      </c>
      <c r="G57" s="118">
        <f>IF(TRIM('HourGH-JUN'!T38)="","      ",'HourGH-JUN'!T38)</f>
        <v>0.25</v>
      </c>
      <c r="H57" s="128">
        <f>IF(TRIM('HourGH-JUN'!T39)="","      ",'HourGH-JUN'!T39)</f>
        <v>0.24</v>
      </c>
      <c r="I57" s="128">
        <f>IF(TRIM('HourGH-JUN'!T40)="","      ",'HourGH-JUN'!T40)</f>
        <v>0.23</v>
      </c>
      <c r="J57" s="128">
        <f>IF(TRIM('HourGH-JUN'!T41)="","      ",'HourGH-JUN'!T41)</f>
        <v>0.24</v>
      </c>
      <c r="K57" s="128">
        <f>IF(TRIM('HourGH-JUN'!T42)="","      ",'HourGH-JUN'!T42)</f>
        <v>0.24</v>
      </c>
      <c r="N57" s="117">
        <f>C79</f>
        <v>337.83000000000004</v>
      </c>
      <c r="O57">
        <v>2</v>
      </c>
      <c r="P57" s="117" t="str">
        <f>C82</f>
        <v>1:00</v>
      </c>
      <c r="R57" s="117">
        <f>C85</f>
        <v>337.82000000000005</v>
      </c>
      <c r="S57">
        <v>2</v>
      </c>
      <c r="T57" s="117" t="str">
        <f>C88</f>
        <v>13:00</v>
      </c>
    </row>
    <row r="58" spans="1:20">
      <c r="A58" s="127" t="s">
        <v>200</v>
      </c>
      <c r="B58" s="128">
        <f>IF(TRIM('HourGH-JUN'!U11)="","      ",'HourGH-JUN'!U11)</f>
        <v>0.23</v>
      </c>
      <c r="C58" s="128">
        <f>IF(TRIM('HourGH-JUN'!U12)="","      ",'HourGH-JUN'!U12)</f>
        <v>0.22</v>
      </c>
      <c r="D58" s="128">
        <f>IF(TRIM('HourGH-JUN'!U13)="","      ",'HourGH-JUN'!U13)</f>
        <v>0.23</v>
      </c>
      <c r="E58" s="128">
        <f>IF(TRIM('HourGH-JUN'!U14)="","      ",'HourGH-JUN'!U14)</f>
        <v>0.2</v>
      </c>
      <c r="F58" s="118">
        <f>IF(TRIM('HourGH-JUN'!U15)="","      ",'HourGH-JUN'!U15)</f>
        <v>0.2</v>
      </c>
      <c r="G58" s="118">
        <f>IF(TRIM('HourGH-JUN'!U16)="","      ",'HourGH-JUN'!U16)</f>
        <v>0.23</v>
      </c>
      <c r="H58" s="128">
        <f>IF(TRIM('HourGH-JUN'!U17)="","      ",'HourGH-JUN'!U17)</f>
        <v>0.24</v>
      </c>
      <c r="I58" s="128">
        <f>IF(TRIM('HourGH-JUN'!U18)="","      ",'HourGH-JUN'!U18)</f>
        <v>0.24</v>
      </c>
      <c r="J58" s="128">
        <f>IF(TRIM('HourGH-JUN'!U19)="","      ",'HourGH-JUN'!U19)</f>
        <v>0.2</v>
      </c>
      <c r="K58" s="128">
        <f>IF(TRIM('HourGH-JUN'!U20)="","      ",'HourGH-JUN'!U20)</f>
        <v>0.17</v>
      </c>
      <c r="N58" s="117">
        <f>D79</f>
        <v>337.84000000000003</v>
      </c>
      <c r="O58">
        <v>3</v>
      </c>
      <c r="P58" s="117" t="str">
        <f>D82</f>
        <v>13:00</v>
      </c>
      <c r="R58" s="117">
        <f>D85</f>
        <v>337.81</v>
      </c>
      <c r="S58">
        <v>3</v>
      </c>
      <c r="T58" s="117" t="str">
        <f>D88</f>
        <v>1:00</v>
      </c>
    </row>
    <row r="59" spans="1:20">
      <c r="A59" s="127" t="s">
        <v>201</v>
      </c>
      <c r="B59" s="128">
        <f>IF(TRIM('HourGH-JUN'!U22)="","      ",'HourGH-JUN'!U22)</f>
        <v>0.39</v>
      </c>
      <c r="C59" s="128">
        <f>IF(TRIM('HourGH-JUN'!U23)="","      ",'HourGH-JUN'!U23)</f>
        <v>0.66</v>
      </c>
      <c r="D59" s="128">
        <f>IF(TRIM('HourGH-JUN'!U24)="","      ",'HourGH-JUN'!U24)</f>
        <v>0.36</v>
      </c>
      <c r="E59" s="128">
        <f>IF(TRIM('HourGH-JUN'!U25)="","      ",'HourGH-JUN'!U25)</f>
        <v>0.25</v>
      </c>
      <c r="F59" s="118">
        <f>IF(TRIM('HourGH-JUN'!U26)="","      ",'HourGH-JUN'!U26)</f>
        <v>0.21</v>
      </c>
      <c r="G59" s="118">
        <f>IF(TRIM('HourGH-JUN'!U27)="","      ",'HourGH-JUN'!U27)</f>
        <v>0.2</v>
      </c>
      <c r="H59" s="128">
        <f>IF(TRIM('HourGH-JUN'!U28)="","      ",'HourGH-JUN'!U28)</f>
        <v>0.2</v>
      </c>
      <c r="I59" s="128">
        <f>IF(TRIM('HourGH-JUN'!U29)="","      ",'HourGH-JUN'!U29)</f>
        <v>0.21</v>
      </c>
      <c r="J59" s="128">
        <f>IF(TRIM('HourGH-JUN'!U30)="","      ",'HourGH-JUN'!U30)</f>
        <v>0.2</v>
      </c>
      <c r="K59" s="128">
        <f>IF(TRIM('HourGH-JUN'!U31)="","      ",'HourGH-JUN'!U31)</f>
        <v>0.26</v>
      </c>
      <c r="N59" s="117">
        <f>E79</f>
        <v>337.82000000000005</v>
      </c>
      <c r="O59">
        <v>4</v>
      </c>
      <c r="P59" s="117" t="str">
        <f>E82</f>
        <v>1:00</v>
      </c>
      <c r="R59" s="117">
        <f>E85</f>
        <v>337.8</v>
      </c>
      <c r="S59">
        <v>4</v>
      </c>
      <c r="T59" s="117" t="str">
        <f>E88</f>
        <v>19:00</v>
      </c>
    </row>
    <row r="60" spans="1:20">
      <c r="A60" s="127" t="s">
        <v>202</v>
      </c>
      <c r="B60" s="128">
        <f>IF(TRIM('HourGH-JUN'!U33)="","      ",'HourGH-JUN'!U33)</f>
        <v>0.25</v>
      </c>
      <c r="C60" s="128">
        <f>IF(TRIM('HourGH-JUN'!U34)="","      ",'HourGH-JUN'!U34)</f>
        <v>0.24</v>
      </c>
      <c r="D60" s="128">
        <f>IF(TRIM('HourGH-JUN'!U35)="","      ",'HourGH-JUN'!U35)</f>
        <v>0.5</v>
      </c>
      <c r="E60" s="128">
        <f>IF(TRIM('HourGH-JUN'!U36)="","      ",'HourGH-JUN'!U36)</f>
        <v>0.4</v>
      </c>
      <c r="F60" s="118">
        <f>IF(TRIM('HourGH-JUN'!U37)="","      ",'HourGH-JUN'!U37)</f>
        <v>0.24</v>
      </c>
      <c r="G60" s="118">
        <f>IF(TRIM('HourGH-JUN'!U38)="","      ",'HourGH-JUN'!U38)</f>
        <v>0.25</v>
      </c>
      <c r="H60" s="128">
        <f>IF(TRIM('HourGH-JUN'!U39)="","      ",'HourGH-JUN'!U39)</f>
        <v>0.24</v>
      </c>
      <c r="I60" s="128">
        <f>IF(TRIM('HourGH-JUN'!U40)="","      ",'HourGH-JUN'!U40)</f>
        <v>0.23</v>
      </c>
      <c r="J60" s="128">
        <f>IF(TRIM('HourGH-JUN'!U41)="","      ",'HourGH-JUN'!U41)</f>
        <v>0.24</v>
      </c>
      <c r="K60" s="128">
        <f>IF(TRIM('HourGH-JUN'!U42)="","      ",'HourGH-JUN'!U42)</f>
        <v>0.24</v>
      </c>
      <c r="N60" s="117">
        <f>F79</f>
        <v>337.8</v>
      </c>
      <c r="O60">
        <v>5</v>
      </c>
      <c r="P60" s="117" t="str">
        <f>F82</f>
        <v>13:00</v>
      </c>
      <c r="R60" s="117">
        <f>F85</f>
        <v>337.79</v>
      </c>
      <c r="S60">
        <v>5</v>
      </c>
      <c r="T60" s="117" t="str">
        <f>F88</f>
        <v>1:00</v>
      </c>
    </row>
    <row r="61" spans="1:20">
      <c r="A61" s="127" t="s">
        <v>203</v>
      </c>
      <c r="B61" s="128">
        <f>IF(TRIM('HourGH-JUN'!V11)="","      ",'HourGH-JUN'!V11)</f>
        <v>0.23</v>
      </c>
      <c r="C61" s="128">
        <f>IF(TRIM('HourGH-JUN'!V12)="","      ",'HourGH-JUN'!V12)</f>
        <v>0.22</v>
      </c>
      <c r="D61" s="128">
        <f>IF(TRIM('HourGH-JUN'!V13)="","      ",'HourGH-JUN'!V13)</f>
        <v>0.23</v>
      </c>
      <c r="E61" s="128">
        <f>IF(TRIM('HourGH-JUN'!V14)="","      ",'HourGH-JUN'!V14)</f>
        <v>0.2</v>
      </c>
      <c r="F61" s="118">
        <f>IF(TRIM('HourGH-JUN'!V15)="","      ",'HourGH-JUN'!V15)</f>
        <v>0.2</v>
      </c>
      <c r="G61" s="118">
        <f>IF(TRIM('HourGH-JUN'!V16)="","      ",'HourGH-JUN'!V16)</f>
        <v>0.23</v>
      </c>
      <c r="H61" s="128">
        <f>IF(TRIM('HourGH-JUN'!V17)="","      ",'HourGH-JUN'!V17)</f>
        <v>0.24</v>
      </c>
      <c r="I61" s="128">
        <f>IF(TRIM('HourGH-JUN'!V18)="","      ",'HourGH-JUN'!V18)</f>
        <v>0.24</v>
      </c>
      <c r="J61" s="128">
        <f>IF(TRIM('HourGH-JUN'!V19)="","      ",'HourGH-JUN'!V19)</f>
        <v>0.19</v>
      </c>
      <c r="K61" s="128">
        <f>IF(TRIM('HourGH-JUN'!V20)="","      ",'HourGH-JUN'!V20)</f>
        <v>0.17</v>
      </c>
      <c r="N61" s="117">
        <f>G79</f>
        <v>337.83000000000004</v>
      </c>
      <c r="O61">
        <v>6</v>
      </c>
      <c r="P61" s="117" t="str">
        <f>G82</f>
        <v>19:00</v>
      </c>
      <c r="R61" s="117">
        <f>G85</f>
        <v>337.8</v>
      </c>
      <c r="S61">
        <v>6</v>
      </c>
      <c r="T61" s="117" t="str">
        <f>G88</f>
        <v>1:00</v>
      </c>
    </row>
    <row r="62" spans="1:20">
      <c r="A62" s="127" t="s">
        <v>204</v>
      </c>
      <c r="B62" s="128">
        <f>IF(TRIM('HourGH-JUN'!V22)="","      ",'HourGH-JUN'!V22)</f>
        <v>0.41</v>
      </c>
      <c r="C62" s="128">
        <f>IF(TRIM('HourGH-JUN'!V23)="","      ",'HourGH-JUN'!V23)</f>
        <v>0.64</v>
      </c>
      <c r="D62" s="128">
        <f>IF(TRIM('HourGH-JUN'!V24)="","      ",'HourGH-JUN'!V24)</f>
        <v>0.35</v>
      </c>
      <c r="E62" s="128">
        <f>IF(TRIM('HourGH-JUN'!V25)="","      ",'HourGH-JUN'!V25)</f>
        <v>0.24</v>
      </c>
      <c r="F62" s="118">
        <f>IF(TRIM('HourGH-JUN'!V26)="","      ",'HourGH-JUN'!V26)</f>
        <v>0.21</v>
      </c>
      <c r="G62" s="118">
        <f>IF(TRIM('HourGH-JUN'!V27)="","      ",'HourGH-JUN'!V27)</f>
        <v>0.2</v>
      </c>
      <c r="H62" s="128">
        <f>IF(TRIM('HourGH-JUN'!V28)="","      ",'HourGH-JUN'!V28)</f>
        <v>0.2</v>
      </c>
      <c r="I62" s="128">
        <f>IF(TRIM('HourGH-JUN'!V29)="","      ",'HourGH-JUN'!V29)</f>
        <v>0.21</v>
      </c>
      <c r="J62" s="128">
        <f>IF(TRIM('HourGH-JUN'!V30)="","      ",'HourGH-JUN'!V30)</f>
        <v>0.21</v>
      </c>
      <c r="K62" s="128">
        <f>IF(TRIM('HourGH-JUN'!V31)="","      ",'HourGH-JUN'!V31)</f>
        <v>0.26</v>
      </c>
      <c r="N62" s="117">
        <f>H79</f>
        <v>337.84000000000003</v>
      </c>
      <c r="O62">
        <v>7</v>
      </c>
      <c r="P62" s="117" t="str">
        <f>H82</f>
        <v>1:00</v>
      </c>
      <c r="R62" s="117">
        <f>H85</f>
        <v>337.84000000000003</v>
      </c>
      <c r="S62">
        <v>7</v>
      </c>
      <c r="T62" s="117" t="str">
        <f>H88</f>
        <v>1:00</v>
      </c>
    </row>
    <row r="63" spans="1:20">
      <c r="A63" s="127" t="s">
        <v>205</v>
      </c>
      <c r="B63" s="128">
        <f>IF(TRIM('HourGH-JUN'!V33)="","      ",'HourGH-JUN'!V33)</f>
        <v>0.25</v>
      </c>
      <c r="C63" s="128">
        <f>IF(TRIM('HourGH-JUN'!V34)="","      ",'HourGH-JUN'!V34)</f>
        <v>0.24</v>
      </c>
      <c r="D63" s="128">
        <f>IF(TRIM('HourGH-JUN'!V35)="","      ",'HourGH-JUN'!V35)</f>
        <v>0.55000000000000004</v>
      </c>
      <c r="E63" s="128">
        <f>IF(TRIM('HourGH-JUN'!V36)="","      ",'HourGH-JUN'!V36)</f>
        <v>0.36</v>
      </c>
      <c r="F63" s="118">
        <f>IF(TRIM('HourGH-JUN'!V37)="","      ",'HourGH-JUN'!V37)</f>
        <v>0.24</v>
      </c>
      <c r="G63" s="118">
        <f>IF(TRIM('HourGH-JUN'!V38)="","      ",'HourGH-JUN'!V38)</f>
        <v>0.26</v>
      </c>
      <c r="H63" s="128">
        <f>IF(TRIM('HourGH-JUN'!V39)="","      ",'HourGH-JUN'!V39)</f>
        <v>0.24</v>
      </c>
      <c r="I63" s="128">
        <f>IF(TRIM('HourGH-JUN'!V40)="","      ",'HourGH-JUN'!V40)</f>
        <v>0.23</v>
      </c>
      <c r="J63" s="128">
        <f>IF(TRIM('HourGH-JUN'!V41)="","      ",'HourGH-JUN'!V41)</f>
        <v>0.24</v>
      </c>
      <c r="K63" s="128">
        <f>IF(TRIM('HourGH-JUN'!V42)="","      ",'HourGH-JUN'!V42)</f>
        <v>0.24</v>
      </c>
      <c r="N63" s="117">
        <f>I79</f>
        <v>337.84000000000003</v>
      </c>
      <c r="O63">
        <v>8</v>
      </c>
      <c r="P63" s="117" t="str">
        <f>I82</f>
        <v>1:00</v>
      </c>
      <c r="R63" s="117">
        <f>I85</f>
        <v>337.84000000000003</v>
      </c>
      <c r="S63">
        <v>8</v>
      </c>
      <c r="T63" s="117" t="str">
        <f>I88</f>
        <v>1:00</v>
      </c>
    </row>
    <row r="64" spans="1:20">
      <c r="A64" s="127" t="s">
        <v>206</v>
      </c>
      <c r="B64" s="128">
        <f>IF(TRIM('HourGH-JUN'!W11)="","      ",'HourGH-JUN'!W11)</f>
        <v>0.23</v>
      </c>
      <c r="C64" s="128">
        <f>IF(TRIM('HourGH-JUN'!W12)="","      ",'HourGH-JUN'!W12)</f>
        <v>0.22</v>
      </c>
      <c r="D64" s="128">
        <f>IF(TRIM('HourGH-JUN'!W13)="","      ",'HourGH-JUN'!W13)</f>
        <v>0.23</v>
      </c>
      <c r="E64" s="128">
        <f>IF(TRIM('HourGH-JUN'!W14)="","      ",'HourGH-JUN'!W14)</f>
        <v>0.2</v>
      </c>
      <c r="F64" s="118">
        <f>IF(TRIM('HourGH-JUN'!W15)="","      ",'HourGH-JUN'!W15)</f>
        <v>0.2</v>
      </c>
      <c r="G64" s="118">
        <f>IF(TRIM('HourGH-JUN'!W16)="","      ",'HourGH-JUN'!W16)</f>
        <v>0.23</v>
      </c>
      <c r="H64" s="128">
        <f>IF(TRIM('HourGH-JUN'!W17)="","      ",'HourGH-JUN'!W17)</f>
        <v>0.24</v>
      </c>
      <c r="I64" s="128">
        <f>IF(TRIM('HourGH-JUN'!W18)="","      ",'HourGH-JUN'!W18)</f>
        <v>0.24</v>
      </c>
      <c r="J64" s="128">
        <f>IF(TRIM('HourGH-JUN'!W19)="","      ",'HourGH-JUN'!W19)</f>
        <v>0.19</v>
      </c>
      <c r="K64" s="128">
        <f>IF(TRIM('HourGH-JUN'!W20)="","      ",'HourGH-JUN'!W20)</f>
        <v>0.17</v>
      </c>
      <c r="N64" s="117">
        <f>J79</f>
        <v>337.84000000000003</v>
      </c>
      <c r="O64">
        <v>9</v>
      </c>
      <c r="P64" s="117" t="str">
        <f>J82</f>
        <v>1:00</v>
      </c>
      <c r="R64" s="117">
        <f>J85</f>
        <v>337.78000000000003</v>
      </c>
      <c r="S64">
        <v>9</v>
      </c>
      <c r="T64" s="117" t="str">
        <f>J88</f>
        <v>24:00</v>
      </c>
    </row>
    <row r="65" spans="1:20">
      <c r="A65" s="127" t="s">
        <v>207</v>
      </c>
      <c r="B65" s="128">
        <f>IF(TRIM('HourGH-JUN'!W22)="","      ",'HourGH-JUN'!W22)</f>
        <v>0.43</v>
      </c>
      <c r="C65" s="128">
        <f>IF(TRIM('HourGH-JUN'!W23)="","      ",'HourGH-JUN'!W23)</f>
        <v>0.62</v>
      </c>
      <c r="D65" s="128">
        <f>IF(TRIM('HourGH-JUN'!W24)="","      ",'HourGH-JUN'!W24)</f>
        <v>0.35</v>
      </c>
      <c r="E65" s="128">
        <f>IF(TRIM('HourGH-JUN'!W25)="","      ",'HourGH-JUN'!W25)</f>
        <v>0.24</v>
      </c>
      <c r="F65" s="118">
        <f>IF(TRIM('HourGH-JUN'!W26)="","      ",'HourGH-JUN'!W26)</f>
        <v>0.21</v>
      </c>
      <c r="G65" s="118">
        <f>IF(TRIM('HourGH-JUN'!W27)="","      ",'HourGH-JUN'!W27)</f>
        <v>0.2</v>
      </c>
      <c r="H65" s="128">
        <f>IF(TRIM('HourGH-JUN'!W28)="","      ",'HourGH-JUN'!W28)</f>
        <v>0.2</v>
      </c>
      <c r="I65" s="128">
        <f>IF(TRIM('HourGH-JUN'!W29)="","      ",'HourGH-JUN'!W29)</f>
        <v>0.21</v>
      </c>
      <c r="J65" s="128">
        <f>IF(TRIM('HourGH-JUN'!W30)="","      ",'HourGH-JUN'!W30)</f>
        <v>0.21</v>
      </c>
      <c r="K65" s="128">
        <f>IF(TRIM('HourGH-JUN'!W31)="","      ",'HourGH-JUN'!W31)</f>
        <v>0.26</v>
      </c>
      <c r="N65" s="117">
        <f>K79</f>
        <v>337.78000000000003</v>
      </c>
      <c r="O65">
        <v>10</v>
      </c>
      <c r="P65" s="117" t="str">
        <f>K82</f>
        <v>1:00</v>
      </c>
      <c r="R65" s="117">
        <f>K85</f>
        <v>337.76000000000005</v>
      </c>
      <c r="S65">
        <v>10</v>
      </c>
      <c r="T65" s="117" t="str">
        <f>K88</f>
        <v>13:00</v>
      </c>
    </row>
    <row r="66" spans="1:20">
      <c r="A66" s="127" t="s">
        <v>208</v>
      </c>
      <c r="B66" s="128">
        <f>IF(TRIM('HourGH-JUN'!W33)="","      ",'HourGH-JUN'!W33)</f>
        <v>0.25</v>
      </c>
      <c r="C66" s="128">
        <f>IF(TRIM('HourGH-JUN'!W34)="","      ",'HourGH-JUN'!W34)</f>
        <v>0.24</v>
      </c>
      <c r="D66" s="128">
        <f>IF(TRIM('HourGH-JUN'!W35)="","      ",'HourGH-JUN'!W35)</f>
        <v>0.59</v>
      </c>
      <c r="E66" s="128">
        <f>IF(TRIM('HourGH-JUN'!W36)="","      ",'HourGH-JUN'!W36)</f>
        <v>0.34</v>
      </c>
      <c r="F66" s="118">
        <f>IF(TRIM('HourGH-JUN'!W37)="","      ",'HourGH-JUN'!W37)</f>
        <v>0.24</v>
      </c>
      <c r="G66" s="118">
        <f>IF(TRIM('HourGH-JUN'!W38)="","      ",'HourGH-JUN'!W38)</f>
        <v>0.26</v>
      </c>
      <c r="H66" s="128">
        <f>IF(TRIM('HourGH-JUN'!W39)="","      ",'HourGH-JUN'!W39)</f>
        <v>0.24</v>
      </c>
      <c r="I66" s="128">
        <f>IF(TRIM('HourGH-JUN'!W40)="","      ",'HourGH-JUN'!W40)</f>
        <v>0.23</v>
      </c>
      <c r="J66" s="128">
        <f>IF(TRIM('HourGH-JUN'!W41)="","      ",'HourGH-JUN'!W41)</f>
        <v>0.24</v>
      </c>
      <c r="K66" s="128">
        <f>IF(TRIM('HourGH-JUN'!W42)="","      ",'HourGH-JUN'!W42)</f>
        <v>0.24</v>
      </c>
      <c r="N66" s="117">
        <f>B80</f>
        <v>338.12</v>
      </c>
      <c r="O66">
        <v>11</v>
      </c>
      <c r="P66" s="117" t="str">
        <f>B83</f>
        <v>24:00</v>
      </c>
      <c r="R66" s="117">
        <f>B86</f>
        <v>337.78000000000003</v>
      </c>
      <c r="S66">
        <v>11</v>
      </c>
      <c r="T66" s="117" t="str">
        <f>B89</f>
        <v>1:00</v>
      </c>
    </row>
    <row r="67" spans="1:20">
      <c r="A67" s="127" t="s">
        <v>209</v>
      </c>
      <c r="B67" s="128">
        <f>IF(TRIM('HourGH-JUN'!X11)="","      ",'HourGH-JUN'!X11)</f>
        <v>0.23</v>
      </c>
      <c r="C67" s="128">
        <f>IF(TRIM('HourGH-JUN'!X12)="","      ",'HourGH-JUN'!X12)</f>
        <v>0.22</v>
      </c>
      <c r="D67" s="128">
        <f>IF(TRIM('HourGH-JUN'!X13)="","      ",'HourGH-JUN'!X13)</f>
        <v>0.22</v>
      </c>
      <c r="E67" s="128">
        <f>IF(TRIM('HourGH-JUN'!X14)="","      ",'HourGH-JUN'!X14)</f>
        <v>0.2</v>
      </c>
      <c r="F67" s="118">
        <f>IF(TRIM('HourGH-JUN'!X15)="","      ",'HourGH-JUN'!X15)</f>
        <v>0.2</v>
      </c>
      <c r="G67" s="118">
        <f>IF(TRIM('HourGH-JUN'!X16)="","      ",'HourGH-JUN'!X16)</f>
        <v>0.23</v>
      </c>
      <c r="H67" s="128">
        <f>IF(TRIM('HourGH-JUN'!X17)="","      ",'HourGH-JUN'!X17)</f>
        <v>0.24</v>
      </c>
      <c r="I67" s="128">
        <f>IF(TRIM('HourGH-JUN'!X18)="","      ",'HourGH-JUN'!X18)</f>
        <v>0.24</v>
      </c>
      <c r="J67" s="128">
        <f>IF(TRIM('HourGH-JUN'!X19)="","      ",'HourGH-JUN'!X19)</f>
        <v>0.19</v>
      </c>
      <c r="K67" s="128">
        <f>IF(TRIM('HourGH-JUN'!X20)="","      ",'HourGH-JUN'!X20)</f>
        <v>0.17</v>
      </c>
      <c r="N67" s="117">
        <f>C80</f>
        <v>338.34000000000003</v>
      </c>
      <c r="O67">
        <v>12</v>
      </c>
      <c r="P67" s="117" t="str">
        <f>C83</f>
        <v>10:00</v>
      </c>
      <c r="R67" s="117">
        <f>C86</f>
        <v>338.15000000000003</v>
      </c>
      <c r="S67">
        <v>12</v>
      </c>
      <c r="T67" s="117" t="str">
        <f>C89</f>
        <v>1:00</v>
      </c>
    </row>
    <row r="68" spans="1:20">
      <c r="A68" s="127" t="s">
        <v>210</v>
      </c>
      <c r="B68" s="128">
        <f>IF(TRIM('HourGH-JUN'!X22)="","      ",'HourGH-JUN'!X22)</f>
        <v>0.46</v>
      </c>
      <c r="C68" s="128">
        <f>IF(TRIM('HourGH-JUN'!X23)="","      ",'HourGH-JUN'!X23)</f>
        <v>0.6</v>
      </c>
      <c r="D68" s="128">
        <f>IF(TRIM('HourGH-JUN'!X24)="","      ",'HourGH-JUN'!X24)</f>
        <v>0.35</v>
      </c>
      <c r="E68" s="128">
        <f>IF(TRIM('HourGH-JUN'!X25)="","      ",'HourGH-JUN'!X25)</f>
        <v>0.24</v>
      </c>
      <c r="F68" s="118">
        <f>IF(TRIM('HourGH-JUN'!X26)="","      ",'HourGH-JUN'!X26)</f>
        <v>0.21</v>
      </c>
      <c r="G68" s="118">
        <f>IF(TRIM('HourGH-JUN'!X27)="","      ",'HourGH-JUN'!X27)</f>
        <v>0.2</v>
      </c>
      <c r="H68" s="128">
        <f>IF(TRIM('HourGH-JUN'!X28)="","      ",'HourGH-JUN'!X28)</f>
        <v>0.2</v>
      </c>
      <c r="I68" s="128">
        <f>IF(TRIM('HourGH-JUN'!X29)="","      ",'HourGH-JUN'!X29)</f>
        <v>0.21</v>
      </c>
      <c r="J68" s="128">
        <f>IF(TRIM('HourGH-JUN'!X30)="","      ",'HourGH-JUN'!X30)</f>
        <v>0.21</v>
      </c>
      <c r="K68" s="128">
        <f>IF(TRIM('HourGH-JUN'!X31)="","      ",'HourGH-JUN'!X31)</f>
        <v>0.26</v>
      </c>
      <c r="N68" s="117">
        <f>D80</f>
        <v>338.14000000000004</v>
      </c>
      <c r="O68">
        <v>13</v>
      </c>
      <c r="P68" s="117" t="str">
        <f>D83</f>
        <v>1:00</v>
      </c>
      <c r="R68" s="117">
        <f>D86</f>
        <v>337.94</v>
      </c>
      <c r="S68">
        <v>13</v>
      </c>
      <c r="T68" s="117" t="str">
        <f>D89</f>
        <v>23:00</v>
      </c>
    </row>
    <row r="69" spans="1:20">
      <c r="A69" s="127" t="s">
        <v>211</v>
      </c>
      <c r="B69" s="128">
        <f>IF(TRIM('HourGH-JUN'!X33)="","      ",'HourGH-JUN'!X33)</f>
        <v>0.25</v>
      </c>
      <c r="C69" s="128">
        <f>IF(TRIM('HourGH-JUN'!X34)="","      ",'HourGH-JUN'!X34)</f>
        <v>0.24</v>
      </c>
      <c r="D69" s="128">
        <f>IF(TRIM('HourGH-JUN'!X35)="","      ",'HourGH-JUN'!X35)</f>
        <v>0.62</v>
      </c>
      <c r="E69" s="128">
        <f>IF(TRIM('HourGH-JUN'!X36)="","      ",'HourGH-JUN'!X36)</f>
        <v>0.32</v>
      </c>
      <c r="F69" s="118">
        <f>IF(TRIM('HourGH-JUN'!X37)="","      ",'HourGH-JUN'!X37)</f>
        <v>0.24</v>
      </c>
      <c r="G69" s="118">
        <f>IF(TRIM('HourGH-JUN'!X38)="","      ",'HourGH-JUN'!X38)</f>
        <v>0.26</v>
      </c>
      <c r="H69" s="128">
        <f>IF(TRIM('HourGH-JUN'!X39)="","      ",'HourGH-JUN'!X39)</f>
        <v>0.24</v>
      </c>
      <c r="I69" s="128">
        <f>IF(TRIM('HourGH-JUN'!X40)="","      ",'HourGH-JUN'!X40)</f>
        <v>0.23</v>
      </c>
      <c r="J69" s="128">
        <f>IF(TRIM('HourGH-JUN'!X41)="","      ",'HourGH-JUN'!X41)</f>
        <v>0.24</v>
      </c>
      <c r="K69" s="128">
        <f>IF(TRIM('HourGH-JUN'!X42)="","      ",'HourGH-JUN'!X42)</f>
        <v>0.24</v>
      </c>
      <c r="N69" s="117">
        <f>E80</f>
        <v>337.93</v>
      </c>
      <c r="O69">
        <v>14</v>
      </c>
      <c r="P69" s="117" t="str">
        <f>E83</f>
        <v>1:00</v>
      </c>
      <c r="R69" s="117">
        <f>E86</f>
        <v>337.83000000000004</v>
      </c>
      <c r="S69">
        <v>14</v>
      </c>
      <c r="T69" s="117" t="str">
        <f>E89</f>
        <v>24:00</v>
      </c>
    </row>
    <row r="70" spans="1:20">
      <c r="A70" s="127" t="s">
        <v>212</v>
      </c>
      <c r="B70" s="128">
        <f>IF(TRIM('HourGH-JUN'!Y11)="","      ",'HourGH-JUN'!Y11)</f>
        <v>0.23</v>
      </c>
      <c r="C70" s="128">
        <f>IF(TRIM('HourGH-JUN'!Y12)="","      ",'HourGH-JUN'!Y12)</f>
        <v>0.22</v>
      </c>
      <c r="D70" s="128">
        <f>IF(TRIM('HourGH-JUN'!Y13)="","      ",'HourGH-JUN'!Y13)</f>
        <v>0.22</v>
      </c>
      <c r="E70" s="128">
        <f>IF(TRIM('HourGH-JUN'!Y14)="","      ",'HourGH-JUN'!Y14)</f>
        <v>0.2</v>
      </c>
      <c r="F70" s="118">
        <f>IF(TRIM('HourGH-JUN'!Y15)="","      ",'HourGH-JUN'!Y15)</f>
        <v>0.2</v>
      </c>
      <c r="G70" s="118">
        <f>IF(TRIM('HourGH-JUN'!Y16)="","      ",'HourGH-JUN'!Y16)</f>
        <v>0.23</v>
      </c>
      <c r="H70" s="128">
        <f>IF(TRIM('HourGH-JUN'!Y17)="","      ",'HourGH-JUN'!Y17)</f>
        <v>0.24</v>
      </c>
      <c r="I70" s="128">
        <f>IF(TRIM('HourGH-JUN'!Y18)="","      ",'HourGH-JUN'!Y18)</f>
        <v>0.24</v>
      </c>
      <c r="J70" s="128">
        <f>IF(TRIM('HourGH-JUN'!Y19)="","      ",'HourGH-JUN'!Y19)</f>
        <v>0.19</v>
      </c>
      <c r="K70" s="128">
        <f>IF(TRIM('HourGH-JUN'!Y20)="","      ",'HourGH-JUN'!Y20)</f>
        <v>0.17</v>
      </c>
      <c r="N70" s="117">
        <f>F80</f>
        <v>337.83000000000004</v>
      </c>
      <c r="O70">
        <v>15</v>
      </c>
      <c r="P70" s="117" t="str">
        <f>F83</f>
        <v>1:00</v>
      </c>
      <c r="R70" s="117">
        <f>F86</f>
        <v>337.81</v>
      </c>
      <c r="S70">
        <v>15</v>
      </c>
      <c r="T70" s="117" t="str">
        <f>F89</f>
        <v>13:00</v>
      </c>
    </row>
    <row r="71" spans="1:20">
      <c r="A71" s="127" t="s">
        <v>213</v>
      </c>
      <c r="B71" s="128">
        <f>IF(TRIM('HourGH-JUN'!Y22)="","      ",'HourGH-JUN'!Y22)</f>
        <v>0.49</v>
      </c>
      <c r="C71" s="128">
        <f>IF(TRIM('HourGH-JUN'!Y23)="","      ",'HourGH-JUN'!Y23)</f>
        <v>0.57999999999999996</v>
      </c>
      <c r="D71" s="128">
        <f>IF(TRIM('HourGH-JUN'!Y24)="","      ",'HourGH-JUN'!Y24)</f>
        <v>0.34</v>
      </c>
      <c r="E71" s="128">
        <f>IF(TRIM('HourGH-JUN'!Y25)="","      ",'HourGH-JUN'!Y25)</f>
        <v>0.24</v>
      </c>
      <c r="F71" s="118">
        <f>IF(TRIM('HourGH-JUN'!Y26)="","      ",'HourGH-JUN'!Y26)</f>
        <v>0.21</v>
      </c>
      <c r="G71" s="118">
        <f>IF(TRIM('HourGH-JUN'!Y27)="","      ",'HourGH-JUN'!Y27)</f>
        <v>0.2</v>
      </c>
      <c r="H71" s="128">
        <f>IF(TRIM('HourGH-JUN'!Y28)="","      ",'HourGH-JUN'!Y28)</f>
        <v>0.2</v>
      </c>
      <c r="I71" s="128">
        <f>IF(TRIM('HourGH-JUN'!Y29)="","      ",'HourGH-JUN'!Y29)</f>
        <v>0.21</v>
      </c>
      <c r="J71" s="128">
        <f>IF(TRIM('HourGH-JUN'!Y30)="","      ",'HourGH-JUN'!Y30)</f>
        <v>0.21</v>
      </c>
      <c r="K71" s="128">
        <f>IF(TRIM('HourGH-JUN'!Y31)="","      ",'HourGH-JUN'!Y31)</f>
        <v>0.26</v>
      </c>
      <c r="N71" s="117">
        <f>G80</f>
        <v>337.8</v>
      </c>
      <c r="O71">
        <v>16</v>
      </c>
      <c r="P71" s="117" t="str">
        <f>G83</f>
        <v>1:00</v>
      </c>
      <c r="R71" s="117">
        <f>G86</f>
        <v>337.8</v>
      </c>
      <c r="S71">
        <v>16</v>
      </c>
      <c r="T71" s="117" t="str">
        <f>G89</f>
        <v>1:00</v>
      </c>
    </row>
    <row r="72" spans="1:20">
      <c r="A72" s="127" t="s">
        <v>214</v>
      </c>
      <c r="B72" s="128">
        <f>IF(TRIM('HourGH-JUN'!Y33)="","      ",'HourGH-JUN'!Y33)</f>
        <v>0.25</v>
      </c>
      <c r="C72" s="128">
        <f>IF(TRIM('HourGH-JUN'!Y34)="","      ",'HourGH-JUN'!Y34)</f>
        <v>0.24</v>
      </c>
      <c r="D72" s="128">
        <f>IF(TRIM('HourGH-JUN'!Y35)="","      ",'HourGH-JUN'!Y35)</f>
        <v>0.65</v>
      </c>
      <c r="E72" s="128">
        <f>IF(TRIM('HourGH-JUN'!Y36)="","      ",'HourGH-JUN'!Y36)</f>
        <v>0.3</v>
      </c>
      <c r="F72" s="118">
        <f>IF(TRIM('HourGH-JUN'!Y37)="","      ",'HourGH-JUN'!Y37)</f>
        <v>0.24</v>
      </c>
      <c r="G72" s="118">
        <f>IF(TRIM('HourGH-JUN'!Y38)="","      ",'HourGH-JUN'!Y38)</f>
        <v>0.26</v>
      </c>
      <c r="H72" s="128">
        <f>IF(TRIM('HourGH-JUN'!Y39)="","      ",'HourGH-JUN'!Y39)</f>
        <v>0.24</v>
      </c>
      <c r="I72" s="128">
        <f>IF(TRIM('HourGH-JUN'!Y40)="","      ",'HourGH-JUN'!Y40)</f>
        <v>0.23</v>
      </c>
      <c r="J72" s="128">
        <f>IF(TRIM('HourGH-JUN'!Y41)="","      ",'HourGH-JUN'!Y41)</f>
        <v>0.24</v>
      </c>
      <c r="K72" s="128">
        <f>IF(TRIM('HourGH-JUN'!Y42)="","      ",'HourGH-JUN'!Y42)</f>
        <v>0.24</v>
      </c>
      <c r="N72" s="117">
        <f>H80</f>
        <v>337.8</v>
      </c>
      <c r="O72">
        <v>17</v>
      </c>
      <c r="P72" s="117" t="str">
        <f>H83</f>
        <v>1:00</v>
      </c>
      <c r="R72" s="117">
        <f>H86</f>
        <v>337.8</v>
      </c>
      <c r="S72">
        <v>17</v>
      </c>
      <c r="T72" s="117" t="str">
        <f>H89</f>
        <v>1:00</v>
      </c>
    </row>
    <row r="73" spans="1:20">
      <c r="A73" s="127" t="s">
        <v>215</v>
      </c>
      <c r="B73" s="128">
        <f>IF(TRIM('HourGH-JUN'!Z11)="","      ",'HourGH-JUN'!Z11)</f>
        <v>0.23</v>
      </c>
      <c r="C73" s="128">
        <f>IF(TRIM('HourGH-JUN'!Z12)="","      ",'HourGH-JUN'!Z12)</f>
        <v>0.22</v>
      </c>
      <c r="D73" s="128">
        <f>IF(TRIM('HourGH-JUN'!Z13)="","      ",'HourGH-JUN'!Z13)</f>
        <v>0.22</v>
      </c>
      <c r="E73" s="128">
        <f>IF(TRIM('HourGH-JUN'!Z14)="","      ",'HourGH-JUN'!Z14)</f>
        <v>0.2</v>
      </c>
      <c r="F73" s="118">
        <f>IF(TRIM('HourGH-JUN'!Z15)="","      ",'HourGH-JUN'!Z15)</f>
        <v>0.2</v>
      </c>
      <c r="G73" s="118">
        <f>IF(TRIM('HourGH-JUN'!Z16)="","      ",'HourGH-JUN'!Z16)</f>
        <v>0.23</v>
      </c>
      <c r="H73" s="128">
        <f>IF(TRIM('HourGH-JUN'!Z17)="","      ",'HourGH-JUN'!Z17)</f>
        <v>0.24</v>
      </c>
      <c r="I73" s="128">
        <f>IF(TRIM('HourGH-JUN'!Z18)="","      ",'HourGH-JUN'!Z18)</f>
        <v>0.24</v>
      </c>
      <c r="J73" s="128">
        <f>IF(TRIM('HourGH-JUN'!Z19)="","      ",'HourGH-JUN'!Z19)</f>
        <v>0.18</v>
      </c>
      <c r="K73" s="128">
        <f>IF(TRIM('HourGH-JUN'!Z20)="","      ",'HourGH-JUN'!Z20)</f>
        <v>0.17</v>
      </c>
      <c r="N73" s="117">
        <f>I80</f>
        <v>337.81</v>
      </c>
      <c r="O73">
        <v>18</v>
      </c>
      <c r="P73" s="117" t="str">
        <f>I83</f>
        <v>1:00</v>
      </c>
      <c r="R73" s="117">
        <f>I86</f>
        <v>337.81</v>
      </c>
      <c r="S73">
        <v>18</v>
      </c>
      <c r="T73" s="117" t="str">
        <f>I89</f>
        <v>1:00</v>
      </c>
    </row>
    <row r="74" spans="1:20">
      <c r="A74" s="127" t="s">
        <v>216</v>
      </c>
      <c r="B74" s="128">
        <f>IF(TRIM('HourGH-JUN'!Z22)="","      ",'HourGH-JUN'!Z22)</f>
        <v>0.52</v>
      </c>
      <c r="C74" s="128">
        <f>IF(TRIM('HourGH-JUN'!Z23)="","      ",'HourGH-JUN'!Z23)</f>
        <v>0.56000000000000005</v>
      </c>
      <c r="D74" s="128">
        <f>IF(TRIM('HourGH-JUN'!Z24)="","      ",'HourGH-JUN'!Z24)</f>
        <v>0.34</v>
      </c>
      <c r="E74" s="128">
        <f>IF(TRIM('HourGH-JUN'!Z25)="","      ",'HourGH-JUN'!Z25)</f>
        <v>0.23</v>
      </c>
      <c r="F74" s="118">
        <f>IF(TRIM('HourGH-JUN'!Z26)="","      ",'HourGH-JUN'!Z26)</f>
        <v>0.21</v>
      </c>
      <c r="G74" s="118">
        <f>IF(TRIM('HourGH-JUN'!Z27)="","      ",'HourGH-JUN'!Z27)</f>
        <v>0.2</v>
      </c>
      <c r="H74" s="128">
        <f>IF(TRIM('HourGH-JUN'!Z28)="","      ",'HourGH-JUN'!Z28)</f>
        <v>0.2</v>
      </c>
      <c r="I74" s="128">
        <f>IF(TRIM('HourGH-JUN'!Z29)="","      ",'HourGH-JUN'!Z29)</f>
        <v>0.21</v>
      </c>
      <c r="J74" s="128">
        <f>IF(TRIM('HourGH-JUN'!Z30)="","      ",'HourGH-JUN'!Z30)</f>
        <v>0.22</v>
      </c>
      <c r="K74" s="128">
        <f>IF(TRIM('HourGH-JUN'!Z31)="","      ",'HourGH-JUN'!Z31)</f>
        <v>0.26</v>
      </c>
      <c r="N74" s="117">
        <f>J80</f>
        <v>337.82000000000005</v>
      </c>
      <c r="O74">
        <v>19</v>
      </c>
      <c r="P74" s="117" t="str">
        <f>J83</f>
        <v>1:00</v>
      </c>
      <c r="R74" s="117">
        <f>J86</f>
        <v>337.79</v>
      </c>
      <c r="S74">
        <v>19</v>
      </c>
      <c r="T74" s="117" t="str">
        <f>J89</f>
        <v>12:00</v>
      </c>
    </row>
    <row r="75" spans="1:20">
      <c r="A75" s="127" t="s">
        <v>217</v>
      </c>
      <c r="B75" s="128">
        <f>IF(TRIM('HourGH-JUN'!Z33)="","      ",'HourGH-JUN'!Z33)</f>
        <v>0.25</v>
      </c>
      <c r="C75" s="128">
        <f>IF(TRIM('HourGH-JUN'!Z34)="","      ",'HourGH-JUN'!Z34)</f>
        <v>0.24</v>
      </c>
      <c r="D75" s="128">
        <f>IF(TRIM('HourGH-JUN'!Z35)="","      ",'HourGH-JUN'!Z35)</f>
        <v>0.68</v>
      </c>
      <c r="E75" s="128">
        <f>IF(TRIM('HourGH-JUN'!Z36)="","      ",'HourGH-JUN'!Z36)</f>
        <v>0.28000000000000003</v>
      </c>
      <c r="F75" s="118">
        <f>IF(TRIM('HourGH-JUN'!Z37)="","      ",'HourGH-JUN'!Z37)</f>
        <v>0.24</v>
      </c>
      <c r="G75" s="118">
        <f>IF(TRIM('HourGH-JUN'!Z38)="","      ",'HourGH-JUN'!Z38)</f>
        <v>0.26</v>
      </c>
      <c r="H75" s="128">
        <f>IF(TRIM('HourGH-JUN'!Z39)="","      ",'HourGH-JUN'!Z39)</f>
        <v>0.24</v>
      </c>
      <c r="I75" s="128">
        <f>IF(TRIM('HourGH-JUN'!Z40)="","      ",'HourGH-JUN'!Z40)</f>
        <v>0.23</v>
      </c>
      <c r="J75" s="128">
        <f>IF(TRIM('HourGH-JUN'!Z41)="","      ",'HourGH-JUN'!Z41)</f>
        <v>0.24</v>
      </c>
      <c r="K75" s="128">
        <f>IF(TRIM('HourGH-JUN'!Z42)="","      ",'HourGH-JUN'!Z42)</f>
        <v>0.24</v>
      </c>
      <c r="N75" s="117">
        <f>K80</f>
        <v>337.86</v>
      </c>
      <c r="O75">
        <v>20</v>
      </c>
      <c r="P75" s="117" t="str">
        <f>K83</f>
        <v>19:00</v>
      </c>
      <c r="R75" s="117">
        <f>K86</f>
        <v>337.82000000000005</v>
      </c>
      <c r="S75">
        <v>20</v>
      </c>
      <c r="T75" s="117" t="str">
        <f>K89</f>
        <v>1:00</v>
      </c>
    </row>
    <row r="76" spans="1:20">
      <c r="A76" t="s">
        <v>228</v>
      </c>
      <c r="B76" s="119">
        <f>IF(TRIM('HourGH-JUN'!AB11)="","",'HourGH-JUN'!AB11)</f>
        <v>337.83000000000004</v>
      </c>
      <c r="C76" s="119">
        <f>IF(TRIM('HourGH-JUN'!AB12)="","",'HourGH-JUN'!AB12)</f>
        <v>337.82500000000005</v>
      </c>
      <c r="D76" s="119">
        <f>IF(TRIM('HourGH-JUN'!AB13)="","",'HourGH-JUN'!AB13)</f>
        <v>337.82458333333335</v>
      </c>
      <c r="E76" s="119">
        <f>IF(TRIM('HourGH-JUN'!AB14)="","",'HourGH-JUN'!AB14)</f>
        <v>337.8125</v>
      </c>
      <c r="F76" s="119">
        <f>IF(TRIM('HourGH-JUN'!AB15)="","",'HourGH-JUN'!AB15)</f>
        <v>337.79500000000002</v>
      </c>
      <c r="G76" s="119">
        <f>IF(TRIM('HourGH-JUN'!AB16)="","",'HourGH-JUN'!AB16)</f>
        <v>337.815</v>
      </c>
      <c r="H76" s="119">
        <f>IF(TRIM('HourGH-JUN'!AB17)="","",'HourGH-JUN'!AB17)</f>
        <v>337.84000000000003</v>
      </c>
      <c r="I76" s="119">
        <f>IF(TRIM('HourGH-JUN'!AB18)="","",'HourGH-JUN'!AB18)</f>
        <v>337.84000000000003</v>
      </c>
      <c r="J76" s="119">
        <f>IF(TRIM('HourGH-JUN'!AB19)="","",'HourGH-JUN'!AB19)</f>
        <v>337.81666666666666</v>
      </c>
      <c r="K76" s="119">
        <f>IF(TRIM('HourGH-JUN'!AB20)="","",'HourGH-JUN'!AB20)</f>
        <v>337.76875000000001</v>
      </c>
      <c r="N76" s="117">
        <f>B81</f>
        <v>337.87</v>
      </c>
      <c r="O76">
        <v>21</v>
      </c>
      <c r="P76" s="117" t="str">
        <f>B84</f>
        <v>1:00</v>
      </c>
      <c r="R76" s="117">
        <f>B87</f>
        <v>337.85</v>
      </c>
      <c r="S76">
        <v>21</v>
      </c>
      <c r="T76" s="117" t="str">
        <f>B90</f>
        <v>19:00</v>
      </c>
    </row>
    <row r="77" spans="1:20">
      <c r="A77" t="s">
        <v>229</v>
      </c>
      <c r="B77" s="119">
        <f>IF(TRIM('HourGH-JUN'!AB22)="","",'HourGH-JUN'!AB22)</f>
        <v>337.90208333333334</v>
      </c>
      <c r="C77" s="119">
        <f>IF(TRIM('HourGH-JUN'!AB23)="","",'HourGH-JUN'!AB23)</f>
        <v>338.26875000000001</v>
      </c>
      <c r="D77" s="119">
        <f>IF(TRIM('HourGH-JUN'!AB24)="","",'HourGH-JUN'!AB24)</f>
        <v>338.00791666666669</v>
      </c>
      <c r="E77" s="119">
        <f>IF(TRIM('HourGH-JUN'!AB25)="","",'HourGH-JUN'!AB25)</f>
        <v>337.87791666666669</v>
      </c>
      <c r="F77" s="119">
        <f>IF(TRIM('HourGH-JUN'!AB26)="","",'HourGH-JUN'!AB26)</f>
        <v>337.81708333333336</v>
      </c>
      <c r="G77" s="119">
        <f>IF(TRIM('HourGH-JUN'!AB27)="","",'HourGH-JUN'!AB27)</f>
        <v>337.8</v>
      </c>
      <c r="H77" s="119">
        <f>IF(TRIM('HourGH-JUN'!AB28)="","",'HourGH-JUN'!AB28)</f>
        <v>337.8</v>
      </c>
      <c r="I77" s="119">
        <f>IF(TRIM('HourGH-JUN'!AB29)="","",'HourGH-JUN'!AB29)</f>
        <v>337.81</v>
      </c>
      <c r="J77" s="119">
        <f>IF(TRIM('HourGH-JUN'!AB30)="","",'HourGH-JUN'!AB30)</f>
        <v>337.80625000000003</v>
      </c>
      <c r="K77" s="119">
        <f>IF(TRIM('HourGH-JUN'!AB31)="","",'HourGH-JUN'!AB31)</f>
        <v>337.84500000000003</v>
      </c>
      <c r="N77" s="117">
        <f>C81</f>
        <v>337.84000000000003</v>
      </c>
      <c r="O77">
        <v>22</v>
      </c>
      <c r="P77" s="117" t="str">
        <f>C84</f>
        <v>1:00</v>
      </c>
      <c r="R77" s="117">
        <f>C87</f>
        <v>337.84000000000003</v>
      </c>
      <c r="S77">
        <v>22</v>
      </c>
      <c r="T77" s="117" t="str">
        <f>C90</f>
        <v>1:00</v>
      </c>
    </row>
    <row r="78" spans="1:20">
      <c r="A78" t="s">
        <v>230</v>
      </c>
      <c r="B78" s="119">
        <f>IF(TRIM('HourGH-JUN'!AB33)="","",'HourGH-JUN'!AB33)</f>
        <v>337.86250000000001</v>
      </c>
      <c r="C78" s="119">
        <f>IF(TRIM('HourGH-JUN'!AB34)="","",'HourGH-JUN'!AB34)</f>
        <v>337.84000000000003</v>
      </c>
      <c r="D78" s="119">
        <f>IF(TRIM('HourGH-JUN'!AB35)="","",'HourGH-JUN'!AB35)</f>
        <v>337.96208333333334</v>
      </c>
      <c r="E78" s="119">
        <f>IF(TRIM('HourGH-JUN'!AB36)="","",'HourGH-JUN'!AB36)</f>
        <v>338.16208333333333</v>
      </c>
      <c r="F78" s="119">
        <f>IF(TRIM('HourGH-JUN'!AB37)="","",'HourGH-JUN'!AB37)</f>
        <v>337.8416666666667</v>
      </c>
      <c r="G78" s="119">
        <f>IF(TRIM('HourGH-JUN'!AB38)="","",'HourGH-JUN'!AB38)</f>
        <v>337.85500000000002</v>
      </c>
      <c r="H78" s="119">
        <f>IF(TRIM('HourGH-JUN'!AB39)="","",'HourGH-JUN'!AB39)</f>
        <v>337.85125000000005</v>
      </c>
      <c r="I78" s="119">
        <f>IF(TRIM('HourGH-JUN'!AB40)="","",'HourGH-JUN'!AB40)</f>
        <v>337.83000000000004</v>
      </c>
      <c r="J78" s="119">
        <f>IF(TRIM('HourGH-JUN'!AB41)="","",'HourGH-JUN'!AB41)</f>
        <v>337.83500000000004</v>
      </c>
      <c r="K78" s="119">
        <f>IF(TRIM('HourGH-JUN'!AB42)="","",'HourGH-JUN'!AB42)</f>
        <v>337.84500000000003</v>
      </c>
      <c r="N78" s="117">
        <f>D81</f>
        <v>338.28000000000003</v>
      </c>
      <c r="O78">
        <v>23</v>
      </c>
      <c r="P78" s="117" t="str">
        <f>D84</f>
        <v>24:00</v>
      </c>
      <c r="R78" s="117">
        <f>D87</f>
        <v>337.83000000000004</v>
      </c>
      <c r="S78">
        <v>23</v>
      </c>
      <c r="T78" s="117" t="str">
        <f>D90</f>
        <v>1:00</v>
      </c>
    </row>
    <row r="79" spans="1:20">
      <c r="A79" t="s">
        <v>231</v>
      </c>
      <c r="B79" s="119">
        <f>IF(TRIM('HourGH-JUN'!AC11)="","",'HourGH-JUN'!AC11)</f>
        <v>337.83000000000004</v>
      </c>
      <c r="C79" s="119">
        <f>IF(TRIM('HourGH-JUN'!AC12)="","",'HourGH-JUN'!AC12)</f>
        <v>337.83000000000004</v>
      </c>
      <c r="D79" s="119">
        <f>IF(TRIM('HourGH-JUN'!AC13)="","",'HourGH-JUN'!AC13)</f>
        <v>337.84000000000003</v>
      </c>
      <c r="E79" s="119">
        <f>IF(TRIM('HourGH-JUN'!AC14)="","",'HourGH-JUN'!AC14)</f>
        <v>337.82000000000005</v>
      </c>
      <c r="F79" s="119">
        <f>IF(TRIM('HourGH-JUN'!AC15)="","",'HourGH-JUN'!AC15)</f>
        <v>337.8</v>
      </c>
      <c r="G79" s="119">
        <f>IF(TRIM('HourGH-JUN'!AC16)="","",'HourGH-JUN'!AC16)</f>
        <v>337.83000000000004</v>
      </c>
      <c r="H79" s="119">
        <f>IF(TRIM('HourGH-JUN'!AC17)="","",'HourGH-JUN'!AC17)</f>
        <v>337.84000000000003</v>
      </c>
      <c r="I79" s="119">
        <f>IF(TRIM('HourGH-JUN'!AC18)="","",'HourGH-JUN'!AC18)</f>
        <v>337.84000000000003</v>
      </c>
      <c r="J79" s="119">
        <f>IF(TRIM('HourGH-JUN'!AC19)="","",'HourGH-JUN'!AC19)</f>
        <v>337.84000000000003</v>
      </c>
      <c r="K79" s="119">
        <f>IF(TRIM('HourGH-JUN'!AC20)="","",'HourGH-JUN'!AC20)</f>
        <v>337.78000000000003</v>
      </c>
      <c r="N79" s="117">
        <f>E81</f>
        <v>338.32000000000005</v>
      </c>
      <c r="O79">
        <v>24</v>
      </c>
      <c r="P79" s="117" t="str">
        <f>E84</f>
        <v>3:00</v>
      </c>
      <c r="R79" s="117">
        <f>E87</f>
        <v>337.88</v>
      </c>
      <c r="S79">
        <v>24</v>
      </c>
      <c r="T79" s="117" t="str">
        <f>E90</f>
        <v>24:00</v>
      </c>
    </row>
    <row r="80" spans="1:20">
      <c r="A80" t="s">
        <v>232</v>
      </c>
      <c r="B80" s="119">
        <f>IF(TRIM('HourGH-JUN'!AC22)="","",'HourGH-JUN'!AC22)</f>
        <v>338.12</v>
      </c>
      <c r="C80" s="119">
        <f>IF(TRIM('HourGH-JUN'!AC23)="","",'HourGH-JUN'!AC23)</f>
        <v>338.34000000000003</v>
      </c>
      <c r="D80" s="119">
        <f>IF(TRIM('HourGH-JUN'!AC24)="","",'HourGH-JUN'!AC24)</f>
        <v>338.14000000000004</v>
      </c>
      <c r="E80" s="119">
        <f>IF(TRIM('HourGH-JUN'!AC25)="","",'HourGH-JUN'!AC25)</f>
        <v>337.93</v>
      </c>
      <c r="F80" s="119">
        <f>IF(TRIM('HourGH-JUN'!AC26)="","",'HourGH-JUN'!AC26)</f>
        <v>337.83000000000004</v>
      </c>
      <c r="G80" s="119">
        <f>IF(TRIM('HourGH-JUN'!AC27)="","",'HourGH-JUN'!AC27)</f>
        <v>337.8</v>
      </c>
      <c r="H80" s="119">
        <f>IF(TRIM('HourGH-JUN'!AC28)="","",'HourGH-JUN'!AC28)</f>
        <v>337.8</v>
      </c>
      <c r="I80" s="119">
        <f>IF(TRIM('HourGH-JUN'!AC29)="","",'HourGH-JUN'!AC29)</f>
        <v>337.81</v>
      </c>
      <c r="J80" s="119">
        <f>IF(TRIM('HourGH-JUN'!AC30)="","",'HourGH-JUN'!AC30)</f>
        <v>337.82000000000005</v>
      </c>
      <c r="K80" s="119">
        <f>IF(TRIM('HourGH-JUN'!AC31)="","",'HourGH-JUN'!AC31)</f>
        <v>337.86</v>
      </c>
      <c r="N80" s="117">
        <f>F81</f>
        <v>337.88</v>
      </c>
      <c r="O80">
        <v>25</v>
      </c>
      <c r="P80" s="117" t="str">
        <f>F84</f>
        <v>1:00</v>
      </c>
      <c r="R80" s="117">
        <f>F87</f>
        <v>337.83000000000004</v>
      </c>
      <c r="S80">
        <v>25</v>
      </c>
      <c r="T80" s="117" t="str">
        <f>F90</f>
        <v>12:00</v>
      </c>
    </row>
    <row r="81" spans="1:20">
      <c r="A81" t="s">
        <v>233</v>
      </c>
      <c r="B81" s="119">
        <f>IF(TRIM('HourGH-JUN'!AC33)="","",'HourGH-JUN'!AC33)</f>
        <v>337.87</v>
      </c>
      <c r="C81" s="119">
        <f>IF(TRIM('HourGH-JUN'!AC34)="","",'HourGH-JUN'!AC34)</f>
        <v>337.84000000000003</v>
      </c>
      <c r="D81" s="119">
        <f>IF(TRIM('HourGH-JUN'!AC35)="","",'HourGH-JUN'!AC35)</f>
        <v>338.28000000000003</v>
      </c>
      <c r="E81" s="119">
        <f>IF(TRIM('HourGH-JUN'!AC36)="","",'HourGH-JUN'!AC36)</f>
        <v>338.32000000000005</v>
      </c>
      <c r="F81" s="119">
        <f>IF(TRIM('HourGH-JUN'!AC37)="","",'HourGH-JUN'!AC37)</f>
        <v>337.88</v>
      </c>
      <c r="G81" s="119">
        <f>IF(TRIM('HourGH-JUN'!AC38)="","",'HourGH-JUN'!AC38)</f>
        <v>337.86</v>
      </c>
      <c r="H81" s="119">
        <f>IF(TRIM('HourGH-JUN'!AC39)="","",'HourGH-JUN'!AC39)</f>
        <v>337.86</v>
      </c>
      <c r="I81" s="119">
        <f>IF(TRIM('HourGH-JUN'!AC40)="","",'HourGH-JUN'!AC40)</f>
        <v>337.83000000000004</v>
      </c>
      <c r="J81" s="119">
        <f>IF(TRIM('HourGH-JUN'!AC41)="","",'HourGH-JUN'!AC41)</f>
        <v>337.84000000000003</v>
      </c>
      <c r="K81" s="119">
        <f>IF(TRIM('HourGH-JUN'!AC42)="","",'HourGH-JUN'!AC42)</f>
        <v>337.85</v>
      </c>
      <c r="N81" s="117">
        <f>G81</f>
        <v>337.86</v>
      </c>
      <c r="O81">
        <v>26</v>
      </c>
      <c r="P81" s="117" t="str">
        <f>G84</f>
        <v>6:00</v>
      </c>
      <c r="R81" s="117">
        <f>G87</f>
        <v>337.85</v>
      </c>
      <c r="S81">
        <v>26</v>
      </c>
      <c r="T81" s="117" t="str">
        <f>G90</f>
        <v>1:00</v>
      </c>
    </row>
    <row r="82" spans="1:20">
      <c r="A82" t="s">
        <v>219</v>
      </c>
      <c r="B82" s="119" t="str">
        <f>'HourGH-JUN'!AD11&amp;":00"</f>
        <v>1:00</v>
      </c>
      <c r="C82" s="119" t="str">
        <f>'HourGH-JUN'!AD12&amp;":00"</f>
        <v>1:00</v>
      </c>
      <c r="D82" s="119" t="str">
        <f>'HourGH-JUN'!AD13&amp;":00"</f>
        <v>13:00</v>
      </c>
      <c r="E82" s="119" t="str">
        <f>'HourGH-JUN'!AD14&amp;":00"</f>
        <v>1:00</v>
      </c>
      <c r="F82" s="119" t="str">
        <f>'HourGH-JUN'!AD15&amp;":00"</f>
        <v>13:00</v>
      </c>
      <c r="G82" s="119" t="str">
        <f>'HourGH-JUN'!AD16&amp;":00"</f>
        <v>19:00</v>
      </c>
      <c r="H82" s="119" t="str">
        <f>'HourGH-JUN'!AD17&amp;":00"</f>
        <v>1:00</v>
      </c>
      <c r="I82" s="119" t="str">
        <f>'HourGH-JUN'!AD18&amp;":00"</f>
        <v>1:00</v>
      </c>
      <c r="J82" s="119" t="str">
        <f>'HourGH-JUN'!AD19&amp;":00"</f>
        <v>1:00</v>
      </c>
      <c r="K82" s="119" t="str">
        <f>'HourGH-JUN'!AD20&amp;":00"</f>
        <v>1:00</v>
      </c>
      <c r="N82" s="117">
        <f>H81</f>
        <v>337.86</v>
      </c>
      <c r="O82">
        <v>27</v>
      </c>
      <c r="P82" s="117" t="str">
        <f>H84</f>
        <v>1:00</v>
      </c>
      <c r="R82" s="117">
        <f>H87</f>
        <v>337.84000000000003</v>
      </c>
      <c r="S82">
        <v>27</v>
      </c>
      <c r="T82" s="117" t="str">
        <f>H90</f>
        <v>18:00</v>
      </c>
    </row>
    <row r="83" spans="1:20">
      <c r="A83" t="s">
        <v>220</v>
      </c>
      <c r="B83" s="119" t="str">
        <f>'HourGH-JUN'!AD22&amp;":00"</f>
        <v>24:00</v>
      </c>
      <c r="C83" s="119" t="str">
        <f>'HourGH-JUN'!AD23&amp;":00"</f>
        <v>10:00</v>
      </c>
      <c r="D83" s="119" t="str">
        <f>'HourGH-JUN'!AD24&amp;":00"</f>
        <v>1:00</v>
      </c>
      <c r="E83" s="119" t="str">
        <f>'HourGH-JUN'!AD25&amp;":00"</f>
        <v>1:00</v>
      </c>
      <c r="F83" s="119" t="str">
        <f>'HourGH-JUN'!AD26&amp;":00"</f>
        <v>1:00</v>
      </c>
      <c r="G83" s="119" t="str">
        <f>'HourGH-JUN'!AD27&amp;":00"</f>
        <v>1:00</v>
      </c>
      <c r="H83" s="119" t="str">
        <f>'HourGH-JUN'!AD28&amp;":00"</f>
        <v>1:00</v>
      </c>
      <c r="I83" s="119" t="str">
        <f>'HourGH-JUN'!AD29&amp;":00"</f>
        <v>1:00</v>
      </c>
      <c r="J83" s="119" t="str">
        <f>'HourGH-JUN'!AD30&amp;":00"</f>
        <v>1:00</v>
      </c>
      <c r="K83" s="119" t="str">
        <f>'HourGH-JUN'!AD31&amp;":00"</f>
        <v>19:00</v>
      </c>
      <c r="N83" s="117">
        <f>I81</f>
        <v>337.83000000000004</v>
      </c>
      <c r="O83">
        <v>28</v>
      </c>
      <c r="P83" s="117" t="str">
        <f>I84</f>
        <v>1:00</v>
      </c>
      <c r="R83" s="117">
        <f>I87</f>
        <v>337.83000000000004</v>
      </c>
      <c r="S83">
        <v>28</v>
      </c>
      <c r="T83" s="117" t="str">
        <f>I90</f>
        <v>1:00</v>
      </c>
    </row>
    <row r="84" spans="1:20">
      <c r="A84" t="s">
        <v>221</v>
      </c>
      <c r="B84" s="119" t="str">
        <f>'HourGH-JUN'!AD33&amp;":00"</f>
        <v>1:00</v>
      </c>
      <c r="C84" s="119" t="str">
        <f>'HourGH-JUN'!AD34&amp;":00"</f>
        <v>1:00</v>
      </c>
      <c r="D84" s="119" t="str">
        <f>'HourGH-JUN'!AD35&amp;":00"</f>
        <v>24:00</v>
      </c>
      <c r="E84" s="119" t="str">
        <f>'HourGH-JUN'!AD36&amp;":00"</f>
        <v>3:00</v>
      </c>
      <c r="F84" s="119" t="str">
        <f>'HourGH-JUN'!AD37&amp;":00"</f>
        <v>1:00</v>
      </c>
      <c r="G84" s="119" t="str">
        <f>'HourGH-JUN'!AD38&amp;":00"</f>
        <v>6:00</v>
      </c>
      <c r="H84" s="119" t="str">
        <f>'HourGH-JUN'!AD39&amp;":00"</f>
        <v>1:00</v>
      </c>
      <c r="I84" s="119" t="str">
        <f>'HourGH-JUN'!AD40&amp;":00"</f>
        <v>1:00</v>
      </c>
      <c r="J84" s="119" t="str">
        <f>'HourGH-JUN'!AD41&amp;":00"</f>
        <v>13:00</v>
      </c>
      <c r="K84" s="119" t="str">
        <f>'HourGH-JUN'!AD42&amp;":00"</f>
        <v>1:00</v>
      </c>
      <c r="N84" s="117">
        <f>J81</f>
        <v>337.84000000000003</v>
      </c>
      <c r="O84">
        <v>29</v>
      </c>
      <c r="P84" s="117" t="str">
        <f>J84</f>
        <v>13:00</v>
      </c>
      <c r="R84" s="117">
        <f>J87</f>
        <v>337.83000000000004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'HourGH-JUN'!AE11</f>
        <v>337.83000000000004</v>
      </c>
      <c r="C85" s="129">
        <f>'HourGH-JUN'!AE12</f>
        <v>337.82000000000005</v>
      </c>
      <c r="D85" s="129">
        <f>'HourGH-JUN'!AE13</f>
        <v>337.81</v>
      </c>
      <c r="E85" s="129">
        <f>'HourGH-JUN'!AE14</f>
        <v>337.8</v>
      </c>
      <c r="F85" s="129">
        <f>'HourGH-JUN'!AE15</f>
        <v>337.79</v>
      </c>
      <c r="G85" s="129">
        <f>'HourGH-JUN'!AE16</f>
        <v>337.8</v>
      </c>
      <c r="H85" s="129">
        <f>'HourGH-JUN'!AE17</f>
        <v>337.84000000000003</v>
      </c>
      <c r="I85" s="129">
        <f>'HourGH-JUN'!AE18</f>
        <v>337.84000000000003</v>
      </c>
      <c r="J85" s="129">
        <f>'HourGH-JUN'!AE19</f>
        <v>337.78000000000003</v>
      </c>
      <c r="K85" s="129">
        <f>'HourGH-JUN'!AE20</f>
        <v>337.76000000000005</v>
      </c>
      <c r="N85" s="117">
        <f>K81</f>
        <v>337.85</v>
      </c>
      <c r="O85">
        <v>30</v>
      </c>
      <c r="P85" s="117" t="str">
        <f>K84</f>
        <v>1:00</v>
      </c>
      <c r="R85" s="117">
        <f>K87</f>
        <v>337.84000000000003</v>
      </c>
      <c r="S85">
        <v>30</v>
      </c>
      <c r="T85" s="117" t="str">
        <f>K90</f>
        <v>13:00</v>
      </c>
    </row>
    <row r="86" spans="1:20">
      <c r="A86" t="s">
        <v>235</v>
      </c>
      <c r="B86" s="129">
        <f>'HourGH-JUN'!AE22</f>
        <v>337.78000000000003</v>
      </c>
      <c r="C86" s="129">
        <f>'HourGH-JUN'!AE23</f>
        <v>338.15000000000003</v>
      </c>
      <c r="D86" s="129">
        <f>'HourGH-JUN'!AE24</f>
        <v>337.94</v>
      </c>
      <c r="E86" s="129">
        <f>'HourGH-JUN'!AE25</f>
        <v>337.83000000000004</v>
      </c>
      <c r="F86" s="129">
        <f>'HourGH-JUN'!AE26</f>
        <v>337.81</v>
      </c>
      <c r="G86" s="129">
        <f>'HourGH-JUN'!AE27</f>
        <v>337.8</v>
      </c>
      <c r="H86" s="129">
        <f>'HourGH-JUN'!AE28</f>
        <v>337.8</v>
      </c>
      <c r="I86" s="129">
        <f>'HourGH-JUN'!AE29</f>
        <v>337.81</v>
      </c>
      <c r="J86" s="129">
        <f>'HourGH-JUN'!AE30</f>
        <v>337.79</v>
      </c>
      <c r="K86" s="129">
        <f>'HourGH-JUN'!AE31</f>
        <v>337.82000000000005</v>
      </c>
    </row>
    <row r="87" spans="1:20">
      <c r="A87" t="s">
        <v>236</v>
      </c>
      <c r="B87" s="129">
        <f>'HourGH-JUN'!AE33</f>
        <v>337.85</v>
      </c>
      <c r="C87" s="129">
        <f>'HourGH-JUN'!AE34</f>
        <v>337.84000000000003</v>
      </c>
      <c r="D87" s="129">
        <f>'HourGH-JUN'!AE35</f>
        <v>337.83000000000004</v>
      </c>
      <c r="E87" s="129">
        <f>'HourGH-JUN'!AE36</f>
        <v>337.88</v>
      </c>
      <c r="F87" s="129">
        <f>'HourGH-JUN'!AE37</f>
        <v>337.83000000000004</v>
      </c>
      <c r="G87" s="129">
        <f>'HourGH-JUN'!AE38</f>
        <v>337.85</v>
      </c>
      <c r="H87" s="129">
        <f>'HourGH-JUN'!AE39</f>
        <v>337.84000000000003</v>
      </c>
      <c r="I87" s="129">
        <f>'HourGH-JUN'!AE40</f>
        <v>337.83000000000004</v>
      </c>
      <c r="J87" s="129">
        <f>'HourGH-JUN'!AE41</f>
        <v>337.83000000000004</v>
      </c>
      <c r="K87" s="129">
        <f>'HourGH-JUN'!AE42</f>
        <v>337.84000000000003</v>
      </c>
    </row>
    <row r="88" spans="1:20">
      <c r="A88" t="s">
        <v>222</v>
      </c>
      <c r="B88" s="119" t="str">
        <f>'HourGH-JUN'!AF11&amp;":00"</f>
        <v>1:00</v>
      </c>
      <c r="C88" s="119" t="str">
        <f>'HourGH-JUN'!AF12&amp;":00"</f>
        <v>13:00</v>
      </c>
      <c r="D88" s="119" t="str">
        <f>'HourGH-JUN'!AF13&amp;":00"</f>
        <v>1:00</v>
      </c>
      <c r="E88" s="119" t="str">
        <f>'HourGH-JUN'!AF14&amp;":00"</f>
        <v>19:00</v>
      </c>
      <c r="F88" s="119" t="str">
        <f>'HourGH-JUN'!AF15&amp;":00"</f>
        <v>1:00</v>
      </c>
      <c r="G88" s="119" t="str">
        <f>'HourGH-JUN'!AF16&amp;":00"</f>
        <v>1:00</v>
      </c>
      <c r="H88" s="119" t="str">
        <f>'HourGH-JUN'!AF17&amp;":00"</f>
        <v>1:00</v>
      </c>
      <c r="I88" s="119" t="str">
        <f>'HourGH-JUN'!AF18&amp;":00"</f>
        <v>1:00</v>
      </c>
      <c r="J88" s="119" t="str">
        <f>'HourGH-JUN'!AF19&amp;":00"</f>
        <v>24:00</v>
      </c>
      <c r="K88" s="119" t="str">
        <f>'HourGH-JUN'!AF20&amp;":00"</f>
        <v>13:00</v>
      </c>
      <c r="N88" s="118">
        <f>MATCH(N90,N56:N85,0)</f>
        <v>12</v>
      </c>
      <c r="P88">
        <f>MATCH(P89,R56:R85,0)</f>
        <v>10</v>
      </c>
    </row>
    <row r="89" spans="1:20">
      <c r="A89" t="s">
        <v>223</v>
      </c>
      <c r="B89" s="119" t="str">
        <f>'HourGH-JUN'!AF22&amp;":00"</f>
        <v>1:00</v>
      </c>
      <c r="C89" s="119" t="str">
        <f>'HourGH-JUN'!AF23&amp;":00"</f>
        <v>1:00</v>
      </c>
      <c r="D89" s="119" t="str">
        <f>'HourGH-JUN'!AF24&amp;":00"</f>
        <v>23:00</v>
      </c>
      <c r="E89" s="119" t="str">
        <f>'HourGH-JUN'!AF25&amp;":00"</f>
        <v>24:00</v>
      </c>
      <c r="F89" s="119" t="str">
        <f>'HourGH-JUN'!AF26&amp;":00"</f>
        <v>13:00</v>
      </c>
      <c r="G89" s="119" t="str">
        <f>'HourGH-JUN'!AF27&amp;":00"</f>
        <v>1:00</v>
      </c>
      <c r="H89" s="119" t="str">
        <f>'HourGH-JUN'!AF28&amp;":00"</f>
        <v>1:00</v>
      </c>
      <c r="I89" s="119" t="str">
        <f>'HourGH-JUN'!AF29&amp;":00"</f>
        <v>1:00</v>
      </c>
      <c r="J89" s="119" t="str">
        <f>'HourGH-JUN'!AF30&amp;":00"</f>
        <v>12:00</v>
      </c>
      <c r="K89" s="119" t="str">
        <f>'HourGH-JUN'!AF31&amp;":00"</f>
        <v>1:00</v>
      </c>
      <c r="O89" s="118" t="str">
        <f>INDEX(P56:P85,N88)</f>
        <v>10:00</v>
      </c>
      <c r="P89" s="129">
        <f>MIN(B85:K87)</f>
        <v>337.76000000000005</v>
      </c>
      <c r="R89" t="str">
        <f>INDEX(T56:T85,P88)</f>
        <v>13:00</v>
      </c>
    </row>
    <row r="90" spans="1:20">
      <c r="A90" t="s">
        <v>224</v>
      </c>
      <c r="B90" s="119" t="str">
        <f>'HourGH-JUN'!AF33&amp;":00"</f>
        <v>19:00</v>
      </c>
      <c r="C90" s="119" t="str">
        <f>'HourGH-JUN'!AF34&amp;":00"</f>
        <v>1:00</v>
      </c>
      <c r="D90" s="119" t="str">
        <f>'HourGH-JUN'!AF35&amp;":00"</f>
        <v>1:00</v>
      </c>
      <c r="E90" s="119" t="str">
        <f>'HourGH-JUN'!AF36&amp;":00"</f>
        <v>24:00</v>
      </c>
      <c r="F90" s="119" t="str">
        <f>'HourGH-JUN'!AF37&amp;":00"</f>
        <v>12:00</v>
      </c>
      <c r="G90" s="119" t="str">
        <f>'HourGH-JUN'!AF38&amp;":00"</f>
        <v>1:00</v>
      </c>
      <c r="H90" s="119" t="str">
        <f>'HourGH-JUN'!AF39&amp;":00"</f>
        <v>18:00</v>
      </c>
      <c r="I90" s="119" t="str">
        <f>'HourGH-JUN'!AF40&amp;":00"</f>
        <v>1:00</v>
      </c>
      <c r="J90" s="119" t="str">
        <f>'HourGH-JUN'!AF41&amp;":00"</f>
        <v>1:00</v>
      </c>
      <c r="K90" s="119" t="str">
        <f>'HourGH-JUN'!AF42&amp;":00"</f>
        <v>13:00</v>
      </c>
      <c r="N90" s="119">
        <f>MAX(B79:K81)</f>
        <v>338.34000000000003</v>
      </c>
      <c r="O90" s="118">
        <f>N88</f>
        <v>12</v>
      </c>
    </row>
    <row r="91" spans="1:20">
      <c r="A91" t="s">
        <v>218</v>
      </c>
      <c r="B91" s="119">
        <f>AVERAGE(B76:K78)</f>
        <v>337.86623611111105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338.34 DATE 12 TIME 10:00 MIN 337.76 DATE 10 TIME 13:00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T92"/>
  <sheetViews>
    <sheetView workbookViewId="0">
      <selection sqref="A1:L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239</v>
      </c>
      <c r="B2" s="118">
        <f>'HourGH-JUL'!W7</f>
        <v>337.6</v>
      </c>
      <c r="C2" s="118" t="str">
        <f>'HourGH-JUL'!Z7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IF(TRIM('HourGH-JUL'!C11)="","      ",'HourGH-JUL'!C11)</f>
        <v>0.23</v>
      </c>
      <c r="C4" s="128">
        <f>IF(TRIM('HourGH-JUL'!C12)="","      ",'HourGH-JUL'!C12)</f>
        <v>0.23</v>
      </c>
      <c r="D4" s="128">
        <f>IF(TRIM('HourGH-JUL'!C13)="","      ",'HourGH-JUL'!C13)</f>
        <v>0.23</v>
      </c>
      <c r="E4" s="128">
        <f>IF(TRIM('HourGH-JUL'!C14)="","      ",'HourGH-JUL'!C14)</f>
        <v>0.24</v>
      </c>
      <c r="F4" s="118">
        <f>IF(TRIM('HourGH-JUL'!C15)="","      ",'HourGH-JUL'!C15)</f>
        <v>0.27</v>
      </c>
      <c r="G4" s="118">
        <f>IF(TRIM('HourGH-JUL'!C16)="","      ",'HourGH-JUL'!C16)</f>
        <v>0.27</v>
      </c>
      <c r="H4" s="118">
        <f>IF(TRIM('HourGH-JUL'!C17)="","      ",'HourGH-JUL'!C17)</f>
        <v>0.24</v>
      </c>
      <c r="I4" s="118">
        <f>IF(TRIM('HourGH-JUL'!C18)="","      ",'HourGH-JUL'!C18)</f>
        <v>0.28000000000000003</v>
      </c>
      <c r="J4" s="118">
        <f>IF(TRIM('HourGH-JUL'!C19)="","      ",'HourGH-JUL'!C19)</f>
        <v>0.26</v>
      </c>
      <c r="K4" s="118">
        <f>IF(TRIM('HourGH-JUL'!C20)="","      ",'HourGH-JUL'!C20)</f>
        <v>0.33</v>
      </c>
    </row>
    <row r="5" spans="1:15">
      <c r="A5" s="127" t="s">
        <v>147</v>
      </c>
      <c r="B5" s="118">
        <f>IF(TRIM('HourGH-JUL'!C22)="","      ",'HourGH-JUL'!C22)</f>
        <v>0.47</v>
      </c>
      <c r="C5" s="118">
        <f>IF(TRIM('HourGH-JUL'!C23)="","      ",'HourGH-JUL'!C23)</f>
        <v>0.47</v>
      </c>
      <c r="D5" s="118">
        <f>IF(TRIM('HourGH-JUL'!C24)="","      ",'HourGH-JUL'!C24)</f>
        <v>0.44</v>
      </c>
      <c r="E5" s="118">
        <f>IF(TRIM('HourGH-JUL'!C25)="","      ",'HourGH-JUL'!C25)</f>
        <v>0.37</v>
      </c>
      <c r="F5" s="118">
        <f>IF(TRIM('HourGH-JUL'!C26)="","      ",'HourGH-JUL'!C26)</f>
        <v>0.48</v>
      </c>
      <c r="G5" s="118">
        <f>IF(TRIM('HourGH-JUL'!C27)="","      ",'HourGH-JUL'!C27)</f>
        <v>0.56000000000000005</v>
      </c>
      <c r="H5" s="118">
        <f>IF(TRIM('HourGH-JUL'!C28)="","      ",'HourGH-JUL'!C28)</f>
        <v>0.48</v>
      </c>
      <c r="I5" s="118">
        <f>IF(TRIM('HourGH-JUL'!C29)="","      ",'HourGH-JUL'!C29)</f>
        <v>0.5</v>
      </c>
      <c r="J5" s="118">
        <f>IF(TRIM('HourGH-JUL'!C30)="","      ",'HourGH-JUL'!C30)</f>
        <v>0.46</v>
      </c>
      <c r="K5" s="118">
        <f>IF(TRIM('HourGH-JUL'!C31)="","      ",'HourGH-JUL'!C31)</f>
        <v>0.4</v>
      </c>
    </row>
    <row r="6" spans="1:15">
      <c r="A6" s="127" t="s">
        <v>148</v>
      </c>
      <c r="B6" s="118">
        <f>IF(TRIM('HourGH-JUL'!C33)="","      ",'HourGH-JUL'!C33)</f>
        <v>0.34</v>
      </c>
      <c r="C6" s="118">
        <f>IF(TRIM('HourGH-JUL'!C34)="","      ",'HourGH-JUL'!C34)</f>
        <v>0.34</v>
      </c>
      <c r="D6" s="118">
        <f>IF(TRIM('HourGH-JUL'!C35)="","      ",'HourGH-JUL'!C35)</f>
        <v>0.32</v>
      </c>
      <c r="E6" s="118">
        <f>IF(TRIM('HourGH-JUL'!C36)="","      ",'HourGH-JUL'!C36)</f>
        <v>0.5</v>
      </c>
      <c r="F6" s="118">
        <f>IF(TRIM('HourGH-JUL'!C37)="","      ",'HourGH-JUL'!C37)</f>
        <v>0.52</v>
      </c>
      <c r="G6" s="118">
        <f>IF(TRIM('HourGH-JUL'!C38)="","      ",'HourGH-JUL'!C38)</f>
        <v>0.42</v>
      </c>
      <c r="H6" s="118">
        <f>IF(TRIM('HourGH-JUL'!C39)="","      ",'HourGH-JUL'!C39)</f>
        <v>0.37</v>
      </c>
      <c r="I6" s="118">
        <f>IF(TRIM('HourGH-JUL'!C40)="","      ",'HourGH-JUL'!C40)</f>
        <v>0.37</v>
      </c>
      <c r="J6" s="118">
        <f>IF(TRIM('HourGH-JUL'!C41)="","      ",'HourGH-JUL'!C41)</f>
        <v>0.4</v>
      </c>
      <c r="K6" s="118">
        <f>IF(TRIM('HourGH-JUL'!C42)="","      ",'HourGH-JUL'!C42)</f>
        <v>0.5</v>
      </c>
      <c r="L6" s="118">
        <f>IF(TRIM('HourGH-JUL'!C43)="","      ",'HourGH-JUL'!C43)</f>
        <v>0.59</v>
      </c>
    </row>
    <row r="7" spans="1:15">
      <c r="A7" s="127" t="s">
        <v>149</v>
      </c>
      <c r="B7" s="128">
        <f>IF(TRIM('HourGH-JUL'!D11)="","      ",'HourGH-JUL'!D11)</f>
        <v>0.23</v>
      </c>
      <c r="C7" s="128">
        <f>IF(TRIM('HourGH-JUL'!D12)="","      ",'HourGH-JUL'!D12)</f>
        <v>0.23</v>
      </c>
      <c r="D7" s="128">
        <f>IF(TRIM('HourGH-JUL'!D13)="","      ",'HourGH-JUL'!D13)</f>
        <v>0.23</v>
      </c>
      <c r="E7" s="128">
        <f>IF(TRIM('HourGH-JUL'!D14)="","      ",'HourGH-JUL'!D14)</f>
        <v>0.24</v>
      </c>
      <c r="F7" s="118">
        <f>IF(TRIM('HourGH-JUL'!D15)="","      ",'HourGH-JUL'!D15)</f>
        <v>0.27</v>
      </c>
      <c r="G7" s="118">
        <f>IF(TRIM('HourGH-JUL'!D16)="","      ",'HourGH-JUL'!D16)</f>
        <v>0.27</v>
      </c>
      <c r="H7" s="118">
        <f>IF(TRIM('HourGH-JUL'!D17)="","      ",'HourGH-JUL'!D17)</f>
        <v>0.24</v>
      </c>
      <c r="I7" s="118">
        <f>IF(TRIM('HourGH-JUL'!D18)="","      ",'HourGH-JUL'!D18)</f>
        <v>0.28000000000000003</v>
      </c>
      <c r="J7" s="118">
        <f>IF(TRIM('HourGH-JUL'!D19)="","      ",'HourGH-JUL'!D19)</f>
        <v>0.26</v>
      </c>
      <c r="K7" s="118">
        <f>IF(TRIM('HourGH-JUL'!D20)="","      ",'HourGH-JUL'!D20)</f>
        <v>0.34</v>
      </c>
    </row>
    <row r="8" spans="1:15">
      <c r="A8" s="127" t="s">
        <v>150</v>
      </c>
      <c r="B8" s="118">
        <f>IF(TRIM('HourGH-JUL'!D22)="","      ",'HourGH-JUL'!D22)</f>
        <v>0.47</v>
      </c>
      <c r="C8" s="118">
        <f>IF(TRIM('HourGH-JUL'!D23)="","      ",'HourGH-JUL'!D23)</f>
        <v>0.47</v>
      </c>
      <c r="D8" s="118">
        <f>IF(TRIM('HourGH-JUL'!D24)="","      ",'HourGH-JUL'!D24)</f>
        <v>0.44</v>
      </c>
      <c r="E8" s="118">
        <f>IF(TRIM('HourGH-JUL'!D25)="","      ",'HourGH-JUL'!D25)</f>
        <v>0.37</v>
      </c>
      <c r="F8" s="118">
        <f>IF(TRIM('HourGH-JUL'!D26)="","      ",'HourGH-JUL'!D26)</f>
        <v>0.5</v>
      </c>
      <c r="G8" s="118">
        <f>IF(TRIM('HourGH-JUL'!D27)="","      ",'HourGH-JUL'!D27)</f>
        <v>0.55000000000000004</v>
      </c>
      <c r="H8" s="118">
        <f>IF(TRIM('HourGH-JUL'!D28)="","      ",'HourGH-JUL'!D28)</f>
        <v>0.48</v>
      </c>
      <c r="I8" s="118">
        <f>IF(TRIM('HourGH-JUL'!D29)="","      ",'HourGH-JUL'!D29)</f>
        <v>0.5</v>
      </c>
      <c r="J8" s="118">
        <f>IF(TRIM('HourGH-JUL'!D30)="","      ",'HourGH-JUL'!D30)</f>
        <v>0.46</v>
      </c>
      <c r="K8" s="118">
        <f>IF(TRIM('HourGH-JUL'!D31)="","      ",'HourGH-JUL'!D31)</f>
        <v>0.4</v>
      </c>
    </row>
    <row r="9" spans="1:15">
      <c r="A9" s="127" t="s">
        <v>151</v>
      </c>
      <c r="B9" s="118">
        <f>IF(TRIM('HourGH-JUL'!D33)="","      ",'HourGH-JUL'!D33)</f>
        <v>0.34</v>
      </c>
      <c r="C9" s="118">
        <f>IF(TRIM('HourGH-JUL'!D34)="","      ",'HourGH-JUL'!D34)</f>
        <v>0.34</v>
      </c>
      <c r="D9" s="118">
        <f>IF(TRIM('HourGH-JUL'!D35)="","      ",'HourGH-JUL'!D35)</f>
        <v>0.32</v>
      </c>
      <c r="E9" s="118">
        <f>IF(TRIM('HourGH-JUL'!D36)="","      ",'HourGH-JUL'!D36)</f>
        <v>0.51</v>
      </c>
      <c r="F9" s="118">
        <f>IF(TRIM('HourGH-JUL'!D37)="","      ",'HourGH-JUL'!D37)</f>
        <v>0.51</v>
      </c>
      <c r="G9" s="118">
        <f>IF(TRIM('HourGH-JUL'!D38)="","      ",'HourGH-JUL'!D38)</f>
        <v>0.42</v>
      </c>
      <c r="H9" s="118">
        <f>IF(TRIM('HourGH-JUL'!D39)="","      ",'HourGH-JUL'!D39)</f>
        <v>0.37</v>
      </c>
      <c r="I9" s="118">
        <f>IF(TRIM('HourGH-JUL'!D40)="","      ",'HourGH-JUL'!D40)</f>
        <v>0.37</v>
      </c>
      <c r="J9" s="118">
        <f>IF(TRIM('HourGH-JUL'!D41)="","      ",'HourGH-JUL'!D41)</f>
        <v>0.4</v>
      </c>
      <c r="K9" s="118">
        <f>IF(TRIM('HourGH-JUL'!D42)="","      ",'HourGH-JUL'!D42)</f>
        <v>0.51</v>
      </c>
      <c r="L9" s="118">
        <f>IF(TRIM('HourGH-JUL'!D43)="","      ",'HourGH-JUL'!D43)</f>
        <v>0.59</v>
      </c>
    </row>
    <row r="10" spans="1:15">
      <c r="A10" s="127" t="s">
        <v>152</v>
      </c>
      <c r="B10" s="128">
        <f>IF(TRIM('HourGH-JUL'!E11)="","      ",'HourGH-JUL'!E11)</f>
        <v>0.23</v>
      </c>
      <c r="C10" s="128">
        <f>IF(TRIM('HourGH-JUL'!E12)="","      ",'HourGH-JUL'!E12)</f>
        <v>0.23</v>
      </c>
      <c r="D10" s="128">
        <f>IF(TRIM('HourGH-JUL'!E13)="","      ",'HourGH-JUL'!E13)</f>
        <v>0.23</v>
      </c>
      <c r="E10" s="128">
        <f>IF(TRIM('HourGH-JUL'!E14)="","      ",'HourGH-JUL'!E14)</f>
        <v>0.24</v>
      </c>
      <c r="F10" s="118">
        <f>IF(TRIM('HourGH-JUL'!E15)="","      ",'HourGH-JUL'!E15)</f>
        <v>0.27</v>
      </c>
      <c r="G10" s="118">
        <f>IF(TRIM('HourGH-JUL'!E16)="","      ",'HourGH-JUL'!E16)</f>
        <v>0.27</v>
      </c>
      <c r="H10" s="118">
        <f>IF(TRIM('HourGH-JUL'!E17)="","      ",'HourGH-JUL'!E17)</f>
        <v>0.24</v>
      </c>
      <c r="I10" s="118">
        <f>IF(TRIM('HourGH-JUL'!E18)="","      ",'HourGH-JUL'!E18)</f>
        <v>0.28000000000000003</v>
      </c>
      <c r="J10" s="118">
        <f>IF(TRIM('HourGH-JUL'!E19)="","      ",'HourGH-JUL'!E19)</f>
        <v>0.26</v>
      </c>
      <c r="K10" s="118">
        <f>IF(TRIM('HourGH-JUL'!E20)="","      ",'HourGH-JUL'!E20)</f>
        <v>0.35</v>
      </c>
    </row>
    <row r="11" spans="1:15">
      <c r="A11" s="127" t="s">
        <v>153</v>
      </c>
      <c r="B11" s="118">
        <f>IF(TRIM('HourGH-JUL'!E22)="","      ",'HourGH-JUL'!E22)</f>
        <v>0.47</v>
      </c>
      <c r="C11" s="118">
        <f>IF(TRIM('HourGH-JUL'!E23)="","      ",'HourGH-JUL'!E23)</f>
        <v>0.47</v>
      </c>
      <c r="D11" s="118">
        <f>IF(TRIM('HourGH-JUL'!E24)="","      ",'HourGH-JUL'!E24)</f>
        <v>0.44</v>
      </c>
      <c r="E11" s="118">
        <f>IF(TRIM('HourGH-JUL'!E25)="","      ",'HourGH-JUL'!E25)</f>
        <v>0.37</v>
      </c>
      <c r="F11" s="118">
        <f>IF(TRIM('HourGH-JUL'!E26)="","      ",'HourGH-JUL'!E26)</f>
        <v>0.51</v>
      </c>
      <c r="G11" s="118">
        <f>IF(TRIM('HourGH-JUL'!E27)="","      ",'HourGH-JUL'!E27)</f>
        <v>0.54</v>
      </c>
      <c r="H11" s="118">
        <f>IF(TRIM('HourGH-JUL'!E28)="","      ",'HourGH-JUL'!E28)</f>
        <v>0.48</v>
      </c>
      <c r="I11" s="118">
        <f>IF(TRIM('HourGH-JUL'!E29)="","      ",'HourGH-JUL'!E29)</f>
        <v>0.5</v>
      </c>
      <c r="J11" s="118">
        <f>IF(TRIM('HourGH-JUL'!E30)="","      ",'HourGH-JUL'!E30)</f>
        <v>0.46</v>
      </c>
      <c r="K11" s="118">
        <f>IF(TRIM('HourGH-JUL'!E31)="","      ",'HourGH-JUL'!E31)</f>
        <v>0.4</v>
      </c>
    </row>
    <row r="12" spans="1:15">
      <c r="A12" s="127" t="s">
        <v>154</v>
      </c>
      <c r="B12" s="118">
        <f>IF(TRIM('HourGH-JUL'!E33)="","      ",'HourGH-JUL'!E33)</f>
        <v>0.34</v>
      </c>
      <c r="C12" s="118">
        <f>IF(TRIM('HourGH-JUL'!E34)="","      ",'HourGH-JUL'!E34)</f>
        <v>0.34</v>
      </c>
      <c r="D12" s="118">
        <f>IF(TRIM('HourGH-JUL'!E35)="","      ",'HourGH-JUL'!E35)</f>
        <v>0.32</v>
      </c>
      <c r="E12" s="118">
        <f>IF(TRIM('HourGH-JUL'!E36)="","      ",'HourGH-JUL'!E36)</f>
        <v>0.53</v>
      </c>
      <c r="F12" s="118">
        <f>IF(TRIM('HourGH-JUL'!E37)="","      ",'HourGH-JUL'!E37)</f>
        <v>0.5</v>
      </c>
      <c r="G12" s="118">
        <f>IF(TRIM('HourGH-JUL'!E38)="","      ",'HourGH-JUL'!E38)</f>
        <v>0.42</v>
      </c>
      <c r="H12" s="118">
        <f>IF(TRIM('HourGH-JUL'!E39)="","      ",'HourGH-JUL'!E39)</f>
        <v>0.36</v>
      </c>
      <c r="I12" s="118">
        <f>IF(TRIM('HourGH-JUL'!E40)="","      ",'HourGH-JUL'!E40)</f>
        <v>0.37</v>
      </c>
      <c r="J12" s="118">
        <f>IF(TRIM('HourGH-JUL'!E41)="","      ",'HourGH-JUL'!E41)</f>
        <v>0.4</v>
      </c>
      <c r="K12" s="118">
        <f>IF(TRIM('HourGH-JUL'!E42)="","      ",'HourGH-JUL'!E42)</f>
        <v>0.52</v>
      </c>
      <c r="L12" s="118">
        <f>IF(TRIM('HourGH-JUL'!E43)="","      ",'HourGH-JUL'!E43)</f>
        <v>0.59</v>
      </c>
    </row>
    <row r="13" spans="1:15">
      <c r="A13" s="127" t="s">
        <v>155</v>
      </c>
      <c r="B13" s="128">
        <f>IF(TRIM('HourGH-JUL'!F11)="","      ",'HourGH-JUL'!F11)</f>
        <v>0.23</v>
      </c>
      <c r="C13" s="128">
        <f>IF(TRIM('HourGH-JUL'!F12)="","      ",'HourGH-JUL'!F12)</f>
        <v>0.23</v>
      </c>
      <c r="D13" s="128">
        <f>IF(TRIM('HourGH-JUL'!F13)="","      ",'HourGH-JUL'!F13)</f>
        <v>0.23</v>
      </c>
      <c r="E13" s="128">
        <f>IF(TRIM('HourGH-JUL'!F14)="","      ",'HourGH-JUL'!F14)</f>
        <v>0.24</v>
      </c>
      <c r="F13" s="118">
        <f>IF(TRIM('HourGH-JUL'!F15)="","      ",'HourGH-JUL'!F15)</f>
        <v>0.27</v>
      </c>
      <c r="G13" s="118">
        <f>IF(TRIM('HourGH-JUL'!F16)="","      ",'HourGH-JUL'!F16)</f>
        <v>0.27</v>
      </c>
      <c r="H13" s="118">
        <f>IF(TRIM('HourGH-JUL'!F17)="","      ",'HourGH-JUL'!F17)</f>
        <v>0.24</v>
      </c>
      <c r="I13" s="118">
        <f>IF(TRIM('HourGH-JUL'!F18)="","      ",'HourGH-JUL'!F18)</f>
        <v>0.28000000000000003</v>
      </c>
      <c r="J13" s="118">
        <f>IF(TRIM('HourGH-JUL'!F19)="","      ",'HourGH-JUL'!F19)</f>
        <v>0.26</v>
      </c>
      <c r="K13" s="118">
        <f>IF(TRIM('HourGH-JUL'!F20)="","      ",'HourGH-JUL'!F20)</f>
        <v>0.36</v>
      </c>
    </row>
    <row r="14" spans="1:15">
      <c r="A14" s="127" t="s">
        <v>156</v>
      </c>
      <c r="B14" s="118">
        <f>IF(TRIM('HourGH-JUL'!F22)="","      ",'HourGH-JUL'!F22)</f>
        <v>0.48</v>
      </c>
      <c r="C14" s="118">
        <f>IF(TRIM('HourGH-JUL'!F23)="","      ",'HourGH-JUL'!F23)</f>
        <v>0.47</v>
      </c>
      <c r="D14" s="118">
        <f>IF(TRIM('HourGH-JUL'!F24)="","      ",'HourGH-JUL'!F24)</f>
        <v>0.44</v>
      </c>
      <c r="E14" s="118">
        <f>IF(TRIM('HourGH-JUL'!F25)="","      ",'HourGH-JUL'!F25)</f>
        <v>0.37</v>
      </c>
      <c r="F14" s="118">
        <f>IF(TRIM('HourGH-JUL'!F26)="","      ",'HourGH-JUL'!F26)</f>
        <v>0.52</v>
      </c>
      <c r="G14" s="118">
        <f>IF(TRIM('HourGH-JUL'!F27)="","      ",'HourGH-JUL'!F27)</f>
        <v>0.54</v>
      </c>
      <c r="H14" s="118">
        <f>IF(TRIM('HourGH-JUL'!F28)="","      ",'HourGH-JUL'!F28)</f>
        <v>0.48</v>
      </c>
      <c r="I14" s="118">
        <f>IF(TRIM('HourGH-JUL'!F29)="","      ",'HourGH-JUL'!F29)</f>
        <v>0.5</v>
      </c>
      <c r="J14" s="118">
        <f>IF(TRIM('HourGH-JUL'!F30)="","      ",'HourGH-JUL'!F30)</f>
        <v>0.46</v>
      </c>
      <c r="K14" s="118">
        <f>IF(TRIM('HourGH-JUL'!F31)="","      ",'HourGH-JUL'!F31)</f>
        <v>0.4</v>
      </c>
    </row>
    <row r="15" spans="1:15">
      <c r="A15" s="127" t="s">
        <v>157</v>
      </c>
      <c r="B15" s="118">
        <f>IF(TRIM('HourGH-JUL'!F33)="","      ",'HourGH-JUL'!F33)</f>
        <v>0.34</v>
      </c>
      <c r="C15" s="118">
        <f>IF(TRIM('HourGH-JUL'!F34)="","      ",'HourGH-JUL'!F34)</f>
        <v>0.34</v>
      </c>
      <c r="D15" s="118">
        <f>IF(TRIM('HourGH-JUL'!F35)="","      ",'HourGH-JUL'!F35)</f>
        <v>0.32</v>
      </c>
      <c r="E15" s="118">
        <f>IF(TRIM('HourGH-JUL'!F36)="","      ",'HourGH-JUL'!F36)</f>
        <v>0.55000000000000004</v>
      </c>
      <c r="F15" s="118">
        <f>IF(TRIM('HourGH-JUL'!F37)="","      ",'HourGH-JUL'!F37)</f>
        <v>0.5</v>
      </c>
      <c r="G15" s="118">
        <f>IF(TRIM('HourGH-JUL'!F38)="","      ",'HourGH-JUL'!F38)</f>
        <v>0.42</v>
      </c>
      <c r="H15" s="118">
        <f>IF(TRIM('HourGH-JUL'!F39)="","      ",'HourGH-JUL'!F39)</f>
        <v>0.36</v>
      </c>
      <c r="I15" s="118">
        <f>IF(TRIM('HourGH-JUL'!F40)="","      ",'HourGH-JUL'!F40)</f>
        <v>0.37</v>
      </c>
      <c r="J15" s="118">
        <f>IF(TRIM('HourGH-JUL'!F41)="","      ",'HourGH-JUL'!F41)</f>
        <v>0.4</v>
      </c>
      <c r="K15" s="118">
        <f>IF(TRIM('HourGH-JUL'!F42)="","      ",'HourGH-JUL'!F42)</f>
        <v>0.53</v>
      </c>
      <c r="L15" s="118">
        <f>IF(TRIM('HourGH-JUL'!F43)="","      ",'HourGH-JUL'!F43)</f>
        <v>0.59</v>
      </c>
    </row>
    <row r="16" spans="1:15">
      <c r="A16" s="127" t="s">
        <v>158</v>
      </c>
      <c r="B16" s="128">
        <f>IF(TRIM('HourGH-JUL'!G11)="","      ",'HourGH-JUL'!G11)</f>
        <v>0.23</v>
      </c>
      <c r="C16" s="128">
        <f>IF(TRIM('HourGH-JUL'!G12)="","      ",'HourGH-JUL'!G12)</f>
        <v>0.23</v>
      </c>
      <c r="D16" s="128">
        <f>IF(TRIM('HourGH-JUL'!G13)="","      ",'HourGH-JUL'!G13)</f>
        <v>0.23</v>
      </c>
      <c r="E16" s="128">
        <f>IF(TRIM('HourGH-JUL'!G14)="","      ",'HourGH-JUL'!G14)</f>
        <v>0.24</v>
      </c>
      <c r="F16" s="118">
        <f>IF(TRIM('HourGH-JUL'!G15)="","      ",'HourGH-JUL'!G15)</f>
        <v>0.27</v>
      </c>
      <c r="G16" s="118">
        <f>IF(TRIM('HourGH-JUL'!G16)="","      ",'HourGH-JUL'!G16)</f>
        <v>0.27</v>
      </c>
      <c r="H16" s="118">
        <f>IF(TRIM('HourGH-JUL'!G17)="","      ",'HourGH-JUL'!G17)</f>
        <v>0.24</v>
      </c>
      <c r="I16" s="118">
        <f>IF(TRIM('HourGH-JUL'!G18)="","      ",'HourGH-JUL'!G18)</f>
        <v>0.28000000000000003</v>
      </c>
      <c r="J16" s="118">
        <f>IF(TRIM('HourGH-JUL'!G19)="","      ",'HourGH-JUL'!G19)</f>
        <v>0.26</v>
      </c>
      <c r="K16" s="118">
        <f>IF(TRIM('HourGH-JUL'!G20)="","      ",'HourGH-JUL'!G20)</f>
        <v>0.37</v>
      </c>
    </row>
    <row r="17" spans="1:12">
      <c r="A17" s="127" t="s">
        <v>159</v>
      </c>
      <c r="B17" s="118">
        <f>IF(TRIM('HourGH-JUL'!G22)="","      ",'HourGH-JUL'!G22)</f>
        <v>0.48</v>
      </c>
      <c r="C17" s="118">
        <f>IF(TRIM('HourGH-JUL'!G23)="","      ",'HourGH-JUL'!G23)</f>
        <v>0.47</v>
      </c>
      <c r="D17" s="118">
        <f>IF(TRIM('HourGH-JUL'!G24)="","      ",'HourGH-JUL'!G24)</f>
        <v>0.44</v>
      </c>
      <c r="E17" s="118">
        <f>IF(TRIM('HourGH-JUL'!G25)="","      ",'HourGH-JUL'!G25)</f>
        <v>0.37</v>
      </c>
      <c r="F17" s="118">
        <f>IF(TRIM('HourGH-JUL'!G26)="","      ",'HourGH-JUL'!G26)</f>
        <v>0.53</v>
      </c>
      <c r="G17" s="118">
        <f>IF(TRIM('HourGH-JUL'!G27)="","      ",'HourGH-JUL'!G27)</f>
        <v>0.53</v>
      </c>
      <c r="H17" s="118">
        <f>IF(TRIM('HourGH-JUL'!G28)="","      ",'HourGH-JUL'!G28)</f>
        <v>0.48</v>
      </c>
      <c r="I17" s="118">
        <f>IF(TRIM('HourGH-JUL'!G29)="","      ",'HourGH-JUL'!G29)</f>
        <v>0.5</v>
      </c>
      <c r="J17" s="118">
        <f>IF(TRIM('HourGH-JUL'!G30)="","      ",'HourGH-JUL'!G30)</f>
        <v>0.46</v>
      </c>
      <c r="K17" s="118">
        <f>IF(TRIM('HourGH-JUL'!G31)="","      ",'HourGH-JUL'!G31)</f>
        <v>0.39</v>
      </c>
    </row>
    <row r="18" spans="1:12">
      <c r="A18" s="127" t="s">
        <v>160</v>
      </c>
      <c r="B18" s="118">
        <f>IF(TRIM('HourGH-JUL'!G33)="","      ",'HourGH-JUL'!G33)</f>
        <v>0.34</v>
      </c>
      <c r="C18" s="118">
        <f>IF(TRIM('HourGH-JUL'!G34)="","      ",'HourGH-JUL'!G34)</f>
        <v>0.34</v>
      </c>
      <c r="D18" s="118">
        <f>IF(TRIM('HourGH-JUL'!G35)="","      ",'HourGH-JUL'!G35)</f>
        <v>0.32</v>
      </c>
      <c r="E18" s="118">
        <f>IF(TRIM('HourGH-JUL'!G36)="","      ",'HourGH-JUL'!G36)</f>
        <v>0.56999999999999995</v>
      </c>
      <c r="F18" s="118">
        <f>IF(TRIM('HourGH-JUL'!G37)="","      ",'HourGH-JUL'!G37)</f>
        <v>0.49</v>
      </c>
      <c r="G18" s="118">
        <f>IF(TRIM('HourGH-JUL'!G38)="","      ",'HourGH-JUL'!G38)</f>
        <v>0.42</v>
      </c>
      <c r="H18" s="118">
        <f>IF(TRIM('HourGH-JUL'!G39)="","      ",'HourGH-JUL'!G39)</f>
        <v>0.36</v>
      </c>
      <c r="I18" s="118">
        <f>IF(TRIM('HourGH-JUL'!G40)="","      ",'HourGH-JUL'!G40)</f>
        <v>0.37</v>
      </c>
      <c r="J18" s="118">
        <f>IF(TRIM('HourGH-JUL'!G41)="","      ",'HourGH-JUL'!G41)</f>
        <v>0.4</v>
      </c>
      <c r="K18" s="118">
        <f>IF(TRIM('HourGH-JUL'!G42)="","      ",'HourGH-JUL'!G42)</f>
        <v>0.53</v>
      </c>
      <c r="L18" s="118">
        <f>IF(TRIM('HourGH-JUL'!G43)="","      ",'HourGH-JUL'!G43)</f>
        <v>0.59</v>
      </c>
    </row>
    <row r="19" spans="1:12">
      <c r="A19" s="127" t="s">
        <v>161</v>
      </c>
      <c r="B19" s="128">
        <f>IF(TRIM('HourGH-JUL'!H11)="","      ",'HourGH-JUL'!H11)</f>
        <v>0.23</v>
      </c>
      <c r="C19" s="128">
        <f>IF(TRIM('HourGH-JUL'!H12)="","      ",'HourGH-JUL'!H12)</f>
        <v>0.23</v>
      </c>
      <c r="D19" s="128">
        <f>IF(TRIM('HourGH-JUL'!H13)="","      ",'HourGH-JUL'!H13)</f>
        <v>0.23</v>
      </c>
      <c r="E19" s="128">
        <f>IF(TRIM('HourGH-JUL'!H14)="","      ",'HourGH-JUL'!H14)</f>
        <v>0.24</v>
      </c>
      <c r="F19" s="118">
        <f>IF(TRIM('HourGH-JUL'!H15)="","      ",'HourGH-JUL'!H15)</f>
        <v>0.27</v>
      </c>
      <c r="G19" s="118">
        <f>IF(TRIM('HourGH-JUL'!H16)="","      ",'HourGH-JUL'!H16)</f>
        <v>0.27</v>
      </c>
      <c r="H19" s="118">
        <f>IF(TRIM('HourGH-JUL'!H17)="","      ",'HourGH-JUL'!H17)</f>
        <v>0.24</v>
      </c>
      <c r="I19" s="118">
        <f>IF(TRIM('HourGH-JUL'!H18)="","      ",'HourGH-JUL'!H18)</f>
        <v>0.28000000000000003</v>
      </c>
      <c r="J19" s="118">
        <f>IF(TRIM('HourGH-JUL'!H19)="","      ",'HourGH-JUL'!H19)</f>
        <v>0.26</v>
      </c>
      <c r="K19" s="118">
        <f>IF(TRIM('HourGH-JUL'!H20)="","      ",'HourGH-JUL'!H20)</f>
        <v>0.37</v>
      </c>
    </row>
    <row r="20" spans="1:12">
      <c r="A20" s="127" t="s">
        <v>162</v>
      </c>
      <c r="B20" s="118">
        <f>IF(TRIM('HourGH-JUL'!H22)="","      ",'HourGH-JUL'!H22)</f>
        <v>0.48</v>
      </c>
      <c r="C20" s="118">
        <f>IF(TRIM('HourGH-JUL'!H23)="","      ",'HourGH-JUL'!H23)</f>
        <v>0.47</v>
      </c>
      <c r="D20" s="118">
        <f>IF(TRIM('HourGH-JUL'!H24)="","      ",'HourGH-JUL'!H24)</f>
        <v>0.43</v>
      </c>
      <c r="E20" s="118">
        <f>IF(TRIM('HourGH-JUL'!H25)="","      ",'HourGH-JUL'!H25)</f>
        <v>0.37</v>
      </c>
      <c r="F20" s="118">
        <f>IF(TRIM('HourGH-JUL'!H26)="","      ",'HourGH-JUL'!H26)</f>
        <v>0.54</v>
      </c>
      <c r="G20" s="118">
        <f>IF(TRIM('HourGH-JUL'!H27)="","      ",'HourGH-JUL'!H27)</f>
        <v>0.53</v>
      </c>
      <c r="H20" s="118">
        <f>IF(TRIM('HourGH-JUL'!H28)="","      ",'HourGH-JUL'!H28)</f>
        <v>0.47</v>
      </c>
      <c r="I20" s="118">
        <f>IF(TRIM('HourGH-JUL'!H29)="","      ",'HourGH-JUL'!H29)</f>
        <v>0.5</v>
      </c>
      <c r="J20" s="118">
        <f>IF(TRIM('HourGH-JUL'!H30)="","      ",'HourGH-JUL'!H30)</f>
        <v>0.45</v>
      </c>
      <c r="K20" s="118">
        <f>IF(TRIM('HourGH-JUL'!H31)="","      ",'HourGH-JUL'!H31)</f>
        <v>0.39</v>
      </c>
    </row>
    <row r="21" spans="1:12">
      <c r="A21" s="127" t="s">
        <v>163</v>
      </c>
      <c r="B21" s="118">
        <f>IF(TRIM('HourGH-JUL'!H33)="","      ",'HourGH-JUL'!H33)</f>
        <v>0.34</v>
      </c>
      <c r="C21" s="118">
        <f>IF(TRIM('HourGH-JUL'!H34)="","      ",'HourGH-JUL'!H34)</f>
        <v>0.34</v>
      </c>
      <c r="D21" s="118">
        <f>IF(TRIM('HourGH-JUL'!H35)="","      ",'HourGH-JUL'!H35)</f>
        <v>0.32</v>
      </c>
      <c r="E21" s="118">
        <f>IF(TRIM('HourGH-JUL'!H36)="","      ",'HourGH-JUL'!H36)</f>
        <v>0.57999999999999996</v>
      </c>
      <c r="F21" s="118">
        <f>IF(TRIM('HourGH-JUL'!H37)="","      ",'HourGH-JUL'!H37)</f>
        <v>0.49</v>
      </c>
      <c r="G21" s="118">
        <f>IF(TRIM('HourGH-JUL'!H38)="","      ",'HourGH-JUL'!H38)</f>
        <v>0.42</v>
      </c>
      <c r="H21" s="118">
        <f>IF(TRIM('HourGH-JUL'!H39)="","      ",'HourGH-JUL'!H39)</f>
        <v>0.35</v>
      </c>
      <c r="I21" s="118">
        <f>IF(TRIM('HourGH-JUL'!H40)="","      ",'HourGH-JUL'!H40)</f>
        <v>0.38</v>
      </c>
      <c r="J21" s="118">
        <f>IF(TRIM('HourGH-JUL'!H41)="","      ",'HourGH-JUL'!H41)</f>
        <v>0.4</v>
      </c>
      <c r="K21" s="118">
        <f>IF(TRIM('HourGH-JUL'!H42)="","      ",'HourGH-JUL'!H42)</f>
        <v>0.54</v>
      </c>
      <c r="L21" s="118">
        <f>IF(TRIM('HourGH-JUL'!H43)="","      ",'HourGH-JUL'!H43)</f>
        <v>0.6</v>
      </c>
    </row>
    <row r="22" spans="1:12">
      <c r="A22" s="127" t="s">
        <v>164</v>
      </c>
      <c r="B22" s="128">
        <f>IF(TRIM('HourGH-JUL'!I11)="","      ",'HourGH-JUL'!I11)</f>
        <v>0.23</v>
      </c>
      <c r="C22" s="128">
        <f>IF(TRIM('HourGH-JUL'!I12)="","      ",'HourGH-JUL'!I12)</f>
        <v>0.23</v>
      </c>
      <c r="D22" s="128">
        <f>IF(TRIM('HourGH-JUL'!I13)="","      ",'HourGH-JUL'!I13)</f>
        <v>0.23</v>
      </c>
      <c r="E22" s="128">
        <f>IF(TRIM('HourGH-JUL'!I14)="","      ",'HourGH-JUL'!I14)</f>
        <v>0.24</v>
      </c>
      <c r="F22" s="118">
        <f>IF(TRIM('HourGH-JUL'!I15)="","      ",'HourGH-JUL'!I15)</f>
        <v>0.27</v>
      </c>
      <c r="G22" s="118">
        <f>IF(TRIM('HourGH-JUL'!I16)="","      ",'HourGH-JUL'!I16)</f>
        <v>0.26</v>
      </c>
      <c r="H22" s="128">
        <f>IF(TRIM('HourGH-JUL'!I17)="","      ",'HourGH-JUL'!I17)</f>
        <v>0.25</v>
      </c>
      <c r="I22" s="128">
        <f>IF(TRIM('HourGH-JUL'!I18)="","      ",'HourGH-JUL'!I18)</f>
        <v>0.28000000000000003</v>
      </c>
      <c r="J22" s="128">
        <f>IF(TRIM('HourGH-JUL'!I19)="","      ",'HourGH-JUL'!I19)</f>
        <v>0.26</v>
      </c>
      <c r="K22" s="128">
        <f>IF(TRIM('HourGH-JUL'!I20)="","      ",'HourGH-JUL'!I20)</f>
        <v>0.38</v>
      </c>
    </row>
    <row r="23" spans="1:12">
      <c r="A23" s="127" t="s">
        <v>165</v>
      </c>
      <c r="B23" s="128">
        <f>IF(TRIM('HourGH-JUL'!I22)="","      ",'HourGH-JUL'!I22)</f>
        <v>0.48</v>
      </c>
      <c r="C23" s="128">
        <f>IF(TRIM('HourGH-JUL'!I23)="","      ",'HourGH-JUL'!I23)</f>
        <v>0.47</v>
      </c>
      <c r="D23" s="128">
        <f>IF(TRIM('HourGH-JUL'!I24)="","      ",'HourGH-JUL'!I24)</f>
        <v>0.43</v>
      </c>
      <c r="E23" s="128">
        <f>IF(TRIM('HourGH-JUL'!I25)="","      ",'HourGH-JUL'!I25)</f>
        <v>0.37</v>
      </c>
      <c r="F23" s="118">
        <f>IF(TRIM('HourGH-JUL'!I26)="","      ",'HourGH-JUL'!I26)</f>
        <v>0.55000000000000004</v>
      </c>
      <c r="G23" s="118">
        <f>IF(TRIM('HourGH-JUL'!I27)="","      ",'HourGH-JUL'!I27)</f>
        <v>0.53</v>
      </c>
      <c r="H23" s="118">
        <f>IF(TRIM('HourGH-JUL'!I28)="","      ",'HourGH-JUL'!I28)</f>
        <v>0.47</v>
      </c>
      <c r="I23" s="118">
        <f>IF(TRIM('HourGH-JUL'!I29)="","      ",'HourGH-JUL'!I29)</f>
        <v>0.49</v>
      </c>
      <c r="J23" s="118">
        <f>IF(TRIM('HourGH-JUL'!I30)="","      ",'HourGH-JUL'!I30)</f>
        <v>0.45</v>
      </c>
      <c r="K23" s="118">
        <f>IF(TRIM('HourGH-JUL'!I31)="","      ",'HourGH-JUL'!I31)</f>
        <v>0.39</v>
      </c>
    </row>
    <row r="24" spans="1:12">
      <c r="A24" s="127" t="s">
        <v>166</v>
      </c>
      <c r="B24" s="128">
        <f>IF(TRIM('HourGH-JUL'!I33)="","      ",'HourGH-JUL'!I33)</f>
        <v>0.34</v>
      </c>
      <c r="C24" s="128">
        <f>IF(TRIM('HourGH-JUL'!I34)="","      ",'HourGH-JUL'!I34)</f>
        <v>0.34</v>
      </c>
      <c r="D24" s="128">
        <f>IF(TRIM('HourGH-JUL'!I35)="","      ",'HourGH-JUL'!I35)</f>
        <v>0.32</v>
      </c>
      <c r="E24" s="128">
        <f>IF(TRIM('HourGH-JUL'!I36)="","      ",'HourGH-JUL'!I36)</f>
        <v>0.6</v>
      </c>
      <c r="F24" s="118">
        <f>IF(TRIM('HourGH-JUL'!I37)="","      ",'HourGH-JUL'!I37)</f>
        <v>0.48</v>
      </c>
      <c r="G24" s="118">
        <f>IF(TRIM('HourGH-JUL'!I38)="","      ",'HourGH-JUL'!I38)</f>
        <v>0.42</v>
      </c>
      <c r="H24" s="118">
        <f>IF(TRIM('HourGH-JUL'!I39)="","      ",'HourGH-JUL'!I39)</f>
        <v>0.35</v>
      </c>
      <c r="I24" s="118">
        <f>IF(TRIM('HourGH-JUL'!I40)="","      ",'HourGH-JUL'!I40)</f>
        <v>0.38</v>
      </c>
      <c r="J24" s="118">
        <f>IF(TRIM('HourGH-JUL'!I41)="","      ",'HourGH-JUL'!I41)</f>
        <v>0.41</v>
      </c>
      <c r="K24" s="118">
        <f>IF(TRIM('HourGH-JUL'!I42)="","      ",'HourGH-JUL'!I42)</f>
        <v>0.54</v>
      </c>
      <c r="L24" s="118">
        <f>IF(TRIM('HourGH-JUL'!I43)="","      ",'HourGH-JUL'!I43)</f>
        <v>0.6</v>
      </c>
    </row>
    <row r="25" spans="1:12">
      <c r="A25" s="127" t="s">
        <v>167</v>
      </c>
      <c r="B25" s="128">
        <f>IF(TRIM('HourGH-JUL'!J11)="","      ",'HourGH-JUL'!J11)</f>
        <v>0.23</v>
      </c>
      <c r="C25" s="128">
        <f>IF(TRIM('HourGH-JUL'!J12)="","      ",'HourGH-JUL'!J12)</f>
        <v>0.23</v>
      </c>
      <c r="D25" s="128">
        <f>IF(TRIM('HourGH-JUL'!J13)="","      ",'HourGH-JUL'!J13)</f>
        <v>0.23</v>
      </c>
      <c r="E25" s="128">
        <f>IF(TRIM('HourGH-JUL'!J14)="","      ",'HourGH-JUL'!J14)</f>
        <v>0.24</v>
      </c>
      <c r="F25" s="118">
        <f>IF(TRIM('HourGH-JUL'!J15)="","      ",'HourGH-JUL'!J15)</f>
        <v>0.27</v>
      </c>
      <c r="G25" s="118">
        <f>IF(TRIM('HourGH-JUL'!J16)="","      ",'HourGH-JUL'!J16)</f>
        <v>0.26</v>
      </c>
      <c r="H25" s="128">
        <f>IF(TRIM('HourGH-JUL'!J17)="","      ",'HourGH-JUL'!J17)</f>
        <v>0.25</v>
      </c>
      <c r="I25" s="128">
        <f>IF(TRIM('HourGH-JUL'!J18)="","      ",'HourGH-JUL'!J18)</f>
        <v>0.28000000000000003</v>
      </c>
      <c r="J25" s="128">
        <f>IF(TRIM('HourGH-JUL'!J19)="","      ",'HourGH-JUL'!J19)</f>
        <v>0.26</v>
      </c>
      <c r="K25" s="128">
        <f>IF(TRIM('HourGH-JUL'!J20)="","      ",'HourGH-JUL'!J20)</f>
        <v>0.39</v>
      </c>
    </row>
    <row r="26" spans="1:12">
      <c r="A26" s="127" t="s">
        <v>168</v>
      </c>
      <c r="B26" s="128">
        <f>IF(TRIM('HourGH-JUL'!J22)="","      ",'HourGH-JUL'!J22)</f>
        <v>0.48</v>
      </c>
      <c r="C26" s="128">
        <f>IF(TRIM('HourGH-JUL'!J23)="","      ",'HourGH-JUL'!J23)</f>
        <v>0.47</v>
      </c>
      <c r="D26" s="128">
        <f>IF(TRIM('HourGH-JUL'!J24)="","      ",'HourGH-JUL'!J24)</f>
        <v>0.43</v>
      </c>
      <c r="E26" s="128">
        <f>IF(TRIM('HourGH-JUL'!J25)="","      ",'HourGH-JUL'!J25)</f>
        <v>0.37</v>
      </c>
      <c r="F26" s="118">
        <f>IF(TRIM('HourGH-JUL'!J26)="","      ",'HourGH-JUL'!J26)</f>
        <v>0.56000000000000005</v>
      </c>
      <c r="G26" s="118">
        <f>IF(TRIM('HourGH-JUL'!J27)="","      ",'HourGH-JUL'!J27)</f>
        <v>0.52</v>
      </c>
      <c r="H26" s="128">
        <f>IF(TRIM('HourGH-JUL'!J28)="","      ",'HourGH-JUL'!J28)</f>
        <v>0.47</v>
      </c>
      <c r="I26" s="128">
        <f>IF(TRIM('HourGH-JUL'!J29)="","      ",'HourGH-JUL'!J29)</f>
        <v>0.49</v>
      </c>
      <c r="J26" s="128">
        <f>IF(TRIM('HourGH-JUL'!J30)="","      ",'HourGH-JUL'!J30)</f>
        <v>0.45</v>
      </c>
      <c r="K26" s="128">
        <f>IF(TRIM('HourGH-JUL'!J31)="","      ",'HourGH-JUL'!J31)</f>
        <v>0.38</v>
      </c>
    </row>
    <row r="27" spans="1:12">
      <c r="A27" s="127" t="s">
        <v>169</v>
      </c>
      <c r="B27" s="128">
        <f>IF(TRIM('HourGH-JUL'!J33)="","      ",'HourGH-JUL'!J33)</f>
        <v>0.34</v>
      </c>
      <c r="C27" s="128">
        <f>IF(TRIM('HourGH-JUL'!J34)="","      ",'HourGH-JUL'!J34)</f>
        <v>0.34</v>
      </c>
      <c r="D27" s="128">
        <f>IF(TRIM('HourGH-JUL'!J35)="","      ",'HourGH-JUL'!J35)</f>
        <v>0.32</v>
      </c>
      <c r="E27" s="128">
        <f>IF(TRIM('HourGH-JUL'!J36)="","      ",'HourGH-JUL'!J36)</f>
        <v>0.61</v>
      </c>
      <c r="F27" s="118">
        <f>IF(TRIM('HourGH-JUL'!J37)="","      ",'HourGH-JUL'!J37)</f>
        <v>0.48</v>
      </c>
      <c r="G27" s="118">
        <f>IF(TRIM('HourGH-JUL'!J38)="","      ",'HourGH-JUL'!J38)</f>
        <v>0.42</v>
      </c>
      <c r="H27" s="128">
        <f>IF(TRIM('HourGH-JUL'!J39)="","      ",'HourGH-JUL'!J39)</f>
        <v>0.35</v>
      </c>
      <c r="I27" s="128">
        <f>IF(TRIM('HourGH-JUL'!J40)="","      ",'HourGH-JUL'!J40)</f>
        <v>0.38</v>
      </c>
      <c r="J27" s="128">
        <f>IF(TRIM('HourGH-JUL'!J41)="","      ",'HourGH-JUL'!J41)</f>
        <v>0.41</v>
      </c>
      <c r="K27" s="128">
        <f>IF(TRIM('HourGH-JUL'!J42)="","      ",'HourGH-JUL'!J42)</f>
        <v>0.55000000000000004</v>
      </c>
      <c r="L27" s="128">
        <f>IF(TRIM('HourGH-JUL'!J43)="","      ",'HourGH-JUL'!J43)</f>
        <v>0.6</v>
      </c>
    </row>
    <row r="28" spans="1:12">
      <c r="A28" s="127" t="s">
        <v>170</v>
      </c>
      <c r="B28" s="128">
        <f>IF(TRIM('HourGH-JUL'!K11)="","      ",'HourGH-JUL'!K11)</f>
        <v>0.23</v>
      </c>
      <c r="C28" s="128">
        <f>IF(TRIM('HourGH-JUL'!K12)="","      ",'HourGH-JUL'!K12)</f>
        <v>0.23</v>
      </c>
      <c r="D28" s="128">
        <f>IF(TRIM('HourGH-JUL'!K13)="","      ",'HourGH-JUL'!K13)</f>
        <v>0.23</v>
      </c>
      <c r="E28" s="128">
        <f>IF(TRIM('HourGH-JUL'!K14)="","      ",'HourGH-JUL'!K14)</f>
        <v>0.24</v>
      </c>
      <c r="F28" s="118">
        <f>IF(TRIM('HourGH-JUL'!K15)="","      ",'HourGH-JUL'!K15)</f>
        <v>0.27</v>
      </c>
      <c r="G28" s="118">
        <f>IF(TRIM('HourGH-JUL'!K16)="","      ",'HourGH-JUL'!K16)</f>
        <v>0.26</v>
      </c>
      <c r="H28" s="128">
        <f>IF(TRIM('HourGH-JUL'!K17)="","      ",'HourGH-JUL'!K17)</f>
        <v>0.25</v>
      </c>
      <c r="I28" s="128">
        <f>IF(TRIM('HourGH-JUL'!K18)="","      ",'HourGH-JUL'!K18)</f>
        <v>0.28000000000000003</v>
      </c>
      <c r="J28" s="128">
        <f>IF(TRIM('HourGH-JUL'!K19)="","      ",'HourGH-JUL'!K19)</f>
        <v>0.26</v>
      </c>
      <c r="K28" s="128">
        <f>IF(TRIM('HourGH-JUL'!K20)="","      ",'HourGH-JUL'!K20)</f>
        <v>0.39</v>
      </c>
    </row>
    <row r="29" spans="1:12">
      <c r="A29" s="127" t="s">
        <v>171</v>
      </c>
      <c r="B29" s="128">
        <f>IF(TRIM('HourGH-JUL'!K22)="","      ",'HourGH-JUL'!K22)</f>
        <v>0.48</v>
      </c>
      <c r="C29" s="128">
        <f>IF(TRIM('HourGH-JUL'!K23)="","      ",'HourGH-JUL'!K23)</f>
        <v>0.47</v>
      </c>
      <c r="D29" s="128">
        <f>IF(TRIM('HourGH-JUL'!K24)="","      ",'HourGH-JUL'!K24)</f>
        <v>0.43</v>
      </c>
      <c r="E29" s="128">
        <f>IF(TRIM('HourGH-JUL'!K25)="","      ",'HourGH-JUL'!K25)</f>
        <v>0.37</v>
      </c>
      <c r="F29" s="118">
        <f>IF(TRIM('HourGH-JUL'!K26)="","      ",'HourGH-JUL'!K26)</f>
        <v>0.56999999999999995</v>
      </c>
      <c r="G29" s="118">
        <f>IF(TRIM('HourGH-JUL'!K27)="","      ",'HourGH-JUL'!K27)</f>
        <v>0.52</v>
      </c>
      <c r="H29" s="128">
        <f>IF(TRIM('HourGH-JUL'!K28)="","      ",'HourGH-JUL'!K28)</f>
        <v>0.47</v>
      </c>
      <c r="I29" s="128">
        <f>IF(TRIM('HourGH-JUL'!K29)="","      ",'HourGH-JUL'!K29)</f>
        <v>0.49</v>
      </c>
      <c r="J29" s="128">
        <f>IF(TRIM('HourGH-JUL'!K30)="","      ",'HourGH-JUL'!K30)</f>
        <v>0.45</v>
      </c>
      <c r="K29" s="128">
        <f>IF(TRIM('HourGH-JUL'!K31)="","      ",'HourGH-JUL'!K31)</f>
        <v>0.38</v>
      </c>
    </row>
    <row r="30" spans="1:12">
      <c r="A30" s="127" t="s">
        <v>172</v>
      </c>
      <c r="B30" s="128">
        <f>IF(TRIM('HourGH-JUL'!K33)="","      ",'HourGH-JUL'!K33)</f>
        <v>0.34</v>
      </c>
      <c r="C30" s="128">
        <f>IF(TRIM('HourGH-JUL'!K34)="","      ",'HourGH-JUL'!K34)</f>
        <v>0.34</v>
      </c>
      <c r="D30" s="128">
        <f>IF(TRIM('HourGH-JUL'!K35)="","      ",'HourGH-JUL'!K35)</f>
        <v>0.33</v>
      </c>
      <c r="E30" s="128">
        <f>IF(TRIM('HourGH-JUL'!K36)="","      ",'HourGH-JUL'!K36)</f>
        <v>0.62</v>
      </c>
      <c r="F30" s="118">
        <f>IF(TRIM('HourGH-JUL'!K37)="","      ",'HourGH-JUL'!K37)</f>
        <v>0.47</v>
      </c>
      <c r="G30" s="118">
        <f>IF(TRIM('HourGH-JUL'!K38)="","      ",'HourGH-JUL'!K38)</f>
        <v>0.42</v>
      </c>
      <c r="H30" s="128">
        <f>IF(TRIM('HourGH-JUL'!K39)="","      ",'HourGH-JUL'!K39)</f>
        <v>0.34</v>
      </c>
      <c r="I30" s="128">
        <f>IF(TRIM('HourGH-JUL'!K40)="","      ",'HourGH-JUL'!K40)</f>
        <v>0.38</v>
      </c>
      <c r="J30" s="128">
        <f>IF(TRIM('HourGH-JUL'!K41)="","      ",'HourGH-JUL'!K41)</f>
        <v>0.42</v>
      </c>
      <c r="K30" s="128">
        <f>IF(TRIM('HourGH-JUL'!K42)="","      ",'HourGH-JUL'!K42)</f>
        <v>0.55000000000000004</v>
      </c>
      <c r="L30" s="128">
        <f>IF(TRIM('HourGH-JUL'!K43)="","      ",'HourGH-JUL'!K43)</f>
        <v>0.6</v>
      </c>
    </row>
    <row r="31" spans="1:12">
      <c r="A31" s="127" t="s">
        <v>173</v>
      </c>
      <c r="B31" s="128">
        <f>IF(TRIM('HourGH-JUL'!L11)="","      ",'HourGH-JUL'!L11)</f>
        <v>0.23</v>
      </c>
      <c r="C31" s="128">
        <f>IF(TRIM('HourGH-JUL'!L12)="","      ",'HourGH-JUL'!L12)</f>
        <v>0.23</v>
      </c>
      <c r="D31" s="128">
        <f>IF(TRIM('HourGH-JUL'!L13)="","      ",'HourGH-JUL'!L13)</f>
        <v>0.23</v>
      </c>
      <c r="E31" s="128">
        <f>IF(TRIM('HourGH-JUL'!L14)="","      ",'HourGH-JUL'!L14)</f>
        <v>0.24</v>
      </c>
      <c r="F31" s="118">
        <f>IF(TRIM('HourGH-JUL'!L15)="","      ",'HourGH-JUL'!L15)</f>
        <v>0.27</v>
      </c>
      <c r="G31" s="118">
        <f>IF(TRIM('HourGH-JUL'!L16)="","      ",'HourGH-JUL'!L16)</f>
        <v>0.26</v>
      </c>
      <c r="H31" s="128">
        <f>IF(TRIM('HourGH-JUL'!L17)="","      ",'HourGH-JUL'!L17)</f>
        <v>0.25</v>
      </c>
      <c r="I31" s="128">
        <f>IF(TRIM('HourGH-JUL'!L18)="","      ",'HourGH-JUL'!L18)</f>
        <v>0.28000000000000003</v>
      </c>
      <c r="J31" s="128">
        <f>IF(TRIM('HourGH-JUL'!L19)="","      ",'HourGH-JUL'!L19)</f>
        <v>0.26</v>
      </c>
      <c r="K31" s="128">
        <f>IF(TRIM('HourGH-JUL'!L20)="","      ",'HourGH-JUL'!L20)</f>
        <v>0.4</v>
      </c>
    </row>
    <row r="32" spans="1:12">
      <c r="A32" s="127" t="s">
        <v>174</v>
      </c>
      <c r="B32" s="128">
        <f>IF(TRIM('HourGH-JUL'!L22)="","      ",'HourGH-JUL'!L22)</f>
        <v>0.48</v>
      </c>
      <c r="C32" s="128">
        <f>IF(TRIM('HourGH-JUL'!L23)="","      ",'HourGH-JUL'!L23)</f>
        <v>0.47</v>
      </c>
      <c r="D32" s="128">
        <f>IF(TRIM('HourGH-JUL'!L24)="","      ",'HourGH-JUL'!L24)</f>
        <v>0.43</v>
      </c>
      <c r="E32" s="128">
        <f>IF(TRIM('HourGH-JUL'!L25)="","      ",'HourGH-JUL'!L25)</f>
        <v>0.37</v>
      </c>
      <c r="F32" s="118">
        <f>IF(TRIM('HourGH-JUL'!L26)="","      ",'HourGH-JUL'!L26)</f>
        <v>0.57999999999999996</v>
      </c>
      <c r="G32" s="118">
        <f>IF(TRIM('HourGH-JUL'!L27)="","      ",'HourGH-JUL'!L27)</f>
        <v>0.52</v>
      </c>
      <c r="H32" s="128">
        <f>IF(TRIM('HourGH-JUL'!L28)="","      ",'HourGH-JUL'!L28)</f>
        <v>0.47</v>
      </c>
      <c r="I32" s="128">
        <f>IF(TRIM('HourGH-JUL'!L29)="","      ",'HourGH-JUL'!L29)</f>
        <v>0.49</v>
      </c>
      <c r="J32" s="128">
        <f>IF(TRIM('HourGH-JUL'!L30)="","      ",'HourGH-JUL'!L30)</f>
        <v>0.45</v>
      </c>
      <c r="K32" s="128">
        <f>IF(TRIM('HourGH-JUL'!L31)="","      ",'HourGH-JUL'!L31)</f>
        <v>0.38</v>
      </c>
    </row>
    <row r="33" spans="1:12">
      <c r="A33" s="127" t="s">
        <v>175</v>
      </c>
      <c r="B33" s="128">
        <f>IF(TRIM('HourGH-JUL'!L33)="","      ",'HourGH-JUL'!L33)</f>
        <v>0.34</v>
      </c>
      <c r="C33" s="128">
        <f>IF(TRIM('HourGH-JUL'!L34)="","      ",'HourGH-JUL'!L34)</f>
        <v>0.34</v>
      </c>
      <c r="D33" s="128">
        <f>IF(TRIM('HourGH-JUL'!L35)="","      ",'HourGH-JUL'!L35)</f>
        <v>0.33</v>
      </c>
      <c r="E33" s="128">
        <f>IF(TRIM('HourGH-JUL'!L36)="","      ",'HourGH-JUL'!L36)</f>
        <v>0.63</v>
      </c>
      <c r="F33" s="118">
        <f>IF(TRIM('HourGH-JUL'!L37)="","      ",'HourGH-JUL'!L37)</f>
        <v>0.47</v>
      </c>
      <c r="G33" s="118">
        <f>IF(TRIM('HourGH-JUL'!L38)="","      ",'HourGH-JUL'!L38)</f>
        <v>0.42</v>
      </c>
      <c r="H33" s="128">
        <f>IF(TRIM('HourGH-JUL'!L39)="","      ",'HourGH-JUL'!L39)</f>
        <v>0.34</v>
      </c>
      <c r="I33" s="128">
        <f>IF(TRIM('HourGH-JUL'!L40)="","      ",'HourGH-JUL'!L40)</f>
        <v>0.38</v>
      </c>
      <c r="J33" s="128">
        <f>IF(TRIM('HourGH-JUL'!L41)="","      ",'HourGH-JUL'!L41)</f>
        <v>0.42</v>
      </c>
      <c r="K33" s="128">
        <f>IF(TRIM('HourGH-JUL'!L42)="","      ",'HourGH-JUL'!L42)</f>
        <v>0.55000000000000004</v>
      </c>
      <c r="L33" s="128">
        <f>IF(TRIM('HourGH-JUL'!L43)="","      ",'HourGH-JUL'!L43)</f>
        <v>0.6</v>
      </c>
    </row>
    <row r="34" spans="1:12">
      <c r="A34" s="127" t="s">
        <v>176</v>
      </c>
      <c r="B34" s="128">
        <f>IF(TRIM('HourGH-JUL'!M11)="","      ",'HourGH-JUL'!M11)</f>
        <v>0.23</v>
      </c>
      <c r="C34" s="128">
        <f>IF(TRIM('HourGH-JUL'!M12)="","      ",'HourGH-JUL'!M12)</f>
        <v>0.23</v>
      </c>
      <c r="D34" s="128">
        <f>IF(TRIM('HourGH-JUL'!M13)="","      ",'HourGH-JUL'!M13)</f>
        <v>0.23</v>
      </c>
      <c r="E34" s="128">
        <f>IF(TRIM('HourGH-JUL'!M14)="","      ",'HourGH-JUL'!M14)</f>
        <v>0.24</v>
      </c>
      <c r="F34" s="118">
        <f>IF(TRIM('HourGH-JUL'!M15)="","      ",'HourGH-JUL'!M15)</f>
        <v>0.27</v>
      </c>
      <c r="G34" s="118">
        <f>IF(TRIM('HourGH-JUL'!M16)="","      ",'HourGH-JUL'!M16)</f>
        <v>0.26</v>
      </c>
      <c r="H34" s="128">
        <f>IF(TRIM('HourGH-JUL'!M17)="","      ",'HourGH-JUL'!M17)</f>
        <v>0.25</v>
      </c>
      <c r="I34" s="128">
        <f>IF(TRIM('HourGH-JUL'!M18)="","      ",'HourGH-JUL'!M18)</f>
        <v>0.28000000000000003</v>
      </c>
      <c r="J34" s="128">
        <f>IF(TRIM('HourGH-JUL'!M19)="","      ",'HourGH-JUL'!M19)</f>
        <v>0.26</v>
      </c>
      <c r="K34" s="128">
        <f>IF(TRIM('HourGH-JUL'!M20)="","      ",'HourGH-JUL'!M20)</f>
        <v>0.4</v>
      </c>
    </row>
    <row r="35" spans="1:12">
      <c r="A35" s="127" t="s">
        <v>177</v>
      </c>
      <c r="B35" s="128">
        <f>IF(TRIM('HourGH-JUL'!M22)="","      ",'HourGH-JUL'!M22)</f>
        <v>0.48</v>
      </c>
      <c r="C35" s="128">
        <f>IF(TRIM('HourGH-JUL'!M23)="","      ",'HourGH-JUL'!M23)</f>
        <v>0.47</v>
      </c>
      <c r="D35" s="128">
        <f>IF(TRIM('HourGH-JUL'!M24)="","      ",'HourGH-JUL'!M24)</f>
        <v>0.42</v>
      </c>
      <c r="E35" s="128">
        <f>IF(TRIM('HourGH-JUL'!M25)="","      ",'HourGH-JUL'!M25)</f>
        <v>0.37</v>
      </c>
      <c r="F35" s="118">
        <f>IF(TRIM('HourGH-JUL'!M26)="","      ",'HourGH-JUL'!M26)</f>
        <v>0.59</v>
      </c>
      <c r="G35" s="118">
        <f>IF(TRIM('HourGH-JUL'!M27)="","      ",'HourGH-JUL'!M27)</f>
        <v>0.51</v>
      </c>
      <c r="H35" s="128">
        <f>IF(TRIM('HourGH-JUL'!M28)="","      ",'HourGH-JUL'!M28)</f>
        <v>0.47</v>
      </c>
      <c r="I35" s="128">
        <f>IF(TRIM('HourGH-JUL'!M29)="","      ",'HourGH-JUL'!M29)</f>
        <v>0.49</v>
      </c>
      <c r="J35" s="128">
        <f>IF(TRIM('HourGH-JUL'!M30)="","      ",'HourGH-JUL'!M30)</f>
        <v>0.45</v>
      </c>
      <c r="K35" s="128">
        <f>IF(TRIM('HourGH-JUL'!M31)="","      ",'HourGH-JUL'!M31)</f>
        <v>0.37</v>
      </c>
    </row>
    <row r="36" spans="1:12">
      <c r="A36" s="127" t="s">
        <v>178</v>
      </c>
      <c r="B36" s="128">
        <f>IF(TRIM('HourGH-JUL'!M33)="","      ",'HourGH-JUL'!M33)</f>
        <v>0.34</v>
      </c>
      <c r="C36" s="128">
        <f>IF(TRIM('HourGH-JUL'!M34)="","      ",'HourGH-JUL'!M34)</f>
        <v>0.34</v>
      </c>
      <c r="D36" s="128">
        <f>IF(TRIM('HourGH-JUL'!M35)="","      ",'HourGH-JUL'!M35)</f>
        <v>0.33</v>
      </c>
      <c r="E36" s="128">
        <f>IF(TRIM('HourGH-JUL'!M36)="","      ",'HourGH-JUL'!M36)</f>
        <v>0.64</v>
      </c>
      <c r="F36" s="118">
        <f>IF(TRIM('HourGH-JUL'!M37)="","      ",'HourGH-JUL'!M37)</f>
        <v>0.46</v>
      </c>
      <c r="G36" s="118">
        <f>IF(TRIM('HourGH-JUL'!M38)="","      ",'HourGH-JUL'!M38)</f>
        <v>0.42</v>
      </c>
      <c r="H36" s="128">
        <f>IF(TRIM('HourGH-JUL'!M39)="","      ",'HourGH-JUL'!M39)</f>
        <v>0.34</v>
      </c>
      <c r="I36" s="128">
        <f>IF(TRIM('HourGH-JUL'!M40)="","      ",'HourGH-JUL'!M40)</f>
        <v>0.38</v>
      </c>
      <c r="J36" s="128">
        <f>IF(TRIM('HourGH-JUL'!M41)="","      ",'HourGH-JUL'!M41)</f>
        <v>0.43</v>
      </c>
      <c r="K36" s="128">
        <f>IF(TRIM('HourGH-JUL'!M42)="","      ",'HourGH-JUL'!M42)</f>
        <v>0.56000000000000005</v>
      </c>
      <c r="L36" s="128">
        <f>IF(TRIM('HourGH-JUL'!M43)="","      ",'HourGH-JUL'!M43)</f>
        <v>0.6</v>
      </c>
    </row>
    <row r="37" spans="1:12">
      <c r="A37" s="127" t="s">
        <v>179</v>
      </c>
      <c r="B37" s="128">
        <f>IF(TRIM('HourGH-JUL'!N11)="","      ",'HourGH-JUL'!N11)</f>
        <v>0.23</v>
      </c>
      <c r="C37" s="128">
        <f>IF(TRIM('HourGH-JUL'!N12)="","      ",'HourGH-JUL'!N12)</f>
        <v>0.23</v>
      </c>
      <c r="D37" s="128">
        <f>IF(TRIM('HourGH-JUL'!N13)="","      ",'HourGH-JUL'!N13)</f>
        <v>0.23</v>
      </c>
      <c r="E37" s="128">
        <f>IF(TRIM('HourGH-JUL'!N14)="","      ",'HourGH-JUL'!N14)</f>
        <v>0.24</v>
      </c>
      <c r="F37" s="118">
        <f>IF(TRIM('HourGH-JUL'!N15)="","      ",'HourGH-JUL'!N15)</f>
        <v>0.27</v>
      </c>
      <c r="G37" s="118">
        <f>IF(TRIM('HourGH-JUL'!N16)="","      ",'HourGH-JUL'!N16)</f>
        <v>0.26</v>
      </c>
      <c r="H37" s="128">
        <f>IF(TRIM('HourGH-JUL'!N17)="","      ",'HourGH-JUL'!N17)</f>
        <v>0.25</v>
      </c>
      <c r="I37" s="128">
        <f>IF(TRIM('HourGH-JUL'!N18)="","      ",'HourGH-JUL'!N18)</f>
        <v>0.28000000000000003</v>
      </c>
      <c r="J37" s="128">
        <f>IF(TRIM('HourGH-JUL'!N19)="","      ",'HourGH-JUL'!N19)</f>
        <v>0.27</v>
      </c>
      <c r="K37" s="128">
        <f>IF(TRIM('HourGH-JUL'!N20)="","      ",'HourGH-JUL'!N20)</f>
        <v>0.41</v>
      </c>
    </row>
    <row r="38" spans="1:12">
      <c r="A38" s="127" t="s">
        <v>180</v>
      </c>
      <c r="B38" s="128">
        <f>IF(TRIM('HourGH-JUL'!N22)="","      ",'HourGH-JUL'!N22)</f>
        <v>0.48</v>
      </c>
      <c r="C38" s="128">
        <f>IF(TRIM('HourGH-JUL'!N23)="","      ",'HourGH-JUL'!N23)</f>
        <v>0.46</v>
      </c>
      <c r="D38" s="128">
        <f>IF(TRIM('HourGH-JUL'!N24)="","      ",'HourGH-JUL'!N24)</f>
        <v>0.42</v>
      </c>
      <c r="E38" s="128">
        <f>IF(TRIM('HourGH-JUL'!N25)="","      ",'HourGH-JUL'!N25)</f>
        <v>0.38</v>
      </c>
      <c r="F38" s="118">
        <f>IF(TRIM('HourGH-JUL'!N26)="","      ",'HourGH-JUL'!N26)</f>
        <v>0.6</v>
      </c>
      <c r="G38" s="118">
        <f>IF(TRIM('HourGH-JUL'!N27)="","      ",'HourGH-JUL'!N27)</f>
        <v>0.51</v>
      </c>
      <c r="H38" s="128">
        <f>IF(TRIM('HourGH-JUL'!N28)="","      ",'HourGH-JUL'!N28)</f>
        <v>0.47</v>
      </c>
      <c r="I38" s="128">
        <f>IF(TRIM('HourGH-JUL'!N29)="","      ",'HourGH-JUL'!N29)</f>
        <v>0.48</v>
      </c>
      <c r="J38" s="128">
        <f>IF(TRIM('HourGH-JUL'!N30)="","      ",'HourGH-JUL'!N30)</f>
        <v>0.45</v>
      </c>
      <c r="K38" s="128">
        <f>IF(TRIM('HourGH-JUL'!N31)="","      ",'HourGH-JUL'!N31)</f>
        <v>0.37</v>
      </c>
    </row>
    <row r="39" spans="1:12">
      <c r="A39" s="127" t="s">
        <v>181</v>
      </c>
      <c r="B39" s="128">
        <f>IF(TRIM('HourGH-JUL'!N33)="","      ",'HourGH-JUL'!N33)</f>
        <v>0.34</v>
      </c>
      <c r="C39" s="128">
        <f>IF(TRIM('HourGH-JUL'!N34)="","      ",'HourGH-JUL'!N34)</f>
        <v>0.34</v>
      </c>
      <c r="D39" s="128">
        <f>IF(TRIM('HourGH-JUL'!N35)="","      ",'HourGH-JUL'!N35)</f>
        <v>0.33</v>
      </c>
      <c r="E39" s="128">
        <f>IF(TRIM('HourGH-JUL'!N36)="","      ",'HourGH-JUL'!N36)</f>
        <v>0.64</v>
      </c>
      <c r="F39" s="118">
        <f>IF(TRIM('HourGH-JUL'!N37)="","      ",'HourGH-JUL'!N37)</f>
        <v>0.46</v>
      </c>
      <c r="G39" s="118">
        <f>IF(TRIM('HourGH-JUL'!N38)="","      ",'HourGH-JUL'!N38)</f>
        <v>0.42</v>
      </c>
      <c r="H39" s="128">
        <f>IF(TRIM('HourGH-JUL'!N39)="","      ",'HourGH-JUL'!N39)</f>
        <v>0.34</v>
      </c>
      <c r="I39" s="128">
        <f>IF(TRIM('HourGH-JUL'!N40)="","      ",'HourGH-JUL'!N40)</f>
        <v>0.38</v>
      </c>
      <c r="J39" s="128">
        <f>IF(TRIM('HourGH-JUL'!N41)="","      ",'HourGH-JUL'!N41)</f>
        <v>0.43</v>
      </c>
      <c r="K39" s="128">
        <f>IF(TRIM('HourGH-JUL'!N42)="","      ",'HourGH-JUL'!N42)</f>
        <v>0.56000000000000005</v>
      </c>
      <c r="L39" s="128">
        <f>IF(TRIM('HourGH-JUL'!N43)="","      ",'HourGH-JUL'!N43)</f>
        <v>0.6</v>
      </c>
    </row>
    <row r="40" spans="1:12">
      <c r="A40" s="127" t="s">
        <v>182</v>
      </c>
      <c r="B40" s="128">
        <f>IF(TRIM('HourGH-JUL'!O11)="","      ",'HourGH-JUL'!O11)</f>
        <v>0.23</v>
      </c>
      <c r="C40" s="128">
        <f>IF(TRIM('HourGH-JUL'!O12)="","      ",'HourGH-JUL'!O12)</f>
        <v>0.23</v>
      </c>
      <c r="D40" s="128">
        <f>IF(TRIM('HourGH-JUL'!O13)="","      ",'HourGH-JUL'!O13)</f>
        <v>0.23</v>
      </c>
      <c r="E40" s="128">
        <f>IF(TRIM('HourGH-JUL'!O14)="","      ",'HourGH-JUL'!O14)</f>
        <v>0.25</v>
      </c>
      <c r="F40" s="118">
        <f>IF(TRIM('HourGH-JUL'!O15)="","      ",'HourGH-JUL'!O15)</f>
        <v>0.27</v>
      </c>
      <c r="G40" s="118">
        <f>IF(TRIM('HourGH-JUL'!O16)="","      ",'HourGH-JUL'!O16)</f>
        <v>0.25</v>
      </c>
      <c r="H40" s="128">
        <f>IF(TRIM('HourGH-JUL'!O17)="","      ",'HourGH-JUL'!O17)</f>
        <v>0.26</v>
      </c>
      <c r="I40" s="128">
        <f>IF(TRIM('HourGH-JUL'!O18)="","      ",'HourGH-JUL'!O18)</f>
        <v>0.27</v>
      </c>
      <c r="J40" s="128">
        <f>IF(TRIM('HourGH-JUL'!O19)="","      ",'HourGH-JUL'!O19)</f>
        <v>0.27</v>
      </c>
      <c r="K40" s="128">
        <f>IF(TRIM('HourGH-JUL'!O20)="","      ",'HourGH-JUL'!O20)</f>
        <v>0.41</v>
      </c>
    </row>
    <row r="41" spans="1:12">
      <c r="A41" s="127" t="s">
        <v>183</v>
      </c>
      <c r="B41" s="128">
        <f>IF(TRIM('HourGH-JUL'!O22)="","      ",'HourGH-JUL'!O22)</f>
        <v>0.47</v>
      </c>
      <c r="C41" s="128">
        <f>IF(TRIM('HourGH-JUL'!O23)="","      ",'HourGH-JUL'!O23)</f>
        <v>0.46</v>
      </c>
      <c r="D41" s="128">
        <f>IF(TRIM('HourGH-JUL'!O24)="","      ",'HourGH-JUL'!O24)</f>
        <v>0.41</v>
      </c>
      <c r="E41" s="128">
        <f>IF(TRIM('HourGH-JUL'!O25)="","      ",'HourGH-JUL'!O25)</f>
        <v>0.38</v>
      </c>
      <c r="F41" s="118">
        <f>IF(TRIM('HourGH-JUL'!O26)="","      ",'HourGH-JUL'!O26)</f>
        <v>0.61</v>
      </c>
      <c r="G41" s="118">
        <f>IF(TRIM('HourGH-JUL'!O27)="","      ",'HourGH-JUL'!O27)</f>
        <v>0.51</v>
      </c>
      <c r="H41" s="128">
        <f>IF(TRIM('HourGH-JUL'!O28)="","      ",'HourGH-JUL'!O28)</f>
        <v>0.48</v>
      </c>
      <c r="I41" s="128">
        <f>IF(TRIM('HourGH-JUL'!O29)="","      ",'HourGH-JUL'!O29)</f>
        <v>0.48</v>
      </c>
      <c r="J41" s="128">
        <f>IF(TRIM('HourGH-JUL'!O30)="","      ",'HourGH-JUL'!O30)</f>
        <v>0.44</v>
      </c>
      <c r="K41" s="128">
        <f>IF(TRIM('HourGH-JUL'!O31)="","      ",'HourGH-JUL'!O31)</f>
        <v>0.37</v>
      </c>
    </row>
    <row r="42" spans="1:12">
      <c r="A42" s="127" t="s">
        <v>184</v>
      </c>
      <c r="B42" s="128">
        <f>IF(TRIM('HourGH-JUL'!O33)="","      ",'HourGH-JUL'!O33)</f>
        <v>0.34</v>
      </c>
      <c r="C42" s="128">
        <f>IF(TRIM('HourGH-JUL'!O34)="","      ",'HourGH-JUL'!O34)</f>
        <v>0.33</v>
      </c>
      <c r="D42" s="128">
        <f>IF(TRIM('HourGH-JUL'!O35)="","      ",'HourGH-JUL'!O35)</f>
        <v>0.34</v>
      </c>
      <c r="E42" s="128">
        <f>IF(TRIM('HourGH-JUL'!O36)="","      ",'HourGH-JUL'!O36)</f>
        <v>0.64</v>
      </c>
      <c r="F42" s="118">
        <f>IF(TRIM('HourGH-JUL'!O37)="","      ",'HourGH-JUL'!O37)</f>
        <v>0.45</v>
      </c>
      <c r="G42" s="118">
        <f>IF(TRIM('HourGH-JUL'!O38)="","      ",'HourGH-JUL'!O38)</f>
        <v>0.41</v>
      </c>
      <c r="H42" s="128">
        <f>IF(TRIM('HourGH-JUL'!O39)="","      ",'HourGH-JUL'!O39)</f>
        <v>0.34</v>
      </c>
      <c r="I42" s="128">
        <f>IF(TRIM('HourGH-JUL'!O40)="","      ",'HourGH-JUL'!O40)</f>
        <v>0.39</v>
      </c>
      <c r="J42" s="128">
        <f>IF(TRIM('HourGH-JUL'!O41)="","      ",'HourGH-JUL'!O41)</f>
        <v>0.43</v>
      </c>
      <c r="K42" s="128">
        <f>IF(TRIM('HourGH-JUL'!O42)="","      ",'HourGH-JUL'!O42)</f>
        <v>0.56000000000000005</v>
      </c>
      <c r="L42" s="128">
        <f>IF(TRIM('HourGH-JUL'!O43)="","      ",'HourGH-JUL'!O43)</f>
        <v>0.6</v>
      </c>
    </row>
    <row r="43" spans="1:12">
      <c r="A43" s="127" t="s">
        <v>185</v>
      </c>
      <c r="B43" s="128">
        <f>IF(TRIM('HourGH-JUL'!P11)="","      ",'HourGH-JUL'!P11)</f>
        <v>0.23</v>
      </c>
      <c r="C43" s="128">
        <f>IF(TRIM('HourGH-JUL'!P12)="","      ",'HourGH-JUL'!P12)</f>
        <v>0.23</v>
      </c>
      <c r="D43" s="128">
        <f>IF(TRIM('HourGH-JUL'!P13)="","      ",'HourGH-JUL'!P13)</f>
        <v>0.23</v>
      </c>
      <c r="E43" s="128">
        <f>IF(TRIM('HourGH-JUL'!P14)="","      ",'HourGH-JUL'!P14)</f>
        <v>0.25</v>
      </c>
      <c r="F43" s="118">
        <f>IF(TRIM('HourGH-JUL'!P15)="","      ",'HourGH-JUL'!P15)</f>
        <v>0.27</v>
      </c>
      <c r="G43" s="118">
        <f>IF(TRIM('HourGH-JUL'!P16)="","      ",'HourGH-JUL'!P16)</f>
        <v>0.25</v>
      </c>
      <c r="H43" s="128">
        <f>IF(TRIM('HourGH-JUL'!P17)="","      ",'HourGH-JUL'!P17)</f>
        <v>0.26</v>
      </c>
      <c r="I43" s="128">
        <f>IF(TRIM('HourGH-JUL'!P18)="","      ",'HourGH-JUL'!P18)</f>
        <v>0.27</v>
      </c>
      <c r="J43" s="128">
        <f>IF(TRIM('HourGH-JUL'!P19)="","      ",'HourGH-JUL'!P19)</f>
        <v>0.28000000000000003</v>
      </c>
      <c r="K43" s="128">
        <f>IF(TRIM('HourGH-JUL'!P20)="","      ",'HourGH-JUL'!P20)</f>
        <v>0.42</v>
      </c>
    </row>
    <row r="44" spans="1:12">
      <c r="A44" s="127" t="s">
        <v>186</v>
      </c>
      <c r="B44" s="128">
        <f>IF(TRIM('HourGH-JUL'!P22)="","      ",'HourGH-JUL'!P22)</f>
        <v>0.47</v>
      </c>
      <c r="C44" s="128">
        <f>IF(TRIM('HourGH-JUL'!P23)="","      ",'HourGH-JUL'!P23)</f>
        <v>0.46</v>
      </c>
      <c r="D44" s="128">
        <f>IF(TRIM('HourGH-JUL'!P24)="","      ",'HourGH-JUL'!P24)</f>
        <v>0.41</v>
      </c>
      <c r="E44" s="128">
        <f>IF(TRIM('HourGH-JUL'!P25)="","      ",'HourGH-JUL'!P25)</f>
        <v>0.38</v>
      </c>
      <c r="F44" s="118">
        <f>IF(TRIM('HourGH-JUL'!P26)="","      ",'HourGH-JUL'!P26)</f>
        <v>0.62</v>
      </c>
      <c r="G44" s="118">
        <f>IF(TRIM('HourGH-JUL'!P27)="","      ",'HourGH-JUL'!P27)</f>
        <v>0.5</v>
      </c>
      <c r="H44" s="128">
        <f>IF(TRIM('HourGH-JUL'!P28)="","      ",'HourGH-JUL'!P28)</f>
        <v>0.48</v>
      </c>
      <c r="I44" s="128">
        <f>IF(TRIM('HourGH-JUL'!P29)="","      ",'HourGH-JUL'!P29)</f>
        <v>0.48</v>
      </c>
      <c r="J44" s="128">
        <f>IF(TRIM('HourGH-JUL'!P30)="","      ",'HourGH-JUL'!P30)</f>
        <v>0.44</v>
      </c>
      <c r="K44" s="128">
        <f>IF(TRIM('HourGH-JUL'!P31)="","      ",'HourGH-JUL'!P31)</f>
        <v>0.36</v>
      </c>
    </row>
    <row r="45" spans="1:12">
      <c r="A45" s="127" t="s">
        <v>187</v>
      </c>
      <c r="B45" s="128">
        <f>IF(TRIM('HourGH-JUL'!P33)="","      ",'HourGH-JUL'!P33)</f>
        <v>0.34</v>
      </c>
      <c r="C45" s="128">
        <f>IF(TRIM('HourGH-JUL'!P34)="","      ",'HourGH-JUL'!P34)</f>
        <v>0.33</v>
      </c>
      <c r="D45" s="128">
        <f>IF(TRIM('HourGH-JUL'!P35)="","      ",'HourGH-JUL'!P35)</f>
        <v>0.34</v>
      </c>
      <c r="E45" s="128">
        <f>IF(TRIM('HourGH-JUL'!P36)="","      ",'HourGH-JUL'!P36)</f>
        <v>0.63</v>
      </c>
      <c r="F45" s="118">
        <f>IF(TRIM('HourGH-JUL'!P37)="","      ",'HourGH-JUL'!P37)</f>
        <v>0.45</v>
      </c>
      <c r="G45" s="118">
        <f>IF(TRIM('HourGH-JUL'!P38)="","      ",'HourGH-JUL'!P38)</f>
        <v>0.41</v>
      </c>
      <c r="H45" s="128">
        <f>IF(TRIM('HourGH-JUL'!P39)="","      ",'HourGH-JUL'!P39)</f>
        <v>0.34</v>
      </c>
      <c r="I45" s="128">
        <f>IF(TRIM('HourGH-JUL'!P40)="","      ",'HourGH-JUL'!P40)</f>
        <v>0.39</v>
      </c>
      <c r="J45" s="128">
        <f>IF(TRIM('HourGH-JUL'!P41)="","      ",'HourGH-JUL'!P41)</f>
        <v>0.44</v>
      </c>
      <c r="K45" s="128">
        <f>IF(TRIM('HourGH-JUL'!P42)="","      ",'HourGH-JUL'!P42)</f>
        <v>0.56999999999999995</v>
      </c>
      <c r="L45" s="128">
        <f>IF(TRIM('HourGH-JUL'!P43)="","      ",'HourGH-JUL'!P43)</f>
        <v>0.6</v>
      </c>
    </row>
    <row r="46" spans="1:12">
      <c r="A46" s="127" t="s">
        <v>188</v>
      </c>
      <c r="B46" s="128">
        <f>IF(TRIM('HourGH-JUL'!Q11)="","      ",'HourGH-JUL'!Q11)</f>
        <v>0.23</v>
      </c>
      <c r="C46" s="128">
        <f>IF(TRIM('HourGH-JUL'!Q12)="","      ",'HourGH-JUL'!Q12)</f>
        <v>0.23</v>
      </c>
      <c r="D46" s="128">
        <f>IF(TRIM('HourGH-JUL'!Q13)="","      ",'HourGH-JUL'!Q13)</f>
        <v>0.23</v>
      </c>
      <c r="E46" s="128">
        <f>IF(TRIM('HourGH-JUL'!Q14)="","      ",'HourGH-JUL'!Q14)</f>
        <v>0.25</v>
      </c>
      <c r="F46" s="118">
        <f>IF(TRIM('HourGH-JUL'!Q15)="","      ",'HourGH-JUL'!Q15)</f>
        <v>0.27</v>
      </c>
      <c r="G46" s="118">
        <f>IF(TRIM('HourGH-JUL'!Q16)="","      ",'HourGH-JUL'!Q16)</f>
        <v>0.25</v>
      </c>
      <c r="H46" s="128">
        <f>IF(TRIM('HourGH-JUL'!Q17)="","      ",'HourGH-JUL'!Q17)</f>
        <v>0.26</v>
      </c>
      <c r="I46" s="128">
        <f>IF(TRIM('HourGH-JUL'!Q18)="","      ",'HourGH-JUL'!Q18)</f>
        <v>0.27</v>
      </c>
      <c r="J46" s="128">
        <f>IF(TRIM('HourGH-JUL'!Q19)="","      ",'HourGH-JUL'!Q19)</f>
        <v>0.28000000000000003</v>
      </c>
      <c r="K46" s="128">
        <f>IF(TRIM('HourGH-JUL'!Q20)="","      ",'HourGH-JUL'!Q20)</f>
        <v>0.42</v>
      </c>
    </row>
    <row r="47" spans="1:12">
      <c r="A47" s="127" t="s">
        <v>189</v>
      </c>
      <c r="B47" s="128">
        <f>IF(TRIM('HourGH-JUL'!Q22)="","      ",'HourGH-JUL'!Q22)</f>
        <v>0.47</v>
      </c>
      <c r="C47" s="128">
        <f>IF(TRIM('HourGH-JUL'!Q23)="","      ",'HourGH-JUL'!Q23)</f>
        <v>0.46</v>
      </c>
      <c r="D47" s="128">
        <f>IF(TRIM('HourGH-JUL'!Q24)="","      ",'HourGH-JUL'!Q24)</f>
        <v>0.4</v>
      </c>
      <c r="E47" s="128">
        <f>IF(TRIM('HourGH-JUL'!Q25)="","      ",'HourGH-JUL'!Q25)</f>
        <v>0.39</v>
      </c>
      <c r="F47" s="118">
        <f>IF(TRIM('HourGH-JUL'!Q26)="","      ",'HourGH-JUL'!Q26)</f>
        <v>0.62</v>
      </c>
      <c r="G47" s="118">
        <f>IF(TRIM('HourGH-JUL'!Q27)="","      ",'HourGH-JUL'!Q27)</f>
        <v>0.5</v>
      </c>
      <c r="H47" s="128">
        <f>IF(TRIM('HourGH-JUL'!Q28)="","      ",'HourGH-JUL'!Q28)</f>
        <v>0.48</v>
      </c>
      <c r="I47" s="128">
        <f>IF(TRIM('HourGH-JUL'!Q29)="","      ",'HourGH-JUL'!Q29)</f>
        <v>0.48</v>
      </c>
      <c r="J47" s="128">
        <f>IF(TRIM('HourGH-JUL'!Q30)="","      ",'HourGH-JUL'!Q30)</f>
        <v>0.44</v>
      </c>
      <c r="K47" s="128">
        <f>IF(TRIM('HourGH-JUL'!Q31)="","      ",'HourGH-JUL'!Q31)</f>
        <v>0.36</v>
      </c>
    </row>
    <row r="48" spans="1:12">
      <c r="A48" s="127" t="s">
        <v>190</v>
      </c>
      <c r="B48" s="128">
        <f>IF(TRIM('HourGH-JUL'!Q33)="","      ",'HourGH-JUL'!Q33)</f>
        <v>0.34</v>
      </c>
      <c r="C48" s="128">
        <f>IF(TRIM('HourGH-JUL'!Q34)="","      ",'HourGH-JUL'!Q34)</f>
        <v>0.33</v>
      </c>
      <c r="D48" s="128">
        <f>IF(TRIM('HourGH-JUL'!Q35)="","      ",'HourGH-JUL'!Q35)</f>
        <v>0.35</v>
      </c>
      <c r="E48" s="128">
        <f>IF(TRIM('HourGH-JUL'!Q36)="","      ",'HourGH-JUL'!Q36)</f>
        <v>0.62</v>
      </c>
      <c r="F48" s="118">
        <f>IF(TRIM('HourGH-JUL'!Q37)="","      ",'HourGH-JUL'!Q37)</f>
        <v>0.44</v>
      </c>
      <c r="G48" s="118">
        <f>IF(TRIM('HourGH-JUL'!Q38)="","      ",'HourGH-JUL'!Q38)</f>
        <v>0.41</v>
      </c>
      <c r="H48" s="128">
        <f>IF(TRIM('HourGH-JUL'!Q39)="","      ",'HourGH-JUL'!Q39)</f>
        <v>0.35</v>
      </c>
      <c r="I48" s="128">
        <f>IF(TRIM('HourGH-JUL'!Q40)="","      ",'HourGH-JUL'!Q40)</f>
        <v>0.39</v>
      </c>
      <c r="J48" s="128">
        <f>IF(TRIM('HourGH-JUL'!Q41)="","      ",'HourGH-JUL'!Q41)</f>
        <v>0.44</v>
      </c>
      <c r="K48" s="128">
        <f>IF(TRIM('HourGH-JUL'!Q42)="","      ",'HourGH-JUL'!Q42)</f>
        <v>0.56999999999999995</v>
      </c>
      <c r="L48" s="128">
        <f>IF(TRIM('HourGH-JUL'!Q43)="","      ",'HourGH-JUL'!Q43)</f>
        <v>0.6</v>
      </c>
    </row>
    <row r="49" spans="1:20">
      <c r="A49" s="127" t="s">
        <v>191</v>
      </c>
      <c r="B49" s="128">
        <f>IF(TRIM('HourGH-JUL'!R11)="","      ",'HourGH-JUL'!R11)</f>
        <v>0.23</v>
      </c>
      <c r="C49" s="128">
        <f>IF(TRIM('HourGH-JUL'!R12)="","      ",'HourGH-JUL'!R12)</f>
        <v>0.23</v>
      </c>
      <c r="D49" s="128">
        <f>IF(TRIM('HourGH-JUL'!R13)="","      ",'HourGH-JUL'!R13)</f>
        <v>0.23</v>
      </c>
      <c r="E49" s="128">
        <f>IF(TRIM('HourGH-JUL'!R14)="","      ",'HourGH-JUL'!R14)</f>
        <v>0.25</v>
      </c>
      <c r="F49" s="118">
        <f>IF(TRIM('HourGH-JUL'!R15)="","      ",'HourGH-JUL'!R15)</f>
        <v>0.27</v>
      </c>
      <c r="G49" s="118">
        <f>IF(TRIM('HourGH-JUL'!R16)="","      ",'HourGH-JUL'!R16)</f>
        <v>0.25</v>
      </c>
      <c r="H49" s="128">
        <f>IF(TRIM('HourGH-JUL'!R17)="","      ",'HourGH-JUL'!R17)</f>
        <v>0.26</v>
      </c>
      <c r="I49" s="128">
        <f>IF(TRIM('HourGH-JUL'!R18)="","      ",'HourGH-JUL'!R18)</f>
        <v>0.27</v>
      </c>
      <c r="J49" s="128">
        <f>IF(TRIM('HourGH-JUL'!R19)="","      ",'HourGH-JUL'!R19)</f>
        <v>0.28999999999999998</v>
      </c>
      <c r="K49" s="128">
        <f>IF(TRIM('HourGH-JUL'!R20)="","      ",'HourGH-JUL'!R20)</f>
        <v>0.43</v>
      </c>
    </row>
    <row r="50" spans="1:20">
      <c r="A50" s="127" t="s">
        <v>192</v>
      </c>
      <c r="B50" s="128">
        <f>IF(TRIM('HourGH-JUL'!R22)="","      ",'HourGH-JUL'!R22)</f>
        <v>0.47</v>
      </c>
      <c r="C50" s="128">
        <f>IF(TRIM('HourGH-JUL'!R23)="","      ",'HourGH-JUL'!R23)</f>
        <v>0.46</v>
      </c>
      <c r="D50" s="128">
        <f>IF(TRIM('HourGH-JUL'!R24)="","      ",'HourGH-JUL'!R24)</f>
        <v>0.4</v>
      </c>
      <c r="E50" s="128">
        <f>IF(TRIM('HourGH-JUL'!R25)="","      ",'HourGH-JUL'!R25)</f>
        <v>0.39</v>
      </c>
      <c r="F50" s="118">
        <f>IF(TRIM('HourGH-JUL'!R26)="","      ",'HourGH-JUL'!R26)</f>
        <v>0.62</v>
      </c>
      <c r="G50" s="118">
        <f>IF(TRIM('HourGH-JUL'!R27)="","      ",'HourGH-JUL'!R27)</f>
        <v>0.5</v>
      </c>
      <c r="H50" s="128">
        <f>IF(TRIM('HourGH-JUL'!R28)="","      ",'HourGH-JUL'!R28)</f>
        <v>0.48</v>
      </c>
      <c r="I50" s="128">
        <f>IF(TRIM('HourGH-JUL'!R29)="","      ",'HourGH-JUL'!R29)</f>
        <v>0.48</v>
      </c>
      <c r="J50" s="128">
        <f>IF(TRIM('HourGH-JUL'!R30)="","      ",'HourGH-JUL'!R30)</f>
        <v>0.43</v>
      </c>
      <c r="K50" s="128">
        <f>IF(TRIM('HourGH-JUL'!R31)="","      ",'HourGH-JUL'!R31)</f>
        <v>0.36</v>
      </c>
    </row>
    <row r="51" spans="1:20">
      <c r="A51" s="127" t="s">
        <v>193</v>
      </c>
      <c r="B51" s="128">
        <f>IF(TRIM('HourGH-JUL'!R33)="","      ",'HourGH-JUL'!R33)</f>
        <v>0.34</v>
      </c>
      <c r="C51" s="128">
        <f>IF(TRIM('HourGH-JUL'!R34)="","      ",'HourGH-JUL'!R34)</f>
        <v>0.33</v>
      </c>
      <c r="D51" s="128">
        <f>IF(TRIM('HourGH-JUL'!R35)="","      ",'HourGH-JUL'!R35)</f>
        <v>0.36</v>
      </c>
      <c r="E51" s="128">
        <f>IF(TRIM('HourGH-JUL'!R36)="","      ",'HourGH-JUL'!R36)</f>
        <v>0.61</v>
      </c>
      <c r="F51" s="118">
        <f>IF(TRIM('HourGH-JUL'!R37)="","      ",'HourGH-JUL'!R37)</f>
        <v>0.44</v>
      </c>
      <c r="G51" s="118">
        <f>IF(TRIM('HourGH-JUL'!R38)="","      ",'HourGH-JUL'!R38)</f>
        <v>0.41</v>
      </c>
      <c r="H51" s="128">
        <f>IF(TRIM('HourGH-JUL'!R39)="","      ",'HourGH-JUL'!R39)</f>
        <v>0.35</v>
      </c>
      <c r="I51" s="128">
        <f>IF(TRIM('HourGH-JUL'!R40)="","      ",'HourGH-JUL'!R40)</f>
        <v>0.39</v>
      </c>
      <c r="J51" s="128">
        <f>IF(TRIM('HourGH-JUL'!R41)="","      ",'HourGH-JUL'!R41)</f>
        <v>0.45</v>
      </c>
      <c r="K51" s="128">
        <f>IF(TRIM('HourGH-JUL'!R42)="","      ",'HourGH-JUL'!R42)</f>
        <v>0.56999999999999995</v>
      </c>
      <c r="L51" s="128">
        <f>IF(TRIM('HourGH-JUL'!R43)="","      ",'HourGH-JUL'!R43)</f>
        <v>0.6</v>
      </c>
    </row>
    <row r="52" spans="1:20">
      <c r="A52" s="127" t="s">
        <v>194</v>
      </c>
      <c r="B52" s="128">
        <f>IF(TRIM('HourGH-JUL'!S11)="","      ",'HourGH-JUL'!S11)</f>
        <v>0.23</v>
      </c>
      <c r="C52" s="128">
        <f>IF(TRIM('HourGH-JUL'!S12)="","      ",'HourGH-JUL'!S12)</f>
        <v>0.23</v>
      </c>
      <c r="D52" s="128">
        <f>IF(TRIM('HourGH-JUL'!S13)="","      ",'HourGH-JUL'!S13)</f>
        <v>0.23</v>
      </c>
      <c r="E52" s="128">
        <f>IF(TRIM('HourGH-JUL'!S14)="","      ",'HourGH-JUL'!S14)</f>
        <v>0.25</v>
      </c>
      <c r="F52" s="118">
        <f>IF(TRIM('HourGH-JUL'!S15)="","      ",'HourGH-JUL'!S15)</f>
        <v>0.27</v>
      </c>
      <c r="G52" s="118">
        <f>IF(TRIM('HourGH-JUL'!S16)="","      ",'HourGH-JUL'!S16)</f>
        <v>0.25</v>
      </c>
      <c r="H52" s="128">
        <f>IF(TRIM('HourGH-JUL'!S17)="","      ",'HourGH-JUL'!S17)</f>
        <v>0.26</v>
      </c>
      <c r="I52" s="128">
        <f>IF(TRIM('HourGH-JUL'!S18)="","      ",'HourGH-JUL'!S18)</f>
        <v>0.27</v>
      </c>
      <c r="J52" s="128">
        <f>IF(TRIM('HourGH-JUL'!S19)="","      ",'HourGH-JUL'!S19)</f>
        <v>0.28999999999999998</v>
      </c>
      <c r="K52" s="128">
        <f>IF(TRIM('HourGH-JUL'!S20)="","      ",'HourGH-JUL'!S20)</f>
        <v>0.43</v>
      </c>
    </row>
    <row r="53" spans="1:20">
      <c r="A53" s="127" t="s">
        <v>195</v>
      </c>
      <c r="B53" s="128">
        <f>IF(TRIM('HourGH-JUL'!S22)="","      ",'HourGH-JUL'!S22)</f>
        <v>0.47</v>
      </c>
      <c r="C53" s="128">
        <f>IF(TRIM('HourGH-JUL'!S23)="","      ",'HourGH-JUL'!S23)</f>
        <v>0.46</v>
      </c>
      <c r="D53" s="128">
        <f>IF(TRIM('HourGH-JUL'!S24)="","      ",'HourGH-JUL'!S24)</f>
        <v>0.4</v>
      </c>
      <c r="E53" s="128">
        <f>IF(TRIM('HourGH-JUL'!S25)="","      ",'HourGH-JUL'!S25)</f>
        <v>0.4</v>
      </c>
      <c r="F53" s="118">
        <f>IF(TRIM('HourGH-JUL'!S26)="","      ",'HourGH-JUL'!S26)</f>
        <v>0.62</v>
      </c>
      <c r="G53" s="118">
        <f>IF(TRIM('HourGH-JUL'!S27)="","      ",'HourGH-JUL'!S27)</f>
        <v>0.5</v>
      </c>
      <c r="H53" s="128">
        <f>IF(TRIM('HourGH-JUL'!S28)="","      ",'HourGH-JUL'!S28)</f>
        <v>0.48</v>
      </c>
      <c r="I53" s="128">
        <f>IF(TRIM('HourGH-JUL'!S29)="","      ",'HourGH-JUL'!S29)</f>
        <v>0.48</v>
      </c>
      <c r="J53" s="128">
        <f>IF(TRIM('HourGH-JUL'!S30)="","      ",'HourGH-JUL'!S30)</f>
        <v>0.43</v>
      </c>
      <c r="K53" s="128">
        <f>IF(TRIM('HourGH-JUL'!S31)="","      ",'HourGH-JUL'!S31)</f>
        <v>0.36</v>
      </c>
    </row>
    <row r="54" spans="1:20">
      <c r="A54" s="127" t="s">
        <v>196</v>
      </c>
      <c r="B54" s="128">
        <f>IF(TRIM('HourGH-JUL'!S33)="","      ",'HourGH-JUL'!S33)</f>
        <v>0.34</v>
      </c>
      <c r="C54" s="128">
        <f>IF(TRIM('HourGH-JUL'!S34)="","      ",'HourGH-JUL'!S34)</f>
        <v>0.33</v>
      </c>
      <c r="D54" s="128">
        <f>IF(TRIM('HourGH-JUL'!S35)="","      ",'HourGH-JUL'!S35)</f>
        <v>0.37</v>
      </c>
      <c r="E54" s="128">
        <f>IF(TRIM('HourGH-JUL'!S36)="","      ",'HourGH-JUL'!S36)</f>
        <v>0.6</v>
      </c>
      <c r="F54" s="118">
        <f>IF(TRIM('HourGH-JUL'!S37)="","      ",'HourGH-JUL'!S37)</f>
        <v>0.44</v>
      </c>
      <c r="G54" s="118">
        <f>IF(TRIM('HourGH-JUL'!S38)="","      ",'HourGH-JUL'!S38)</f>
        <v>0.4</v>
      </c>
      <c r="H54" s="128">
        <f>IF(TRIM('HourGH-JUL'!S39)="","      ",'HourGH-JUL'!S39)</f>
        <v>0.35</v>
      </c>
      <c r="I54" s="128">
        <f>IF(TRIM('HourGH-JUL'!S40)="","      ",'HourGH-JUL'!S40)</f>
        <v>0.39</v>
      </c>
      <c r="J54" s="128">
        <f>IF(TRIM('HourGH-JUL'!S41)="","      ",'HourGH-JUL'!S41)</f>
        <v>0.45</v>
      </c>
      <c r="K54" s="128">
        <f>IF(TRIM('HourGH-JUL'!S42)="","      ",'HourGH-JUL'!S42)</f>
        <v>0.57999999999999996</v>
      </c>
      <c r="L54" s="128">
        <f>IF(TRIM('HourGH-JUL'!S43)="","      ",'HourGH-JUL'!S43)</f>
        <v>0.6</v>
      </c>
    </row>
    <row r="55" spans="1:20">
      <c r="A55" s="127" t="s">
        <v>197</v>
      </c>
      <c r="B55" s="128">
        <f>IF(TRIM('HourGH-JUL'!T11)="","      ",'HourGH-JUL'!T11)</f>
        <v>0.23</v>
      </c>
      <c r="C55" s="128">
        <f>IF(TRIM('HourGH-JUL'!T12)="","      ",'HourGH-JUL'!T12)</f>
        <v>0.23</v>
      </c>
      <c r="D55" s="128">
        <f>IF(TRIM('HourGH-JUL'!T13)="","      ",'HourGH-JUL'!T13)</f>
        <v>0.23</v>
      </c>
      <c r="E55" s="128">
        <f>IF(TRIM('HourGH-JUL'!T14)="","      ",'HourGH-JUL'!T14)</f>
        <v>0.25</v>
      </c>
      <c r="F55" s="118">
        <f>IF(TRIM('HourGH-JUL'!T15)="","      ",'HourGH-JUL'!T15)</f>
        <v>0.27</v>
      </c>
      <c r="G55" s="118">
        <f>IF(TRIM('HourGH-JUL'!T16)="","      ",'HourGH-JUL'!T16)</f>
        <v>0.25</v>
      </c>
      <c r="H55" s="128">
        <f>IF(TRIM('HourGH-JUL'!T17)="","      ",'HourGH-JUL'!T17)</f>
        <v>0.26</v>
      </c>
      <c r="I55" s="128">
        <f>IF(TRIM('HourGH-JUL'!T18)="","      ",'HourGH-JUL'!T18)</f>
        <v>0.27</v>
      </c>
      <c r="J55" s="128">
        <f>IF(TRIM('HourGH-JUL'!T19)="","      ",'HourGH-JUL'!T19)</f>
        <v>0.3</v>
      </c>
      <c r="K55" s="128">
        <f>IF(TRIM('HourGH-JUL'!T20)="","      ",'HourGH-JUL'!T20)</f>
        <v>0.44</v>
      </c>
    </row>
    <row r="56" spans="1:20">
      <c r="A56" s="127" t="s">
        <v>198</v>
      </c>
      <c r="B56" s="128">
        <f>IF(TRIM('HourGH-JUL'!T22)="","      ",'HourGH-JUL'!T22)</f>
        <v>0.47</v>
      </c>
      <c r="C56" s="128">
        <f>IF(TRIM('HourGH-JUL'!T23)="","      ",'HourGH-JUL'!T23)</f>
        <v>0.45</v>
      </c>
      <c r="D56" s="128">
        <f>IF(TRIM('HourGH-JUL'!T24)="","      ",'HourGH-JUL'!T24)</f>
        <v>0.39</v>
      </c>
      <c r="E56" s="128">
        <f>IF(TRIM('HourGH-JUL'!T25)="","      ",'HourGH-JUL'!T25)</f>
        <v>0.41</v>
      </c>
      <c r="F56" s="118">
        <f>IF(TRIM('HourGH-JUL'!T26)="","      ",'HourGH-JUL'!T26)</f>
        <v>0.61</v>
      </c>
      <c r="G56" s="118">
        <f>IF(TRIM('HourGH-JUL'!T27)="","      ",'HourGH-JUL'!T27)</f>
        <v>0.5</v>
      </c>
      <c r="H56" s="128">
        <f>IF(TRIM('HourGH-JUL'!T28)="","      ",'HourGH-JUL'!T28)</f>
        <v>0.48</v>
      </c>
      <c r="I56" s="128">
        <f>IF(TRIM('HourGH-JUL'!T29)="","      ",'HourGH-JUL'!T29)</f>
        <v>0.47</v>
      </c>
      <c r="J56" s="128">
        <f>IF(TRIM('HourGH-JUL'!T30)="","      ",'HourGH-JUL'!T30)</f>
        <v>0.43</v>
      </c>
      <c r="K56" s="128">
        <f>IF(TRIM('HourGH-JUL'!T31)="","      ",'HourGH-JUL'!T31)</f>
        <v>0.36</v>
      </c>
      <c r="N56" s="117">
        <f>B79</f>
        <v>337.83000000000004</v>
      </c>
      <c r="O56">
        <v>1</v>
      </c>
      <c r="P56" s="117" t="str">
        <f>B82</f>
        <v>1:00</v>
      </c>
      <c r="R56" s="117">
        <f>B85</f>
        <v>337.83000000000004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IF(TRIM('HourGH-JUL'!T33)="","      ",'HourGH-JUL'!T33)</f>
        <v>0.34</v>
      </c>
      <c r="C57" s="128">
        <f>IF(TRIM('HourGH-JUL'!T34)="","      ",'HourGH-JUL'!T34)</f>
        <v>0.33</v>
      </c>
      <c r="D57" s="128">
        <f>IF(TRIM('HourGH-JUL'!T35)="","      ",'HourGH-JUL'!T35)</f>
        <v>0.38</v>
      </c>
      <c r="E57" s="128">
        <f>IF(TRIM('HourGH-JUL'!T36)="","      ",'HourGH-JUL'!T36)</f>
        <v>0.59</v>
      </c>
      <c r="F57" s="118">
        <f>IF(TRIM('HourGH-JUL'!T37)="","      ",'HourGH-JUL'!T37)</f>
        <v>0.44</v>
      </c>
      <c r="G57" s="118">
        <f>IF(TRIM('HourGH-JUL'!T38)="","      ",'HourGH-JUL'!T38)</f>
        <v>0.4</v>
      </c>
      <c r="H57" s="128">
        <f>IF(TRIM('HourGH-JUL'!T39)="","      ",'HourGH-JUL'!T39)</f>
        <v>0.36</v>
      </c>
      <c r="I57" s="128">
        <f>IF(TRIM('HourGH-JUL'!T40)="","      ",'HourGH-JUL'!T40)</f>
        <v>0.39</v>
      </c>
      <c r="J57" s="128">
        <f>IF(TRIM('HourGH-JUL'!T41)="","      ",'HourGH-JUL'!T41)</f>
        <v>0.46</v>
      </c>
      <c r="K57" s="128">
        <f>IF(TRIM('HourGH-JUL'!T42)="","      ",'HourGH-JUL'!T42)</f>
        <v>0.57999999999999996</v>
      </c>
      <c r="L57" s="128">
        <f>IF(TRIM('HourGH-JUL'!T43)="","      ",'HourGH-JUL'!T43)</f>
        <v>0.6</v>
      </c>
      <c r="N57" s="117">
        <f>C79</f>
        <v>337.83000000000004</v>
      </c>
      <c r="O57">
        <v>2</v>
      </c>
      <c r="P57" s="117" t="str">
        <f>C82</f>
        <v>1:00</v>
      </c>
      <c r="R57" s="117">
        <f>C85</f>
        <v>337.83000000000004</v>
      </c>
      <c r="S57">
        <v>2</v>
      </c>
      <c r="T57" s="117" t="str">
        <f>C88</f>
        <v>1:00</v>
      </c>
    </row>
    <row r="58" spans="1:20">
      <c r="A58" s="127" t="s">
        <v>200</v>
      </c>
      <c r="B58" s="128">
        <f>IF(TRIM('HourGH-JUL'!U11)="","      ",'HourGH-JUL'!U11)</f>
        <v>0.23</v>
      </c>
      <c r="C58" s="128">
        <f>IF(TRIM('HourGH-JUL'!U12)="","      ",'HourGH-JUL'!U12)</f>
        <v>0.23</v>
      </c>
      <c r="D58" s="128">
        <f>IF(TRIM('HourGH-JUL'!U13)="","      ",'HourGH-JUL'!U13)</f>
        <v>0.23</v>
      </c>
      <c r="E58" s="128">
        <f>IF(TRIM('HourGH-JUL'!U14)="","      ",'HourGH-JUL'!U14)</f>
        <v>0.26</v>
      </c>
      <c r="F58" s="118">
        <f>IF(TRIM('HourGH-JUL'!U15)="","      ",'HourGH-JUL'!U15)</f>
        <v>0.27</v>
      </c>
      <c r="G58" s="118">
        <f>IF(TRIM('HourGH-JUL'!U16)="","      ",'HourGH-JUL'!U16)</f>
        <v>0.24</v>
      </c>
      <c r="H58" s="128">
        <f>IF(TRIM('HourGH-JUL'!U17)="","      ",'HourGH-JUL'!U17)</f>
        <v>0.27</v>
      </c>
      <c r="I58" s="128">
        <f>IF(TRIM('HourGH-JUL'!U18)="","      ",'HourGH-JUL'!U18)</f>
        <v>0.27</v>
      </c>
      <c r="J58" s="128">
        <f>IF(TRIM('HourGH-JUL'!U19)="","      ",'HourGH-JUL'!U19)</f>
        <v>0.3</v>
      </c>
      <c r="K58" s="128">
        <f>IF(TRIM('HourGH-JUL'!U20)="","      ",'HourGH-JUL'!U20)</f>
        <v>0.44</v>
      </c>
      <c r="N58" s="117">
        <f>D79</f>
        <v>337.83000000000004</v>
      </c>
      <c r="O58">
        <v>3</v>
      </c>
      <c r="P58" s="117" t="str">
        <f>D82</f>
        <v>1:00</v>
      </c>
      <c r="R58" s="117">
        <f>D85</f>
        <v>337.83000000000004</v>
      </c>
      <c r="S58">
        <v>3</v>
      </c>
      <c r="T58" s="117" t="str">
        <f>D88</f>
        <v>1:00</v>
      </c>
    </row>
    <row r="59" spans="1:20">
      <c r="A59" s="127" t="s">
        <v>201</v>
      </c>
      <c r="B59" s="128">
        <f>IF(TRIM('HourGH-JUL'!U22)="","      ",'HourGH-JUL'!U22)</f>
        <v>0.47</v>
      </c>
      <c r="C59" s="128">
        <f>IF(TRIM('HourGH-JUL'!U23)="","      ",'HourGH-JUL'!U23)</f>
        <v>0.45</v>
      </c>
      <c r="D59" s="128">
        <f>IF(TRIM('HourGH-JUL'!U24)="","      ",'HourGH-JUL'!U24)</f>
        <v>0.39</v>
      </c>
      <c r="E59" s="128">
        <f>IF(TRIM('HourGH-JUL'!U25)="","      ",'HourGH-JUL'!U25)</f>
        <v>0.42</v>
      </c>
      <c r="F59" s="118">
        <f>IF(TRIM('HourGH-JUL'!U26)="","      ",'HourGH-JUL'!U26)</f>
        <v>0.61</v>
      </c>
      <c r="G59" s="118">
        <f>IF(TRIM('HourGH-JUL'!U27)="","      ",'HourGH-JUL'!U27)</f>
        <v>0.49</v>
      </c>
      <c r="H59" s="128">
        <f>IF(TRIM('HourGH-JUL'!U28)="","      ",'HourGH-JUL'!U28)</f>
        <v>0.49</v>
      </c>
      <c r="I59" s="128">
        <f>IF(TRIM('HourGH-JUL'!U29)="","      ",'HourGH-JUL'!U29)</f>
        <v>0.47</v>
      </c>
      <c r="J59" s="128">
        <f>IF(TRIM('HourGH-JUL'!U30)="","      ",'HourGH-JUL'!U30)</f>
        <v>0.42</v>
      </c>
      <c r="K59" s="128">
        <f>IF(TRIM('HourGH-JUL'!U31)="","      ",'HourGH-JUL'!U31)</f>
        <v>0.35</v>
      </c>
      <c r="N59" s="117">
        <f>E79</f>
        <v>337.86</v>
      </c>
      <c r="O59">
        <v>4</v>
      </c>
      <c r="P59" s="117" t="str">
        <f>E82</f>
        <v>19:00</v>
      </c>
      <c r="R59" s="117">
        <f>E85</f>
        <v>337.84000000000003</v>
      </c>
      <c r="S59">
        <v>4</v>
      </c>
      <c r="T59" s="117" t="str">
        <f>E88</f>
        <v>1:00</v>
      </c>
    </row>
    <row r="60" spans="1:20">
      <c r="A60" s="127" t="s">
        <v>202</v>
      </c>
      <c r="B60" s="128">
        <f>IF(TRIM('HourGH-JUL'!U33)="","      ",'HourGH-JUL'!U33)</f>
        <v>0.34</v>
      </c>
      <c r="C60" s="128">
        <f>IF(TRIM('HourGH-JUL'!U34)="","      ",'HourGH-JUL'!U34)</f>
        <v>0.33</v>
      </c>
      <c r="D60" s="128">
        <f>IF(TRIM('HourGH-JUL'!U35)="","      ",'HourGH-JUL'!U35)</f>
        <v>0.39</v>
      </c>
      <c r="E60" s="128">
        <f>IF(TRIM('HourGH-JUL'!U36)="","      ",'HourGH-JUL'!U36)</f>
        <v>0.57999999999999996</v>
      </c>
      <c r="F60" s="118">
        <f>IF(TRIM('HourGH-JUL'!U37)="","      ",'HourGH-JUL'!U37)</f>
        <v>0.43</v>
      </c>
      <c r="G60" s="118">
        <f>IF(TRIM('HourGH-JUL'!U38)="","      ",'HourGH-JUL'!U38)</f>
        <v>0.4</v>
      </c>
      <c r="H60" s="128">
        <f>IF(TRIM('HourGH-JUL'!U39)="","      ",'HourGH-JUL'!U39)</f>
        <v>0.36</v>
      </c>
      <c r="I60" s="128">
        <f>IF(TRIM('HourGH-JUL'!U40)="","      ",'HourGH-JUL'!U40)</f>
        <v>0.39</v>
      </c>
      <c r="J60" s="128">
        <f>IF(TRIM('HourGH-JUL'!U41)="","      ",'HourGH-JUL'!U41)</f>
        <v>0.46</v>
      </c>
      <c r="K60" s="128">
        <f>IF(TRIM('HourGH-JUL'!U42)="","      ",'HourGH-JUL'!U42)</f>
        <v>0.57999999999999996</v>
      </c>
      <c r="L60" s="118">
        <f>IF(TRIM('HourGH-JUL'!U43)="","      ",'HourGH-JUL'!U43)</f>
        <v>0.59</v>
      </c>
      <c r="N60" s="117">
        <f>F79</f>
        <v>337.87</v>
      </c>
      <c r="O60">
        <v>5</v>
      </c>
      <c r="P60" s="117" t="str">
        <f>F82</f>
        <v>1:00</v>
      </c>
      <c r="R60" s="117">
        <f>F85</f>
        <v>337.87</v>
      </c>
      <c r="S60">
        <v>5</v>
      </c>
      <c r="T60" s="117" t="str">
        <f>F88</f>
        <v>1:00</v>
      </c>
    </row>
    <row r="61" spans="1:20">
      <c r="A61" s="127" t="s">
        <v>203</v>
      </c>
      <c r="B61" s="128">
        <f>IF(TRIM('HourGH-JUL'!V11)="","      ",'HourGH-JUL'!V11)</f>
        <v>0.23</v>
      </c>
      <c r="C61" s="128">
        <f>IF(TRIM('HourGH-JUL'!V12)="","      ",'HourGH-JUL'!V12)</f>
        <v>0.23</v>
      </c>
      <c r="D61" s="128">
        <f>IF(TRIM('HourGH-JUL'!V13)="","      ",'HourGH-JUL'!V13)</f>
        <v>0.23</v>
      </c>
      <c r="E61" s="128">
        <f>IF(TRIM('HourGH-JUL'!V14)="","      ",'HourGH-JUL'!V14)</f>
        <v>0.26</v>
      </c>
      <c r="F61" s="118">
        <f>IF(TRIM('HourGH-JUL'!V15)="","      ",'HourGH-JUL'!V15)</f>
        <v>0.27</v>
      </c>
      <c r="G61" s="118">
        <f>IF(TRIM('HourGH-JUL'!V16)="","      ",'HourGH-JUL'!V16)</f>
        <v>0.24</v>
      </c>
      <c r="H61" s="128">
        <f>IF(TRIM('HourGH-JUL'!V17)="","      ",'HourGH-JUL'!V17)</f>
        <v>0.27</v>
      </c>
      <c r="I61" s="128">
        <f>IF(TRIM('HourGH-JUL'!V18)="","      ",'HourGH-JUL'!V18)</f>
        <v>0.27</v>
      </c>
      <c r="J61" s="128">
        <f>IF(TRIM('HourGH-JUL'!V19)="","      ",'HourGH-JUL'!V19)</f>
        <v>0.31</v>
      </c>
      <c r="K61" s="128">
        <f>IF(TRIM('HourGH-JUL'!V20)="","      ",'HourGH-JUL'!V20)</f>
        <v>0.45</v>
      </c>
      <c r="N61" s="117">
        <f>G79</f>
        <v>337.87</v>
      </c>
      <c r="O61">
        <v>6</v>
      </c>
      <c r="P61" s="117" t="str">
        <f>G82</f>
        <v>1:00</v>
      </c>
      <c r="R61" s="117">
        <f>G85</f>
        <v>337.84000000000003</v>
      </c>
      <c r="S61">
        <v>6</v>
      </c>
      <c r="T61" s="117" t="str">
        <f>G88</f>
        <v>19:00</v>
      </c>
    </row>
    <row r="62" spans="1:20">
      <c r="A62" s="127" t="s">
        <v>204</v>
      </c>
      <c r="B62" s="128">
        <f>IF(TRIM('HourGH-JUL'!V22)="","      ",'HourGH-JUL'!V22)</f>
        <v>0.47</v>
      </c>
      <c r="C62" s="128">
        <f>IF(TRIM('HourGH-JUL'!V23)="","      ",'HourGH-JUL'!V23)</f>
        <v>0.45</v>
      </c>
      <c r="D62" s="128">
        <f>IF(TRIM('HourGH-JUL'!V24)="","      ",'HourGH-JUL'!V24)</f>
        <v>0.39</v>
      </c>
      <c r="E62" s="128">
        <f>IF(TRIM('HourGH-JUL'!V25)="","      ",'HourGH-JUL'!V25)</f>
        <v>0.43</v>
      </c>
      <c r="F62" s="118">
        <f>IF(TRIM('HourGH-JUL'!V26)="","      ",'HourGH-JUL'!V26)</f>
        <v>0.6</v>
      </c>
      <c r="G62" s="118">
        <f>IF(TRIM('HourGH-JUL'!V27)="","      ",'HourGH-JUL'!V27)</f>
        <v>0.49</v>
      </c>
      <c r="H62" s="128">
        <f>IF(TRIM('HourGH-JUL'!V28)="","      ",'HourGH-JUL'!V28)</f>
        <v>0.49</v>
      </c>
      <c r="I62" s="128">
        <f>IF(TRIM('HourGH-JUL'!V29)="","      ",'HourGH-JUL'!V29)</f>
        <v>0.47</v>
      </c>
      <c r="J62" s="128">
        <f>IF(TRIM('HourGH-JUL'!V30)="","      ",'HourGH-JUL'!V30)</f>
        <v>0.42</v>
      </c>
      <c r="K62" s="128">
        <f>IF(TRIM('HourGH-JUL'!V31)="","      ",'HourGH-JUL'!V31)</f>
        <v>0.35</v>
      </c>
      <c r="N62" s="117">
        <f>H79</f>
        <v>337.87</v>
      </c>
      <c r="O62">
        <v>7</v>
      </c>
      <c r="P62" s="117" t="str">
        <f>H82</f>
        <v>19:00</v>
      </c>
      <c r="R62" s="117">
        <f>H85</f>
        <v>337.84000000000003</v>
      </c>
      <c r="S62">
        <v>7</v>
      </c>
      <c r="T62" s="117" t="str">
        <f>H88</f>
        <v>1:00</v>
      </c>
    </row>
    <row r="63" spans="1:20">
      <c r="A63" s="127" t="s">
        <v>205</v>
      </c>
      <c r="B63" s="128">
        <f>IF(TRIM('HourGH-JUL'!V33)="","      ",'HourGH-JUL'!V33)</f>
        <v>0.34</v>
      </c>
      <c r="C63" s="128">
        <f>IF(TRIM('HourGH-JUL'!V34)="","      ",'HourGH-JUL'!V34)</f>
        <v>0.33</v>
      </c>
      <c r="D63" s="128">
        <f>IF(TRIM('HourGH-JUL'!V35)="","      ",'HourGH-JUL'!V35)</f>
        <v>0.4</v>
      </c>
      <c r="E63" s="128">
        <f>IF(TRIM('HourGH-JUL'!V36)="","      ",'HourGH-JUL'!V36)</f>
        <v>0.56999999999999995</v>
      </c>
      <c r="F63" s="118">
        <f>IF(TRIM('HourGH-JUL'!V37)="","      ",'HourGH-JUL'!V37)</f>
        <v>0.43</v>
      </c>
      <c r="G63" s="118">
        <f>IF(TRIM('HourGH-JUL'!V38)="","      ",'HourGH-JUL'!V38)</f>
        <v>0.39</v>
      </c>
      <c r="H63" s="128">
        <f>IF(TRIM('HourGH-JUL'!V39)="","      ",'HourGH-JUL'!V39)</f>
        <v>0.36</v>
      </c>
      <c r="I63" s="128">
        <f>IF(TRIM('HourGH-JUL'!V40)="","      ",'HourGH-JUL'!V40)</f>
        <v>0.39</v>
      </c>
      <c r="J63" s="128">
        <f>IF(TRIM('HourGH-JUL'!V41)="","      ",'HourGH-JUL'!V41)</f>
        <v>0.47</v>
      </c>
      <c r="K63" s="128">
        <f>IF(TRIM('HourGH-JUL'!V42)="","      ",'HourGH-JUL'!V42)</f>
        <v>0.59</v>
      </c>
      <c r="L63" s="118">
        <f>IF(TRIM('HourGH-JUL'!V43)="","      ",'HourGH-JUL'!V43)</f>
        <v>0.59</v>
      </c>
      <c r="N63" s="117">
        <f>I79</f>
        <v>337.88</v>
      </c>
      <c r="O63">
        <v>8</v>
      </c>
      <c r="P63" s="117" t="str">
        <f>I82</f>
        <v>1:00</v>
      </c>
      <c r="R63" s="117">
        <f>I85</f>
        <v>337.87</v>
      </c>
      <c r="S63">
        <v>8</v>
      </c>
      <c r="T63" s="117" t="str">
        <f>I88</f>
        <v>13:00</v>
      </c>
    </row>
    <row r="64" spans="1:20">
      <c r="A64" s="127" t="s">
        <v>206</v>
      </c>
      <c r="B64" s="128">
        <f>IF(TRIM('HourGH-JUL'!W11)="","      ",'HourGH-JUL'!W11)</f>
        <v>0.23</v>
      </c>
      <c r="C64" s="128">
        <f>IF(TRIM('HourGH-JUL'!W12)="","      ",'HourGH-JUL'!W12)</f>
        <v>0.23</v>
      </c>
      <c r="D64" s="128">
        <f>IF(TRIM('HourGH-JUL'!W13)="","      ",'HourGH-JUL'!W13)</f>
        <v>0.23</v>
      </c>
      <c r="E64" s="128">
        <f>IF(TRIM('HourGH-JUL'!W14)="","      ",'HourGH-JUL'!W14)</f>
        <v>0.26</v>
      </c>
      <c r="F64" s="118">
        <f>IF(TRIM('HourGH-JUL'!W15)="","      ",'HourGH-JUL'!W15)</f>
        <v>0.27</v>
      </c>
      <c r="G64" s="118">
        <f>IF(TRIM('HourGH-JUL'!W16)="","      ",'HourGH-JUL'!W16)</f>
        <v>0.24</v>
      </c>
      <c r="H64" s="128">
        <f>IF(TRIM('HourGH-JUL'!W17)="","      ",'HourGH-JUL'!W17)</f>
        <v>0.27</v>
      </c>
      <c r="I64" s="128">
        <f>IF(TRIM('HourGH-JUL'!W18)="","      ",'HourGH-JUL'!W18)</f>
        <v>0.27</v>
      </c>
      <c r="J64" s="128">
        <f>IF(TRIM('HourGH-JUL'!W19)="","      ",'HourGH-JUL'!W19)</f>
        <v>0.31</v>
      </c>
      <c r="K64" s="128">
        <f>IF(TRIM('HourGH-JUL'!W20)="","      ",'HourGH-JUL'!W20)</f>
        <v>0.45</v>
      </c>
      <c r="N64" s="117">
        <f>J79</f>
        <v>337.93</v>
      </c>
      <c r="O64">
        <v>9</v>
      </c>
      <c r="P64" s="117" t="str">
        <f>J82</f>
        <v>24:00</v>
      </c>
      <c r="R64" s="117">
        <f>J85</f>
        <v>337.86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IF(TRIM('HourGH-JUL'!W22)="","      ",'HourGH-JUL'!W22)</f>
        <v>0.47</v>
      </c>
      <c r="C65" s="128">
        <f>IF(TRIM('HourGH-JUL'!W23)="","      ",'HourGH-JUL'!W23)</f>
        <v>0.45</v>
      </c>
      <c r="D65" s="128">
        <f>IF(TRIM('HourGH-JUL'!W24)="","      ",'HourGH-JUL'!W24)</f>
        <v>0.38</v>
      </c>
      <c r="E65" s="128">
        <f>IF(TRIM('HourGH-JUL'!W25)="","      ",'HourGH-JUL'!W25)</f>
        <v>0.44</v>
      </c>
      <c r="F65" s="118">
        <f>IF(TRIM('HourGH-JUL'!W26)="","      ",'HourGH-JUL'!W26)</f>
        <v>0.6</v>
      </c>
      <c r="G65" s="118">
        <f>IF(TRIM('HourGH-JUL'!W27)="","      ",'HourGH-JUL'!W27)</f>
        <v>0.49</v>
      </c>
      <c r="H65" s="128">
        <f>IF(TRIM('HourGH-JUL'!W28)="","      ",'HourGH-JUL'!W28)</f>
        <v>0.49</v>
      </c>
      <c r="I65" s="128">
        <f>IF(TRIM('HourGH-JUL'!W29)="","      ",'HourGH-JUL'!W29)</f>
        <v>0.47</v>
      </c>
      <c r="J65" s="128">
        <f>IF(TRIM('HourGH-JUL'!W30)="","      ",'HourGH-JUL'!W30)</f>
        <v>0.42</v>
      </c>
      <c r="K65" s="128">
        <f>IF(TRIM('HourGH-JUL'!W31)="","      ",'HourGH-JUL'!W31)</f>
        <v>0.35</v>
      </c>
      <c r="N65" s="117">
        <f>K79</f>
        <v>338.07000000000005</v>
      </c>
      <c r="O65">
        <v>10</v>
      </c>
      <c r="P65" s="117" t="str">
        <f>K82</f>
        <v>24:00</v>
      </c>
      <c r="R65" s="117">
        <f>K85</f>
        <v>337.93</v>
      </c>
      <c r="S65">
        <v>10</v>
      </c>
      <c r="T65" s="117" t="str">
        <f>K88</f>
        <v>1:00</v>
      </c>
    </row>
    <row r="66" spans="1:20">
      <c r="A66" s="127" t="s">
        <v>208</v>
      </c>
      <c r="B66" s="128">
        <f>IF(TRIM('HourGH-JUL'!W33)="","      ",'HourGH-JUL'!W33)</f>
        <v>0.34</v>
      </c>
      <c r="C66" s="128">
        <f>IF(TRIM('HourGH-JUL'!W34)="","      ",'HourGH-JUL'!W34)</f>
        <v>0.33</v>
      </c>
      <c r="D66" s="128">
        <f>IF(TRIM('HourGH-JUL'!W35)="","      ",'HourGH-JUL'!W35)</f>
        <v>0.41</v>
      </c>
      <c r="E66" s="128">
        <f>IF(TRIM('HourGH-JUL'!W36)="","      ",'HourGH-JUL'!W36)</f>
        <v>0.56000000000000005</v>
      </c>
      <c r="F66" s="118">
        <f>IF(TRIM('HourGH-JUL'!W37)="","      ",'HourGH-JUL'!W37)</f>
        <v>0.43</v>
      </c>
      <c r="G66" s="118">
        <f>IF(TRIM('HourGH-JUL'!W38)="","      ",'HourGH-JUL'!W38)</f>
        <v>0.39</v>
      </c>
      <c r="H66" s="128">
        <f>IF(TRIM('HourGH-JUL'!W39)="","      ",'HourGH-JUL'!W39)</f>
        <v>0.37</v>
      </c>
      <c r="I66" s="128">
        <f>IF(TRIM('HourGH-JUL'!W40)="","      ",'HourGH-JUL'!W40)</f>
        <v>0.39</v>
      </c>
      <c r="J66" s="128">
        <f>IF(TRIM('HourGH-JUL'!W41)="","      ",'HourGH-JUL'!W41)</f>
        <v>0.47</v>
      </c>
      <c r="K66" s="128">
        <f>IF(TRIM('HourGH-JUL'!W42)="","      ",'HourGH-JUL'!W42)</f>
        <v>0.59</v>
      </c>
      <c r="L66" s="118">
        <f>IF(TRIM('HourGH-JUL'!W43)="","      ",'HourGH-JUL'!W43)</f>
        <v>0.59</v>
      </c>
      <c r="N66" s="117">
        <f>B80</f>
        <v>338.08000000000004</v>
      </c>
      <c r="O66">
        <v>11</v>
      </c>
      <c r="P66" s="117" t="str">
        <f>B83</f>
        <v>4:00</v>
      </c>
      <c r="R66" s="117">
        <f>B86</f>
        <v>338.07000000000005</v>
      </c>
      <c r="S66">
        <v>11</v>
      </c>
      <c r="T66" s="117" t="str">
        <f>B89</f>
        <v>1:00</v>
      </c>
    </row>
    <row r="67" spans="1:20">
      <c r="A67" s="127" t="s">
        <v>209</v>
      </c>
      <c r="B67" s="128">
        <f>IF(TRIM('HourGH-JUL'!X11)="","      ",'HourGH-JUL'!X11)</f>
        <v>0.23</v>
      </c>
      <c r="C67" s="128">
        <f>IF(TRIM('HourGH-JUL'!X12)="","      ",'HourGH-JUL'!X12)</f>
        <v>0.23</v>
      </c>
      <c r="D67" s="128">
        <f>IF(TRIM('HourGH-JUL'!X13)="","      ",'HourGH-JUL'!X13)</f>
        <v>0.23</v>
      </c>
      <c r="E67" s="128">
        <f>IF(TRIM('HourGH-JUL'!X14)="","      ",'HourGH-JUL'!X14)</f>
        <v>0.26</v>
      </c>
      <c r="F67" s="118">
        <f>IF(TRIM('HourGH-JUL'!X15)="","      ",'HourGH-JUL'!X15)</f>
        <v>0.27</v>
      </c>
      <c r="G67" s="118">
        <f>IF(TRIM('HourGH-JUL'!X16)="","      ",'HourGH-JUL'!X16)</f>
        <v>0.24</v>
      </c>
      <c r="H67" s="128">
        <f>IF(TRIM('HourGH-JUL'!X17)="","      ",'HourGH-JUL'!X17)</f>
        <v>0.27</v>
      </c>
      <c r="I67" s="128">
        <f>IF(TRIM('HourGH-JUL'!X18)="","      ",'HourGH-JUL'!X18)</f>
        <v>0.27</v>
      </c>
      <c r="J67" s="128">
        <f>IF(TRIM('HourGH-JUL'!X19)="","      ",'HourGH-JUL'!X19)</f>
        <v>0.32</v>
      </c>
      <c r="K67" s="128">
        <f>IF(TRIM('HourGH-JUL'!X20)="","      ",'HourGH-JUL'!X20)</f>
        <v>0.46</v>
      </c>
      <c r="N67" s="117">
        <f>C80</f>
        <v>338.07000000000005</v>
      </c>
      <c r="O67">
        <v>12</v>
      </c>
      <c r="P67" s="117" t="str">
        <f>C83</f>
        <v>1:00</v>
      </c>
      <c r="R67" s="117">
        <f>C86</f>
        <v>338.05</v>
      </c>
      <c r="S67">
        <v>12</v>
      </c>
      <c r="T67" s="117" t="str">
        <f>C89</f>
        <v>18:00</v>
      </c>
    </row>
    <row r="68" spans="1:20">
      <c r="A68" s="127" t="s">
        <v>210</v>
      </c>
      <c r="B68" s="128">
        <f>IF(TRIM('HourGH-JUL'!X22)="","      ",'HourGH-JUL'!X22)</f>
        <v>0.47</v>
      </c>
      <c r="C68" s="128">
        <f>IF(TRIM('HourGH-JUL'!X23)="","      ",'HourGH-JUL'!X23)</f>
        <v>0.45</v>
      </c>
      <c r="D68" s="128">
        <f>IF(TRIM('HourGH-JUL'!X24)="","      ",'HourGH-JUL'!X24)</f>
        <v>0.38</v>
      </c>
      <c r="E68" s="128">
        <f>IF(TRIM('HourGH-JUL'!X25)="","      ",'HourGH-JUL'!X25)</f>
        <v>0.45</v>
      </c>
      <c r="F68" s="118">
        <f>IF(TRIM('HourGH-JUL'!X26)="","      ",'HourGH-JUL'!X26)</f>
        <v>0.59</v>
      </c>
      <c r="G68" s="118">
        <f>IF(TRIM('HourGH-JUL'!X27)="","      ",'HourGH-JUL'!X27)</f>
        <v>0.49</v>
      </c>
      <c r="H68" s="128">
        <f>IF(TRIM('HourGH-JUL'!X28)="","      ",'HourGH-JUL'!X28)</f>
        <v>0.49</v>
      </c>
      <c r="I68" s="128">
        <f>IF(TRIM('HourGH-JUL'!X29)="","      ",'HourGH-JUL'!X29)</f>
        <v>0.47</v>
      </c>
      <c r="J68" s="128">
        <f>IF(TRIM('HourGH-JUL'!X30)="","      ",'HourGH-JUL'!X30)</f>
        <v>0.41</v>
      </c>
      <c r="K68" s="128">
        <f>IF(TRIM('HourGH-JUL'!X31)="","      ",'HourGH-JUL'!X31)</f>
        <v>0.35</v>
      </c>
      <c r="N68" s="117">
        <f>D80</f>
        <v>338.04</v>
      </c>
      <c r="O68">
        <v>13</v>
      </c>
      <c r="P68" s="117" t="str">
        <f>D83</f>
        <v>1:00</v>
      </c>
      <c r="R68" s="117">
        <f>D86</f>
        <v>337.98</v>
      </c>
      <c r="S68">
        <v>13</v>
      </c>
      <c r="T68" s="117" t="str">
        <f>D89</f>
        <v>21:00</v>
      </c>
    </row>
    <row r="69" spans="1:20">
      <c r="A69" s="127" t="s">
        <v>211</v>
      </c>
      <c r="B69" s="128">
        <f>IF(TRIM('HourGH-JUL'!X33)="","      ",'HourGH-JUL'!X33)</f>
        <v>0.34</v>
      </c>
      <c r="C69" s="128">
        <f>IF(TRIM('HourGH-JUL'!X34)="","      ",'HourGH-JUL'!X34)</f>
        <v>0.33</v>
      </c>
      <c r="D69" s="128">
        <f>IF(TRIM('HourGH-JUL'!X35)="","      ",'HourGH-JUL'!X35)</f>
        <v>0.43</v>
      </c>
      <c r="E69" s="128">
        <f>IF(TRIM('HourGH-JUL'!X36)="","      ",'HourGH-JUL'!X36)</f>
        <v>0.55000000000000004</v>
      </c>
      <c r="F69" s="118">
        <f>IF(TRIM('HourGH-JUL'!X37)="","      ",'HourGH-JUL'!X37)</f>
        <v>0.43</v>
      </c>
      <c r="G69" s="118">
        <f>IF(TRIM('HourGH-JUL'!X38)="","      ",'HourGH-JUL'!X38)</f>
        <v>0.38</v>
      </c>
      <c r="H69" s="128">
        <f>IF(TRIM('HourGH-JUL'!X39)="","      ",'HourGH-JUL'!X39)</f>
        <v>0.37</v>
      </c>
      <c r="I69" s="128">
        <f>IF(TRIM('HourGH-JUL'!X40)="","      ",'HourGH-JUL'!X40)</f>
        <v>0.39</v>
      </c>
      <c r="J69" s="128">
        <f>IF(TRIM('HourGH-JUL'!X41)="","      ",'HourGH-JUL'!X41)</f>
        <v>0.48</v>
      </c>
      <c r="K69" s="128">
        <f>IF(TRIM('HourGH-JUL'!X42)="","      ",'HourGH-JUL'!X42)</f>
        <v>0.59</v>
      </c>
      <c r="L69" s="118">
        <f>IF(TRIM('HourGH-JUL'!X43)="","      ",'HourGH-JUL'!X43)</f>
        <v>0.59</v>
      </c>
      <c r="N69" s="117">
        <f>E80</f>
        <v>338.07000000000005</v>
      </c>
      <c r="O69">
        <v>14</v>
      </c>
      <c r="P69" s="117" t="str">
        <f>E83</f>
        <v>24:00</v>
      </c>
      <c r="R69" s="117">
        <f>E86</f>
        <v>337.97</v>
      </c>
      <c r="S69">
        <v>14</v>
      </c>
      <c r="T69" s="117" t="str">
        <f>E89</f>
        <v>1:00</v>
      </c>
    </row>
    <row r="70" spans="1:20">
      <c r="A70" s="127" t="s">
        <v>212</v>
      </c>
      <c r="B70" s="128">
        <f>IF(TRIM('HourGH-JUL'!Y11)="","      ",'HourGH-JUL'!Y11)</f>
        <v>0.23</v>
      </c>
      <c r="C70" s="128">
        <f>IF(TRIM('HourGH-JUL'!Y12)="","      ",'HourGH-JUL'!Y12)</f>
        <v>0.23</v>
      </c>
      <c r="D70" s="128">
        <f>IF(TRIM('HourGH-JUL'!Y13)="","      ",'HourGH-JUL'!Y13)</f>
        <v>0.23</v>
      </c>
      <c r="E70" s="128">
        <f>IF(TRIM('HourGH-JUL'!Y14)="","      ",'HourGH-JUL'!Y14)</f>
        <v>0.26</v>
      </c>
      <c r="F70" s="118">
        <f>IF(TRIM('HourGH-JUL'!Y15)="","      ",'HourGH-JUL'!Y15)</f>
        <v>0.27</v>
      </c>
      <c r="G70" s="118">
        <f>IF(TRIM('HourGH-JUL'!Y16)="","      ",'HourGH-JUL'!Y16)</f>
        <v>0.24</v>
      </c>
      <c r="H70" s="128">
        <f>IF(TRIM('HourGH-JUL'!Y17)="","      ",'HourGH-JUL'!Y17)</f>
        <v>0.27</v>
      </c>
      <c r="I70" s="128">
        <f>IF(TRIM('HourGH-JUL'!Y18)="","      ",'HourGH-JUL'!Y18)</f>
        <v>0.27</v>
      </c>
      <c r="J70" s="128">
        <f>IF(TRIM('HourGH-JUL'!Y19)="","      ",'HourGH-JUL'!Y19)</f>
        <v>0.32</v>
      </c>
      <c r="K70" s="128">
        <f>IF(TRIM('HourGH-JUL'!Y20)="","      ",'HourGH-JUL'!Y20)</f>
        <v>0.46</v>
      </c>
      <c r="N70" s="117">
        <f>F80</f>
        <v>338.22</v>
      </c>
      <c r="O70">
        <v>15</v>
      </c>
      <c r="P70" s="117" t="str">
        <f>F83</f>
        <v>14:00</v>
      </c>
      <c r="R70" s="117">
        <f>F86</f>
        <v>338.08000000000004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IF(TRIM('HourGH-JUL'!Y22)="","      ",'HourGH-JUL'!Y22)</f>
        <v>0.47</v>
      </c>
      <c r="C71" s="128">
        <f>IF(TRIM('HourGH-JUL'!Y23)="","      ",'HourGH-JUL'!Y23)</f>
        <v>0.45</v>
      </c>
      <c r="D71" s="128">
        <f>IF(TRIM('HourGH-JUL'!Y24)="","      ",'HourGH-JUL'!Y24)</f>
        <v>0.38</v>
      </c>
      <c r="E71" s="128">
        <f>IF(TRIM('HourGH-JUL'!Y25)="","      ",'HourGH-JUL'!Y25)</f>
        <v>0.46</v>
      </c>
      <c r="F71" s="118">
        <f>IF(TRIM('HourGH-JUL'!Y26)="","      ",'HourGH-JUL'!Y26)</f>
        <v>0.57999999999999996</v>
      </c>
      <c r="G71" s="118">
        <f>IF(TRIM('HourGH-JUL'!Y27)="","      ",'HourGH-JUL'!Y27)</f>
        <v>0.49</v>
      </c>
      <c r="H71" s="128">
        <f>IF(TRIM('HourGH-JUL'!Y28)="","      ",'HourGH-JUL'!Y28)</f>
        <v>0.49</v>
      </c>
      <c r="I71" s="128">
        <f>IF(TRIM('HourGH-JUL'!Y29)="","      ",'HourGH-JUL'!Y29)</f>
        <v>0.47</v>
      </c>
      <c r="J71" s="128">
        <f>IF(TRIM('HourGH-JUL'!Y30)="","      ",'HourGH-JUL'!Y30)</f>
        <v>0.41</v>
      </c>
      <c r="K71" s="128">
        <f>IF(TRIM('HourGH-JUL'!Y31)="","      ",'HourGH-JUL'!Y31)</f>
        <v>0.35</v>
      </c>
      <c r="N71" s="117">
        <f>G80</f>
        <v>338.16</v>
      </c>
      <c r="O71">
        <v>16</v>
      </c>
      <c r="P71" s="117" t="str">
        <f>G83</f>
        <v>1:00</v>
      </c>
      <c r="R71" s="117">
        <f>G86</f>
        <v>338.09000000000003</v>
      </c>
      <c r="S71">
        <v>16</v>
      </c>
      <c r="T71" s="117" t="str">
        <f>G89</f>
        <v>19:00</v>
      </c>
    </row>
    <row r="72" spans="1:20">
      <c r="A72" s="127" t="s">
        <v>214</v>
      </c>
      <c r="B72" s="128">
        <f>IF(TRIM('HourGH-JUL'!Y33)="","      ",'HourGH-JUL'!Y33)</f>
        <v>0.34</v>
      </c>
      <c r="C72" s="128">
        <f>IF(TRIM('HourGH-JUL'!Y34)="","      ",'HourGH-JUL'!Y34)</f>
        <v>0.33</v>
      </c>
      <c r="D72" s="128">
        <f>IF(TRIM('HourGH-JUL'!Y35)="","      ",'HourGH-JUL'!Y35)</f>
        <v>0.46</v>
      </c>
      <c r="E72" s="128">
        <f>IF(TRIM('HourGH-JUL'!Y36)="","      ",'HourGH-JUL'!Y36)</f>
        <v>0.54</v>
      </c>
      <c r="F72" s="118">
        <f>IF(TRIM('HourGH-JUL'!Y37)="","      ",'HourGH-JUL'!Y37)</f>
        <v>0.43</v>
      </c>
      <c r="G72" s="118">
        <f>IF(TRIM('HourGH-JUL'!Y38)="","      ",'HourGH-JUL'!Y38)</f>
        <v>0.38</v>
      </c>
      <c r="H72" s="128">
        <f>IF(TRIM('HourGH-JUL'!Y39)="","      ",'HourGH-JUL'!Y39)</f>
        <v>0.37</v>
      </c>
      <c r="I72" s="128">
        <f>IF(TRIM('HourGH-JUL'!Y40)="","      ",'HourGH-JUL'!Y40)</f>
        <v>0.39</v>
      </c>
      <c r="J72" s="128">
        <f>IF(TRIM('HourGH-JUL'!Y41)="","      ",'HourGH-JUL'!Y41)</f>
        <v>0.49</v>
      </c>
      <c r="K72" s="128">
        <f>IF(TRIM('HourGH-JUL'!Y42)="","      ",'HourGH-JUL'!Y42)</f>
        <v>0.59</v>
      </c>
      <c r="L72" s="118">
        <f>IF(TRIM('HourGH-JUL'!Y43)="","      ",'HourGH-JUL'!Y43)</f>
        <v>0.59</v>
      </c>
      <c r="N72" s="117">
        <f>H80</f>
        <v>338.09000000000003</v>
      </c>
      <c r="O72">
        <v>17</v>
      </c>
      <c r="P72" s="117" t="str">
        <f>H83</f>
        <v>19:00</v>
      </c>
      <c r="R72" s="117">
        <f>H86</f>
        <v>338.07000000000005</v>
      </c>
      <c r="S72">
        <v>17</v>
      </c>
      <c r="T72" s="117" t="str">
        <f>H89</f>
        <v>6:00</v>
      </c>
    </row>
    <row r="73" spans="1:20">
      <c r="A73" s="127" t="s">
        <v>215</v>
      </c>
      <c r="B73" s="128">
        <f>IF(TRIM('HourGH-JUL'!Z11)="","      ",'HourGH-JUL'!Z11)</f>
        <v>0.23</v>
      </c>
      <c r="C73" s="128">
        <f>IF(TRIM('HourGH-JUL'!Z12)="","      ",'HourGH-JUL'!Z12)</f>
        <v>0.23</v>
      </c>
      <c r="D73" s="128">
        <f>IF(TRIM('HourGH-JUL'!Z13)="","      ",'HourGH-JUL'!Z13)</f>
        <v>0.23</v>
      </c>
      <c r="E73" s="128">
        <f>IF(TRIM('HourGH-JUL'!Z14)="","      ",'HourGH-JUL'!Z14)</f>
        <v>0.26</v>
      </c>
      <c r="F73" s="118">
        <f>IF(TRIM('HourGH-JUL'!Z15)="","      ",'HourGH-JUL'!Z15)</f>
        <v>0.27</v>
      </c>
      <c r="G73" s="118">
        <f>IF(TRIM('HourGH-JUL'!Z16)="","      ",'HourGH-JUL'!Z16)</f>
        <v>0.24</v>
      </c>
      <c r="H73" s="128">
        <f>IF(TRIM('HourGH-JUL'!Z17)="","      ",'HourGH-JUL'!Z17)</f>
        <v>0.27</v>
      </c>
      <c r="I73" s="128">
        <f>IF(TRIM('HourGH-JUL'!Z18)="","      ",'HourGH-JUL'!Z18)</f>
        <v>0.27</v>
      </c>
      <c r="J73" s="128">
        <f>IF(TRIM('HourGH-JUL'!Z19)="","      ",'HourGH-JUL'!Z19)</f>
        <v>0.33</v>
      </c>
      <c r="K73" s="128">
        <f>IF(TRIM('HourGH-JUL'!Z20)="","      ",'HourGH-JUL'!Z20)</f>
        <v>0.47</v>
      </c>
      <c r="N73" s="117">
        <f>I80</f>
        <v>338.1</v>
      </c>
      <c r="O73">
        <v>18</v>
      </c>
      <c r="P73" s="117" t="str">
        <f>I83</f>
        <v>1:00</v>
      </c>
      <c r="R73" s="117">
        <f>I86</f>
        <v>338.07000000000005</v>
      </c>
      <c r="S73">
        <v>18</v>
      </c>
      <c r="T73" s="117" t="str">
        <f>I89</f>
        <v>18:00</v>
      </c>
    </row>
    <row r="74" spans="1:20">
      <c r="A74" s="127" t="s">
        <v>216</v>
      </c>
      <c r="B74" s="128">
        <f>IF(TRIM('HourGH-JUL'!Z22)="","      ",'HourGH-JUL'!Z22)</f>
        <v>0.47</v>
      </c>
      <c r="C74" s="128">
        <f>IF(TRIM('HourGH-JUL'!Z23)="","      ",'HourGH-JUL'!Z23)</f>
        <v>0.45</v>
      </c>
      <c r="D74" s="128">
        <f>IF(TRIM('HourGH-JUL'!Z24)="","      ",'HourGH-JUL'!Z24)</f>
        <v>0.38</v>
      </c>
      <c r="E74" s="128">
        <f>IF(TRIM('HourGH-JUL'!Z25)="","      ",'HourGH-JUL'!Z25)</f>
        <v>0.47</v>
      </c>
      <c r="F74" s="118">
        <f>IF(TRIM('HourGH-JUL'!Z26)="","      ",'HourGH-JUL'!Z26)</f>
        <v>0.56999999999999995</v>
      </c>
      <c r="G74" s="118">
        <f>IF(TRIM('HourGH-JUL'!Z27)="","      ",'HourGH-JUL'!Z27)</f>
        <v>0.49</v>
      </c>
      <c r="H74" s="128">
        <f>IF(TRIM('HourGH-JUL'!Z28)="","      ",'HourGH-JUL'!Z28)</f>
        <v>0.49</v>
      </c>
      <c r="I74" s="128">
        <f>IF(TRIM('HourGH-JUL'!Z29)="","      ",'HourGH-JUL'!Z29)</f>
        <v>0.47</v>
      </c>
      <c r="J74" s="128">
        <f>IF(TRIM('HourGH-JUL'!Z30)="","      ",'HourGH-JUL'!Z30)</f>
        <v>0.41</v>
      </c>
      <c r="K74" s="128">
        <f>IF(TRIM('HourGH-JUL'!Z31)="","      ",'HourGH-JUL'!Z31)</f>
        <v>0.35</v>
      </c>
      <c r="N74" s="117">
        <f>J80</f>
        <v>338.06</v>
      </c>
      <c r="O74">
        <v>19</v>
      </c>
      <c r="P74" s="117" t="str">
        <f>J83</f>
        <v>1:00</v>
      </c>
      <c r="R74" s="117">
        <f>J86</f>
        <v>338.01000000000005</v>
      </c>
      <c r="S74">
        <v>19</v>
      </c>
      <c r="T74" s="117" t="str">
        <f>J89</f>
        <v>22:00</v>
      </c>
    </row>
    <row r="75" spans="1:20">
      <c r="A75" s="127" t="s">
        <v>217</v>
      </c>
      <c r="B75" s="128">
        <f>IF(TRIM('HourGH-JUL'!Z33)="","      ",'HourGH-JUL'!Z33)</f>
        <v>0.34</v>
      </c>
      <c r="C75" s="128">
        <f>IF(TRIM('HourGH-JUL'!Z34)="","      ",'HourGH-JUL'!Z34)</f>
        <v>0.33</v>
      </c>
      <c r="D75" s="128">
        <f>IF(TRIM('HourGH-JUL'!Z35)="","      ",'HourGH-JUL'!Z35)</f>
        <v>0.49</v>
      </c>
      <c r="E75" s="128">
        <f>IF(TRIM('HourGH-JUL'!Z36)="","      ",'HourGH-JUL'!Z36)</f>
        <v>0.53</v>
      </c>
      <c r="F75" s="118">
        <f>IF(TRIM('HourGH-JUL'!Z37)="","      ",'HourGH-JUL'!Z37)</f>
        <v>0.43</v>
      </c>
      <c r="G75" s="118">
        <f>IF(TRIM('HourGH-JUL'!Z38)="","      ",'HourGH-JUL'!Z38)</f>
        <v>0.37</v>
      </c>
      <c r="H75" s="128">
        <f>IF(TRIM('HourGH-JUL'!Z39)="","      ",'HourGH-JUL'!Z39)</f>
        <v>0.37</v>
      </c>
      <c r="I75" s="128">
        <f>IF(TRIM('HourGH-JUL'!Z40)="","      ",'HourGH-JUL'!Z40)</f>
        <v>0.39</v>
      </c>
      <c r="J75" s="128">
        <f>IF(TRIM('HourGH-JUL'!Z41)="","      ",'HourGH-JUL'!Z41)</f>
        <v>0.49</v>
      </c>
      <c r="K75" s="128">
        <f>IF(TRIM('HourGH-JUL'!Z42)="","      ",'HourGH-JUL'!Z42)</f>
        <v>0.59</v>
      </c>
      <c r="L75" s="118">
        <f>IF(TRIM('HourGH-JUL'!Z43)="","      ",'HourGH-JUL'!Z43)</f>
        <v>0.59</v>
      </c>
      <c r="N75" s="117">
        <f>K80</f>
        <v>338</v>
      </c>
      <c r="O75">
        <v>20</v>
      </c>
      <c r="P75" s="117" t="str">
        <f>K83</f>
        <v>1:00</v>
      </c>
      <c r="R75" s="117">
        <f>K86</f>
        <v>337.95000000000005</v>
      </c>
      <c r="S75">
        <v>20</v>
      </c>
      <c r="T75" s="117" t="str">
        <f>K89</f>
        <v>19:00</v>
      </c>
    </row>
    <row r="76" spans="1:20">
      <c r="A76" t="s">
        <v>228</v>
      </c>
      <c r="B76" s="119">
        <f>IF(TRIM('HourGH-JUL'!AB11)="","",'HourGH-JUL'!AB11)</f>
        <v>337.83000000000004</v>
      </c>
      <c r="C76" s="119">
        <f>IF(TRIM('HourGH-JUL'!AB12)="","",'HourGH-JUL'!AB12)</f>
        <v>337.83000000000004</v>
      </c>
      <c r="D76" s="119">
        <f>IF(TRIM('HourGH-JUL'!AB13)="","",'HourGH-JUL'!AB13)</f>
        <v>337.83000000000004</v>
      </c>
      <c r="E76" s="119">
        <f>IF(TRIM('HourGH-JUL'!AB14)="","",'HourGH-JUL'!AB14)</f>
        <v>337.84750000000003</v>
      </c>
      <c r="F76" s="119">
        <f>IF(TRIM('HourGH-JUL'!AB15)="","",'HourGH-JUL'!AB15)</f>
        <v>337.87</v>
      </c>
      <c r="G76" s="119">
        <f>IF(TRIM('HourGH-JUL'!AB16)="","",'HourGH-JUL'!AB16)</f>
        <v>337.85500000000002</v>
      </c>
      <c r="H76" s="119">
        <f>IF(TRIM('HourGH-JUL'!AB17)="","",'HourGH-JUL'!AB17)</f>
        <v>337.85500000000002</v>
      </c>
      <c r="I76" s="119">
        <f>IF(TRIM('HourGH-JUL'!AB18)="","",'HourGH-JUL'!AB18)</f>
        <v>337.875</v>
      </c>
      <c r="J76" s="119">
        <f>IF(TRIM('HourGH-JUL'!AB19)="","",'HourGH-JUL'!AB19)</f>
        <v>337.88041666666669</v>
      </c>
      <c r="K76" s="119">
        <f>IF(TRIM('HourGH-JUL'!AB20)="","",'HourGH-JUL'!AB20)</f>
        <v>338.00708333333336</v>
      </c>
      <c r="N76" s="117">
        <f>B81</f>
        <v>337.94</v>
      </c>
      <c r="O76">
        <v>21</v>
      </c>
      <c r="P76" s="117" t="str">
        <f>B84</f>
        <v>1:00</v>
      </c>
      <c r="R76" s="117">
        <f>B87</f>
        <v>337.94</v>
      </c>
      <c r="S76">
        <v>21</v>
      </c>
      <c r="T76" s="117" t="str">
        <f>B90</f>
        <v>1:00</v>
      </c>
    </row>
    <row r="77" spans="1:20">
      <c r="A77" t="s">
        <v>229</v>
      </c>
      <c r="B77" s="119">
        <f>IF(TRIM('HourGH-JUL'!AB22)="","",'HourGH-JUL'!AB22)</f>
        <v>338.07375000000002</v>
      </c>
      <c r="C77" s="119">
        <f>IF(TRIM('HourGH-JUL'!AB23)="","",'HourGH-JUL'!AB23)</f>
        <v>338.06166666666667</v>
      </c>
      <c r="D77" s="119">
        <f>IF(TRIM('HourGH-JUL'!AB24)="","",'HourGH-JUL'!AB24)</f>
        <v>338.01250000000005</v>
      </c>
      <c r="E77" s="119">
        <f>IF(TRIM('HourGH-JUL'!AB25)="","",'HourGH-JUL'!AB25)</f>
        <v>337.99458333333337</v>
      </c>
      <c r="F77" s="119">
        <f>IF(TRIM('HourGH-JUL'!AB26)="","",'HourGH-JUL'!AB26)</f>
        <v>338.17416666666668</v>
      </c>
      <c r="G77" s="119">
        <f>IF(TRIM('HourGH-JUL'!AB27)="","",'HourGH-JUL'!AB27)</f>
        <v>338.11291666666671</v>
      </c>
      <c r="H77" s="119">
        <f>IF(TRIM('HourGH-JUL'!AB28)="","",'HourGH-JUL'!AB28)</f>
        <v>338.07958333333335</v>
      </c>
      <c r="I77" s="119">
        <f>IF(TRIM('HourGH-JUL'!AB29)="","",'HourGH-JUL'!AB29)</f>
        <v>338.0841666666667</v>
      </c>
      <c r="J77" s="119">
        <f>IF(TRIM('HourGH-JUL'!AB30)="","",'HourGH-JUL'!AB30)</f>
        <v>338.03958333333338</v>
      </c>
      <c r="K77" s="119">
        <f>IF(TRIM('HourGH-JUL'!AB31)="","",'HourGH-JUL'!AB31)</f>
        <v>337.97166666666669</v>
      </c>
      <c r="N77" s="117">
        <f>C81</f>
        <v>337.94</v>
      </c>
      <c r="O77">
        <v>22</v>
      </c>
      <c r="P77" s="117" t="str">
        <f>C84</f>
        <v>1:00</v>
      </c>
      <c r="R77" s="117">
        <f>C87</f>
        <v>337.93</v>
      </c>
      <c r="S77">
        <v>22</v>
      </c>
      <c r="T77" s="117" t="str">
        <f>C90</f>
        <v>13:00</v>
      </c>
    </row>
    <row r="78" spans="1:20">
      <c r="A78" t="s">
        <v>230</v>
      </c>
      <c r="B78" s="119">
        <f>IF(TRIM('HourGH-JUL'!AB33)="","",'HourGH-JUL'!AB33)</f>
        <v>337.94</v>
      </c>
      <c r="C78" s="119">
        <f>IF(TRIM('HourGH-JUL'!AB34)="","",'HourGH-JUL'!AB34)</f>
        <v>337.935</v>
      </c>
      <c r="D78" s="119">
        <f>IF(TRIM('HourGH-JUL'!AB35)="","",'HourGH-JUL'!AB35)</f>
        <v>337.95833333333337</v>
      </c>
      <c r="E78" s="119">
        <f>IF(TRIM('HourGH-JUL'!AB36)="","",'HourGH-JUL'!AB36)</f>
        <v>338.18333333333334</v>
      </c>
      <c r="F78" s="119">
        <f>IF(TRIM('HourGH-JUL'!AB37)="","",'HourGH-JUL'!AB37)</f>
        <v>338.06125000000003</v>
      </c>
      <c r="G78" s="119">
        <f>IF(TRIM('HourGH-JUL'!AB38)="","",'HourGH-JUL'!AB38)</f>
        <v>338.00791666666669</v>
      </c>
      <c r="H78" s="119">
        <f>IF(TRIM('HourGH-JUL'!AB39)="","",'HourGH-JUL'!AB39)</f>
        <v>337.95500000000004</v>
      </c>
      <c r="I78" s="119">
        <f>IF(TRIM('HourGH-JUL'!AB40)="","",'HourGH-JUL'!AB40)</f>
        <v>337.98291666666671</v>
      </c>
      <c r="J78" s="119">
        <f>IF(TRIM('HourGH-JUL'!AB41)="","",'HourGH-JUL'!AB41)</f>
        <v>338.03541666666666</v>
      </c>
      <c r="K78" s="119">
        <f>IF(TRIM('HourGH-JUL'!AB42)="","",'HourGH-JUL'!AB42)</f>
        <v>338.15833333333336</v>
      </c>
      <c r="N78" s="117">
        <f>D81</f>
        <v>338.09000000000003</v>
      </c>
      <c r="O78">
        <v>23</v>
      </c>
      <c r="P78" s="117" t="str">
        <f>D84</f>
        <v>24:00</v>
      </c>
      <c r="R78" s="117">
        <f>D87</f>
        <v>337.92</v>
      </c>
      <c r="S78">
        <v>23</v>
      </c>
      <c r="T78" s="117" t="str">
        <f>D90</f>
        <v>1:00</v>
      </c>
    </row>
    <row r="79" spans="1:20">
      <c r="A79" t="s">
        <v>231</v>
      </c>
      <c r="B79" s="119">
        <f>IF(TRIM('HourGH-JUL'!AC11)="","",'HourGH-JUL'!AC11)</f>
        <v>337.83000000000004</v>
      </c>
      <c r="C79" s="119">
        <f>IF(TRIM('HourGH-JUL'!AC12)="","",'HourGH-JUL'!AC12)</f>
        <v>337.83000000000004</v>
      </c>
      <c r="D79" s="119">
        <f>IF(TRIM('HourGH-JUL'!AC13)="","",'HourGH-JUL'!AC13)</f>
        <v>337.83000000000004</v>
      </c>
      <c r="E79" s="119">
        <f>IF(TRIM('HourGH-JUL'!AC14)="","",'HourGH-JUL'!AC14)</f>
        <v>337.86</v>
      </c>
      <c r="F79" s="119">
        <f>IF(TRIM('HourGH-JUL'!AC15)="","",'HourGH-JUL'!AC15)</f>
        <v>337.87</v>
      </c>
      <c r="G79" s="119">
        <f>IF(TRIM('HourGH-JUL'!AC16)="","",'HourGH-JUL'!AC16)</f>
        <v>337.87</v>
      </c>
      <c r="H79" s="119">
        <f>IF(TRIM('HourGH-JUL'!AC17)="","",'HourGH-JUL'!AC17)</f>
        <v>337.87</v>
      </c>
      <c r="I79" s="119">
        <f>IF(TRIM('HourGH-JUL'!AC18)="","",'HourGH-JUL'!AC18)</f>
        <v>337.88</v>
      </c>
      <c r="J79" s="119">
        <f>IF(TRIM('HourGH-JUL'!AC19)="","",'HourGH-JUL'!AC19)</f>
        <v>337.93</v>
      </c>
      <c r="K79" s="119">
        <f>IF(TRIM('HourGH-JUL'!AC20)="","",'HourGH-JUL'!AC20)</f>
        <v>338.07000000000005</v>
      </c>
      <c r="N79" s="117">
        <f>E81</f>
        <v>338.24</v>
      </c>
      <c r="O79">
        <v>24</v>
      </c>
      <c r="P79" s="117" t="str">
        <f>E84</f>
        <v>11:00</v>
      </c>
      <c r="R79" s="117">
        <f>E87</f>
        <v>338.1</v>
      </c>
      <c r="S79">
        <v>24</v>
      </c>
      <c r="T79" s="117" t="str">
        <f>E90</f>
        <v>1:00</v>
      </c>
    </row>
    <row r="80" spans="1:20">
      <c r="A80" t="s">
        <v>232</v>
      </c>
      <c r="B80" s="119">
        <f>IF(TRIM('HourGH-JUL'!AC22)="","",'HourGH-JUL'!AC22)</f>
        <v>338.08000000000004</v>
      </c>
      <c r="C80" s="119">
        <f>IF(TRIM('HourGH-JUL'!AC23)="","",'HourGH-JUL'!AC23)</f>
        <v>338.07000000000005</v>
      </c>
      <c r="D80" s="119">
        <f>IF(TRIM('HourGH-JUL'!AC24)="","",'HourGH-JUL'!AC24)</f>
        <v>338.04</v>
      </c>
      <c r="E80" s="119">
        <f>IF(TRIM('HourGH-JUL'!AC25)="","",'HourGH-JUL'!AC25)</f>
        <v>338.07000000000005</v>
      </c>
      <c r="F80" s="119">
        <f>IF(TRIM('HourGH-JUL'!AC26)="","",'HourGH-JUL'!AC26)</f>
        <v>338.22</v>
      </c>
      <c r="G80" s="119">
        <f>IF(TRIM('HourGH-JUL'!AC27)="","",'HourGH-JUL'!AC27)</f>
        <v>338.16</v>
      </c>
      <c r="H80" s="119">
        <f>IF(TRIM('HourGH-JUL'!AC28)="","",'HourGH-JUL'!AC28)</f>
        <v>338.09000000000003</v>
      </c>
      <c r="I80" s="119">
        <f>IF(TRIM('HourGH-JUL'!AC29)="","",'HourGH-JUL'!AC29)</f>
        <v>338.1</v>
      </c>
      <c r="J80" s="119">
        <f>IF(TRIM('HourGH-JUL'!AC30)="","",'HourGH-JUL'!AC30)</f>
        <v>338.06</v>
      </c>
      <c r="K80" s="119">
        <f>IF(TRIM('HourGH-JUL'!AC31)="","",'HourGH-JUL'!AC31)</f>
        <v>338</v>
      </c>
      <c r="N80" s="117">
        <f>F81</f>
        <v>338.12</v>
      </c>
      <c r="O80">
        <v>25</v>
      </c>
      <c r="P80" s="117" t="str">
        <f>F84</f>
        <v>1:00</v>
      </c>
      <c r="R80" s="117">
        <f>F87</f>
        <v>338.03000000000003</v>
      </c>
      <c r="S80">
        <v>25</v>
      </c>
      <c r="T80" s="117" t="str">
        <f>F90</f>
        <v>19:00</v>
      </c>
    </row>
    <row r="81" spans="1:20">
      <c r="A81" t="s">
        <v>233</v>
      </c>
      <c r="B81" s="119">
        <f>IF(TRIM('HourGH-JUL'!AC33)="","",'HourGH-JUL'!AC33)</f>
        <v>337.94</v>
      </c>
      <c r="C81" s="119">
        <f>IF(TRIM('HourGH-JUL'!AC34)="","",'HourGH-JUL'!AC34)</f>
        <v>337.94</v>
      </c>
      <c r="D81" s="119">
        <f>IF(TRIM('HourGH-JUL'!AC35)="","",'HourGH-JUL'!AC35)</f>
        <v>338.09000000000003</v>
      </c>
      <c r="E81" s="119">
        <f>IF(TRIM('HourGH-JUL'!AC36)="","",'HourGH-JUL'!AC36)</f>
        <v>338.24</v>
      </c>
      <c r="F81" s="119">
        <f>IF(TRIM('HourGH-JUL'!AC37)="","",'HourGH-JUL'!AC37)</f>
        <v>338.12</v>
      </c>
      <c r="G81" s="119">
        <f>IF(TRIM('HourGH-JUL'!AC38)="","",'HourGH-JUL'!AC38)</f>
        <v>338.02000000000004</v>
      </c>
      <c r="H81" s="119">
        <f>IF(TRIM('HourGH-JUL'!AC39)="","",'HourGH-JUL'!AC39)</f>
        <v>337.97</v>
      </c>
      <c r="I81" s="119">
        <f>IF(TRIM('HourGH-JUL'!AC40)="","",'HourGH-JUL'!AC40)</f>
        <v>337.99</v>
      </c>
      <c r="J81" s="119">
        <f>IF(TRIM('HourGH-JUL'!AC41)="","",'HourGH-JUL'!AC41)</f>
        <v>338.09000000000003</v>
      </c>
      <c r="K81" s="119">
        <f>IF(TRIM('HourGH-JUL'!AC42)="","",'HourGH-JUL'!AC42)</f>
        <v>338.19</v>
      </c>
      <c r="N81" s="117">
        <f>G81</f>
        <v>338.02000000000004</v>
      </c>
      <c r="O81">
        <v>26</v>
      </c>
      <c r="P81" s="117" t="str">
        <f>G84</f>
        <v>1:00</v>
      </c>
      <c r="R81" s="117">
        <f>G87</f>
        <v>337.97</v>
      </c>
      <c r="S81">
        <v>26</v>
      </c>
      <c r="T81" s="117" t="str">
        <f>G90</f>
        <v>24:00</v>
      </c>
    </row>
    <row r="82" spans="1:20">
      <c r="A82" t="s">
        <v>219</v>
      </c>
      <c r="B82" s="119" t="str">
        <f>'HourGH-JUL'!AD11&amp;":00"</f>
        <v>1:00</v>
      </c>
      <c r="C82" s="119" t="str">
        <f>'HourGH-JUL'!AD12&amp;":00"</f>
        <v>1:00</v>
      </c>
      <c r="D82" s="119" t="str">
        <f>'HourGH-JUL'!AD13&amp;":00"</f>
        <v>1:00</v>
      </c>
      <c r="E82" s="119" t="str">
        <f>'HourGH-JUL'!AD14&amp;":00"</f>
        <v>19:00</v>
      </c>
      <c r="F82" s="119" t="str">
        <f>'HourGH-JUL'!AD15&amp;":00"</f>
        <v>1:00</v>
      </c>
      <c r="G82" s="119" t="str">
        <f>'HourGH-JUL'!AD16&amp;":00"</f>
        <v>1:00</v>
      </c>
      <c r="H82" s="119" t="str">
        <f>'HourGH-JUL'!AD17&amp;":00"</f>
        <v>19:00</v>
      </c>
      <c r="I82" s="119" t="str">
        <f>'HourGH-JUL'!AD18&amp;":00"</f>
        <v>1:00</v>
      </c>
      <c r="J82" s="119" t="str">
        <f>'HourGH-JUL'!AD19&amp;":00"</f>
        <v>24:00</v>
      </c>
      <c r="K82" s="119" t="str">
        <f>'HourGH-JUL'!AD20&amp;":00"</f>
        <v>24:00</v>
      </c>
      <c r="N82" s="117">
        <f>H81</f>
        <v>337.97</v>
      </c>
      <c r="O82">
        <v>27</v>
      </c>
      <c r="P82" s="117" t="str">
        <f>H84</f>
        <v>1:00</v>
      </c>
      <c r="R82" s="117">
        <f>H87</f>
        <v>337.94</v>
      </c>
      <c r="S82">
        <v>27</v>
      </c>
      <c r="T82" s="117" t="str">
        <f>H90</f>
        <v>9:00</v>
      </c>
    </row>
    <row r="83" spans="1:20">
      <c r="A83" t="s">
        <v>220</v>
      </c>
      <c r="B83" s="119" t="str">
        <f>'HourGH-JUL'!AD22&amp;":00"</f>
        <v>4:00</v>
      </c>
      <c r="C83" s="119" t="str">
        <f>'HourGH-JUL'!AD23&amp;":00"</f>
        <v>1:00</v>
      </c>
      <c r="D83" s="119" t="str">
        <f>'HourGH-JUL'!AD24&amp;":00"</f>
        <v>1:00</v>
      </c>
      <c r="E83" s="119" t="str">
        <f>'HourGH-JUL'!AD25&amp;":00"</f>
        <v>24:00</v>
      </c>
      <c r="F83" s="119" t="str">
        <f>'HourGH-JUL'!AD26&amp;":00"</f>
        <v>14:00</v>
      </c>
      <c r="G83" s="119" t="str">
        <f>'HourGH-JUL'!AD27&amp;":00"</f>
        <v>1:00</v>
      </c>
      <c r="H83" s="119" t="str">
        <f>'HourGH-JUL'!AD28&amp;":00"</f>
        <v>19:00</v>
      </c>
      <c r="I83" s="119" t="str">
        <f>'HourGH-JUL'!AD29&amp;":00"</f>
        <v>1:00</v>
      </c>
      <c r="J83" s="119" t="str">
        <f>'HourGH-JUL'!AD30&amp;":00"</f>
        <v>1:00</v>
      </c>
      <c r="K83" s="119" t="str">
        <f>'HourGH-JUL'!AD31&amp;":00"</f>
        <v>1:00</v>
      </c>
      <c r="N83" s="117">
        <f>I81</f>
        <v>337.99</v>
      </c>
      <c r="O83">
        <v>28</v>
      </c>
      <c r="P83" s="117" t="str">
        <f>I84</f>
        <v>13:00</v>
      </c>
      <c r="R83" s="117">
        <f>I87</f>
        <v>337.97</v>
      </c>
      <c r="S83">
        <v>28</v>
      </c>
      <c r="T83" s="117" t="str">
        <f>I90</f>
        <v>1:00</v>
      </c>
    </row>
    <row r="84" spans="1:20">
      <c r="A84" t="s">
        <v>221</v>
      </c>
      <c r="B84" s="119" t="str">
        <f>'HourGH-JUL'!AD33&amp;":00"</f>
        <v>1:00</v>
      </c>
      <c r="C84" s="119" t="str">
        <f>'HourGH-JUL'!AD34&amp;":00"</f>
        <v>1:00</v>
      </c>
      <c r="D84" s="119" t="str">
        <f>'HourGH-JUL'!AD35&amp;":00"</f>
        <v>24:00</v>
      </c>
      <c r="E84" s="119" t="str">
        <f>'HourGH-JUL'!AD36&amp;":00"</f>
        <v>11:00</v>
      </c>
      <c r="F84" s="119" t="str">
        <f>'HourGH-JUL'!AD37&amp;":00"</f>
        <v>1:00</v>
      </c>
      <c r="G84" s="119" t="str">
        <f>'HourGH-JUL'!AD38&amp;":00"</f>
        <v>1:00</v>
      </c>
      <c r="H84" s="119" t="str">
        <f>'HourGH-JUL'!AD39&amp;":00"</f>
        <v>1:00</v>
      </c>
      <c r="I84" s="119" t="str">
        <f>'HourGH-JUL'!AD40&amp;":00"</f>
        <v>13:00</v>
      </c>
      <c r="J84" s="119" t="str">
        <f>'HourGH-JUL'!AD41&amp;":00"</f>
        <v>23:00</v>
      </c>
      <c r="K84" s="119" t="str">
        <f>'HourGH-JUL'!AD42&amp;":00"</f>
        <v>20:00</v>
      </c>
      <c r="N84" s="117">
        <f>J81</f>
        <v>338.09000000000003</v>
      </c>
      <c r="O84">
        <v>29</v>
      </c>
      <c r="P84" s="117" t="str">
        <f>J84</f>
        <v>23:00</v>
      </c>
      <c r="R84" s="117">
        <f>J87</f>
        <v>338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'HourGH-JUL'!AE11</f>
        <v>337.83000000000004</v>
      </c>
      <c r="C85" s="129">
        <f>'HourGH-JUL'!AE12</f>
        <v>337.83000000000004</v>
      </c>
      <c r="D85" s="129">
        <f>'HourGH-JUL'!AE13</f>
        <v>337.83000000000004</v>
      </c>
      <c r="E85" s="129">
        <f>'HourGH-JUL'!AE14</f>
        <v>337.84000000000003</v>
      </c>
      <c r="F85" s="129">
        <f>'HourGH-JUL'!AE15</f>
        <v>337.87</v>
      </c>
      <c r="G85" s="129">
        <f>'HourGH-JUL'!AE16</f>
        <v>337.84000000000003</v>
      </c>
      <c r="H85" s="129">
        <f>'HourGH-JUL'!AE17</f>
        <v>337.84000000000003</v>
      </c>
      <c r="I85" s="129">
        <f>'HourGH-JUL'!AE18</f>
        <v>337.87</v>
      </c>
      <c r="J85" s="129">
        <f>'HourGH-JUL'!AE19</f>
        <v>337.86</v>
      </c>
      <c r="K85" s="129">
        <f>'HourGH-JUL'!AE20</f>
        <v>337.93</v>
      </c>
      <c r="N85" s="117">
        <f>K81</f>
        <v>338.19</v>
      </c>
      <c r="O85">
        <v>30</v>
      </c>
      <c r="P85" s="117" t="str">
        <f>K84</f>
        <v>20:00</v>
      </c>
      <c r="R85" s="117">
        <f>K87</f>
        <v>338.1</v>
      </c>
      <c r="S85">
        <v>30</v>
      </c>
      <c r="T85" s="117" t="str">
        <f>K90</f>
        <v>1:00</v>
      </c>
    </row>
    <row r="86" spans="1:20">
      <c r="A86" t="s">
        <v>235</v>
      </c>
      <c r="B86" s="129">
        <f>'HourGH-JUL'!AE22</f>
        <v>338.07000000000005</v>
      </c>
      <c r="C86" s="129">
        <f>'HourGH-JUL'!AE23</f>
        <v>338.05</v>
      </c>
      <c r="D86" s="129">
        <f>'HourGH-JUL'!AE24</f>
        <v>337.98</v>
      </c>
      <c r="E86" s="129">
        <f>'HourGH-JUL'!AE25</f>
        <v>337.97</v>
      </c>
      <c r="F86" s="129">
        <f>'HourGH-JUL'!AE26</f>
        <v>338.08000000000004</v>
      </c>
      <c r="G86" s="129">
        <f>'HourGH-JUL'!AE27</f>
        <v>338.09000000000003</v>
      </c>
      <c r="H86" s="129">
        <f>'HourGH-JUL'!AE28</f>
        <v>338.07000000000005</v>
      </c>
      <c r="I86" s="129">
        <f>'HourGH-JUL'!AE29</f>
        <v>338.07000000000005</v>
      </c>
      <c r="J86" s="129">
        <f>'HourGH-JUL'!AE30</f>
        <v>338.01000000000005</v>
      </c>
      <c r="K86" s="129">
        <f>'HourGH-JUL'!AE31</f>
        <v>337.95000000000005</v>
      </c>
    </row>
    <row r="87" spans="1:20">
      <c r="A87" t="s">
        <v>236</v>
      </c>
      <c r="B87" s="129">
        <f>'HourGH-JUL'!AE33</f>
        <v>337.94</v>
      </c>
      <c r="C87" s="129">
        <f>'HourGH-JUL'!AE34</f>
        <v>337.93</v>
      </c>
      <c r="D87" s="129">
        <f>'HourGH-JUL'!AE35</f>
        <v>337.92</v>
      </c>
      <c r="E87" s="129">
        <f>'HourGH-JUL'!AE36</f>
        <v>338.1</v>
      </c>
      <c r="F87" s="129">
        <f>'HourGH-JUL'!AE37</f>
        <v>338.03000000000003</v>
      </c>
      <c r="G87" s="129">
        <f>'HourGH-JUL'!AE38</f>
        <v>337.97</v>
      </c>
      <c r="H87" s="129">
        <f>'HourGH-JUL'!AE39</f>
        <v>337.94</v>
      </c>
      <c r="I87" s="129">
        <f>'HourGH-JUL'!AE40</f>
        <v>337.97</v>
      </c>
      <c r="J87" s="129">
        <f>'HourGH-JUL'!AE41</f>
        <v>338</v>
      </c>
      <c r="K87" s="129">
        <f>'HourGH-JUL'!AE42</f>
        <v>338.1</v>
      </c>
    </row>
    <row r="88" spans="1:20">
      <c r="A88" t="s">
        <v>222</v>
      </c>
      <c r="B88" s="119" t="str">
        <f>'HourGH-JUL'!AF11&amp;":00"</f>
        <v>1:00</v>
      </c>
      <c r="C88" s="119" t="str">
        <f>'HourGH-JUL'!AF12&amp;":00"</f>
        <v>1:00</v>
      </c>
      <c r="D88" s="119" t="str">
        <f>'HourGH-JUL'!AF13&amp;":00"</f>
        <v>1:00</v>
      </c>
      <c r="E88" s="119" t="str">
        <f>'HourGH-JUL'!AF14&amp;":00"</f>
        <v>1:00</v>
      </c>
      <c r="F88" s="119" t="str">
        <f>'HourGH-JUL'!AF15&amp;":00"</f>
        <v>1:00</v>
      </c>
      <c r="G88" s="119" t="str">
        <f>'HourGH-JUL'!AF16&amp;":00"</f>
        <v>19:00</v>
      </c>
      <c r="H88" s="119" t="str">
        <f>'HourGH-JUL'!AF17&amp;":00"</f>
        <v>1:00</v>
      </c>
      <c r="I88" s="119" t="str">
        <f>'HourGH-JUL'!AF18&amp;":00"</f>
        <v>13:00</v>
      </c>
      <c r="J88" s="119" t="str">
        <f>'HourGH-JUL'!AF19&amp;":00"</f>
        <v>1:00</v>
      </c>
      <c r="K88" s="119" t="str">
        <f>'HourGH-JUL'!AF20&amp;":00"</f>
        <v>1:00</v>
      </c>
      <c r="N88" s="118">
        <f>MATCH(N90,N56:N85,0)</f>
        <v>24</v>
      </c>
      <c r="P88">
        <f>MATCH(P89,R56:R85,0)</f>
        <v>1</v>
      </c>
    </row>
    <row r="89" spans="1:20">
      <c r="A89" t="s">
        <v>223</v>
      </c>
      <c r="B89" s="119" t="str">
        <f>'HourGH-JUL'!AF22&amp;":00"</f>
        <v>1:00</v>
      </c>
      <c r="C89" s="119" t="str">
        <f>'HourGH-JUL'!AF23&amp;":00"</f>
        <v>18:00</v>
      </c>
      <c r="D89" s="119" t="str">
        <f>'HourGH-JUL'!AF24&amp;":00"</f>
        <v>21:00</v>
      </c>
      <c r="E89" s="119" t="str">
        <f>'HourGH-JUL'!AF25&amp;":00"</f>
        <v>1:00</v>
      </c>
      <c r="F89" s="119" t="str">
        <f>'HourGH-JUL'!AF26&amp;":00"</f>
        <v>1:00</v>
      </c>
      <c r="G89" s="119" t="str">
        <f>'HourGH-JUL'!AF27&amp;":00"</f>
        <v>19:00</v>
      </c>
      <c r="H89" s="119" t="str">
        <f>'HourGH-JUL'!AF28&amp;":00"</f>
        <v>6:00</v>
      </c>
      <c r="I89" s="119" t="str">
        <f>'HourGH-JUL'!AF29&amp;":00"</f>
        <v>18:00</v>
      </c>
      <c r="J89" s="119" t="str">
        <f>'HourGH-JUL'!AF30&amp;":00"</f>
        <v>22:00</v>
      </c>
      <c r="K89" s="119" t="str">
        <f>'HourGH-JUL'!AF31&amp;":00"</f>
        <v>19:00</v>
      </c>
      <c r="O89" s="118" t="str">
        <f>INDEX(P56:P85,N88)</f>
        <v>11:00</v>
      </c>
      <c r="P89" s="129">
        <f>MIN(B85:K87)</f>
        <v>337.83000000000004</v>
      </c>
      <c r="R89" t="str">
        <f>INDEX(T56:T85,P88)</f>
        <v>1:00</v>
      </c>
    </row>
    <row r="90" spans="1:20">
      <c r="A90" t="s">
        <v>224</v>
      </c>
      <c r="B90" s="119" t="str">
        <f>'HourGH-JUL'!AF33&amp;":00"</f>
        <v>1:00</v>
      </c>
      <c r="C90" s="119" t="str">
        <f>'HourGH-JUL'!AF34&amp;":00"</f>
        <v>13:00</v>
      </c>
      <c r="D90" s="119" t="str">
        <f>'HourGH-JUL'!AF35&amp;":00"</f>
        <v>1:00</v>
      </c>
      <c r="E90" s="119" t="str">
        <f>'HourGH-JUL'!AF36&amp;":00"</f>
        <v>1:00</v>
      </c>
      <c r="F90" s="119" t="str">
        <f>'HourGH-JUL'!AF37&amp;":00"</f>
        <v>19:00</v>
      </c>
      <c r="G90" s="119" t="str">
        <f>'HourGH-JUL'!AF38&amp;":00"</f>
        <v>24:00</v>
      </c>
      <c r="H90" s="119" t="str">
        <f>'HourGH-JUL'!AF39&amp;":00"</f>
        <v>9:00</v>
      </c>
      <c r="I90" s="119" t="str">
        <f>'HourGH-JUL'!AF40&amp;":00"</f>
        <v>1:00</v>
      </c>
      <c r="J90" s="119" t="str">
        <f>'HourGH-JUL'!AF41&amp;":00"</f>
        <v>1:00</v>
      </c>
      <c r="K90" s="119" t="str">
        <f>'HourGH-JUL'!AF42&amp;":00"</f>
        <v>1:00</v>
      </c>
      <c r="N90" s="119">
        <f>MAX(B79:K81)</f>
        <v>338.24</v>
      </c>
      <c r="O90" s="118">
        <f>N88</f>
        <v>24</v>
      </c>
    </row>
    <row r="91" spans="1:20">
      <c r="A91" t="s">
        <v>218</v>
      </c>
      <c r="B91" s="119">
        <f>AVERAGE(B76:K78)</f>
        <v>337.98340277777777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338.24 DATE 24 TIME 11:00 MIN 337.83 DATE 1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92"/>
  <sheetViews>
    <sheetView workbookViewId="0">
      <selection sqref="A1:L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54</v>
      </c>
      <c r="B2" s="118">
        <f>'HourGH-AUG'!W7</f>
        <v>337.6</v>
      </c>
      <c r="C2" s="118" t="str">
        <f>'HourGH-AUG'!Z7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IF(TRIM('HourGH-AUG'!C11)="","      ",'HourGH-AUG'!C11)</f>
        <v>0.57999999999999996</v>
      </c>
      <c r="C4" s="128">
        <f>IF(TRIM('HourGH-AUG'!C12)="","      ",'HourGH-AUG'!C12)</f>
        <v>0.57999999999999996</v>
      </c>
      <c r="D4" s="128">
        <f>IF(TRIM('HourGH-AUG'!C13)="","      ",'HourGH-AUG'!C13)</f>
        <v>0.52</v>
      </c>
      <c r="E4" s="128" t="e">
        <f>IF(TRIM('HourGH-AUG'!#REF!)="","      ",'HourGH-AUG'!#REF!)</f>
        <v>#REF!</v>
      </c>
      <c r="F4" s="118" t="e">
        <f>IF(TRIM('HourGH-AUG'!#REF!)="","      ",'HourGH-AUG'!#REF!)</f>
        <v>#REF!</v>
      </c>
      <c r="G4" s="118">
        <f>IF(TRIM('HourGH-AUG'!C16)="","      ",'HourGH-AUG'!C16)</f>
        <v>0.62</v>
      </c>
      <c r="H4" s="118">
        <f>IF(TRIM('HourGH-AUG'!C17)="","      ",'HourGH-AUG'!C17)</f>
        <v>0.6</v>
      </c>
      <c r="I4" s="118">
        <f>IF(TRIM('HourGH-AUG'!C18)="","      ",'HourGH-AUG'!C18)</f>
        <v>0.56000000000000005</v>
      </c>
      <c r="J4" s="118">
        <f>IF(TRIM('HourGH-AUG'!C19)="","      ",'HourGH-AUG'!C19)</f>
        <v>0.61</v>
      </c>
      <c r="K4" s="118">
        <f>IF(TRIM('HourGH-AUG'!C20)="","      ",'HourGH-AUG'!C20)</f>
        <v>1.36</v>
      </c>
    </row>
    <row r="5" spans="1:15">
      <c r="A5" s="127" t="s">
        <v>147</v>
      </c>
      <c r="B5" s="118">
        <f>IF(TRIM('HourGH-AUG'!C22)="","      ",'HourGH-AUG'!C22)</f>
        <v>2.5299999999999998</v>
      </c>
      <c r="C5" s="118">
        <f>IF(TRIM('HourGH-AUG'!C23)="","      ",'HourGH-AUG'!C23)</f>
        <v>2.19</v>
      </c>
      <c r="D5" s="118">
        <f>IF(TRIM('HourGH-AUG'!C24)="","      ",'HourGH-AUG'!C24)</f>
        <v>1.75</v>
      </c>
      <c r="E5" s="118">
        <f>IF(TRIM('HourGH-AUG'!C25)="","      ",'HourGH-AUG'!C25)</f>
        <v>1.18</v>
      </c>
      <c r="F5" s="118">
        <f>IF(TRIM('HourGH-AUG'!C26)="","      ",'HourGH-AUG'!C26)</f>
        <v>1</v>
      </c>
      <c r="G5" s="118">
        <f>IF(TRIM('HourGH-AUG'!C27)="","      ",'HourGH-AUG'!C27)</f>
        <v>1.05</v>
      </c>
      <c r="H5" s="118">
        <f>IF(TRIM('HourGH-AUG'!C28)="","      ",'HourGH-AUG'!C28)</f>
        <v>0.86</v>
      </c>
      <c r="I5" s="118">
        <f>IF(TRIM('HourGH-AUG'!C29)="","      ",'HourGH-AUG'!C29)</f>
        <v>0.73</v>
      </c>
      <c r="J5" s="118">
        <f>IF(TRIM('HourGH-AUG'!C30)="","      ",'HourGH-AUG'!C30)</f>
        <v>0.63</v>
      </c>
      <c r="K5" s="118">
        <f>IF(TRIM('HourGH-AUG'!C31)="","      ",'HourGH-AUG'!C31)</f>
        <v>0.61</v>
      </c>
    </row>
    <row r="6" spans="1:15">
      <c r="A6" s="127" t="s">
        <v>148</v>
      </c>
      <c r="B6" s="118">
        <f>IF(TRIM('HourGH-AUG'!C33)="","      ",'HourGH-AUG'!C33)</f>
        <v>0.61</v>
      </c>
      <c r="C6" s="118">
        <f>IF(TRIM('HourGH-AUG'!C34)="","      ",'HourGH-AUG'!C34)</f>
        <v>0.64</v>
      </c>
      <c r="D6" s="118">
        <f>IF(TRIM('HourGH-AUG'!C35)="","      ",'HourGH-AUG'!C35)</f>
        <v>0.83</v>
      </c>
      <c r="E6" s="118">
        <f>IF(TRIM('HourGH-AUG'!C36)="","      ",'HourGH-AUG'!C36)</f>
        <v>1.1000000000000001</v>
      </c>
      <c r="F6" s="118">
        <f>IF(TRIM('HourGH-AUG'!C37)="","      ",'HourGH-AUG'!C37)</f>
        <v>0.8</v>
      </c>
      <c r="G6" s="118">
        <f>IF(TRIM('HourGH-AUG'!C38)="","      ",'HourGH-AUG'!C38)</f>
        <v>0.72</v>
      </c>
      <c r="H6" s="118">
        <f>IF(TRIM('HourGH-AUG'!C39)="","      ",'HourGH-AUG'!C39)</f>
        <v>0.68</v>
      </c>
      <c r="I6" s="118">
        <f>IF(TRIM('HourGH-AUG'!C40)="","      ",'HourGH-AUG'!C40)</f>
        <v>0.64</v>
      </c>
      <c r="J6" s="118">
        <f>IF(TRIM('HourGH-AUG'!C41)="","      ",'HourGH-AUG'!C41)</f>
        <v>0.6</v>
      </c>
      <c r="K6" s="118">
        <f>IF(TRIM('HourGH-AUG'!C42)="","      ",'HourGH-AUG'!C42)</f>
        <v>0.55000000000000004</v>
      </c>
      <c r="L6" s="118">
        <f>IF(TRIM('HourGH-AUG'!C43)="","      ",'HourGH-AUG'!C43)</f>
        <v>0.54</v>
      </c>
    </row>
    <row r="7" spans="1:15">
      <c r="A7" s="127" t="s">
        <v>149</v>
      </c>
      <c r="B7" s="128">
        <f>IF(TRIM('HourGH-AUG'!D11)="","      ",'HourGH-AUG'!D11)</f>
        <v>0.57999999999999996</v>
      </c>
      <c r="C7" s="128">
        <f>IF(TRIM('HourGH-AUG'!D12)="","      ",'HourGH-AUG'!D12)</f>
        <v>0.57999999999999996</v>
      </c>
      <c r="D7" s="128">
        <f>IF(TRIM('HourGH-AUG'!D13)="","      ",'HourGH-AUG'!D13)</f>
        <v>0.52</v>
      </c>
      <c r="E7" s="128">
        <f>IF(TRIM('HourGH-AUG'!D14)="","      ",'HourGH-AUG'!D14)</f>
        <v>0.49</v>
      </c>
      <c r="F7" s="118">
        <f>IF(TRIM('HourGH-AUG'!D15)="","      ",'HourGH-AUG'!D15)</f>
        <v>0.48</v>
      </c>
      <c r="G7" s="118">
        <f>IF(TRIM('HourGH-AUG'!D16)="","      ",'HourGH-AUG'!D16)</f>
        <v>0.63</v>
      </c>
      <c r="H7" s="118">
        <f>IF(TRIM('HourGH-AUG'!D17)="","      ",'HourGH-AUG'!D17)</f>
        <v>0.6</v>
      </c>
      <c r="I7" s="118">
        <f>IF(TRIM('HourGH-AUG'!D18)="","      ",'HourGH-AUG'!D18)</f>
        <v>0.56000000000000005</v>
      </c>
      <c r="J7" s="118">
        <f>IF(TRIM('HourGH-AUG'!D19)="","      ",'HourGH-AUG'!D19)</f>
        <v>0.61</v>
      </c>
      <c r="K7" s="118">
        <f>IF(TRIM('HourGH-AUG'!D20)="","      ",'HourGH-AUG'!D20)</f>
        <v>1.42</v>
      </c>
    </row>
    <row r="8" spans="1:15">
      <c r="A8" s="127" t="s">
        <v>150</v>
      </c>
      <c r="B8" s="118">
        <f>IF(TRIM('HourGH-AUG'!D22)="","      ",'HourGH-AUG'!D22)</f>
        <v>2.5299999999999998</v>
      </c>
      <c r="C8" s="118">
        <f>IF(TRIM('HourGH-AUG'!D23)="","      ",'HourGH-AUG'!D23)</f>
        <v>2.17</v>
      </c>
      <c r="D8" s="118">
        <f>IF(TRIM('HourGH-AUG'!D24)="","      ",'HourGH-AUG'!D24)</f>
        <v>1.73</v>
      </c>
      <c r="E8" s="118">
        <f>IF(TRIM('HourGH-AUG'!D25)="","      ",'HourGH-AUG'!D25)</f>
        <v>1.1599999999999999</v>
      </c>
      <c r="F8" s="118">
        <f>IF(TRIM('HourGH-AUG'!D26)="","      ",'HourGH-AUG'!D26)</f>
        <v>1.01</v>
      </c>
      <c r="G8" s="118">
        <f>IF(TRIM('HourGH-AUG'!D27)="","      ",'HourGH-AUG'!D27)</f>
        <v>1.03</v>
      </c>
      <c r="H8" s="118">
        <f>IF(TRIM('HourGH-AUG'!D28)="","      ",'HourGH-AUG'!D28)</f>
        <v>0.86</v>
      </c>
      <c r="I8" s="118">
        <f>IF(TRIM('HourGH-AUG'!D29)="","      ",'HourGH-AUG'!D29)</f>
        <v>0.72</v>
      </c>
      <c r="J8" s="118">
        <f>IF(TRIM('HourGH-AUG'!D30)="","      ",'HourGH-AUG'!D30)</f>
        <v>0.63</v>
      </c>
      <c r="K8" s="118">
        <f>IF(TRIM('HourGH-AUG'!D31)="","      ",'HourGH-AUG'!D31)</f>
        <v>0.61</v>
      </c>
    </row>
    <row r="9" spans="1:15">
      <c r="A9" s="127" t="s">
        <v>151</v>
      </c>
      <c r="B9" s="118">
        <f>IF(TRIM('HourGH-AUG'!D33)="","      ",'HourGH-AUG'!D33)</f>
        <v>0.61</v>
      </c>
      <c r="C9" s="118">
        <f>IF(TRIM('HourGH-AUG'!D34)="","      ",'HourGH-AUG'!D34)</f>
        <v>0.64</v>
      </c>
      <c r="D9" s="118">
        <f>IF(TRIM('HourGH-AUG'!D35)="","      ",'HourGH-AUG'!D35)</f>
        <v>0.84</v>
      </c>
      <c r="E9" s="118">
        <f>IF(TRIM('HourGH-AUG'!D36)="","      ",'HourGH-AUG'!D36)</f>
        <v>1.0900000000000001</v>
      </c>
      <c r="F9" s="118">
        <f>IF(TRIM('HourGH-AUG'!D37)="","      ",'HourGH-AUG'!D37)</f>
        <v>0.79</v>
      </c>
      <c r="G9" s="118">
        <f>IF(TRIM('HourGH-AUG'!D38)="","      ",'HourGH-AUG'!D38)</f>
        <v>0.72</v>
      </c>
      <c r="H9" s="118">
        <f>IF(TRIM('HourGH-AUG'!D39)="","      ",'HourGH-AUG'!D39)</f>
        <v>0.68</v>
      </c>
      <c r="I9" s="118">
        <f>IF(TRIM('HourGH-AUG'!D40)="","      ",'HourGH-AUG'!D40)</f>
        <v>0.64</v>
      </c>
      <c r="J9" s="118">
        <f>IF(TRIM('HourGH-AUG'!D41)="","      ",'HourGH-AUG'!D41)</f>
        <v>0.6</v>
      </c>
      <c r="K9" s="118">
        <f>IF(TRIM('HourGH-AUG'!D42)="","      ",'HourGH-AUG'!D42)</f>
        <v>0.55000000000000004</v>
      </c>
      <c r="L9" s="118">
        <f>IF(TRIM('HourGH-AUG'!D43)="","      ",'HourGH-AUG'!D43)</f>
        <v>0.54</v>
      </c>
    </row>
    <row r="10" spans="1:15">
      <c r="A10" s="127" t="s">
        <v>152</v>
      </c>
      <c r="B10" s="128">
        <f>IF(TRIM('HourGH-AUG'!E11)="","      ",'HourGH-AUG'!E11)</f>
        <v>0.57999999999999996</v>
      </c>
      <c r="C10" s="128">
        <f>IF(TRIM('HourGH-AUG'!E12)="","      ",'HourGH-AUG'!E12)</f>
        <v>0.57999999999999996</v>
      </c>
      <c r="D10" s="128">
        <f>IF(TRIM('HourGH-AUG'!E13)="","      ",'HourGH-AUG'!E13)</f>
        <v>0.52</v>
      </c>
      <c r="E10" s="128">
        <f>IF(TRIM('HourGH-AUG'!E14)="","      ",'HourGH-AUG'!E14)</f>
        <v>0.49</v>
      </c>
      <c r="F10" s="118">
        <f>IF(TRIM('HourGH-AUG'!E15)="","      ",'HourGH-AUG'!E15)</f>
        <v>0.48</v>
      </c>
      <c r="G10" s="118">
        <f>IF(TRIM('HourGH-AUG'!E16)="","      ",'HourGH-AUG'!E16)</f>
        <v>0.64</v>
      </c>
      <c r="H10" s="118">
        <f>IF(TRIM('HourGH-AUG'!E17)="","      ",'HourGH-AUG'!E17)</f>
        <v>0.6</v>
      </c>
      <c r="I10" s="118">
        <f>IF(TRIM('HourGH-AUG'!E18)="","      ",'HourGH-AUG'!E18)</f>
        <v>0.56000000000000005</v>
      </c>
      <c r="J10" s="118">
        <f>IF(TRIM('HourGH-AUG'!E19)="","      ",'HourGH-AUG'!E19)</f>
        <v>0.62</v>
      </c>
      <c r="K10" s="118">
        <f>IF(TRIM('HourGH-AUG'!E20)="","      ",'HourGH-AUG'!E20)</f>
        <v>1.48</v>
      </c>
    </row>
    <row r="11" spans="1:15">
      <c r="A11" s="127" t="s">
        <v>153</v>
      </c>
      <c r="B11" s="118">
        <f>IF(TRIM('HourGH-AUG'!E22)="","      ",'HourGH-AUG'!E22)</f>
        <v>2.54</v>
      </c>
      <c r="C11" s="118">
        <f>IF(TRIM('HourGH-AUG'!E23)="","      ",'HourGH-AUG'!E23)</f>
        <v>2.15</v>
      </c>
      <c r="D11" s="118">
        <f>IF(TRIM('HourGH-AUG'!E24)="","      ",'HourGH-AUG'!E24)</f>
        <v>1.71</v>
      </c>
      <c r="E11" s="118">
        <f>IF(TRIM('HourGH-AUG'!E25)="","      ",'HourGH-AUG'!E25)</f>
        <v>1.1399999999999999</v>
      </c>
      <c r="F11" s="118">
        <f>IF(TRIM('HourGH-AUG'!E26)="","      ",'HourGH-AUG'!E26)</f>
        <v>1.02</v>
      </c>
      <c r="G11" s="118">
        <f>IF(TRIM('HourGH-AUG'!E27)="","      ",'HourGH-AUG'!E27)</f>
        <v>1.01</v>
      </c>
      <c r="H11" s="118">
        <f>IF(TRIM('HourGH-AUG'!E28)="","      ",'HourGH-AUG'!E28)</f>
        <v>0.86</v>
      </c>
      <c r="I11" s="118">
        <f>IF(TRIM('HourGH-AUG'!E29)="","      ",'HourGH-AUG'!E29)</f>
        <v>0.72</v>
      </c>
      <c r="J11" s="118">
        <f>IF(TRIM('HourGH-AUG'!E30)="","      ",'HourGH-AUG'!E30)</f>
        <v>0.62</v>
      </c>
      <c r="K11" s="118">
        <f>IF(TRIM('HourGH-AUG'!E31)="","      ",'HourGH-AUG'!E31)</f>
        <v>0.61</v>
      </c>
    </row>
    <row r="12" spans="1:15">
      <c r="A12" s="127" t="s">
        <v>154</v>
      </c>
      <c r="B12" s="118">
        <f>IF(TRIM('HourGH-AUG'!E33)="","      ",'HourGH-AUG'!E33)</f>
        <v>0.61</v>
      </c>
      <c r="C12" s="118">
        <f>IF(TRIM('HourGH-AUG'!E34)="","      ",'HourGH-AUG'!E34)</f>
        <v>0.65</v>
      </c>
      <c r="D12" s="118">
        <f>IF(TRIM('HourGH-AUG'!E35)="","      ",'HourGH-AUG'!E35)</f>
        <v>0.85</v>
      </c>
      <c r="E12" s="118">
        <f>IF(TRIM('HourGH-AUG'!E36)="","      ",'HourGH-AUG'!E36)</f>
        <v>1.08</v>
      </c>
      <c r="F12" s="118">
        <f>IF(TRIM('HourGH-AUG'!E37)="","      ",'HourGH-AUG'!E37)</f>
        <v>0.78</v>
      </c>
      <c r="G12" s="118">
        <f>IF(TRIM('HourGH-AUG'!E38)="","      ",'HourGH-AUG'!E38)</f>
        <v>0.72</v>
      </c>
      <c r="H12" s="118">
        <f>IF(TRIM('HourGH-AUG'!E39)="","      ",'HourGH-AUG'!E39)</f>
        <v>0.68</v>
      </c>
      <c r="I12" s="118">
        <f>IF(TRIM('HourGH-AUG'!E40)="","      ",'HourGH-AUG'!E40)</f>
        <v>0.64</v>
      </c>
      <c r="J12" s="118">
        <f>IF(TRIM('HourGH-AUG'!E41)="","      ",'HourGH-AUG'!E41)</f>
        <v>0.6</v>
      </c>
      <c r="K12" s="118">
        <f>IF(TRIM('HourGH-AUG'!E42)="","      ",'HourGH-AUG'!E42)</f>
        <v>0.55000000000000004</v>
      </c>
      <c r="L12" s="118">
        <f>IF(TRIM('HourGH-AUG'!E43)="","      ",'HourGH-AUG'!E43)</f>
        <v>0.54</v>
      </c>
    </row>
    <row r="13" spans="1:15">
      <c r="A13" s="127" t="s">
        <v>155</v>
      </c>
      <c r="B13" s="128">
        <f>IF(TRIM('HourGH-AUG'!F11)="","      ",'HourGH-AUG'!F11)</f>
        <v>0.57999999999999996</v>
      </c>
      <c r="C13" s="128">
        <f>IF(TRIM('HourGH-AUG'!F12)="","      ",'HourGH-AUG'!F12)</f>
        <v>0.57999999999999996</v>
      </c>
      <c r="D13" s="128">
        <f>IF(TRIM('HourGH-AUG'!F13)="","      ",'HourGH-AUG'!F13)</f>
        <v>0.52</v>
      </c>
      <c r="E13" s="128">
        <f>IF(TRIM('HourGH-AUG'!F14)="","      ",'HourGH-AUG'!F14)</f>
        <v>0.49</v>
      </c>
      <c r="F13" s="118">
        <f>IF(TRIM('HourGH-AUG'!F15)="","      ",'HourGH-AUG'!F15)</f>
        <v>0.48</v>
      </c>
      <c r="G13" s="118">
        <f>IF(TRIM('HourGH-AUG'!F16)="","      ",'HourGH-AUG'!F16)</f>
        <v>0.65</v>
      </c>
      <c r="H13" s="118">
        <f>IF(TRIM('HourGH-AUG'!F17)="","      ",'HourGH-AUG'!F17)</f>
        <v>0.59</v>
      </c>
      <c r="I13" s="118">
        <f>IF(TRIM('HourGH-AUG'!F18)="","      ",'HourGH-AUG'!F18)</f>
        <v>0.56000000000000005</v>
      </c>
      <c r="J13" s="118">
        <f>IF(TRIM('HourGH-AUG'!F19)="","      ",'HourGH-AUG'!F19)</f>
        <v>0.62</v>
      </c>
      <c r="K13" s="118">
        <f>IF(TRIM('HourGH-AUG'!F20)="","      ",'HourGH-AUG'!F20)</f>
        <v>1.56</v>
      </c>
    </row>
    <row r="14" spans="1:15">
      <c r="A14" s="127" t="s">
        <v>156</v>
      </c>
      <c r="B14" s="118">
        <f>IF(TRIM('HourGH-AUG'!F22)="","      ",'HourGH-AUG'!F22)</f>
        <v>2.54</v>
      </c>
      <c r="C14" s="118">
        <f>IF(TRIM('HourGH-AUG'!F23)="","      ",'HourGH-AUG'!F23)</f>
        <v>2.13</v>
      </c>
      <c r="D14" s="118">
        <f>IF(TRIM('HourGH-AUG'!F24)="","      ",'HourGH-AUG'!F24)</f>
        <v>1.68</v>
      </c>
      <c r="E14" s="118">
        <f>IF(TRIM('HourGH-AUG'!F25)="","      ",'HourGH-AUG'!F25)</f>
        <v>1.1200000000000001</v>
      </c>
      <c r="F14" s="118">
        <f>IF(TRIM('HourGH-AUG'!F26)="","      ",'HourGH-AUG'!F26)</f>
        <v>1.03</v>
      </c>
      <c r="G14" s="118">
        <f>IF(TRIM('HourGH-AUG'!F27)="","      ",'HourGH-AUG'!F27)</f>
        <v>0.99</v>
      </c>
      <c r="H14" s="118">
        <f>IF(TRIM('HourGH-AUG'!F28)="","      ",'HourGH-AUG'!F28)</f>
        <v>0.86</v>
      </c>
      <c r="I14" s="118">
        <f>IF(TRIM('HourGH-AUG'!F29)="","      ",'HourGH-AUG'!F29)</f>
        <v>0.71</v>
      </c>
      <c r="J14" s="118">
        <f>IF(TRIM('HourGH-AUG'!F30)="","      ",'HourGH-AUG'!F30)</f>
        <v>0.62</v>
      </c>
      <c r="K14" s="118">
        <f>IF(TRIM('HourGH-AUG'!F31)="","      ",'HourGH-AUG'!F31)</f>
        <v>0.61</v>
      </c>
    </row>
    <row r="15" spans="1:15">
      <c r="A15" s="127" t="s">
        <v>157</v>
      </c>
      <c r="B15" s="118">
        <f>IF(TRIM('HourGH-AUG'!F33)="","      ",'HourGH-AUG'!F33)</f>
        <v>0.61</v>
      </c>
      <c r="C15" s="118">
        <f>IF(TRIM('HourGH-AUG'!F34)="","      ",'HourGH-AUG'!F34)</f>
        <v>0.65</v>
      </c>
      <c r="D15" s="118">
        <f>IF(TRIM('HourGH-AUG'!F35)="","      ",'HourGH-AUG'!F35)</f>
        <v>0.86</v>
      </c>
      <c r="E15" s="118">
        <f>IF(TRIM('HourGH-AUG'!F36)="","      ",'HourGH-AUG'!F36)</f>
        <v>1.07</v>
      </c>
      <c r="F15" s="118">
        <f>IF(TRIM('HourGH-AUG'!F37)="","      ",'HourGH-AUG'!F37)</f>
        <v>0.78</v>
      </c>
      <c r="G15" s="118">
        <f>IF(TRIM('HourGH-AUG'!F38)="","      ",'HourGH-AUG'!F38)</f>
        <v>0.72</v>
      </c>
      <c r="H15" s="118">
        <f>IF(TRIM('HourGH-AUG'!F39)="","      ",'HourGH-AUG'!F39)</f>
        <v>0.68</v>
      </c>
      <c r="I15" s="118">
        <f>IF(TRIM('HourGH-AUG'!F40)="","      ",'HourGH-AUG'!F40)</f>
        <v>0.64</v>
      </c>
      <c r="J15" s="118">
        <f>IF(TRIM('HourGH-AUG'!F41)="","      ",'HourGH-AUG'!F41)</f>
        <v>0.59</v>
      </c>
      <c r="K15" s="118">
        <f>IF(TRIM('HourGH-AUG'!F42)="","      ",'HourGH-AUG'!F42)</f>
        <v>0.55000000000000004</v>
      </c>
      <c r="L15" s="118">
        <f>IF(TRIM('HourGH-AUG'!F43)="","      ",'HourGH-AUG'!F43)</f>
        <v>0.54</v>
      </c>
    </row>
    <row r="16" spans="1:15">
      <c r="A16" s="127" t="s">
        <v>158</v>
      </c>
      <c r="B16" s="128">
        <f>IF(TRIM('HourGH-AUG'!G11)="","      ",'HourGH-AUG'!G11)</f>
        <v>0.57999999999999996</v>
      </c>
      <c r="C16" s="128">
        <f>IF(TRIM('HourGH-AUG'!G12)="","      ",'HourGH-AUG'!G12)</f>
        <v>0.57999999999999996</v>
      </c>
      <c r="D16" s="128">
        <f>IF(TRIM('HourGH-AUG'!G13)="","      ",'HourGH-AUG'!G13)</f>
        <v>0.52</v>
      </c>
      <c r="E16" s="128">
        <f>IF(TRIM('HourGH-AUG'!G14)="","      ",'HourGH-AUG'!G14)</f>
        <v>0.49</v>
      </c>
      <c r="F16" s="118">
        <f>IF(TRIM('HourGH-AUG'!G15)="","      ",'HourGH-AUG'!G15)</f>
        <v>0.48</v>
      </c>
      <c r="G16" s="118">
        <f>IF(TRIM('HourGH-AUG'!G16)="","      ",'HourGH-AUG'!G16)</f>
        <v>0.66</v>
      </c>
      <c r="H16" s="118">
        <f>IF(TRIM('HourGH-AUG'!G17)="","      ",'HourGH-AUG'!G17)</f>
        <v>0.59</v>
      </c>
      <c r="I16" s="118">
        <f>IF(TRIM('HourGH-AUG'!G18)="","      ",'HourGH-AUG'!G18)</f>
        <v>0.56000000000000005</v>
      </c>
      <c r="J16" s="118">
        <f>IF(TRIM('HourGH-AUG'!G19)="","      ",'HourGH-AUG'!G19)</f>
        <v>0.63</v>
      </c>
      <c r="K16" s="118">
        <f>IF(TRIM('HourGH-AUG'!G20)="","      ",'HourGH-AUG'!G20)</f>
        <v>1.62</v>
      </c>
    </row>
    <row r="17" spans="1:12">
      <c r="A17" s="127" t="s">
        <v>159</v>
      </c>
      <c r="B17" s="118">
        <f>IF(TRIM('HourGH-AUG'!G22)="","      ",'HourGH-AUG'!G22)</f>
        <v>2.54</v>
      </c>
      <c r="C17" s="118">
        <f>IF(TRIM('HourGH-AUG'!G23)="","      ",'HourGH-AUG'!G23)</f>
        <v>2.11</v>
      </c>
      <c r="D17" s="118">
        <f>IF(TRIM('HourGH-AUG'!G24)="","      ",'HourGH-AUG'!G24)</f>
        <v>1.65</v>
      </c>
      <c r="E17" s="118">
        <f>IF(TRIM('HourGH-AUG'!G25)="","      ",'HourGH-AUG'!G25)</f>
        <v>1.1100000000000001</v>
      </c>
      <c r="F17" s="118">
        <f>IF(TRIM('HourGH-AUG'!G26)="","      ",'HourGH-AUG'!G26)</f>
        <v>1.04</v>
      </c>
      <c r="G17" s="118">
        <f>IF(TRIM('HourGH-AUG'!G27)="","      ",'HourGH-AUG'!G27)</f>
        <v>0.98</v>
      </c>
      <c r="H17" s="118">
        <f>IF(TRIM('HourGH-AUG'!G28)="","      ",'HourGH-AUG'!G28)</f>
        <v>0.86</v>
      </c>
      <c r="I17" s="118">
        <f>IF(TRIM('HourGH-AUG'!G29)="","      ",'HourGH-AUG'!G29)</f>
        <v>0.71</v>
      </c>
      <c r="J17" s="118">
        <f>IF(TRIM('HourGH-AUG'!G30)="","      ",'HourGH-AUG'!G30)</f>
        <v>0.62</v>
      </c>
      <c r="K17" s="118">
        <f>IF(TRIM('HourGH-AUG'!G31)="","      ",'HourGH-AUG'!G31)</f>
        <v>0.61</v>
      </c>
    </row>
    <row r="18" spans="1:12">
      <c r="A18" s="127" t="s">
        <v>160</v>
      </c>
      <c r="B18" s="118">
        <f>IF(TRIM('HourGH-AUG'!G33)="","      ",'HourGH-AUG'!G33)</f>
        <v>0.61</v>
      </c>
      <c r="C18" s="118">
        <f>IF(TRIM('HourGH-AUG'!G34)="","      ",'HourGH-AUG'!G34)</f>
        <v>0.66</v>
      </c>
      <c r="D18" s="118">
        <f>IF(TRIM('HourGH-AUG'!G35)="","      ",'HourGH-AUG'!G35)</f>
        <v>0.87</v>
      </c>
      <c r="E18" s="118">
        <f>IF(TRIM('HourGH-AUG'!G36)="","      ",'HourGH-AUG'!G36)</f>
        <v>1.05</v>
      </c>
      <c r="F18" s="118">
        <f>IF(TRIM('HourGH-AUG'!G37)="","      ",'HourGH-AUG'!G37)</f>
        <v>0.77</v>
      </c>
      <c r="G18" s="118">
        <f>IF(TRIM('HourGH-AUG'!G38)="","      ",'HourGH-AUG'!G38)</f>
        <v>0.72</v>
      </c>
      <c r="H18" s="118">
        <f>IF(TRIM('HourGH-AUG'!G39)="","      ",'HourGH-AUG'!G39)</f>
        <v>0.68</v>
      </c>
      <c r="I18" s="118">
        <f>IF(TRIM('HourGH-AUG'!G40)="","      ",'HourGH-AUG'!G40)</f>
        <v>0.64</v>
      </c>
      <c r="J18" s="118">
        <f>IF(TRIM('HourGH-AUG'!G41)="","      ",'HourGH-AUG'!G41)</f>
        <v>0.59</v>
      </c>
      <c r="K18" s="118">
        <f>IF(TRIM('HourGH-AUG'!G42)="","      ",'HourGH-AUG'!G42)</f>
        <v>0.55000000000000004</v>
      </c>
      <c r="L18" s="118">
        <f>IF(TRIM('HourGH-AUG'!G43)="","      ",'HourGH-AUG'!G43)</f>
        <v>0.54</v>
      </c>
    </row>
    <row r="19" spans="1:12">
      <c r="A19" s="127" t="s">
        <v>161</v>
      </c>
      <c r="B19" s="128">
        <f>IF(TRIM('HourGH-AUG'!H11)="","      ",'HourGH-AUG'!H11)</f>
        <v>0.57999999999999996</v>
      </c>
      <c r="C19" s="128">
        <f>IF(TRIM('HourGH-AUG'!H12)="","      ",'HourGH-AUG'!H12)</f>
        <v>0.57999999999999996</v>
      </c>
      <c r="D19" s="128">
        <f>IF(TRIM('HourGH-AUG'!H13)="","      ",'HourGH-AUG'!H13)</f>
        <v>0.52</v>
      </c>
      <c r="E19" s="128">
        <f>IF(TRIM('HourGH-AUG'!C14)="","      ",'HourGH-AUG'!C14)</f>
        <v>0.49</v>
      </c>
      <c r="F19" s="118">
        <f>IF(TRIM('HourGH-AUG'!C15)="","      ",'HourGH-AUG'!C15)</f>
        <v>0.48</v>
      </c>
      <c r="G19" s="118">
        <f>IF(TRIM('HourGH-AUG'!H16)="","      ",'HourGH-AUG'!H16)</f>
        <v>0.67</v>
      </c>
      <c r="H19" s="118">
        <f>IF(TRIM('HourGH-AUG'!H17)="","      ",'HourGH-AUG'!H17)</f>
        <v>0.59</v>
      </c>
      <c r="I19" s="118">
        <f>IF(TRIM('HourGH-AUG'!H18)="","      ",'HourGH-AUG'!H18)</f>
        <v>0.56000000000000005</v>
      </c>
      <c r="J19" s="118">
        <f>IF(TRIM('HourGH-AUG'!H19)="","      ",'HourGH-AUG'!H19)</f>
        <v>0.64</v>
      </c>
      <c r="K19" s="118">
        <f>IF(TRIM('HourGH-AUG'!H20)="","      ",'HourGH-AUG'!H20)</f>
        <v>1.7</v>
      </c>
    </row>
    <row r="20" spans="1:12">
      <c r="A20" s="127" t="s">
        <v>162</v>
      </c>
      <c r="B20" s="118">
        <f>IF(TRIM('HourGH-AUG'!H22)="","      ",'HourGH-AUG'!H22)</f>
        <v>2.54</v>
      </c>
      <c r="C20" s="118">
        <f>IF(TRIM('HourGH-AUG'!H23)="","      ",'HourGH-AUG'!H23)</f>
        <v>2.09</v>
      </c>
      <c r="D20" s="118">
        <f>IF(TRIM('HourGH-AUG'!H24)="","      ",'HourGH-AUG'!H24)</f>
        <v>1.63</v>
      </c>
      <c r="E20" s="118">
        <f>IF(TRIM('HourGH-AUG'!H25)="","      ",'HourGH-AUG'!H25)</f>
        <v>1.1000000000000001</v>
      </c>
      <c r="F20" s="118">
        <f>IF(TRIM('HourGH-AUG'!H26)="","      ",'HourGH-AUG'!H26)</f>
        <v>1.05</v>
      </c>
      <c r="G20" s="118">
        <f>IF(TRIM('HourGH-AUG'!H27)="","      ",'HourGH-AUG'!H27)</f>
        <v>0.97</v>
      </c>
      <c r="H20" s="118">
        <f>IF(TRIM('HourGH-AUG'!H28)="","      ",'HourGH-AUG'!H28)</f>
        <v>0.85</v>
      </c>
      <c r="I20" s="118">
        <f>IF(TRIM('HourGH-AUG'!H29)="","      ",'HourGH-AUG'!H29)</f>
        <v>0.7</v>
      </c>
      <c r="J20" s="118">
        <f>IF(TRIM('HourGH-AUG'!H30)="","      ",'HourGH-AUG'!H30)</f>
        <v>0.62</v>
      </c>
      <c r="K20" s="118">
        <f>IF(TRIM('HourGH-AUG'!H31)="","      ",'HourGH-AUG'!H31)</f>
        <v>0.61</v>
      </c>
    </row>
    <row r="21" spans="1:12">
      <c r="A21" s="127" t="s">
        <v>163</v>
      </c>
      <c r="B21" s="118">
        <f>IF(TRIM('HourGH-AUG'!H33)="","      ",'HourGH-AUG'!H33)</f>
        <v>0.61</v>
      </c>
      <c r="C21" s="118">
        <f>IF(TRIM('HourGH-AUG'!H34)="","      ",'HourGH-AUG'!H34)</f>
        <v>0.67</v>
      </c>
      <c r="D21" s="118">
        <f>IF(TRIM('HourGH-AUG'!H35)="","      ",'HourGH-AUG'!H35)</f>
        <v>0.89</v>
      </c>
      <c r="E21" s="118">
        <f>IF(TRIM('HourGH-AUG'!H36)="","      ",'HourGH-AUG'!H36)</f>
        <v>1.04</v>
      </c>
      <c r="F21" s="118">
        <f>IF(TRIM('HourGH-AUG'!H37)="","      ",'HourGH-AUG'!H37)</f>
        <v>0.77</v>
      </c>
      <c r="G21" s="118">
        <f>IF(TRIM('HourGH-AUG'!H38)="","      ",'HourGH-AUG'!H38)</f>
        <v>0.72</v>
      </c>
      <c r="H21" s="118">
        <f>IF(TRIM('HourGH-AUG'!H39)="","      ",'HourGH-AUG'!H39)</f>
        <v>0.68</v>
      </c>
      <c r="I21" s="118">
        <f>IF(TRIM('HourGH-AUG'!H40)="","      ",'HourGH-AUG'!H40)</f>
        <v>0.64</v>
      </c>
      <c r="J21" s="118">
        <f>IF(TRIM('HourGH-AUG'!H41)="","      ",'HourGH-AUG'!H41)</f>
        <v>0.57999999999999996</v>
      </c>
      <c r="K21" s="118">
        <f>IF(TRIM('HourGH-AUG'!H42)="","      ",'HourGH-AUG'!H42)</f>
        <v>0.54</v>
      </c>
      <c r="L21" s="118">
        <f>IF(TRIM('HourGH-AUG'!H43)="","      ",'HourGH-AUG'!H43)</f>
        <v>0.54</v>
      </c>
    </row>
    <row r="22" spans="1:12">
      <c r="A22" s="127" t="s">
        <v>164</v>
      </c>
      <c r="B22" s="128">
        <f>IF(TRIM('HourGH-AUG'!I11)="","      ",'HourGH-AUG'!I11)</f>
        <v>0.57999999999999996</v>
      </c>
      <c r="C22" s="128">
        <f>IF(TRIM('HourGH-AUG'!I12)="","      ",'HourGH-AUG'!I12)</f>
        <v>0.56999999999999995</v>
      </c>
      <c r="D22" s="128">
        <f>IF(TRIM('HourGH-AUG'!I13)="","      ",'HourGH-AUG'!I13)</f>
        <v>0.51</v>
      </c>
      <c r="E22" s="128">
        <f>IF(TRIM('HourGH-AUG'!I14)="","      ",'HourGH-AUG'!I14)</f>
        <v>0.49</v>
      </c>
      <c r="F22" s="118">
        <f>IF(TRIM('HourGH-AUG'!I15)="","      ",'HourGH-AUG'!I15)</f>
        <v>0.49</v>
      </c>
      <c r="G22" s="118">
        <f>IF(TRIM('HourGH-AUG'!I16)="","      ",'HourGH-AUG'!I16)</f>
        <v>0.68</v>
      </c>
      <c r="H22" s="128">
        <f>IF(TRIM('HourGH-AUG'!I17)="","      ",'HourGH-AUG'!I17)</f>
        <v>0.59</v>
      </c>
      <c r="I22" s="128">
        <f>IF(TRIM('HourGH-AUG'!I18)="","      ",'HourGH-AUG'!I18)</f>
        <v>0.56000000000000005</v>
      </c>
      <c r="J22" s="128">
        <f>IF(TRIM('HourGH-AUG'!I19)="","      ",'HourGH-AUG'!I19)</f>
        <v>0.66</v>
      </c>
      <c r="K22" s="128">
        <f>IF(TRIM('HourGH-AUG'!I20)="","      ",'HourGH-AUG'!I20)</f>
        <v>1.78</v>
      </c>
    </row>
    <row r="23" spans="1:12">
      <c r="A23" s="127" t="s">
        <v>165</v>
      </c>
      <c r="B23" s="128">
        <f>IF(TRIM('HourGH-AUG'!I22)="","      ",'HourGH-AUG'!I22)</f>
        <v>2.54</v>
      </c>
      <c r="C23" s="128">
        <f>IF(TRIM('HourGH-AUG'!I23)="","      ",'HourGH-AUG'!I23)</f>
        <v>2.0699999999999998</v>
      </c>
      <c r="D23" s="128">
        <f>IF(TRIM('HourGH-AUG'!I24)="","      ",'HourGH-AUG'!I24)</f>
        <v>1.6</v>
      </c>
      <c r="E23" s="128">
        <f>IF(TRIM('HourGH-AUG'!I25)="","      ",'HourGH-AUG'!I25)</f>
        <v>1.08</v>
      </c>
      <c r="F23" s="118">
        <f>IF(TRIM('HourGH-AUG'!I26)="","      ",'HourGH-AUG'!I26)</f>
        <v>1.07</v>
      </c>
      <c r="G23" s="118">
        <f>IF(TRIM('HourGH-AUG'!I27)="","      ",'HourGH-AUG'!I27)</f>
        <v>0.96</v>
      </c>
      <c r="H23" s="118">
        <f>IF(TRIM('HourGH-AUG'!I28)="","      ",'HourGH-AUG'!I28)</f>
        <v>0.85</v>
      </c>
      <c r="I23" s="118">
        <f>IF(TRIM('HourGH-AUG'!I29)="","      ",'HourGH-AUG'!I29)</f>
        <v>0.7</v>
      </c>
      <c r="J23" s="118">
        <f>IF(TRIM('HourGH-AUG'!I30)="","      ",'HourGH-AUG'!I30)</f>
        <v>0.62</v>
      </c>
      <c r="K23" s="118">
        <f>IF(TRIM('HourGH-AUG'!I31)="","      ",'HourGH-AUG'!I31)</f>
        <v>0.61</v>
      </c>
    </row>
    <row r="24" spans="1:12">
      <c r="A24" s="127" t="s">
        <v>166</v>
      </c>
      <c r="B24" s="128">
        <f>IF(TRIM('HourGH-AUG'!I33)="","      ",'HourGH-AUG'!I33)</f>
        <v>0.6</v>
      </c>
      <c r="C24" s="128">
        <f>IF(TRIM('HourGH-AUG'!I34)="","      ",'HourGH-AUG'!I34)</f>
        <v>0.67</v>
      </c>
      <c r="D24" s="128">
        <f>IF(TRIM('HourGH-AUG'!I35)="","      ",'HourGH-AUG'!I35)</f>
        <v>0.9</v>
      </c>
      <c r="E24" s="128">
        <f>IF(TRIM('HourGH-AUG'!I36)="","      ",'HourGH-AUG'!I36)</f>
        <v>1.03</v>
      </c>
      <c r="F24" s="118">
        <f>IF(TRIM('HourGH-AUG'!I37)="","      ",'HourGH-AUG'!I37)</f>
        <v>0.77</v>
      </c>
      <c r="G24" s="118">
        <f>IF(TRIM('HourGH-AUG'!I38)="","      ",'HourGH-AUG'!I38)</f>
        <v>0.71</v>
      </c>
      <c r="H24" s="118">
        <f>IF(TRIM('HourGH-AUG'!I39)="","      ",'HourGH-AUG'!I39)</f>
        <v>0.67</v>
      </c>
      <c r="I24" s="118">
        <f>IF(TRIM('HourGH-AUG'!I40)="","      ",'HourGH-AUG'!I40)</f>
        <v>0.63</v>
      </c>
      <c r="J24" s="118">
        <f>IF(TRIM('HourGH-AUG'!I41)="","      ",'HourGH-AUG'!I41)</f>
        <v>0.57999999999999996</v>
      </c>
      <c r="K24" s="118">
        <f>IF(TRIM('HourGH-AUG'!I42)="","      ",'HourGH-AUG'!I42)</f>
        <v>0.54</v>
      </c>
      <c r="L24" s="118">
        <f>IF(TRIM('HourGH-AUG'!I43)="","      ",'HourGH-AUG'!I43)</f>
        <v>0.54</v>
      </c>
    </row>
    <row r="25" spans="1:12">
      <c r="A25" s="127" t="s">
        <v>167</v>
      </c>
      <c r="B25" s="128">
        <f>IF(TRIM('HourGH-AUG'!J11)="","      ",'HourGH-AUG'!J11)</f>
        <v>0.57999999999999996</v>
      </c>
      <c r="C25" s="128">
        <f>IF(TRIM('HourGH-AUG'!J12)="","      ",'HourGH-AUG'!J12)</f>
        <v>0.56999999999999995</v>
      </c>
      <c r="D25" s="128">
        <f>IF(TRIM('HourGH-AUG'!J13)="","      ",'HourGH-AUG'!J13)</f>
        <v>0.51</v>
      </c>
      <c r="E25" s="128">
        <f>IF(TRIM('HourGH-AUG'!J14)="","      ",'HourGH-AUG'!J14)</f>
        <v>0.49</v>
      </c>
      <c r="F25" s="118">
        <f>IF(TRIM('HourGH-AUG'!J15)="","      ",'HourGH-AUG'!J15)</f>
        <v>0.49</v>
      </c>
      <c r="G25" s="118">
        <f>IF(TRIM('HourGH-AUG'!J16)="","      ",'HourGH-AUG'!J16)</f>
        <v>0.69</v>
      </c>
      <c r="H25" s="128">
        <f>IF(TRIM('HourGH-AUG'!J17)="","      ",'HourGH-AUG'!J17)</f>
        <v>0.57999999999999996</v>
      </c>
      <c r="I25" s="128">
        <f>IF(TRIM('HourGH-AUG'!J18)="","      ",'HourGH-AUG'!J18)</f>
        <v>0.56000000000000005</v>
      </c>
      <c r="J25" s="128">
        <f>IF(TRIM('HourGH-AUG'!J19)="","      ",'HourGH-AUG'!J19)</f>
        <v>0.68</v>
      </c>
      <c r="K25" s="128">
        <f>IF(TRIM('HourGH-AUG'!J20)="","      ",'HourGH-AUG'!J20)</f>
        <v>1.86</v>
      </c>
    </row>
    <row r="26" spans="1:12">
      <c r="A26" s="127" t="s">
        <v>168</v>
      </c>
      <c r="B26" s="128">
        <f>IF(TRIM('HourGH-AUG'!J22)="","      ",'HourGH-AUG'!J22)</f>
        <v>2.5299999999999998</v>
      </c>
      <c r="C26" s="128">
        <f>IF(TRIM('HourGH-AUG'!J23)="","      ",'HourGH-AUG'!J23)</f>
        <v>2.0499999999999998</v>
      </c>
      <c r="D26" s="128">
        <f>IF(TRIM('HourGH-AUG'!J24)="","      ",'HourGH-AUG'!J24)</f>
        <v>1.57</v>
      </c>
      <c r="E26" s="128">
        <f>IF(TRIM('HourGH-AUG'!J25)="","      ",'HourGH-AUG'!J25)</f>
        <v>1.07</v>
      </c>
      <c r="F26" s="118">
        <f>IF(TRIM('HourGH-AUG'!J26)="","      ",'HourGH-AUG'!J26)</f>
        <v>1.08</v>
      </c>
      <c r="G26" s="118">
        <f>IF(TRIM('HourGH-AUG'!J27)="","      ",'HourGH-AUG'!J27)</f>
        <v>0.95</v>
      </c>
      <c r="H26" s="128">
        <f>IF(TRIM('HourGH-AUG'!J28)="","      ",'HourGH-AUG'!J28)</f>
        <v>0.85</v>
      </c>
      <c r="I26" s="128">
        <f>IF(TRIM('HourGH-AUG'!J29)="","      ",'HourGH-AUG'!J29)</f>
        <v>0.69</v>
      </c>
      <c r="J26" s="128">
        <f>IF(TRIM('HourGH-AUG'!J30)="","      ",'HourGH-AUG'!J30)</f>
        <v>0.62</v>
      </c>
      <c r="K26" s="128">
        <f>IF(TRIM('HourGH-AUG'!J31)="","      ",'HourGH-AUG'!J31)</f>
        <v>0.61</v>
      </c>
    </row>
    <row r="27" spans="1:12">
      <c r="A27" s="127" t="s">
        <v>169</v>
      </c>
      <c r="B27" s="128">
        <f>IF(TRIM('HourGH-AUG'!J33)="","      ",'HourGH-AUG'!J33)</f>
        <v>0.6</v>
      </c>
      <c r="C27" s="128">
        <f>IF(TRIM('HourGH-AUG'!J34)="","      ",'HourGH-AUG'!J34)</f>
        <v>0.68</v>
      </c>
      <c r="D27" s="128">
        <f>IF(TRIM('HourGH-AUG'!J35)="","      ",'HourGH-AUG'!J35)</f>
        <v>0.92</v>
      </c>
      <c r="E27" s="128">
        <f>IF(TRIM('HourGH-AUG'!J36)="","      ",'HourGH-AUG'!J36)</f>
        <v>1.01</v>
      </c>
      <c r="F27" s="118">
        <f>IF(TRIM('HourGH-AUG'!J37)="","      ",'HourGH-AUG'!J37)</f>
        <v>0.76</v>
      </c>
      <c r="G27" s="118">
        <f>IF(TRIM('HourGH-AUG'!J38)="","      ",'HourGH-AUG'!J38)</f>
        <v>0.71</v>
      </c>
      <c r="H27" s="128">
        <f>IF(TRIM('HourGH-AUG'!J39)="","      ",'HourGH-AUG'!J39)</f>
        <v>0.67</v>
      </c>
      <c r="I27" s="128">
        <f>IF(TRIM('HourGH-AUG'!J40)="","      ",'HourGH-AUG'!J40)</f>
        <v>0.63</v>
      </c>
      <c r="J27" s="128">
        <f>IF(TRIM('HourGH-AUG'!J41)="","      ",'HourGH-AUG'!J41)</f>
        <v>0.57999999999999996</v>
      </c>
      <c r="K27" s="128">
        <f>IF(TRIM('HourGH-AUG'!J42)="","      ",'HourGH-AUG'!J42)</f>
        <v>0.54</v>
      </c>
      <c r="L27" s="118">
        <f>IF(TRIM('HourGH-AUG'!J43)="","      ",'HourGH-AUG'!J43)</f>
        <v>0.54</v>
      </c>
    </row>
    <row r="28" spans="1:12">
      <c r="A28" s="127" t="s">
        <v>170</v>
      </c>
      <c r="B28" s="128">
        <f>IF(TRIM('HourGH-AUG'!K11)="","      ",'HourGH-AUG'!K11)</f>
        <v>0.57999999999999996</v>
      </c>
      <c r="C28" s="128">
        <f>IF(TRIM('HourGH-AUG'!K12)="","      ",'HourGH-AUG'!K12)</f>
        <v>0.56999999999999995</v>
      </c>
      <c r="D28" s="128">
        <f>IF(TRIM('HourGH-AUG'!K13)="","      ",'HourGH-AUG'!K13)</f>
        <v>0.51</v>
      </c>
      <c r="E28" s="128">
        <f>IF(TRIM('HourGH-AUG'!K14)="","      ",'HourGH-AUG'!K14)</f>
        <v>0.49</v>
      </c>
      <c r="F28" s="118">
        <f>IF(TRIM('HourGH-AUG'!K15)="","      ",'HourGH-AUG'!K15)</f>
        <v>0.5</v>
      </c>
      <c r="G28" s="118">
        <f>IF(TRIM('HourGH-AUG'!K16)="","      ",'HourGH-AUG'!K16)</f>
        <v>0.7</v>
      </c>
      <c r="H28" s="128">
        <f>IF(TRIM('HourGH-AUG'!K17)="","      ",'HourGH-AUG'!K17)</f>
        <v>0.57999999999999996</v>
      </c>
      <c r="I28" s="128">
        <f>IF(TRIM('HourGH-AUG'!K18)="","      ",'HourGH-AUG'!K18)</f>
        <v>0.56000000000000005</v>
      </c>
      <c r="J28" s="128">
        <f>IF(TRIM('HourGH-AUG'!K19)="","      ",'HourGH-AUG'!K19)</f>
        <v>0.7</v>
      </c>
      <c r="K28" s="128">
        <f>IF(TRIM('HourGH-AUG'!K20)="","      ",'HourGH-AUG'!K20)</f>
        <v>1.94</v>
      </c>
    </row>
    <row r="29" spans="1:12">
      <c r="A29" s="127" t="s">
        <v>171</v>
      </c>
      <c r="B29" s="128">
        <f>IF(TRIM('HourGH-AUG'!K22)="","      ",'HourGH-AUG'!K22)</f>
        <v>2.5299999999999998</v>
      </c>
      <c r="C29" s="128">
        <f>IF(TRIM('HourGH-AUG'!K23)="","      ",'HourGH-AUG'!K23)</f>
        <v>2.0299999999999998</v>
      </c>
      <c r="D29" s="128">
        <f>IF(TRIM('HourGH-AUG'!K24)="","      ",'HourGH-AUG'!K24)</f>
        <v>1.54</v>
      </c>
      <c r="E29" s="128">
        <f>IF(TRIM('HourGH-AUG'!K25)="","      ",'HourGH-AUG'!K25)</f>
        <v>1.06</v>
      </c>
      <c r="F29" s="118">
        <f>IF(TRIM('HourGH-AUG'!K26)="","      ",'HourGH-AUG'!K26)</f>
        <v>1.0900000000000001</v>
      </c>
      <c r="G29" s="118">
        <f>IF(TRIM('HourGH-AUG'!K27)="","      ",'HourGH-AUG'!K27)</f>
        <v>0.94</v>
      </c>
      <c r="H29" s="128">
        <f>IF(TRIM('HourGH-AUG'!K28)="","      ",'HourGH-AUG'!K28)</f>
        <v>0.84</v>
      </c>
      <c r="I29" s="128">
        <f>IF(TRIM('HourGH-AUG'!K29)="","      ",'HourGH-AUG'!K29)</f>
        <v>0.69</v>
      </c>
      <c r="J29" s="128">
        <f>IF(TRIM('HourGH-AUG'!K30)="","      ",'HourGH-AUG'!K30)</f>
        <v>0.62</v>
      </c>
      <c r="K29" s="128">
        <f>IF(TRIM('HourGH-AUG'!K31)="","      ",'HourGH-AUG'!K31)</f>
        <v>0.61</v>
      </c>
    </row>
    <row r="30" spans="1:12">
      <c r="A30" s="127" t="s">
        <v>172</v>
      </c>
      <c r="B30" s="128">
        <f>IF(TRIM('HourGH-AUG'!K33)="","      ",'HourGH-AUG'!K33)</f>
        <v>0.6</v>
      </c>
      <c r="C30" s="128">
        <f>IF(TRIM('HourGH-AUG'!K34)="","      ",'HourGH-AUG'!K34)</f>
        <v>0.68</v>
      </c>
      <c r="D30" s="128">
        <f>IF(TRIM('HourGH-AUG'!K35)="","      ",'HourGH-AUG'!K35)</f>
        <v>0.93</v>
      </c>
      <c r="E30" s="128">
        <f>IF(TRIM('HourGH-AUG'!K36)="","      ",'HourGH-AUG'!K36)</f>
        <v>0.99</v>
      </c>
      <c r="F30" s="118">
        <f>IF(TRIM('HourGH-AUG'!K37)="","      ",'HourGH-AUG'!K37)</f>
        <v>0.76</v>
      </c>
      <c r="G30" s="118">
        <f>IF(TRIM('HourGH-AUG'!K38)="","      ",'HourGH-AUG'!K38)</f>
        <v>0.71</v>
      </c>
      <c r="H30" s="128">
        <f>IF(TRIM('HourGH-AUG'!K39)="","      ",'HourGH-AUG'!K39)</f>
        <v>0.67</v>
      </c>
      <c r="I30" s="128">
        <f>IF(TRIM('HourGH-AUG'!K40)="","      ",'HourGH-AUG'!K40)</f>
        <v>0.63</v>
      </c>
      <c r="J30" s="128">
        <f>IF(TRIM('HourGH-AUG'!K41)="","      ",'HourGH-AUG'!K41)</f>
        <v>0.57999999999999996</v>
      </c>
      <c r="K30" s="128">
        <f>IF(TRIM('HourGH-AUG'!K42)="","      ",'HourGH-AUG'!K42)</f>
        <v>0.54</v>
      </c>
      <c r="L30" s="118">
        <f>IF(TRIM('HourGH-AUG'!K43)="","      ",'HourGH-AUG'!K43)</f>
        <v>0.54</v>
      </c>
    </row>
    <row r="31" spans="1:12">
      <c r="A31" s="127" t="s">
        <v>173</v>
      </c>
      <c r="B31" s="128">
        <f>IF(TRIM('HourGH-AUG'!L11)="","      ",'HourGH-AUG'!L11)</f>
        <v>0.57999999999999996</v>
      </c>
      <c r="C31" s="128">
        <f>IF(TRIM('HourGH-AUG'!L12)="","      ",'HourGH-AUG'!L12)</f>
        <v>0.56000000000000005</v>
      </c>
      <c r="D31" s="128">
        <f>IF(TRIM('HourGH-AUG'!L13)="","      ",'HourGH-AUG'!L13)</f>
        <v>0.51</v>
      </c>
      <c r="E31" s="128">
        <f>IF(TRIM('HourGH-AUG'!L14)="","      ",'HourGH-AUG'!L14)</f>
        <v>0.49</v>
      </c>
      <c r="F31" s="118">
        <f>IF(TRIM('HourGH-AUG'!L15)="","      ",'HourGH-AUG'!L15)</f>
        <v>0.5</v>
      </c>
      <c r="G31" s="118">
        <f>IF(TRIM('HourGH-AUG'!L16)="","      ",'HourGH-AUG'!L16)</f>
        <v>0.7</v>
      </c>
      <c r="H31" s="128">
        <f>IF(TRIM('HourGH-AUG'!L17)="","      ",'HourGH-AUG'!L17)</f>
        <v>0.57999999999999996</v>
      </c>
      <c r="I31" s="128">
        <f>IF(TRIM('HourGH-AUG'!L18)="","      ",'HourGH-AUG'!L18)</f>
        <v>0.56000000000000005</v>
      </c>
      <c r="J31" s="128">
        <f>IF(TRIM('HourGH-AUG'!L19)="","      ",'HourGH-AUG'!L19)</f>
        <v>0.72</v>
      </c>
      <c r="K31" s="128">
        <f>IF(TRIM('HourGH-AUG'!L20)="","      ",'HourGH-AUG'!L20)</f>
        <v>2.02</v>
      </c>
    </row>
    <row r="32" spans="1:12">
      <c r="A32" s="127" t="s">
        <v>174</v>
      </c>
      <c r="B32" s="128">
        <f>IF(TRIM('HourGH-AUG'!L22)="","      ",'HourGH-AUG'!L22)</f>
        <v>2.52</v>
      </c>
      <c r="C32" s="128">
        <f>IF(TRIM('HourGH-AUG'!L23)="","      ",'HourGH-AUG'!L23)</f>
        <v>2.0099999999999998</v>
      </c>
      <c r="D32" s="128">
        <f>IF(TRIM('HourGH-AUG'!L24)="","      ",'HourGH-AUG'!L24)</f>
        <v>1.51</v>
      </c>
      <c r="E32" s="128">
        <f>IF(TRIM('HourGH-AUG'!L25)="","      ",'HourGH-AUG'!L25)</f>
        <v>1.05</v>
      </c>
      <c r="F32" s="118">
        <f>IF(TRIM('HourGH-AUG'!L26)="","      ",'HourGH-AUG'!L26)</f>
        <v>1.1100000000000001</v>
      </c>
      <c r="G32" s="118">
        <f>IF(TRIM('HourGH-AUG'!L27)="","      ",'HourGH-AUG'!L27)</f>
        <v>0.93</v>
      </c>
      <c r="H32" s="128">
        <f>IF(TRIM('HourGH-AUG'!L28)="","      ",'HourGH-AUG'!L28)</f>
        <v>0.83</v>
      </c>
      <c r="I32" s="128">
        <f>IF(TRIM('HourGH-AUG'!L29)="","      ",'HourGH-AUG'!L29)</f>
        <v>0.68</v>
      </c>
      <c r="J32" s="128">
        <f>IF(TRIM('HourGH-AUG'!L30)="","      ",'HourGH-AUG'!L30)</f>
        <v>0.62</v>
      </c>
      <c r="K32" s="128">
        <f>IF(TRIM('HourGH-AUG'!L31)="","      ",'HourGH-AUG'!L31)</f>
        <v>0.61</v>
      </c>
    </row>
    <row r="33" spans="1:12">
      <c r="A33" s="127" t="s">
        <v>175</v>
      </c>
      <c r="B33" s="128">
        <f>IF(TRIM('HourGH-AUG'!L33)="","      ",'HourGH-AUG'!L33)</f>
        <v>0.6</v>
      </c>
      <c r="C33" s="128">
        <f>IF(TRIM('HourGH-AUG'!L34)="","      ",'HourGH-AUG'!L34)</f>
        <v>0.69</v>
      </c>
      <c r="D33" s="128">
        <f>IF(TRIM('HourGH-AUG'!L35)="","      ",'HourGH-AUG'!L35)</f>
        <v>0.95</v>
      </c>
      <c r="E33" s="128">
        <f>IF(TRIM('HourGH-AUG'!L36)="","      ",'HourGH-AUG'!L36)</f>
        <v>0.98</v>
      </c>
      <c r="F33" s="118">
        <f>IF(TRIM('HourGH-AUG'!L37)="","      ",'HourGH-AUG'!L37)</f>
        <v>0.76</v>
      </c>
      <c r="G33" s="118">
        <f>IF(TRIM('HourGH-AUG'!L38)="","      ",'HourGH-AUG'!L38)</f>
        <v>0.71</v>
      </c>
      <c r="H33" s="128">
        <f>IF(TRIM('HourGH-AUG'!L39)="","      ",'HourGH-AUG'!L39)</f>
        <v>0.67</v>
      </c>
      <c r="I33" s="128">
        <f>IF(TRIM('HourGH-AUG'!L40)="","      ",'HourGH-AUG'!L40)</f>
        <v>0.63</v>
      </c>
      <c r="J33" s="128">
        <f>IF(TRIM('HourGH-AUG'!L41)="","      ",'HourGH-AUG'!L41)</f>
        <v>0.57999999999999996</v>
      </c>
      <c r="K33" s="128">
        <f>IF(TRIM('HourGH-AUG'!L42)="","      ",'HourGH-AUG'!L42)</f>
        <v>0.54</v>
      </c>
      <c r="L33" s="118">
        <f>IF(TRIM('HourGH-AUG'!L43)="","      ",'HourGH-AUG'!L43)</f>
        <v>0.54</v>
      </c>
    </row>
    <row r="34" spans="1:12">
      <c r="A34" s="127" t="s">
        <v>176</v>
      </c>
      <c r="B34" s="128">
        <f>IF(TRIM('HourGH-AUG'!M11)="","      ",'HourGH-AUG'!M11)</f>
        <v>0.57999999999999996</v>
      </c>
      <c r="C34" s="128">
        <f>IF(TRIM('HourGH-AUG'!M12)="","      ",'HourGH-AUG'!M12)</f>
        <v>0.56000000000000005</v>
      </c>
      <c r="D34" s="128">
        <f>IF(TRIM('HourGH-AUG'!M13)="","      ",'HourGH-AUG'!M13)</f>
        <v>0.51</v>
      </c>
      <c r="E34" s="128">
        <f>IF(TRIM('HourGH-AUG'!M14)="","      ",'HourGH-AUG'!M14)</f>
        <v>0.49</v>
      </c>
      <c r="F34" s="118">
        <f>IF(TRIM('HourGH-AUG'!M15)="","      ",'HourGH-AUG'!M15)</f>
        <v>0.51</v>
      </c>
      <c r="G34" s="118">
        <f>IF(TRIM('HourGH-AUG'!M16)="","      ",'HourGH-AUG'!M16)</f>
        <v>0.7</v>
      </c>
      <c r="H34" s="128">
        <f>IF(TRIM('HourGH-AUG'!M17)="","      ",'HourGH-AUG'!M17)</f>
        <v>0.57999999999999996</v>
      </c>
      <c r="I34" s="128">
        <f>IF(TRIM('HourGH-AUG'!M18)="","      ",'HourGH-AUG'!M18)</f>
        <v>0.56000000000000005</v>
      </c>
      <c r="J34" s="128">
        <f>IF(TRIM('HourGH-AUG'!M19)="","      ",'HourGH-AUG'!M19)</f>
        <v>0.74</v>
      </c>
      <c r="K34" s="128">
        <f>IF(TRIM('HourGH-AUG'!M20)="","      ",'HourGH-AUG'!M20)</f>
        <v>2.09</v>
      </c>
    </row>
    <row r="35" spans="1:12">
      <c r="A35" s="127" t="s">
        <v>177</v>
      </c>
      <c r="B35" s="128">
        <f>IF(TRIM('HourGH-AUG'!M22)="","      ",'HourGH-AUG'!M22)</f>
        <v>2.5099999999999998</v>
      </c>
      <c r="C35" s="128">
        <f>IF(TRIM('HourGH-AUG'!M23)="","      ",'HourGH-AUG'!M23)</f>
        <v>2</v>
      </c>
      <c r="D35" s="128">
        <f>IF(TRIM('HourGH-AUG'!M24)="","      ",'HourGH-AUG'!M24)</f>
        <v>1.48</v>
      </c>
      <c r="E35" s="128">
        <f>IF(TRIM('HourGH-AUG'!M25)="","      ",'HourGH-AUG'!M25)</f>
        <v>1.04</v>
      </c>
      <c r="F35" s="118">
        <f>IF(TRIM('HourGH-AUG'!M26)="","      ",'HourGH-AUG'!M26)</f>
        <v>1.1200000000000001</v>
      </c>
      <c r="G35" s="118">
        <f>IF(TRIM('HourGH-AUG'!M27)="","      ",'HourGH-AUG'!M27)</f>
        <v>0.92</v>
      </c>
      <c r="H35" s="128">
        <f>IF(TRIM('HourGH-AUG'!M28)="","      ",'HourGH-AUG'!M28)</f>
        <v>0.82</v>
      </c>
      <c r="I35" s="128">
        <f>IF(TRIM('HourGH-AUG'!M29)="","      ",'HourGH-AUG'!M29)</f>
        <v>0.68</v>
      </c>
      <c r="J35" s="128">
        <f>IF(TRIM('HourGH-AUG'!M30)="","      ",'HourGH-AUG'!M30)</f>
        <v>0.62</v>
      </c>
      <c r="K35" s="128">
        <f>IF(TRIM('HourGH-AUG'!M31)="","      ",'HourGH-AUG'!M31)</f>
        <v>0.61</v>
      </c>
    </row>
    <row r="36" spans="1:12">
      <c r="A36" s="127" t="s">
        <v>178</v>
      </c>
      <c r="B36" s="128">
        <f>IF(TRIM('HourGH-AUG'!M33)="","      ",'HourGH-AUG'!M33)</f>
        <v>0.6</v>
      </c>
      <c r="C36" s="128">
        <f>IF(TRIM('HourGH-AUG'!M34)="","      ",'HourGH-AUG'!M34)</f>
        <v>0.69</v>
      </c>
      <c r="D36" s="128">
        <f>IF(TRIM('HourGH-AUG'!M35)="","      ",'HourGH-AUG'!M35)</f>
        <v>0.96</v>
      </c>
      <c r="E36" s="128">
        <f>IF(TRIM('HourGH-AUG'!M36)="","      ",'HourGH-AUG'!M36)</f>
        <v>0.97</v>
      </c>
      <c r="F36" s="118">
        <f>IF(TRIM('HourGH-AUG'!M37)="","      ",'HourGH-AUG'!M37)</f>
        <v>0.75</v>
      </c>
      <c r="G36" s="118">
        <f>IF(TRIM('HourGH-AUG'!M38)="","      ",'HourGH-AUG'!M38)</f>
        <v>0.71</v>
      </c>
      <c r="H36" s="128">
        <f>IF(TRIM('HourGH-AUG'!M39)="","      ",'HourGH-AUG'!M39)</f>
        <v>0.67</v>
      </c>
      <c r="I36" s="128">
        <f>IF(TRIM('HourGH-AUG'!M40)="","      ",'HourGH-AUG'!M40)</f>
        <v>0.63</v>
      </c>
      <c r="J36" s="128">
        <f>IF(TRIM('HourGH-AUG'!M41)="","      ",'HourGH-AUG'!M41)</f>
        <v>0.57999999999999996</v>
      </c>
      <c r="K36" s="128">
        <f>IF(TRIM('HourGH-AUG'!M42)="","      ",'HourGH-AUG'!M42)</f>
        <v>0.55000000000000004</v>
      </c>
      <c r="L36" s="118">
        <f>IF(TRIM('HourGH-AUG'!M43)="","      ",'HourGH-AUG'!M43)</f>
        <v>0.54</v>
      </c>
    </row>
    <row r="37" spans="1:12">
      <c r="A37" s="127" t="s">
        <v>179</v>
      </c>
      <c r="B37" s="128">
        <f>IF(TRIM('HourGH-AUG'!N11)="","      ",'HourGH-AUG'!N11)</f>
        <v>0.57999999999999996</v>
      </c>
      <c r="C37" s="128">
        <f>IF(TRIM('HourGH-AUG'!N12)="","      ",'HourGH-AUG'!N12)</f>
        <v>0.55000000000000004</v>
      </c>
      <c r="D37" s="128">
        <f>IF(TRIM('HourGH-AUG'!N13)="","      ",'HourGH-AUG'!N13)</f>
        <v>0.51</v>
      </c>
      <c r="E37" s="128">
        <f>IF(TRIM('HourGH-AUG'!N14)="","      ",'HourGH-AUG'!N14)</f>
        <v>0.49</v>
      </c>
      <c r="F37" s="118">
        <f>IF(TRIM('HourGH-AUG'!N15)="","      ",'HourGH-AUG'!N15)</f>
        <v>0.51</v>
      </c>
      <c r="G37" s="118">
        <f>IF(TRIM('HourGH-AUG'!N16)="","      ",'HourGH-AUG'!N16)</f>
        <v>0.7</v>
      </c>
      <c r="H37" s="128">
        <f>IF(TRIM('HourGH-AUG'!N17)="","      ",'HourGH-AUG'!N17)</f>
        <v>0.56999999999999995</v>
      </c>
      <c r="I37" s="128">
        <f>IF(TRIM('HourGH-AUG'!N18)="","      ",'HourGH-AUG'!N18)</f>
        <v>0.56000000000000005</v>
      </c>
      <c r="J37" s="128">
        <f>IF(TRIM('HourGH-AUG'!N19)="","      ",'HourGH-AUG'!N19)</f>
        <v>0.76</v>
      </c>
      <c r="K37" s="128">
        <f>IF(TRIM('HourGH-AUG'!N20)="","      ",'HourGH-AUG'!N20)</f>
        <v>2.16</v>
      </c>
    </row>
    <row r="38" spans="1:12">
      <c r="A38" s="127" t="s">
        <v>180</v>
      </c>
      <c r="B38" s="128">
        <f>IF(TRIM('HourGH-AUG'!N22)="","      ",'HourGH-AUG'!N22)</f>
        <v>2.5</v>
      </c>
      <c r="C38" s="128">
        <f>IF(TRIM('HourGH-AUG'!N23)="","      ",'HourGH-AUG'!N23)</f>
        <v>1.99</v>
      </c>
      <c r="D38" s="128">
        <f>IF(TRIM('HourGH-AUG'!N24)="","      ",'HourGH-AUG'!N24)</f>
        <v>1.45</v>
      </c>
      <c r="E38" s="128">
        <f>IF(TRIM('HourGH-AUG'!N25)="","      ",'HourGH-AUG'!N25)</f>
        <v>1.03</v>
      </c>
      <c r="F38" s="118">
        <f>IF(TRIM('HourGH-AUG'!N26)="","      ",'HourGH-AUG'!N26)</f>
        <v>1.1299999999999999</v>
      </c>
      <c r="G38" s="118">
        <f>IF(TRIM('HourGH-AUG'!N27)="","      ",'HourGH-AUG'!N27)</f>
        <v>0.91</v>
      </c>
      <c r="H38" s="128">
        <f>IF(TRIM('HourGH-AUG'!N28)="","      ",'HourGH-AUG'!N28)</f>
        <v>0.81</v>
      </c>
      <c r="I38" s="128">
        <f>IF(TRIM('HourGH-AUG'!N29)="","      ",'HourGH-AUG'!N29)</f>
        <v>0.67</v>
      </c>
      <c r="J38" s="128">
        <f>IF(TRIM('HourGH-AUG'!N30)="","      ",'HourGH-AUG'!N30)</f>
        <v>0.62</v>
      </c>
      <c r="K38" s="128">
        <f>IF(TRIM('HourGH-AUG'!N31)="","      ",'HourGH-AUG'!N31)</f>
        <v>0.61</v>
      </c>
    </row>
    <row r="39" spans="1:12">
      <c r="A39" s="127" t="s">
        <v>181</v>
      </c>
      <c r="B39" s="128">
        <f>IF(TRIM('HourGH-AUG'!N33)="","      ",'HourGH-AUG'!N33)</f>
        <v>0.6</v>
      </c>
      <c r="C39" s="128">
        <f>IF(TRIM('HourGH-AUG'!N34)="","      ",'HourGH-AUG'!N34)</f>
        <v>0.7</v>
      </c>
      <c r="D39" s="128">
        <f>IF(TRIM('HourGH-AUG'!N35)="","      ",'HourGH-AUG'!N35)</f>
        <v>0.97</v>
      </c>
      <c r="E39" s="128">
        <f>IF(TRIM('HourGH-AUG'!N36)="","      ",'HourGH-AUG'!N36)</f>
        <v>0.95</v>
      </c>
      <c r="F39" s="118">
        <f>IF(TRIM('HourGH-AUG'!N37)="","      ",'HourGH-AUG'!N37)</f>
        <v>0.75</v>
      </c>
      <c r="G39" s="118">
        <f>IF(TRIM('HourGH-AUG'!N38)="","      ",'HourGH-AUG'!N38)</f>
        <v>0.71</v>
      </c>
      <c r="H39" s="128">
        <f>IF(TRIM('HourGH-AUG'!N39)="","      ",'HourGH-AUG'!N39)</f>
        <v>0.67</v>
      </c>
      <c r="I39" s="128">
        <f>IF(TRIM('HourGH-AUG'!N40)="","      ",'HourGH-AUG'!N40)</f>
        <v>0.63</v>
      </c>
      <c r="J39" s="128">
        <f>IF(TRIM('HourGH-AUG'!N41)="","      ",'HourGH-AUG'!N41)</f>
        <v>0.57999999999999996</v>
      </c>
      <c r="K39" s="128">
        <f>IF(TRIM('HourGH-AUG'!N42)="","      ",'HourGH-AUG'!N42)</f>
        <v>0.55000000000000004</v>
      </c>
      <c r="L39" s="118">
        <f>IF(TRIM('HourGH-AUG'!N43)="","      ",'HourGH-AUG'!N43)</f>
        <v>0.55000000000000004</v>
      </c>
    </row>
    <row r="40" spans="1:12">
      <c r="A40" s="127" t="s">
        <v>182</v>
      </c>
      <c r="B40" s="128">
        <f>IF(TRIM('HourGH-AUG'!O11)="","      ",'HourGH-AUG'!O11)</f>
        <v>0.57999999999999996</v>
      </c>
      <c r="C40" s="128">
        <f>IF(TRIM('HourGH-AUG'!O12)="","      ",'HourGH-AUG'!O12)</f>
        <v>0.55000000000000004</v>
      </c>
      <c r="D40" s="128">
        <f>IF(TRIM('HourGH-AUG'!O13)="","      ",'HourGH-AUG'!O13)</f>
        <v>0.5</v>
      </c>
      <c r="E40" s="128">
        <f>IF(TRIM('HourGH-AUG'!O14)="","      ",'HourGH-AUG'!O14)</f>
        <v>0.49</v>
      </c>
      <c r="F40" s="118">
        <f>IF(TRIM('HourGH-AUG'!O15)="","      ",'HourGH-AUG'!O15)</f>
        <v>0.52</v>
      </c>
      <c r="G40" s="118">
        <f>IF(TRIM('HourGH-AUG'!O16)="","      ",'HourGH-AUG'!O16)</f>
        <v>0.7</v>
      </c>
      <c r="H40" s="128">
        <f>IF(TRIM('HourGH-AUG'!O17)="","      ",'HourGH-AUG'!O17)</f>
        <v>0.56999999999999995</v>
      </c>
      <c r="I40" s="128">
        <f>IF(TRIM('HourGH-AUG'!O18)="","      ",'HourGH-AUG'!O18)</f>
        <v>0.56999999999999995</v>
      </c>
      <c r="J40" s="128">
        <f>IF(TRIM('HourGH-AUG'!O19)="","      ",'HourGH-AUG'!O19)</f>
        <v>0.78</v>
      </c>
      <c r="K40" s="128">
        <f>IF(TRIM('HourGH-AUG'!O20)="","      ",'HourGH-AUG'!O20)</f>
        <v>2.23</v>
      </c>
    </row>
    <row r="41" spans="1:12">
      <c r="A41" s="127" t="s">
        <v>183</v>
      </c>
      <c r="B41" s="128">
        <f>IF(TRIM('HourGH-AUG'!O22)="","      ",'HourGH-AUG'!O22)</f>
        <v>2.4900000000000002</v>
      </c>
      <c r="C41" s="128">
        <f>IF(TRIM('HourGH-AUG'!O23)="","      ",'HourGH-AUG'!O23)</f>
        <v>1.97</v>
      </c>
      <c r="D41" s="128">
        <f>IF(TRIM('HourGH-AUG'!O24)="","      ",'HourGH-AUG'!O24)</f>
        <v>1.43</v>
      </c>
      <c r="E41" s="128">
        <f>IF(TRIM('HourGH-AUG'!O25)="","      ",'HourGH-AUG'!O25)</f>
        <v>1.02</v>
      </c>
      <c r="F41" s="118">
        <f>IF(TRIM('HourGH-AUG'!O26)="","      ",'HourGH-AUG'!O26)</f>
        <v>1.1399999999999999</v>
      </c>
      <c r="G41" s="118">
        <f>IF(TRIM('HourGH-AUG'!O27)="","      ",'HourGH-AUG'!O27)</f>
        <v>0.91</v>
      </c>
      <c r="H41" s="128">
        <f>IF(TRIM('HourGH-AUG'!O28)="","      ",'HourGH-AUG'!O28)</f>
        <v>0.8</v>
      </c>
      <c r="I41" s="128">
        <f>IF(TRIM('HourGH-AUG'!O29)="","      ",'HourGH-AUG'!O29)</f>
        <v>0.67</v>
      </c>
      <c r="J41" s="128">
        <f>IF(TRIM('HourGH-AUG'!O30)="","      ",'HourGH-AUG'!O30)</f>
        <v>0.62</v>
      </c>
      <c r="K41" s="128">
        <f>IF(TRIM('HourGH-AUG'!O31)="","      ",'HourGH-AUG'!O31)</f>
        <v>0.61</v>
      </c>
    </row>
    <row r="42" spans="1:12">
      <c r="A42" s="127" t="s">
        <v>184</v>
      </c>
      <c r="B42" s="128">
        <f>IF(TRIM('HourGH-AUG'!O33)="","      ",'HourGH-AUG'!O33)</f>
        <v>0.6</v>
      </c>
      <c r="C42" s="128">
        <f>IF(TRIM('HourGH-AUG'!O34)="","      ",'HourGH-AUG'!O34)</f>
        <v>0.71</v>
      </c>
      <c r="D42" s="128">
        <f>IF(TRIM('HourGH-AUG'!O35)="","      ",'HourGH-AUG'!O35)</f>
        <v>0.99</v>
      </c>
      <c r="E42" s="128">
        <f>IF(TRIM('HourGH-AUG'!O36)="","      ",'HourGH-AUG'!O36)</f>
        <v>0.93</v>
      </c>
      <c r="F42" s="118">
        <f>IF(TRIM('HourGH-AUG'!O37)="","      ",'HourGH-AUG'!O37)</f>
        <v>0.75</v>
      </c>
      <c r="G42" s="118">
        <f>IF(TRIM('HourGH-AUG'!O38)="","      ",'HourGH-AUG'!O38)</f>
        <v>0.7</v>
      </c>
      <c r="H42" s="128">
        <f>IF(TRIM('HourGH-AUG'!O39)="","      ",'HourGH-AUG'!O39)</f>
        <v>0.66</v>
      </c>
      <c r="I42" s="128">
        <f>IF(TRIM('HourGH-AUG'!O40)="","      ",'HourGH-AUG'!O40)</f>
        <v>0.62</v>
      </c>
      <c r="J42" s="128">
        <f>IF(TRIM('HourGH-AUG'!O41)="","      ",'HourGH-AUG'!O41)</f>
        <v>0.56999999999999995</v>
      </c>
      <c r="K42" s="128">
        <f>IF(TRIM('HourGH-AUG'!O42)="","      ",'HourGH-AUG'!O42)</f>
        <v>0.56000000000000005</v>
      </c>
      <c r="L42" s="118">
        <f>IF(TRIM('HourGH-AUG'!O43)="","      ",'HourGH-AUG'!O43)</f>
        <v>0.56000000000000005</v>
      </c>
    </row>
    <row r="43" spans="1:12">
      <c r="A43" s="127" t="s">
        <v>185</v>
      </c>
      <c r="B43" s="128">
        <f>IF(TRIM('HourGH-AUG'!P11)="","      ",'HourGH-AUG'!P11)</f>
        <v>0.57999999999999996</v>
      </c>
      <c r="C43" s="128">
        <f>IF(TRIM('HourGH-AUG'!P12)="","      ",'HourGH-AUG'!P12)</f>
        <v>0.55000000000000004</v>
      </c>
      <c r="D43" s="128">
        <f>IF(TRIM('HourGH-AUG'!P13)="","      ",'HourGH-AUG'!P13)</f>
        <v>0.5</v>
      </c>
      <c r="E43" s="128">
        <f>IF(TRIM('HourGH-AUG'!P14)="","      ",'HourGH-AUG'!P14)</f>
        <v>0.49</v>
      </c>
      <c r="F43" s="118">
        <f>IF(TRIM('HourGH-AUG'!P15)="","      ",'HourGH-AUG'!P15)</f>
        <v>0.52</v>
      </c>
      <c r="G43" s="118">
        <f>IF(TRIM('HourGH-AUG'!P16)="","      ",'HourGH-AUG'!P16)</f>
        <v>0.69</v>
      </c>
      <c r="H43" s="128">
        <f>IF(TRIM('HourGH-AUG'!P17)="","      ",'HourGH-AUG'!P17)</f>
        <v>0.56999999999999995</v>
      </c>
      <c r="I43" s="128">
        <f>IF(TRIM('HourGH-AUG'!P18)="","      ",'HourGH-AUG'!P18)</f>
        <v>0.56999999999999995</v>
      </c>
      <c r="J43" s="128">
        <f>IF(TRIM('HourGH-AUG'!P19)="","      ",'HourGH-AUG'!P19)</f>
        <v>0.81</v>
      </c>
      <c r="K43" s="128">
        <f>IF(TRIM('HourGH-AUG'!P20)="","      ",'HourGH-AUG'!P20)</f>
        <v>2.2799999999999998</v>
      </c>
    </row>
    <row r="44" spans="1:12">
      <c r="A44" s="127" t="s">
        <v>186</v>
      </c>
      <c r="B44" s="128">
        <f>IF(TRIM('HourGH-AUG'!P22)="","      ",'HourGH-AUG'!P22)</f>
        <v>2.4700000000000002</v>
      </c>
      <c r="C44" s="128">
        <f>IF(TRIM('HourGH-AUG'!P23)="","      ",'HourGH-AUG'!P23)</f>
        <v>1.95</v>
      </c>
      <c r="D44" s="128">
        <f>IF(TRIM('HourGH-AUG'!P24)="","      ",'HourGH-AUG'!P24)</f>
        <v>1.41</v>
      </c>
      <c r="E44" s="128">
        <f>IF(TRIM('HourGH-AUG'!P25)="","      ",'HourGH-AUG'!P25)</f>
        <v>1.02</v>
      </c>
      <c r="F44" s="118">
        <f>IF(TRIM('HourGH-AUG'!P26)="","      ",'HourGH-AUG'!P26)</f>
        <v>1.1499999999999999</v>
      </c>
      <c r="G44" s="118">
        <f>IF(TRIM('HourGH-AUG'!P27)="","      ",'HourGH-AUG'!P27)</f>
        <v>0.9</v>
      </c>
      <c r="H44" s="128">
        <f>IF(TRIM('HourGH-AUG'!P28)="","      ",'HourGH-AUG'!P28)</f>
        <v>0.79</v>
      </c>
      <c r="I44" s="128">
        <f>IF(TRIM('HourGH-AUG'!P29)="","      ",'HourGH-AUG'!P29)</f>
        <v>0.66</v>
      </c>
      <c r="J44" s="128">
        <f>IF(TRIM('HourGH-AUG'!P30)="","      ",'HourGH-AUG'!P30)</f>
        <v>0.62</v>
      </c>
      <c r="K44" s="128">
        <f>IF(TRIM('HourGH-AUG'!P31)="","      ",'HourGH-AUG'!P31)</f>
        <v>0.61</v>
      </c>
    </row>
    <row r="45" spans="1:12">
      <c r="A45" s="127" t="s">
        <v>187</v>
      </c>
      <c r="B45" s="128">
        <f>IF(TRIM('HourGH-AUG'!P33)="","      ",'HourGH-AUG'!P33)</f>
        <v>0.6</v>
      </c>
      <c r="C45" s="128">
        <f>IF(TRIM('HourGH-AUG'!P34)="","      ",'HourGH-AUG'!P34)</f>
        <v>0.72</v>
      </c>
      <c r="D45" s="128">
        <f>IF(TRIM('HourGH-AUG'!P35)="","      ",'HourGH-AUG'!P35)</f>
        <v>1.01</v>
      </c>
      <c r="E45" s="128">
        <f>IF(TRIM('HourGH-AUG'!P36)="","      ",'HourGH-AUG'!P36)</f>
        <v>0.92</v>
      </c>
      <c r="F45" s="118">
        <f>IF(TRIM('HourGH-AUG'!P37)="","      ",'HourGH-AUG'!P37)</f>
        <v>0.74</v>
      </c>
      <c r="G45" s="118">
        <f>IF(TRIM('HourGH-AUG'!P38)="","      ",'HourGH-AUG'!P38)</f>
        <v>0.7</v>
      </c>
      <c r="H45" s="128">
        <f>IF(TRIM('HourGH-AUG'!P39)="","      ",'HourGH-AUG'!P39)</f>
        <v>0.66</v>
      </c>
      <c r="I45" s="128">
        <f>IF(TRIM('HourGH-AUG'!P40)="","      ",'HourGH-AUG'!P40)</f>
        <v>0.62</v>
      </c>
      <c r="J45" s="128">
        <f>IF(TRIM('HourGH-AUG'!P41)="","      ",'HourGH-AUG'!P41)</f>
        <v>0.56999999999999995</v>
      </c>
      <c r="K45" s="128">
        <f>IF(TRIM('HourGH-AUG'!P42)="","      ",'HourGH-AUG'!P42)</f>
        <v>0.56000000000000005</v>
      </c>
      <c r="L45" s="118">
        <f>IF(TRIM('HourGH-AUG'!P43)="","      ",'HourGH-AUG'!P43)</f>
        <v>0.56999999999999995</v>
      </c>
    </row>
    <row r="46" spans="1:12">
      <c r="A46" s="127" t="s">
        <v>188</v>
      </c>
      <c r="B46" s="128">
        <f>IF(TRIM('HourGH-AUG'!Q11)="","      ",'HourGH-AUG'!Q11)</f>
        <v>0.57999999999999996</v>
      </c>
      <c r="C46" s="128">
        <f>IF(TRIM('HourGH-AUG'!Q12)="","      ",'HourGH-AUG'!Q12)</f>
        <v>0.55000000000000004</v>
      </c>
      <c r="D46" s="128">
        <f>IF(TRIM('HourGH-AUG'!Q13)="","      ",'HourGH-AUG'!Q13)</f>
        <v>0.5</v>
      </c>
      <c r="E46" s="128">
        <f>IF(TRIM('HourGH-AUG'!Q14)="","      ",'HourGH-AUG'!Q14)</f>
        <v>0.49</v>
      </c>
      <c r="F46" s="118">
        <f>IF(TRIM('HourGH-AUG'!Q15)="","      ",'HourGH-AUG'!Q15)</f>
        <v>0.53</v>
      </c>
      <c r="G46" s="118">
        <f>IF(TRIM('HourGH-AUG'!Q16)="","      ",'HourGH-AUG'!Q16)</f>
        <v>0.68</v>
      </c>
      <c r="H46" s="128">
        <f>IF(TRIM('HourGH-AUG'!Q17)="","      ",'HourGH-AUG'!Q17)</f>
        <v>0.56999999999999995</v>
      </c>
      <c r="I46" s="128">
        <f>IF(TRIM('HourGH-AUG'!Q18)="","      ",'HourGH-AUG'!Q18)</f>
        <v>0.56999999999999995</v>
      </c>
      <c r="J46" s="128">
        <f>IF(TRIM('HourGH-AUG'!Q19)="","      ",'HourGH-AUG'!Q19)</f>
        <v>0.84</v>
      </c>
      <c r="K46" s="128">
        <f>IF(TRIM('HourGH-AUG'!Q20)="","      ",'HourGH-AUG'!Q20)</f>
        <v>2.34</v>
      </c>
    </row>
    <row r="47" spans="1:12">
      <c r="A47" s="127" t="s">
        <v>189</v>
      </c>
      <c r="B47" s="128">
        <f>IF(TRIM('HourGH-AUG'!Q22)="","      ",'HourGH-AUG'!Q22)</f>
        <v>2.4500000000000002</v>
      </c>
      <c r="C47" s="128">
        <f>IF(TRIM('HourGH-AUG'!Q23)="","      ",'HourGH-AUG'!Q23)</f>
        <v>1.93</v>
      </c>
      <c r="D47" s="128">
        <f>IF(TRIM('HourGH-AUG'!Q24)="","      ",'HourGH-AUG'!Q24)</f>
        <v>1.38</v>
      </c>
      <c r="E47" s="128">
        <f>IF(TRIM('HourGH-AUG'!Q25)="","      ",'HourGH-AUG'!Q25)</f>
        <v>1.01</v>
      </c>
      <c r="F47" s="118">
        <f>IF(TRIM('HourGH-AUG'!Q26)="","      ",'HourGH-AUG'!Q26)</f>
        <v>1.1599999999999999</v>
      </c>
      <c r="G47" s="118">
        <f>IF(TRIM('HourGH-AUG'!Q27)="","      ",'HourGH-AUG'!Q27)</f>
        <v>0.9</v>
      </c>
      <c r="H47" s="128">
        <f>IF(TRIM('HourGH-AUG'!Q28)="","      ",'HourGH-AUG'!Q28)</f>
        <v>0.79</v>
      </c>
      <c r="I47" s="128">
        <f>IF(TRIM('HourGH-AUG'!Q29)="","      ",'HourGH-AUG'!Q29)</f>
        <v>0.66</v>
      </c>
      <c r="J47" s="128">
        <f>IF(TRIM('HourGH-AUG'!Q30)="","      ",'HourGH-AUG'!Q30)</f>
        <v>0.62</v>
      </c>
      <c r="K47" s="128">
        <f>IF(TRIM('HourGH-AUG'!Q31)="","      ",'HourGH-AUG'!Q31)</f>
        <v>0.61</v>
      </c>
    </row>
    <row r="48" spans="1:12">
      <c r="A48" s="127" t="s">
        <v>190</v>
      </c>
      <c r="B48" s="128">
        <f>IF(TRIM('HourGH-AUG'!Q33)="","      ",'HourGH-AUG'!Q33)</f>
        <v>0.6</v>
      </c>
      <c r="C48" s="128">
        <f>IF(TRIM('HourGH-AUG'!Q34)="","      ",'HourGH-AUG'!Q34)</f>
        <v>0.73</v>
      </c>
      <c r="D48" s="128">
        <f>IF(TRIM('HourGH-AUG'!Q35)="","      ",'HourGH-AUG'!Q35)</f>
        <v>1.02</v>
      </c>
      <c r="E48" s="128">
        <f>IF(TRIM('HourGH-AUG'!Q36)="","      ",'HourGH-AUG'!Q36)</f>
        <v>0.91</v>
      </c>
      <c r="F48" s="118">
        <f>IF(TRIM('HourGH-AUG'!Q37)="","      ",'HourGH-AUG'!Q37)</f>
        <v>0.74</v>
      </c>
      <c r="G48" s="118">
        <f>IF(TRIM('HourGH-AUG'!Q38)="","      ",'HourGH-AUG'!Q38)</f>
        <v>0.7</v>
      </c>
      <c r="H48" s="128">
        <f>IF(TRIM('HourGH-AUG'!Q39)="","      ",'HourGH-AUG'!Q39)</f>
        <v>0.66</v>
      </c>
      <c r="I48" s="128">
        <f>IF(TRIM('HourGH-AUG'!Q40)="","      ",'HourGH-AUG'!Q40)</f>
        <v>0.62</v>
      </c>
      <c r="J48" s="128">
        <f>IF(TRIM('HourGH-AUG'!Q41)="","      ",'HourGH-AUG'!Q41)</f>
        <v>0.56999999999999995</v>
      </c>
      <c r="K48" s="128">
        <f>IF(TRIM('HourGH-AUG'!Q42)="","      ",'HourGH-AUG'!Q42)</f>
        <v>0.56000000000000005</v>
      </c>
      <c r="L48" s="118">
        <f>IF(TRIM('HourGH-AUG'!Q43)="","      ",'HourGH-AUG'!Q43)</f>
        <v>0.57999999999999996</v>
      </c>
    </row>
    <row r="49" spans="1:20">
      <c r="A49" s="127" t="s">
        <v>191</v>
      </c>
      <c r="B49" s="128">
        <f>IF(TRIM('HourGH-AUG'!R11)="","      ",'HourGH-AUG'!R11)</f>
        <v>0.57999999999999996</v>
      </c>
      <c r="C49" s="128">
        <f>IF(TRIM('HourGH-AUG'!R12)="","      ",'HourGH-AUG'!R12)</f>
        <v>0.54</v>
      </c>
      <c r="D49" s="128">
        <f>IF(TRIM('HourGH-AUG'!R13)="","      ",'HourGH-AUG'!R13)</f>
        <v>0.5</v>
      </c>
      <c r="E49" s="128">
        <f>IF(TRIM('HourGH-AUG'!R14)="","      ",'HourGH-AUG'!R14)</f>
        <v>0.49</v>
      </c>
      <c r="F49" s="118">
        <f>IF(TRIM('HourGH-AUG'!R15)="","      ",'HourGH-AUG'!R15)</f>
        <v>0.53</v>
      </c>
      <c r="G49" s="118">
        <f>IF(TRIM('HourGH-AUG'!R16)="","      ",'HourGH-AUG'!R16)</f>
        <v>0.67</v>
      </c>
      <c r="H49" s="128">
        <f>IF(TRIM('HourGH-AUG'!R17)="","      ",'HourGH-AUG'!R17)</f>
        <v>0.56999999999999995</v>
      </c>
      <c r="I49" s="128">
        <f>IF(TRIM('HourGH-AUG'!R18)="","      ",'HourGH-AUG'!R18)</f>
        <v>0.56999999999999995</v>
      </c>
      <c r="J49" s="128">
        <f>IF(TRIM('HourGH-AUG'!R19)="","      ",'HourGH-AUG'!R19)</f>
        <v>0.88</v>
      </c>
      <c r="K49" s="128">
        <f>IF(TRIM('HourGH-AUG'!R20)="","      ",'HourGH-AUG'!R20)</f>
        <v>2.36</v>
      </c>
    </row>
    <row r="50" spans="1:20">
      <c r="A50" s="127" t="s">
        <v>192</v>
      </c>
      <c r="B50" s="128">
        <f>IF(TRIM('HourGH-AUG'!R22)="","      ",'HourGH-AUG'!R22)</f>
        <v>2.4300000000000002</v>
      </c>
      <c r="C50" s="128">
        <f>IF(TRIM('HourGH-AUG'!R23)="","      ",'HourGH-AUG'!R23)</f>
        <v>1.91</v>
      </c>
      <c r="D50" s="128">
        <f>IF(TRIM('HourGH-AUG'!R24)="","      ",'HourGH-AUG'!R24)</f>
        <v>1.36</v>
      </c>
      <c r="E50" s="128">
        <f>IF(TRIM('HourGH-AUG'!R25)="","      ",'HourGH-AUG'!R25)</f>
        <v>1.01</v>
      </c>
      <c r="F50" s="118">
        <f>IF(TRIM('HourGH-AUG'!R26)="","      ",'HourGH-AUG'!R26)</f>
        <v>1.1599999999999999</v>
      </c>
      <c r="G50" s="118">
        <f>IF(TRIM('HourGH-AUG'!R27)="","      ",'HourGH-AUG'!R27)</f>
        <v>0.89</v>
      </c>
      <c r="H50" s="128">
        <f>IF(TRIM('HourGH-AUG'!R28)="","      ",'HourGH-AUG'!R28)</f>
        <v>0.78</v>
      </c>
      <c r="I50" s="128">
        <f>IF(TRIM('HourGH-AUG'!R29)="","      ",'HourGH-AUG'!R29)</f>
        <v>0.65</v>
      </c>
      <c r="J50" s="128">
        <f>IF(TRIM('HourGH-AUG'!R30)="","      ",'HourGH-AUG'!R30)</f>
        <v>0.62</v>
      </c>
      <c r="K50" s="128">
        <f>IF(TRIM('HourGH-AUG'!R31)="","      ",'HourGH-AUG'!R31)</f>
        <v>0.61</v>
      </c>
    </row>
    <row r="51" spans="1:20">
      <c r="A51" s="127" t="s">
        <v>193</v>
      </c>
      <c r="B51" s="128">
        <f>IF(TRIM('HourGH-AUG'!R33)="","      ",'HourGH-AUG'!R33)</f>
        <v>0.6</v>
      </c>
      <c r="C51" s="128">
        <f>IF(TRIM('HourGH-AUG'!R34)="","      ",'HourGH-AUG'!R34)</f>
        <v>0.73</v>
      </c>
      <c r="D51" s="128">
        <f>IF(TRIM('HourGH-AUG'!R35)="","      ",'HourGH-AUG'!R35)</f>
        <v>1.03</v>
      </c>
      <c r="E51" s="128">
        <f>IF(TRIM('HourGH-AUG'!R36)="","      ",'HourGH-AUG'!R36)</f>
        <v>0.9</v>
      </c>
      <c r="F51" s="118">
        <f>IF(TRIM('HourGH-AUG'!R37)="","      ",'HourGH-AUG'!R37)</f>
        <v>0.74</v>
      </c>
      <c r="G51" s="118">
        <f>IF(TRIM('HourGH-AUG'!R38)="","      ",'HourGH-AUG'!R38)</f>
        <v>0.7</v>
      </c>
      <c r="H51" s="128">
        <f>IF(TRIM('HourGH-AUG'!R39)="","      ",'HourGH-AUG'!R39)</f>
        <v>0.66</v>
      </c>
      <c r="I51" s="128">
        <f>IF(TRIM('HourGH-AUG'!R40)="","      ",'HourGH-AUG'!R40)</f>
        <v>0.62</v>
      </c>
      <c r="J51" s="128">
        <f>IF(TRIM('HourGH-AUG'!R41)="","      ",'HourGH-AUG'!R41)</f>
        <v>0.56999999999999995</v>
      </c>
      <c r="K51" s="128">
        <f>IF(TRIM('HourGH-AUG'!R42)="","      ",'HourGH-AUG'!R42)</f>
        <v>0.56000000000000005</v>
      </c>
      <c r="L51" s="118">
        <f>IF(TRIM('HourGH-AUG'!R43)="","      ",'HourGH-AUG'!R43)</f>
        <v>0.6</v>
      </c>
    </row>
    <row r="52" spans="1:20">
      <c r="A52" s="127" t="s">
        <v>194</v>
      </c>
      <c r="B52" s="128">
        <f>IF(TRIM('HourGH-AUG'!S11)="","      ",'HourGH-AUG'!S11)</f>
        <v>0.57999999999999996</v>
      </c>
      <c r="C52" s="128">
        <f>IF(TRIM('HourGH-AUG'!S12)="","      ",'HourGH-AUG'!S12)</f>
        <v>0.54</v>
      </c>
      <c r="D52" s="128">
        <f>IF(TRIM('HourGH-AUG'!S13)="","      ",'HourGH-AUG'!S13)</f>
        <v>0.5</v>
      </c>
      <c r="E52" s="128">
        <f>IF(TRIM('HourGH-AUG'!S14)="","      ",'HourGH-AUG'!S14)</f>
        <v>0.49</v>
      </c>
      <c r="F52" s="118">
        <f>IF(TRIM('HourGH-AUG'!S15)="","      ",'HourGH-AUG'!S15)</f>
        <v>0.54</v>
      </c>
      <c r="G52" s="118">
        <f>IF(TRIM('HourGH-AUG'!S16)="","      ",'HourGH-AUG'!S16)</f>
        <v>0.66</v>
      </c>
      <c r="H52" s="128">
        <f>IF(TRIM('HourGH-AUG'!S17)="","      ",'HourGH-AUG'!S17)</f>
        <v>0.56999999999999995</v>
      </c>
      <c r="I52" s="128">
        <f>IF(TRIM('HourGH-AUG'!S18)="","      ",'HourGH-AUG'!S18)</f>
        <v>0.56999999999999995</v>
      </c>
      <c r="J52" s="128">
        <f>IF(TRIM('HourGH-AUG'!S19)="","      ",'HourGH-AUG'!S19)</f>
        <v>0.91</v>
      </c>
      <c r="K52" s="128">
        <f>IF(TRIM('HourGH-AUG'!S20)="","      ",'HourGH-AUG'!S20)</f>
        <v>2.39</v>
      </c>
    </row>
    <row r="53" spans="1:20">
      <c r="A53" s="127" t="s">
        <v>195</v>
      </c>
      <c r="B53" s="128">
        <f>IF(TRIM('HourGH-AUG'!S22)="","      ",'HourGH-AUG'!S22)</f>
        <v>2.41</v>
      </c>
      <c r="C53" s="128">
        <f>IF(TRIM('HourGH-AUG'!S23)="","      ",'HourGH-AUG'!S23)</f>
        <v>1.9</v>
      </c>
      <c r="D53" s="128">
        <f>IF(TRIM('HourGH-AUG'!S24)="","      ",'HourGH-AUG'!S24)</f>
        <v>1.33</v>
      </c>
      <c r="E53" s="128">
        <f>IF(TRIM('HourGH-AUG'!S25)="","      ",'HourGH-AUG'!S25)</f>
        <v>1</v>
      </c>
      <c r="F53" s="118">
        <f>IF(TRIM('HourGH-AUG'!S26)="","      ",'HourGH-AUG'!S26)</f>
        <v>1.1599999999999999</v>
      </c>
      <c r="G53" s="118">
        <f>IF(TRIM('HourGH-AUG'!S27)="","      ",'HourGH-AUG'!S27)</f>
        <v>0.89</v>
      </c>
      <c r="H53" s="128">
        <f>IF(TRIM('HourGH-AUG'!S28)="","      ",'HourGH-AUG'!S28)</f>
        <v>0.78</v>
      </c>
      <c r="I53" s="128">
        <f>IF(TRIM('HourGH-AUG'!S29)="","      ",'HourGH-AUG'!S29)</f>
        <v>0.65</v>
      </c>
      <c r="J53" s="128">
        <f>IF(TRIM('HourGH-AUG'!S30)="","      ",'HourGH-AUG'!S30)</f>
        <v>0.62</v>
      </c>
      <c r="K53" s="128">
        <f>IF(TRIM('HourGH-AUG'!S31)="","      ",'HourGH-AUG'!S31)</f>
        <v>0.61</v>
      </c>
    </row>
    <row r="54" spans="1:20">
      <c r="A54" s="127" t="s">
        <v>196</v>
      </c>
      <c r="B54" s="128">
        <f>IF(TRIM('HourGH-AUG'!S33)="","      ",'HourGH-AUG'!S33)</f>
        <v>0.6</v>
      </c>
      <c r="C54" s="128">
        <f>IF(TRIM('HourGH-AUG'!S34)="","      ",'HourGH-AUG'!S34)</f>
        <v>0.74</v>
      </c>
      <c r="D54" s="128">
        <f>IF(TRIM('HourGH-AUG'!S35)="","      ",'HourGH-AUG'!S35)</f>
        <v>1.04</v>
      </c>
      <c r="E54" s="128">
        <f>IF(TRIM('HourGH-AUG'!S36)="","      ",'HourGH-AUG'!S36)</f>
        <v>0.89</v>
      </c>
      <c r="F54" s="118">
        <f>IF(TRIM('HourGH-AUG'!S37)="","      ",'HourGH-AUG'!S37)</f>
        <v>0.74</v>
      </c>
      <c r="G54" s="118">
        <f>IF(TRIM('HourGH-AUG'!S38)="","      ",'HourGH-AUG'!S38)</f>
        <v>0.7</v>
      </c>
      <c r="H54" s="128">
        <f>IF(TRIM('HourGH-AUG'!S39)="","      ",'HourGH-AUG'!S39)</f>
        <v>0.66</v>
      </c>
      <c r="I54" s="128">
        <f>IF(TRIM('HourGH-AUG'!S40)="","      ",'HourGH-AUG'!S40)</f>
        <v>0.62</v>
      </c>
      <c r="J54" s="128">
        <f>IF(TRIM('HourGH-AUG'!S41)="","      ",'HourGH-AUG'!S41)</f>
        <v>0.56999999999999995</v>
      </c>
      <c r="K54" s="128">
        <f>IF(TRIM('HourGH-AUG'!S42)="","      ",'HourGH-AUG'!S42)</f>
        <v>0.56000000000000005</v>
      </c>
      <c r="L54" s="118">
        <f>IF(TRIM('HourGH-AUG'!S43)="","      ",'HourGH-AUG'!S43)</f>
        <v>0.62</v>
      </c>
    </row>
    <row r="55" spans="1:20">
      <c r="A55" s="127" t="s">
        <v>197</v>
      </c>
      <c r="B55" s="128">
        <f>IF(TRIM('HourGH-AUG'!T11)="","      ",'HourGH-AUG'!T11)</f>
        <v>0.57999999999999996</v>
      </c>
      <c r="C55" s="128">
        <f>IF(TRIM('HourGH-AUG'!T12)="","      ",'HourGH-AUG'!T12)</f>
        <v>0.54</v>
      </c>
      <c r="D55" s="128">
        <f>IF(TRIM('HourGH-AUG'!T13)="","      ",'HourGH-AUG'!T13)</f>
        <v>0.5</v>
      </c>
      <c r="E55" s="128">
        <f>IF(TRIM('HourGH-AUG'!T14)="","      ",'HourGH-AUG'!T14)</f>
        <v>0.49</v>
      </c>
      <c r="F55" s="118">
        <f>IF(TRIM('HourGH-AUG'!T15)="","      ",'HourGH-AUG'!T15)</f>
        <v>0.54</v>
      </c>
      <c r="G55" s="118">
        <f>IF(TRIM('HourGH-AUG'!T16)="","      ",'HourGH-AUG'!T16)</f>
        <v>0.65</v>
      </c>
      <c r="H55" s="128">
        <f>IF(TRIM('HourGH-AUG'!T17)="","      ",'HourGH-AUG'!T17)</f>
        <v>0.56999999999999995</v>
      </c>
      <c r="I55" s="128">
        <f>IF(TRIM('HourGH-AUG'!T18)="","      ",'HourGH-AUG'!T18)</f>
        <v>0.56999999999999995</v>
      </c>
      <c r="J55" s="128">
        <f>IF(TRIM('HourGH-AUG'!T19)="","      ",'HourGH-AUG'!T19)</f>
        <v>0.95</v>
      </c>
      <c r="K55" s="128">
        <f>IF(TRIM('HourGH-AUG'!T20)="","      ",'HourGH-AUG'!T20)</f>
        <v>2.42</v>
      </c>
    </row>
    <row r="56" spans="1:20">
      <c r="A56" s="127" t="s">
        <v>198</v>
      </c>
      <c r="B56" s="128">
        <f>IF(TRIM('HourGH-AUG'!T22)="","      ",'HourGH-AUG'!T22)</f>
        <v>2.38</v>
      </c>
      <c r="C56" s="128">
        <f>IF(TRIM('HourGH-AUG'!T23)="","      ",'HourGH-AUG'!T23)</f>
        <v>1.88</v>
      </c>
      <c r="D56" s="128">
        <f>IF(TRIM('HourGH-AUG'!T24)="","      ",'HourGH-AUG'!T24)</f>
        <v>1.31</v>
      </c>
      <c r="E56" s="128">
        <f>IF(TRIM('HourGH-AUG'!T25)="","      ",'HourGH-AUG'!T25)</f>
        <v>1</v>
      </c>
      <c r="F56" s="118">
        <f>IF(TRIM('HourGH-AUG'!T26)="","      ",'HourGH-AUG'!T26)</f>
        <v>1.1599999999999999</v>
      </c>
      <c r="G56" s="118">
        <f>IF(TRIM('HourGH-AUG'!T27)="","      ",'HourGH-AUG'!T27)</f>
        <v>0.89</v>
      </c>
      <c r="H56" s="128">
        <f>IF(TRIM('HourGH-AUG'!T28)="","      ",'HourGH-AUG'!T28)</f>
        <v>0.77</v>
      </c>
      <c r="I56" s="128">
        <f>IF(TRIM('HourGH-AUG'!T29)="","      ",'HourGH-AUG'!T29)</f>
        <v>0.65</v>
      </c>
      <c r="J56" s="128">
        <f>IF(TRIM('HourGH-AUG'!T30)="","      ",'HourGH-AUG'!T30)</f>
        <v>0.62</v>
      </c>
      <c r="K56" s="128">
        <f>IF(TRIM('HourGH-AUG'!T31)="","      ",'HourGH-AUG'!T31)</f>
        <v>0.61</v>
      </c>
      <c r="N56" s="117">
        <f>B79</f>
        <v>338.18</v>
      </c>
      <c r="O56">
        <v>1</v>
      </c>
      <c r="P56" s="117" t="str">
        <f>B82</f>
        <v>1:00</v>
      </c>
      <c r="R56" s="117">
        <f>B85</f>
        <v>338.18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IF(TRIM('HourGH-AUG'!T33)="","      ",'HourGH-AUG'!T33)</f>
        <v>0.6</v>
      </c>
      <c r="C57" s="128">
        <f>IF(TRIM('HourGH-AUG'!T34)="","      ",'HourGH-AUG'!T34)</f>
        <v>0.75</v>
      </c>
      <c r="D57" s="128">
        <f>IF(TRIM('HourGH-AUG'!T35)="","      ",'HourGH-AUG'!T35)</f>
        <v>1.05</v>
      </c>
      <c r="E57" s="128">
        <f>IF(TRIM('HourGH-AUG'!T36)="","      ",'HourGH-AUG'!T36)</f>
        <v>0.88</v>
      </c>
      <c r="F57" s="118">
        <f>IF(TRIM('HourGH-AUG'!T37)="","      ",'HourGH-AUG'!T37)</f>
        <v>0.74</v>
      </c>
      <c r="G57" s="118">
        <f>IF(TRIM('HourGH-AUG'!T38)="","      ",'HourGH-AUG'!T38)</f>
        <v>0.7</v>
      </c>
      <c r="H57" s="128">
        <f>IF(TRIM('HourGH-AUG'!T39)="","      ",'HourGH-AUG'!T39)</f>
        <v>0.66</v>
      </c>
      <c r="I57" s="128">
        <f>IF(TRIM('HourGH-AUG'!T40)="","      ",'HourGH-AUG'!T40)</f>
        <v>0.62</v>
      </c>
      <c r="J57" s="128">
        <f>IF(TRIM('HourGH-AUG'!T41)="","      ",'HourGH-AUG'!T41)</f>
        <v>0.56999999999999995</v>
      </c>
      <c r="K57" s="128">
        <f>IF(TRIM('HourGH-AUG'!T42)="","      ",'HourGH-AUG'!T42)</f>
        <v>0.56000000000000005</v>
      </c>
      <c r="L57" s="118">
        <f>IF(TRIM('HourGH-AUG'!T43)="","      ",'HourGH-AUG'!T43)</f>
        <v>0.64</v>
      </c>
      <c r="N57" s="117">
        <f>C79</f>
        <v>338.18</v>
      </c>
      <c r="O57">
        <v>2</v>
      </c>
      <c r="P57" s="117" t="str">
        <f>C82</f>
        <v>1:00</v>
      </c>
      <c r="R57" s="117">
        <f>C85</f>
        <v>338.13</v>
      </c>
      <c r="S57">
        <v>2</v>
      </c>
      <c r="T57" s="117" t="str">
        <f>C88</f>
        <v>19:00</v>
      </c>
    </row>
    <row r="58" spans="1:20">
      <c r="A58" s="127" t="s">
        <v>200</v>
      </c>
      <c r="B58" s="128">
        <f>IF(TRIM('HourGH-AUG'!U11)="","      ",'HourGH-AUG'!U11)</f>
        <v>0.57999999999999996</v>
      </c>
      <c r="C58" s="128">
        <f>IF(TRIM('HourGH-AUG'!U12)="","      ",'HourGH-AUG'!U12)</f>
        <v>0.53</v>
      </c>
      <c r="D58" s="128">
        <f>IF(TRIM('HourGH-AUG'!U13)="","      ",'HourGH-AUG'!U13)</f>
        <v>0.5</v>
      </c>
      <c r="E58" s="128">
        <f>IF(TRIM('HourGH-AUG'!U14)="","      ",'HourGH-AUG'!U14)</f>
        <v>0.49</v>
      </c>
      <c r="F58" s="118">
        <f>IF(TRIM('HourGH-AUG'!U15)="","      ",'HourGH-AUG'!U15)</f>
        <v>0.55000000000000004</v>
      </c>
      <c r="G58" s="118">
        <f>IF(TRIM('HourGH-AUG'!U16)="","      ",'HourGH-AUG'!U16)</f>
        <v>0.64</v>
      </c>
      <c r="H58" s="128">
        <f>IF(TRIM('HourGH-AUG'!U17)="","      ",'HourGH-AUG'!U17)</f>
        <v>0.56000000000000005</v>
      </c>
      <c r="I58" s="128">
        <f>IF(TRIM('HourGH-AUG'!U18)="","      ",'HourGH-AUG'!U18)</f>
        <v>0.57999999999999996</v>
      </c>
      <c r="J58" s="128">
        <f>IF(TRIM('HourGH-AUG'!U19)="","      ",'HourGH-AUG'!U19)</f>
        <v>1</v>
      </c>
      <c r="K58" s="128">
        <f>IF(TRIM('HourGH-AUG'!U20)="","      ",'HourGH-AUG'!U20)</f>
        <v>2.44</v>
      </c>
      <c r="N58" s="117">
        <f>D79</f>
        <v>338.12</v>
      </c>
      <c r="O58">
        <v>3</v>
      </c>
      <c r="P58" s="117" t="str">
        <f>D82</f>
        <v>1:00</v>
      </c>
      <c r="R58" s="117">
        <f>D85</f>
        <v>338.1</v>
      </c>
      <c r="S58">
        <v>3</v>
      </c>
      <c r="T58" s="117" t="str">
        <f>D88</f>
        <v>13:00</v>
      </c>
    </row>
    <row r="59" spans="1:20">
      <c r="A59" s="127" t="s">
        <v>201</v>
      </c>
      <c r="B59" s="128">
        <f>IF(TRIM('HourGH-AUG'!U22)="","      ",'HourGH-AUG'!U22)</f>
        <v>2.35</v>
      </c>
      <c r="C59" s="128">
        <f>IF(TRIM('HourGH-AUG'!U23)="","      ",'HourGH-AUG'!U23)</f>
        <v>1.86</v>
      </c>
      <c r="D59" s="128">
        <f>IF(TRIM('HourGH-AUG'!U24)="","      ",'HourGH-AUG'!U24)</f>
        <v>1.29</v>
      </c>
      <c r="E59" s="128">
        <f>IF(TRIM('HourGH-AUG'!U25)="","      ",'HourGH-AUG'!U25)</f>
        <v>0.99</v>
      </c>
      <c r="F59" s="118">
        <f>IF(TRIM('HourGH-AUG'!U26)="","      ",'HourGH-AUG'!U26)</f>
        <v>1.1599999999999999</v>
      </c>
      <c r="G59" s="118">
        <f>IF(TRIM('HourGH-AUG'!U27)="","      ",'HourGH-AUG'!U27)</f>
        <v>0.88</v>
      </c>
      <c r="H59" s="128">
        <f>IF(TRIM('HourGH-AUG'!U28)="","      ",'HourGH-AUG'!U28)</f>
        <v>0.77</v>
      </c>
      <c r="I59" s="128">
        <f>IF(TRIM('HourGH-AUG'!U29)="","      ",'HourGH-AUG'!U29)</f>
        <v>0.65</v>
      </c>
      <c r="J59" s="128">
        <f>IF(TRIM('HourGH-AUG'!U30)="","      ",'HourGH-AUG'!U30)</f>
        <v>0.62</v>
      </c>
      <c r="K59" s="128">
        <f>IF(TRIM('HourGH-AUG'!U31)="","      ",'HourGH-AUG'!U31)</f>
        <v>0.61</v>
      </c>
      <c r="N59" s="117">
        <f>E79</f>
        <v>338.09000000000003</v>
      </c>
      <c r="O59">
        <v>4</v>
      </c>
      <c r="P59" s="117" t="str">
        <f>E82</f>
        <v>1:00</v>
      </c>
      <c r="R59" s="117">
        <f>E85</f>
        <v>338.09000000000003</v>
      </c>
      <c r="S59">
        <v>4</v>
      </c>
      <c r="T59" s="117" t="str">
        <f>E88</f>
        <v>1:00</v>
      </c>
    </row>
    <row r="60" spans="1:20">
      <c r="A60" s="127" t="s">
        <v>202</v>
      </c>
      <c r="B60" s="128">
        <f>IF(TRIM('HourGH-AUG'!U33)="","      ",'HourGH-AUG'!U33)</f>
        <v>0.61</v>
      </c>
      <c r="C60" s="128">
        <f>IF(TRIM('HourGH-AUG'!U34)="","      ",'HourGH-AUG'!U34)</f>
        <v>0.76</v>
      </c>
      <c r="D60" s="128">
        <f>IF(TRIM('HourGH-AUG'!U35)="","      ",'HourGH-AUG'!U35)</f>
        <v>1.06</v>
      </c>
      <c r="E60" s="128">
        <f>IF(TRIM('HourGH-AUG'!U36)="","      ",'HourGH-AUG'!U36)</f>
        <v>0.86</v>
      </c>
      <c r="F60" s="118">
        <f>IF(TRIM('HourGH-AUG'!U37)="","      ",'HourGH-AUG'!U37)</f>
        <v>0.73</v>
      </c>
      <c r="G60" s="118">
        <f>IF(TRIM('HourGH-AUG'!U38)="","      ",'HourGH-AUG'!U38)</f>
        <v>0.69</v>
      </c>
      <c r="H60" s="128">
        <f>IF(TRIM('HourGH-AUG'!U39)="","      ",'HourGH-AUG'!U39)</f>
        <v>0.65</v>
      </c>
      <c r="I60" s="128">
        <f>IF(TRIM('HourGH-AUG'!U40)="","      ",'HourGH-AUG'!U40)</f>
        <v>0.61</v>
      </c>
      <c r="J60" s="128">
        <f>IF(TRIM('HourGH-AUG'!U41)="","      ",'HourGH-AUG'!U41)</f>
        <v>0.56000000000000005</v>
      </c>
      <c r="K60" s="128">
        <f>IF(TRIM('HourGH-AUG'!U42)="","      ",'HourGH-AUG'!U42)</f>
        <v>0.55000000000000004</v>
      </c>
      <c r="L60" s="118">
        <f>IF(TRIM('HourGH-AUG'!U43)="","      ",'HourGH-AUG'!U43)</f>
        <v>0.67</v>
      </c>
      <c r="N60" s="117">
        <f>F79</f>
        <v>338.21000000000004</v>
      </c>
      <c r="O60">
        <v>5</v>
      </c>
      <c r="P60" s="117" t="str">
        <f>F82</f>
        <v>24:00</v>
      </c>
      <c r="R60" s="117">
        <f>F85</f>
        <v>338.08000000000004</v>
      </c>
      <c r="S60">
        <v>5</v>
      </c>
      <c r="T60" s="117" t="str">
        <f>F88</f>
        <v>1:00</v>
      </c>
    </row>
    <row r="61" spans="1:20">
      <c r="A61" s="127" t="s">
        <v>203</v>
      </c>
      <c r="B61" s="128">
        <f>IF(TRIM('HourGH-AUG'!V11)="","      ",'HourGH-AUG'!V11)</f>
        <v>0.57999999999999996</v>
      </c>
      <c r="C61" s="128">
        <f>IF(TRIM('HourGH-AUG'!V12)="","      ",'HourGH-AUG'!V12)</f>
        <v>0.53</v>
      </c>
      <c r="D61" s="128">
        <f>IF(TRIM('HourGH-AUG'!V13)="","      ",'HourGH-AUG'!V13)</f>
        <v>0.5</v>
      </c>
      <c r="E61" s="128">
        <f>IF(TRIM('HourGH-AUG'!V14)="","      ",'HourGH-AUG'!V14)</f>
        <v>0.49</v>
      </c>
      <c r="F61" s="118">
        <f>IF(TRIM('HourGH-AUG'!V15)="","      ",'HourGH-AUG'!V15)</f>
        <v>0.56000000000000005</v>
      </c>
      <c r="G61" s="118">
        <f>IF(TRIM('HourGH-AUG'!V16)="","      ",'HourGH-AUG'!V16)</f>
        <v>0.63</v>
      </c>
      <c r="H61" s="128">
        <f>IF(TRIM('HourGH-AUG'!V17)="","      ",'HourGH-AUG'!V17)</f>
        <v>0.56000000000000005</v>
      </c>
      <c r="I61" s="128">
        <f>IF(TRIM('HourGH-AUG'!V18)="","      ",'HourGH-AUG'!V18)</f>
        <v>0.57999999999999996</v>
      </c>
      <c r="J61" s="128">
        <f>IF(TRIM('HourGH-AUG'!V19)="","      ",'HourGH-AUG'!V19)</f>
        <v>1.06</v>
      </c>
      <c r="K61" s="128">
        <f>IF(TRIM('HourGH-AUG'!V20)="","      ",'HourGH-AUG'!V20)</f>
        <v>2.46</v>
      </c>
      <c r="N61" s="117">
        <f>G79</f>
        <v>338.3</v>
      </c>
      <c r="O61">
        <v>6</v>
      </c>
      <c r="P61" s="117" t="str">
        <f>G82</f>
        <v>9:00</v>
      </c>
      <c r="R61" s="117">
        <f>G85</f>
        <v>338.20000000000005</v>
      </c>
      <c r="S61">
        <v>6</v>
      </c>
      <c r="T61" s="117" t="str">
        <f>G88</f>
        <v>24:00</v>
      </c>
    </row>
    <row r="62" spans="1:20">
      <c r="A62" s="127" t="s">
        <v>204</v>
      </c>
      <c r="B62" s="128">
        <f>IF(TRIM('HourGH-AUG'!V22)="","      ",'HourGH-AUG'!V22)</f>
        <v>2.33</v>
      </c>
      <c r="C62" s="128">
        <f>IF(TRIM('HourGH-AUG'!V23)="","      ",'HourGH-AUG'!V23)</f>
        <v>1.84</v>
      </c>
      <c r="D62" s="128">
        <f>IF(TRIM('HourGH-AUG'!V24)="","      ",'HourGH-AUG'!V24)</f>
        <v>1.27</v>
      </c>
      <c r="E62" s="128">
        <f>IF(TRIM('HourGH-AUG'!V25)="","      ",'HourGH-AUG'!V25)</f>
        <v>0.99</v>
      </c>
      <c r="F62" s="118">
        <f>IF(TRIM('HourGH-AUG'!V26)="","      ",'HourGH-AUG'!V26)</f>
        <v>1.1499999999999999</v>
      </c>
      <c r="G62" s="118">
        <f>IF(TRIM('HourGH-AUG'!V27)="","      ",'HourGH-AUG'!V27)</f>
        <v>0.88</v>
      </c>
      <c r="H62" s="128">
        <f>IF(TRIM('HourGH-AUG'!V28)="","      ",'HourGH-AUG'!V28)</f>
        <v>0.76</v>
      </c>
      <c r="I62" s="128">
        <f>IF(TRIM('HourGH-AUG'!V29)="","      ",'HourGH-AUG'!V29)</f>
        <v>0.64</v>
      </c>
      <c r="J62" s="128">
        <f>IF(TRIM('HourGH-AUG'!V30)="","      ",'HourGH-AUG'!V30)</f>
        <v>0.62</v>
      </c>
      <c r="K62" s="128">
        <f>IF(TRIM('HourGH-AUG'!V31)="","      ",'HourGH-AUG'!V31)</f>
        <v>0.61</v>
      </c>
      <c r="N62" s="117">
        <f>H79</f>
        <v>338.20000000000005</v>
      </c>
      <c r="O62">
        <v>7</v>
      </c>
      <c r="P62" s="117" t="str">
        <f>H82</f>
        <v>1:00</v>
      </c>
      <c r="R62" s="117">
        <f>H85</f>
        <v>338.16</v>
      </c>
      <c r="S62">
        <v>7</v>
      </c>
      <c r="T62" s="117" t="str">
        <f>H88</f>
        <v>19:00</v>
      </c>
    </row>
    <row r="63" spans="1:20">
      <c r="A63" s="127" t="s">
        <v>205</v>
      </c>
      <c r="B63" s="128">
        <f>IF(TRIM('HourGH-AUG'!V33)="","      ",'HourGH-AUG'!V33)</f>
        <v>0.61</v>
      </c>
      <c r="C63" s="128">
        <f>IF(TRIM('HourGH-AUG'!V34)="","      ",'HourGH-AUG'!V34)</f>
        <v>0.77</v>
      </c>
      <c r="D63" s="128">
        <f>IF(TRIM('HourGH-AUG'!V35)="","      ",'HourGH-AUG'!V35)</f>
        <v>1.07</v>
      </c>
      <c r="E63" s="128">
        <f>IF(TRIM('HourGH-AUG'!V36)="","      ",'HourGH-AUG'!V36)</f>
        <v>0.85</v>
      </c>
      <c r="F63" s="118">
        <f>IF(TRIM('HourGH-AUG'!V37)="","      ",'HourGH-AUG'!V37)</f>
        <v>0.73</v>
      </c>
      <c r="G63" s="118">
        <f>IF(TRIM('HourGH-AUG'!V38)="","      ",'HourGH-AUG'!V38)</f>
        <v>0.69</v>
      </c>
      <c r="H63" s="128">
        <f>IF(TRIM('HourGH-AUG'!V39)="","      ",'HourGH-AUG'!V39)</f>
        <v>0.65</v>
      </c>
      <c r="I63" s="128">
        <f>IF(TRIM('HourGH-AUG'!V40)="","      ",'HourGH-AUG'!V40)</f>
        <v>0.61</v>
      </c>
      <c r="J63" s="128">
        <f>IF(TRIM('HourGH-AUG'!V41)="","      ",'HourGH-AUG'!V41)</f>
        <v>0.56000000000000005</v>
      </c>
      <c r="K63" s="128">
        <f>IF(TRIM('HourGH-AUG'!V42)="","      ",'HourGH-AUG'!V42)</f>
        <v>0.55000000000000004</v>
      </c>
      <c r="L63" s="118">
        <f>IF(TRIM('HourGH-AUG'!V43)="","      ",'HourGH-AUG'!V43)</f>
        <v>0.7</v>
      </c>
      <c r="N63" s="117">
        <f>I79</f>
        <v>338.20000000000005</v>
      </c>
      <c r="O63">
        <v>8</v>
      </c>
      <c r="P63" s="117" t="str">
        <f>I82</f>
        <v>23:00</v>
      </c>
      <c r="R63" s="117">
        <f>I85</f>
        <v>338.16</v>
      </c>
      <c r="S63">
        <v>8</v>
      </c>
      <c r="T63" s="117" t="str">
        <f>I88</f>
        <v>1:00</v>
      </c>
    </row>
    <row r="64" spans="1:20">
      <c r="A64" s="127" t="s">
        <v>206</v>
      </c>
      <c r="B64" s="128">
        <f>IF(TRIM('HourGH-AUG'!W11)="","      ",'HourGH-AUG'!W11)</f>
        <v>0.57999999999999996</v>
      </c>
      <c r="C64" s="128">
        <f>IF(TRIM('HourGH-AUG'!W12)="","      ",'HourGH-AUG'!W12)</f>
        <v>0.53</v>
      </c>
      <c r="D64" s="128">
        <f>IF(TRIM('HourGH-AUG'!W13)="","      ",'HourGH-AUG'!W13)</f>
        <v>0.5</v>
      </c>
      <c r="E64" s="128">
        <f>IF(TRIM('HourGH-AUG'!W14)="","      ",'HourGH-AUG'!W14)</f>
        <v>0.49</v>
      </c>
      <c r="F64" s="118">
        <f>IF(TRIM('HourGH-AUG'!W15)="","      ",'HourGH-AUG'!W15)</f>
        <v>0.56999999999999995</v>
      </c>
      <c r="G64" s="118">
        <f>IF(TRIM('HourGH-AUG'!W16)="","      ",'HourGH-AUG'!W16)</f>
        <v>0.62</v>
      </c>
      <c r="H64" s="128">
        <f>IF(TRIM('HourGH-AUG'!W17)="","      ",'HourGH-AUG'!W17)</f>
        <v>0.56000000000000005</v>
      </c>
      <c r="I64" s="128">
        <f>IF(TRIM('HourGH-AUG'!W18)="","      ",'HourGH-AUG'!W18)</f>
        <v>0.59</v>
      </c>
      <c r="J64" s="128">
        <f>IF(TRIM('HourGH-AUG'!W19)="","      ",'HourGH-AUG'!W19)</f>
        <v>1.1200000000000001</v>
      </c>
      <c r="K64" s="128">
        <f>IF(TRIM('HourGH-AUG'!W20)="","      ",'HourGH-AUG'!W20)</f>
        <v>2.48</v>
      </c>
      <c r="N64" s="117">
        <f>J79</f>
        <v>338.88</v>
      </c>
      <c r="O64">
        <v>9</v>
      </c>
      <c r="P64" s="117" t="str">
        <f>J82</f>
        <v>24:00</v>
      </c>
      <c r="R64" s="117">
        <f>J85</f>
        <v>338.21000000000004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IF(TRIM('HourGH-AUG'!W22)="","      ",'HourGH-AUG'!W22)</f>
        <v>2.2999999999999998</v>
      </c>
      <c r="C65" s="128">
        <f>IF(TRIM('HourGH-AUG'!W23)="","      ",'HourGH-AUG'!W23)</f>
        <v>1.82</v>
      </c>
      <c r="D65" s="128">
        <f>IF(TRIM('HourGH-AUG'!W24)="","      ",'HourGH-AUG'!W24)</f>
        <v>1.25</v>
      </c>
      <c r="E65" s="128">
        <f>IF(TRIM('HourGH-AUG'!W25)="","      ",'HourGH-AUG'!W25)</f>
        <v>0.98</v>
      </c>
      <c r="F65" s="118">
        <f>IF(TRIM('HourGH-AUG'!W26)="","      ",'HourGH-AUG'!W26)</f>
        <v>1.1299999999999999</v>
      </c>
      <c r="G65" s="118">
        <f>IF(TRIM('HourGH-AUG'!W27)="","      ",'HourGH-AUG'!W27)</f>
        <v>0.87</v>
      </c>
      <c r="H65" s="128">
        <f>IF(TRIM('HourGH-AUG'!W28)="","      ",'HourGH-AUG'!W28)</f>
        <v>0.75</v>
      </c>
      <c r="I65" s="128">
        <f>IF(TRIM('HourGH-AUG'!W29)="","      ",'HourGH-AUG'!W29)</f>
        <v>0.64</v>
      </c>
      <c r="J65" s="128">
        <f>IF(TRIM('HourGH-AUG'!W30)="","      ",'HourGH-AUG'!W30)</f>
        <v>0.62</v>
      </c>
      <c r="K65" s="128">
        <f>IF(TRIM('HourGH-AUG'!W31)="","      ",'HourGH-AUG'!W31)</f>
        <v>0.61</v>
      </c>
      <c r="N65" s="117">
        <f>K79</f>
        <v>340.12</v>
      </c>
      <c r="O65">
        <v>10</v>
      </c>
      <c r="P65" s="117" t="str">
        <f>K82</f>
        <v>24:00</v>
      </c>
      <c r="R65" s="117">
        <f>K85</f>
        <v>338.96000000000004</v>
      </c>
      <c r="S65">
        <v>10</v>
      </c>
      <c r="T65" s="117" t="str">
        <f>K88</f>
        <v>1:00</v>
      </c>
    </row>
    <row r="66" spans="1:20">
      <c r="A66" s="127" t="s">
        <v>208</v>
      </c>
      <c r="B66" s="128">
        <f>IF(TRIM('HourGH-AUG'!W33)="","      ",'HourGH-AUG'!W33)</f>
        <v>0.62</v>
      </c>
      <c r="C66" s="128">
        <f>IF(TRIM('HourGH-AUG'!W34)="","      ",'HourGH-AUG'!W34)</f>
        <v>0.78</v>
      </c>
      <c r="D66" s="128">
        <f>IF(TRIM('HourGH-AUG'!W35)="","      ",'HourGH-AUG'!W35)</f>
        <v>1.08</v>
      </c>
      <c r="E66" s="128">
        <f>IF(TRIM('HourGH-AUG'!W36)="","      ",'HourGH-AUG'!W36)</f>
        <v>0.84</v>
      </c>
      <c r="F66" s="118">
        <f>IF(TRIM('HourGH-AUG'!W37)="","      ",'HourGH-AUG'!W37)</f>
        <v>0.73</v>
      </c>
      <c r="G66" s="118">
        <f>IF(TRIM('HourGH-AUG'!W38)="","      ",'HourGH-AUG'!W38)</f>
        <v>0.69</v>
      </c>
      <c r="H66" s="128">
        <f>IF(TRIM('HourGH-AUG'!W39)="","      ",'HourGH-AUG'!W39)</f>
        <v>0.65</v>
      </c>
      <c r="I66" s="128">
        <f>IF(TRIM('HourGH-AUG'!W40)="","      ",'HourGH-AUG'!W40)</f>
        <v>0.61</v>
      </c>
      <c r="J66" s="128">
        <f>IF(TRIM('HourGH-AUG'!W41)="","      ",'HourGH-AUG'!W41)</f>
        <v>0.56000000000000005</v>
      </c>
      <c r="K66" s="128">
        <f>IF(TRIM('HourGH-AUG'!W42)="","      ",'HourGH-AUG'!W42)</f>
        <v>0.55000000000000004</v>
      </c>
      <c r="L66" s="118">
        <f>IF(TRIM('HourGH-AUG'!W43)="","      ",'HourGH-AUG'!W43)</f>
        <v>0.73</v>
      </c>
      <c r="N66" s="117">
        <f>B80</f>
        <v>340.14000000000004</v>
      </c>
      <c r="O66">
        <v>11</v>
      </c>
      <c r="P66" s="117" t="str">
        <f>B83</f>
        <v>3:00</v>
      </c>
      <c r="R66" s="117">
        <f>B86</f>
        <v>339.81</v>
      </c>
      <c r="S66">
        <v>11</v>
      </c>
      <c r="T66" s="117" t="str">
        <f>B89</f>
        <v>24:00</v>
      </c>
    </row>
    <row r="67" spans="1:20">
      <c r="A67" s="127" t="s">
        <v>209</v>
      </c>
      <c r="B67" s="128">
        <f>IF(TRIM('HourGH-AUG'!X11)="","      ",'HourGH-AUG'!X11)</f>
        <v>0.57999999999999996</v>
      </c>
      <c r="C67" s="128">
        <f>IF(TRIM('HourGH-AUG'!X12)="","      ",'HourGH-AUG'!X12)</f>
        <v>0.53</v>
      </c>
      <c r="D67" s="128">
        <f>IF(TRIM('HourGH-AUG'!X13)="","      ",'HourGH-AUG'!X13)</f>
        <v>0.5</v>
      </c>
      <c r="E67" s="128">
        <f>IF(TRIM('HourGH-AUG'!X14)="","      ",'HourGH-AUG'!X14)</f>
        <v>0.49</v>
      </c>
      <c r="F67" s="118">
        <f>IF(TRIM('HourGH-AUG'!X15)="","      ",'HourGH-AUG'!X15)</f>
        <v>0.57999999999999996</v>
      </c>
      <c r="G67" s="118">
        <f>IF(TRIM('HourGH-AUG'!X16)="","      ",'HourGH-AUG'!X16)</f>
        <v>0.61</v>
      </c>
      <c r="H67" s="128">
        <f>IF(TRIM('HourGH-AUG'!X17)="","      ",'HourGH-AUG'!X17)</f>
        <v>0.56000000000000005</v>
      </c>
      <c r="I67" s="128">
        <f>IF(TRIM('HourGH-AUG'!X18)="","      ",'HourGH-AUG'!X18)</f>
        <v>0.59</v>
      </c>
      <c r="J67" s="128">
        <f>IF(TRIM('HourGH-AUG'!X19)="","      ",'HourGH-AUG'!X19)</f>
        <v>1.18</v>
      </c>
      <c r="K67" s="128">
        <f>IF(TRIM('HourGH-AUG'!X20)="","      ",'HourGH-AUG'!X20)</f>
        <v>2.5</v>
      </c>
      <c r="N67" s="117">
        <f>C80</f>
        <v>339.79</v>
      </c>
      <c r="O67">
        <v>12</v>
      </c>
      <c r="P67" s="117" t="str">
        <f>C83</f>
        <v>1:00</v>
      </c>
      <c r="R67" s="117">
        <f>C86</f>
        <v>339.37</v>
      </c>
      <c r="S67">
        <v>12</v>
      </c>
      <c r="T67" s="117" t="str">
        <f>C89</f>
        <v>24:00</v>
      </c>
    </row>
    <row r="68" spans="1:20">
      <c r="A68" s="127" t="s">
        <v>210</v>
      </c>
      <c r="B68" s="128">
        <f>IF(TRIM('HourGH-AUG'!X22)="","      ",'HourGH-AUG'!X22)</f>
        <v>2.27</v>
      </c>
      <c r="C68" s="128">
        <f>IF(TRIM('HourGH-AUG'!X23)="","      ",'HourGH-AUG'!X23)</f>
        <v>1.81</v>
      </c>
      <c r="D68" s="128">
        <f>IF(TRIM('HourGH-AUG'!X24)="","      ",'HourGH-AUG'!X24)</f>
        <v>1.23</v>
      </c>
      <c r="E68" s="128">
        <f>IF(TRIM('HourGH-AUG'!X25)="","      ",'HourGH-AUG'!X25)</f>
        <v>0.98</v>
      </c>
      <c r="F68" s="118">
        <f>IF(TRIM('HourGH-AUG'!X26)="","      ",'HourGH-AUG'!X26)</f>
        <v>1.1100000000000001</v>
      </c>
      <c r="G68" s="118">
        <f>IF(TRIM('HourGH-AUG'!X27)="","      ",'HourGH-AUG'!X27)</f>
        <v>0.87</v>
      </c>
      <c r="H68" s="128">
        <f>IF(TRIM('HourGH-AUG'!X28)="","      ",'HourGH-AUG'!X28)</f>
        <v>0.74</v>
      </c>
      <c r="I68" s="128">
        <f>IF(TRIM('HourGH-AUG'!X29)="","      ",'HourGH-AUG'!X29)</f>
        <v>0.64</v>
      </c>
      <c r="J68" s="128">
        <f>IF(TRIM('HourGH-AUG'!X30)="","      ",'HourGH-AUG'!X30)</f>
        <v>0.62</v>
      </c>
      <c r="K68" s="128">
        <f>IF(TRIM('HourGH-AUG'!X31)="","      ",'HourGH-AUG'!X31)</f>
        <v>0.61</v>
      </c>
      <c r="N68" s="117">
        <f>D80</f>
        <v>339.35</v>
      </c>
      <c r="O68">
        <v>13</v>
      </c>
      <c r="P68" s="117" t="str">
        <f>D83</f>
        <v>1:00</v>
      </c>
      <c r="R68" s="117">
        <f>D86</f>
        <v>338.8</v>
      </c>
      <c r="S68">
        <v>13</v>
      </c>
      <c r="T68" s="117" t="str">
        <f>D89</f>
        <v>24:00</v>
      </c>
    </row>
    <row r="69" spans="1:20">
      <c r="A69" s="127" t="s">
        <v>211</v>
      </c>
      <c r="B69" s="128">
        <f>IF(TRIM('HourGH-AUG'!X33)="","      ",'HourGH-AUG'!X33)</f>
        <v>0.62</v>
      </c>
      <c r="C69" s="128">
        <f>IF(TRIM('HourGH-AUG'!X34)="","      ",'HourGH-AUG'!X34)</f>
        <v>0.8</v>
      </c>
      <c r="D69" s="128">
        <f>IF(TRIM('HourGH-AUG'!X35)="","      ",'HourGH-AUG'!X35)</f>
        <v>1.0900000000000001</v>
      </c>
      <c r="E69" s="128">
        <f>IF(TRIM('HourGH-AUG'!X36)="","      ",'HourGH-AUG'!X36)</f>
        <v>0.83</v>
      </c>
      <c r="F69" s="118">
        <f>IF(TRIM('HourGH-AUG'!X37)="","      ",'HourGH-AUG'!X37)</f>
        <v>0.73</v>
      </c>
      <c r="G69" s="118">
        <f>IF(TRIM('HourGH-AUG'!X38)="","      ",'HourGH-AUG'!X38)</f>
        <v>0.69</v>
      </c>
      <c r="H69" s="128">
        <f>IF(TRIM('HourGH-AUG'!X39)="","      ",'HourGH-AUG'!X39)</f>
        <v>0.65</v>
      </c>
      <c r="I69" s="128">
        <f>IF(TRIM('HourGH-AUG'!X40)="","      ",'HourGH-AUG'!X40)</f>
        <v>0.61</v>
      </c>
      <c r="J69" s="128">
        <f>IF(TRIM('HourGH-AUG'!X41)="","      ",'HourGH-AUG'!X41)</f>
        <v>0.56000000000000005</v>
      </c>
      <c r="K69" s="128">
        <f>IF(TRIM('HourGH-AUG'!X42)="","      ",'HourGH-AUG'!X42)</f>
        <v>0.55000000000000004</v>
      </c>
      <c r="L69" s="118">
        <f>IF(TRIM('HourGH-AUG'!X43)="","      ",'HourGH-AUG'!X43)</f>
        <v>0.76</v>
      </c>
      <c r="N69" s="117">
        <f>E80</f>
        <v>338.78000000000003</v>
      </c>
      <c r="O69">
        <v>14</v>
      </c>
      <c r="P69" s="117" t="str">
        <f>E83</f>
        <v>1:00</v>
      </c>
      <c r="R69" s="117">
        <f>E86</f>
        <v>338.58000000000004</v>
      </c>
      <c r="S69">
        <v>14</v>
      </c>
      <c r="T69" s="117" t="str">
        <f>E89</f>
        <v>21:00</v>
      </c>
    </row>
    <row r="70" spans="1:20">
      <c r="A70" s="127" t="s">
        <v>212</v>
      </c>
      <c r="B70" s="128">
        <f>IF(TRIM('HourGH-AUG'!Y11)="","      ",'HourGH-AUG'!Y11)</f>
        <v>0.57999999999999996</v>
      </c>
      <c r="C70" s="128">
        <f>IF(TRIM('HourGH-AUG'!Y12)="","      ",'HourGH-AUG'!Y12)</f>
        <v>0.53</v>
      </c>
      <c r="D70" s="128">
        <f>IF(TRIM('HourGH-AUG'!Y13)="","      ",'HourGH-AUG'!Y13)</f>
        <v>0.5</v>
      </c>
      <c r="E70" s="128">
        <f>IF(TRIM('HourGH-AUG'!Y14)="","      ",'HourGH-AUG'!Y14)</f>
        <v>0.49</v>
      </c>
      <c r="F70" s="118">
        <f>IF(TRIM('HourGH-AUG'!Y15)="","      ",'HourGH-AUG'!Y15)</f>
        <v>0.59</v>
      </c>
      <c r="G70" s="118">
        <f>IF(TRIM('HourGH-AUG'!Y16)="","      ",'HourGH-AUG'!Y16)</f>
        <v>0.61</v>
      </c>
      <c r="H70" s="128">
        <f>IF(TRIM('HourGH-AUG'!Y17)="","      ",'HourGH-AUG'!Y17)</f>
        <v>0.56000000000000005</v>
      </c>
      <c r="I70" s="128">
        <f>IF(TRIM('HourGH-AUG'!Y18)="","      ",'HourGH-AUG'!Y18)</f>
        <v>0.6</v>
      </c>
      <c r="J70" s="128">
        <f>IF(TRIM('HourGH-AUG'!Y19)="","      ",'HourGH-AUG'!Y19)</f>
        <v>1.24</v>
      </c>
      <c r="K70" s="128">
        <f>IF(TRIM('HourGH-AUG'!Y20)="","      ",'HourGH-AUG'!Y20)</f>
        <v>2.5099999999999998</v>
      </c>
      <c r="N70" s="117">
        <f>F80</f>
        <v>338.76000000000005</v>
      </c>
      <c r="O70">
        <v>15</v>
      </c>
      <c r="P70" s="117" t="str">
        <f>F83</f>
        <v>15:00</v>
      </c>
      <c r="R70" s="117">
        <f>F86</f>
        <v>338.6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IF(TRIM('HourGH-AUG'!Y22)="","      ",'HourGH-AUG'!Y22)</f>
        <v>2.2400000000000002</v>
      </c>
      <c r="C71" s="128">
        <f>IF(TRIM('HourGH-AUG'!Y23)="","      ",'HourGH-AUG'!Y23)</f>
        <v>1.79</v>
      </c>
      <c r="D71" s="128">
        <f>IF(TRIM('HourGH-AUG'!Y24)="","      ",'HourGH-AUG'!Y24)</f>
        <v>1.21</v>
      </c>
      <c r="E71" s="128">
        <f>IF(TRIM('HourGH-AUG'!Y25)="","      ",'HourGH-AUG'!Y25)</f>
        <v>0.98</v>
      </c>
      <c r="F71" s="118">
        <f>IF(TRIM('HourGH-AUG'!Y26)="","      ",'HourGH-AUG'!Y26)</f>
        <v>1.0900000000000001</v>
      </c>
      <c r="G71" s="118">
        <f>IF(TRIM('HourGH-AUG'!Y27)="","      ",'HourGH-AUG'!Y27)</f>
        <v>0.87</v>
      </c>
      <c r="H71" s="128">
        <f>IF(TRIM('HourGH-AUG'!Y28)="","      ",'HourGH-AUG'!Y28)</f>
        <v>0.74</v>
      </c>
      <c r="I71" s="128">
        <f>IF(TRIM('HourGH-AUG'!Y29)="","      ",'HourGH-AUG'!Y29)</f>
        <v>0.63</v>
      </c>
      <c r="J71" s="128">
        <f>IF(TRIM('HourGH-AUG'!Y30)="","      ",'HourGH-AUG'!Y30)</f>
        <v>0.62</v>
      </c>
      <c r="K71" s="128">
        <f>IF(TRIM('HourGH-AUG'!Y31)="","      ",'HourGH-AUG'!Y31)</f>
        <v>0.61</v>
      </c>
      <c r="N71" s="117">
        <f>G80</f>
        <v>338.65000000000003</v>
      </c>
      <c r="O71">
        <v>16</v>
      </c>
      <c r="P71" s="117" t="str">
        <f>G83</f>
        <v>1:00</v>
      </c>
      <c r="R71" s="117">
        <f>G86</f>
        <v>338.47</v>
      </c>
      <c r="S71">
        <v>16</v>
      </c>
      <c r="T71" s="117" t="str">
        <f>G89</f>
        <v>21:00</v>
      </c>
    </row>
    <row r="72" spans="1:20">
      <c r="A72" s="127" t="s">
        <v>214</v>
      </c>
      <c r="B72" s="128">
        <f>IF(TRIM('HourGH-AUG'!Y33)="","      ",'HourGH-AUG'!Y33)</f>
        <v>0.63</v>
      </c>
      <c r="C72" s="128">
        <f>IF(TRIM('HourGH-AUG'!Y34)="","      ",'HourGH-AUG'!Y34)</f>
        <v>0.81</v>
      </c>
      <c r="D72" s="128">
        <f>IF(TRIM('HourGH-AUG'!Y35)="","      ",'HourGH-AUG'!Y35)</f>
        <v>1.1000000000000001</v>
      </c>
      <c r="E72" s="128">
        <f>IF(TRIM('HourGH-AUG'!Y36)="","      ",'HourGH-AUG'!Y36)</f>
        <v>0.82</v>
      </c>
      <c r="F72" s="118">
        <f>IF(TRIM('HourGH-AUG'!Y37)="","      ",'HourGH-AUG'!Y37)</f>
        <v>0.73</v>
      </c>
      <c r="G72" s="118">
        <f>IF(TRIM('HourGH-AUG'!Y38)="","      ",'HourGH-AUG'!Y38)</f>
        <v>0.69</v>
      </c>
      <c r="H72" s="128">
        <f>IF(TRIM('HourGH-AUG'!Y39)="","      ",'HourGH-AUG'!Y39)</f>
        <v>0.65</v>
      </c>
      <c r="I72" s="128">
        <f>IF(TRIM('HourGH-AUG'!Y40)="","      ",'HourGH-AUG'!Y40)</f>
        <v>0.61</v>
      </c>
      <c r="J72" s="128">
        <f>IF(TRIM('HourGH-AUG'!Y41)="","      ",'HourGH-AUG'!Y41)</f>
        <v>0.56000000000000005</v>
      </c>
      <c r="K72" s="128">
        <f>IF(TRIM('HourGH-AUG'!Y42)="","      ",'HourGH-AUG'!Y42)</f>
        <v>0.55000000000000004</v>
      </c>
      <c r="L72" s="118">
        <f>IF(TRIM('HourGH-AUG'!Y43)="","      ",'HourGH-AUG'!Y43)</f>
        <v>0.8</v>
      </c>
      <c r="N72" s="117">
        <f>H80</f>
        <v>338.46000000000004</v>
      </c>
      <c r="O72">
        <v>17</v>
      </c>
      <c r="P72" s="117" t="str">
        <f>H83</f>
        <v>1:00</v>
      </c>
      <c r="R72" s="117">
        <f>H86</f>
        <v>338.33000000000004</v>
      </c>
      <c r="S72">
        <v>17</v>
      </c>
      <c r="T72" s="117" t="str">
        <f>H89</f>
        <v>24:00</v>
      </c>
    </row>
    <row r="73" spans="1:20">
      <c r="A73" s="127" t="s">
        <v>215</v>
      </c>
      <c r="B73" s="128">
        <f>IF(TRIM('HourGH-AUG'!Z11)="","      ",'HourGH-AUG'!Z11)</f>
        <v>0.57999999999999996</v>
      </c>
      <c r="C73" s="128">
        <f>IF(TRIM('HourGH-AUG'!Z12)="","      ",'HourGH-AUG'!Z12)</f>
        <v>0.53</v>
      </c>
      <c r="D73" s="128">
        <f>IF(TRIM('HourGH-AUG'!Z13)="","      ",'HourGH-AUG'!Z13)</f>
        <v>0.5</v>
      </c>
      <c r="E73" s="128">
        <f>IF(TRIM('HourGH-AUG'!Z14)="","      ",'HourGH-AUG'!Z14)</f>
        <v>0.49</v>
      </c>
      <c r="F73" s="118">
        <f>IF(TRIM('HourGH-AUG'!Z15)="","      ",'HourGH-AUG'!Z15)</f>
        <v>0.61</v>
      </c>
      <c r="G73" s="118">
        <f>IF(TRIM('HourGH-AUG'!Z16)="","      ",'HourGH-AUG'!Z16)</f>
        <v>0.6</v>
      </c>
      <c r="H73" s="128">
        <f>IF(TRIM('HourGH-AUG'!Z17)="","      ",'HourGH-AUG'!Z17)</f>
        <v>0.56000000000000005</v>
      </c>
      <c r="I73" s="128">
        <f>IF(TRIM('HourGH-AUG'!Z18)="","      ",'HourGH-AUG'!Z18)</f>
        <v>0.6</v>
      </c>
      <c r="J73" s="128">
        <f>IF(TRIM('HourGH-AUG'!Z19)="","      ",'HourGH-AUG'!Z19)</f>
        <v>1.28</v>
      </c>
      <c r="K73" s="128">
        <f>IF(TRIM('HourGH-AUG'!Z20)="","      ",'HourGH-AUG'!Z20)</f>
        <v>2.52</v>
      </c>
      <c r="N73" s="117">
        <f>I80</f>
        <v>338.33000000000004</v>
      </c>
      <c r="O73">
        <v>18</v>
      </c>
      <c r="P73" s="117" t="str">
        <f>I83</f>
        <v>1:00</v>
      </c>
      <c r="R73" s="117">
        <f>I86</f>
        <v>338.23</v>
      </c>
      <c r="S73">
        <v>18</v>
      </c>
      <c r="T73" s="117" t="str">
        <f>I89</f>
        <v>23:00</v>
      </c>
    </row>
    <row r="74" spans="1:20">
      <c r="A74" s="127" t="s">
        <v>216</v>
      </c>
      <c r="B74" s="128">
        <f>IF(TRIM('HourGH-AUG'!Z22)="","      ",'HourGH-AUG'!Z22)</f>
        <v>2.21</v>
      </c>
      <c r="C74" s="128">
        <f>IF(TRIM('HourGH-AUG'!Z23)="","      ",'HourGH-AUG'!Z23)</f>
        <v>1.77</v>
      </c>
      <c r="D74" s="128">
        <f>IF(TRIM('HourGH-AUG'!Z24)="","      ",'HourGH-AUG'!Z24)</f>
        <v>1.2</v>
      </c>
      <c r="E74" s="128">
        <f>IF(TRIM('HourGH-AUG'!Z25)="","      ",'HourGH-AUG'!Z25)</f>
        <v>0.99</v>
      </c>
      <c r="F74" s="118">
        <f>IF(TRIM('HourGH-AUG'!Z26)="","      ",'HourGH-AUG'!Z26)</f>
        <v>1.07</v>
      </c>
      <c r="G74" s="118">
        <f>IF(TRIM('HourGH-AUG'!Z27)="","      ",'HourGH-AUG'!Z27)</f>
        <v>0.87</v>
      </c>
      <c r="H74" s="128">
        <f>IF(TRIM('HourGH-AUG'!Z28)="","      ",'HourGH-AUG'!Z28)</f>
        <v>0.73</v>
      </c>
      <c r="I74" s="128">
        <f>IF(TRIM('HourGH-AUG'!Z29)="","      ",'HourGH-AUG'!Z29)</f>
        <v>0.63</v>
      </c>
      <c r="J74" s="128">
        <f>IF(TRIM('HourGH-AUG'!Z30)="","      ",'HourGH-AUG'!Z30)</f>
        <v>0.62</v>
      </c>
      <c r="K74" s="128">
        <f>IF(TRIM('HourGH-AUG'!Z31)="","      ",'HourGH-AUG'!Z31)</f>
        <v>0.61</v>
      </c>
      <c r="N74" s="117">
        <f>J80</f>
        <v>338.23</v>
      </c>
      <c r="O74">
        <v>19</v>
      </c>
      <c r="P74" s="117" t="str">
        <f>J83</f>
        <v>1:00</v>
      </c>
      <c r="R74" s="117">
        <f>J86</f>
        <v>338.22</v>
      </c>
      <c r="S74">
        <v>19</v>
      </c>
      <c r="T74" s="117" t="str">
        <f>J89</f>
        <v>3:00</v>
      </c>
    </row>
    <row r="75" spans="1:20">
      <c r="A75" s="127" t="s">
        <v>217</v>
      </c>
      <c r="B75" s="128">
        <f>IF(TRIM('HourGH-AUG'!Z33)="","      ",'HourGH-AUG'!Z33)</f>
        <v>0.63</v>
      </c>
      <c r="C75" s="128">
        <f>IF(TRIM('HourGH-AUG'!Z34)="","      ",'HourGH-AUG'!Z34)</f>
        <v>0.82</v>
      </c>
      <c r="D75" s="128">
        <f>IF(TRIM('HourGH-AUG'!Z35)="","      ",'HourGH-AUG'!Z35)</f>
        <v>1.1000000000000001</v>
      </c>
      <c r="E75" s="128">
        <f>IF(TRIM('HourGH-AUG'!Z36)="","      ",'HourGH-AUG'!Z36)</f>
        <v>0.81</v>
      </c>
      <c r="F75" s="118">
        <f>IF(TRIM('HourGH-AUG'!Z37)="","      ",'HourGH-AUG'!Z37)</f>
        <v>0.73</v>
      </c>
      <c r="G75" s="118">
        <f>IF(TRIM('HourGH-AUG'!Z38)="","      ",'HourGH-AUG'!Z38)</f>
        <v>0.69</v>
      </c>
      <c r="H75" s="128">
        <f>IF(TRIM('HourGH-AUG'!Z39)="","      ",'HourGH-AUG'!Z39)</f>
        <v>0.65</v>
      </c>
      <c r="I75" s="128">
        <f>IF(TRIM('HourGH-AUG'!Z40)="","      ",'HourGH-AUG'!Z40)</f>
        <v>0.61</v>
      </c>
      <c r="J75" s="128">
        <f>IF(TRIM('HourGH-AUG'!Z41)="","      ",'HourGH-AUG'!Z41)</f>
        <v>0.56000000000000005</v>
      </c>
      <c r="K75" s="128">
        <f>IF(TRIM('HourGH-AUG'!Z42)="","      ",'HourGH-AUG'!Z42)</f>
        <v>0.55000000000000004</v>
      </c>
      <c r="L75" s="118">
        <f>IF(TRIM('HourGH-AUG'!Z43)="","      ",'HourGH-AUG'!Z43)</f>
        <v>0.84</v>
      </c>
      <c r="N75" s="117">
        <f>K80</f>
        <v>338.21000000000004</v>
      </c>
      <c r="O75">
        <v>20</v>
      </c>
      <c r="P75" s="117" t="str">
        <f>K83</f>
        <v>1:00</v>
      </c>
      <c r="R75" s="117">
        <f>K86</f>
        <v>338.21000000000004</v>
      </c>
      <c r="S75">
        <v>20</v>
      </c>
      <c r="T75" s="117" t="str">
        <f>K89</f>
        <v>1:00</v>
      </c>
    </row>
    <row r="76" spans="1:20">
      <c r="A76" t="s">
        <v>228</v>
      </c>
      <c r="B76" s="119">
        <f>IF(TRIM('HourGH-AUG'!AB11)="","",'HourGH-AUG'!AB11)</f>
        <v>338.18</v>
      </c>
      <c r="C76" s="119">
        <f>IF(TRIM('HourGH-AUG'!AB12)="","",'HourGH-AUG'!AB12)</f>
        <v>338.15458333333333</v>
      </c>
      <c r="D76" s="119">
        <f>IF(TRIM('HourGH-AUG'!AB13)="","",'HourGH-AUG'!AB13)</f>
        <v>338.10750000000002</v>
      </c>
      <c r="E76" s="119">
        <f>IF(TRIM('HourGH-AUG'!AB14)="","",'HourGH-AUG'!AB14)</f>
        <v>338.09000000000003</v>
      </c>
      <c r="F76" s="119">
        <f>IF(TRIM('HourGH-AUG'!AB15)="","",'HourGH-AUG'!AB15)</f>
        <v>338.12166666666667</v>
      </c>
      <c r="G76" s="119">
        <f>IF(TRIM('HourGH-AUG'!AB16)="","",'HourGH-AUG'!AB16)</f>
        <v>338.25833333333338</v>
      </c>
      <c r="H76" s="119">
        <f>IF(TRIM('HourGH-AUG'!AB17)="","",'HourGH-AUG'!AB17)</f>
        <v>338.17625000000004</v>
      </c>
      <c r="I76" s="119">
        <f>IF(TRIM('HourGH-AUG'!AB18)="","",'HourGH-AUG'!AB18)</f>
        <v>338.17</v>
      </c>
      <c r="J76" s="119">
        <f>IF(TRIM('HourGH-AUG'!AB19)="","",'HourGH-AUG'!AB19)</f>
        <v>338.435</v>
      </c>
      <c r="K76" s="119">
        <f>IF(TRIM('HourGH-AUG'!AB20)="","",'HourGH-AUG'!AB20)</f>
        <v>339.68</v>
      </c>
      <c r="N76" s="117">
        <f>B81</f>
        <v>338.23</v>
      </c>
      <c r="O76">
        <v>21</v>
      </c>
      <c r="P76" s="117" t="str">
        <f>B84</f>
        <v>23:00</v>
      </c>
      <c r="R76" s="117">
        <f>B87</f>
        <v>338.20000000000005</v>
      </c>
      <c r="S76">
        <v>21</v>
      </c>
      <c r="T76" s="117" t="str">
        <f>B90</f>
        <v>7:00</v>
      </c>
    </row>
    <row r="77" spans="1:20">
      <c r="A77" t="s">
        <v>229</v>
      </c>
      <c r="B77" s="119">
        <f>IF(TRIM('HourGH-AUG'!AB22)="","",'HourGH-AUG'!AB22)</f>
        <v>340.04500000000002</v>
      </c>
      <c r="C77" s="119">
        <f>IF(TRIM('HourGH-AUG'!AB23)="","",'HourGH-AUG'!AB23)</f>
        <v>339.57583333333338</v>
      </c>
      <c r="D77" s="119">
        <f>IF(TRIM('HourGH-AUG'!AB24)="","",'HourGH-AUG'!AB24)</f>
        <v>339.05708333333337</v>
      </c>
      <c r="E77" s="119">
        <f>IF(TRIM('HourGH-AUG'!AB25)="","",'HourGH-AUG'!AB25)</f>
        <v>338.64625000000001</v>
      </c>
      <c r="F77" s="119">
        <f>IF(TRIM('HourGH-AUG'!AB26)="","",'HourGH-AUG'!AB26)</f>
        <v>338.69958333333335</v>
      </c>
      <c r="G77" s="119">
        <f>IF(TRIM('HourGH-AUG'!AB27)="","",'HourGH-AUG'!AB27)</f>
        <v>338.52750000000003</v>
      </c>
      <c r="H77" s="119">
        <f>IF(TRIM('HourGH-AUG'!AB28)="","",'HourGH-AUG'!AB28)</f>
        <v>338.40625</v>
      </c>
      <c r="I77" s="119">
        <f>IF(TRIM('HourGH-AUG'!AB29)="","",'HourGH-AUG'!AB29)</f>
        <v>338.27375000000001</v>
      </c>
      <c r="J77" s="119">
        <f>IF(TRIM('HourGH-AUG'!AB30)="","",'HourGH-AUG'!AB30)</f>
        <v>338.22083333333336</v>
      </c>
      <c r="K77" s="119">
        <f>IF(TRIM('HourGH-AUG'!AB31)="","",'HourGH-AUG'!AB31)</f>
        <v>338.21000000000004</v>
      </c>
      <c r="N77" s="117">
        <f>C81</f>
        <v>338.42</v>
      </c>
      <c r="O77">
        <v>22</v>
      </c>
      <c r="P77" s="117" t="str">
        <f>C84</f>
        <v>24:00</v>
      </c>
      <c r="R77" s="117">
        <f>C87</f>
        <v>338.24</v>
      </c>
      <c r="S77">
        <v>22</v>
      </c>
      <c r="T77" s="117" t="str">
        <f>C90</f>
        <v>1:00</v>
      </c>
    </row>
    <row r="78" spans="1:20">
      <c r="A78" t="s">
        <v>230</v>
      </c>
      <c r="B78" s="119">
        <f>IF(TRIM('HourGH-AUG'!AB33)="","",'HourGH-AUG'!AB33)</f>
        <v>338.20750000000004</v>
      </c>
      <c r="C78" s="119">
        <f>IF(TRIM('HourGH-AUG'!AB34)="","",'HourGH-AUG'!AB34)</f>
        <v>338.31416666666667</v>
      </c>
      <c r="D78" s="119">
        <f>IF(TRIM('HourGH-AUG'!AB35)="","",'HourGH-AUG'!AB35)</f>
        <v>338.57541666666668</v>
      </c>
      <c r="E78" s="119">
        <f>IF(TRIM('HourGH-AUG'!AB36)="","",'HourGH-AUG'!AB36)</f>
        <v>338.55</v>
      </c>
      <c r="F78" s="119">
        <f>IF(TRIM('HourGH-AUG'!AB37)="","",'HourGH-AUG'!AB37)</f>
        <v>338.35291666666672</v>
      </c>
      <c r="G78" s="119">
        <f>IF(TRIM('HourGH-AUG'!AB38)="","",'HourGH-AUG'!AB38)</f>
        <v>338.30500000000001</v>
      </c>
      <c r="H78" s="119">
        <f>IF(TRIM('HourGH-AUG'!AB39)="","",'HourGH-AUG'!AB39)</f>
        <v>338.26500000000004</v>
      </c>
      <c r="I78" s="119">
        <f>IF(TRIM('HourGH-AUG'!AB40)="","",'HourGH-AUG'!AB40)</f>
        <v>338.22500000000002</v>
      </c>
      <c r="J78" s="119">
        <f>IF(TRIM('HourGH-AUG'!AB41)="","",'HourGH-AUG'!AB41)</f>
        <v>338.17583333333334</v>
      </c>
      <c r="K78" s="119">
        <f>IF(TRIM('HourGH-AUG'!AB42)="","",'HourGH-AUG'!AB42)</f>
        <v>338.15041666666667</v>
      </c>
      <c r="N78" s="117">
        <f>D81</f>
        <v>338.70000000000005</v>
      </c>
      <c r="O78">
        <v>23</v>
      </c>
      <c r="P78" s="117" t="str">
        <f>D84</f>
        <v>23:00</v>
      </c>
      <c r="R78" s="117">
        <f>D87</f>
        <v>338.43</v>
      </c>
      <c r="S78">
        <v>23</v>
      </c>
      <c r="T78" s="117" t="str">
        <f>D90</f>
        <v>1:00</v>
      </c>
    </row>
    <row r="79" spans="1:20">
      <c r="A79" t="s">
        <v>231</v>
      </c>
      <c r="B79" s="119">
        <f>IF(TRIM('HourGH-AUG'!AC11)="","",'HourGH-AUG'!AC11)</f>
        <v>338.18</v>
      </c>
      <c r="C79" s="119">
        <f>IF(TRIM('HourGH-AUG'!AC12)="","",'HourGH-AUG'!AC12)</f>
        <v>338.18</v>
      </c>
      <c r="D79" s="119">
        <f>IF(TRIM('HourGH-AUG'!AC13)="","",'HourGH-AUG'!AC13)</f>
        <v>338.12</v>
      </c>
      <c r="E79" s="119">
        <f>IF(TRIM('HourGH-AUG'!AC14)="","",'HourGH-AUG'!AC14)</f>
        <v>338.09000000000003</v>
      </c>
      <c r="F79" s="119">
        <f>IF(TRIM('HourGH-AUG'!AC15)="","",'HourGH-AUG'!AC15)</f>
        <v>338.21000000000004</v>
      </c>
      <c r="G79" s="119">
        <f>IF(TRIM('HourGH-AUG'!AC16)="","",'HourGH-AUG'!AC16)</f>
        <v>338.3</v>
      </c>
      <c r="H79" s="119">
        <f>IF(TRIM('HourGH-AUG'!AC17)="","",'HourGH-AUG'!AC17)</f>
        <v>338.20000000000005</v>
      </c>
      <c r="I79" s="119">
        <f>IF(TRIM('HourGH-AUG'!AC18)="","",'HourGH-AUG'!AC18)</f>
        <v>338.20000000000005</v>
      </c>
      <c r="J79" s="119">
        <f>IF(TRIM('HourGH-AUG'!AC19)="","",'HourGH-AUG'!AC19)</f>
        <v>338.88</v>
      </c>
      <c r="K79" s="119">
        <f>IF(TRIM('HourGH-AUG'!AC20)="","",'HourGH-AUG'!AC20)</f>
        <v>340.12</v>
      </c>
      <c r="N79" s="117">
        <f>E81</f>
        <v>338.70000000000005</v>
      </c>
      <c r="O79">
        <v>24</v>
      </c>
      <c r="P79" s="117" t="str">
        <f>E84</f>
        <v>1:00</v>
      </c>
      <c r="R79" s="117">
        <f>E87</f>
        <v>338.41</v>
      </c>
      <c r="S79">
        <v>24</v>
      </c>
      <c r="T79" s="117" t="str">
        <f>E90</f>
        <v>24:00</v>
      </c>
    </row>
    <row r="80" spans="1:20">
      <c r="A80" t="s">
        <v>232</v>
      </c>
      <c r="B80" s="119">
        <f>IF(TRIM('HourGH-AUG'!AC22)="","",'HourGH-AUG'!AC22)</f>
        <v>340.14000000000004</v>
      </c>
      <c r="C80" s="119">
        <f>IF(TRIM('HourGH-AUG'!AC23)="","",'HourGH-AUG'!AC23)</f>
        <v>339.79</v>
      </c>
      <c r="D80" s="119">
        <f>IF(TRIM('HourGH-AUG'!AC24)="","",'HourGH-AUG'!AC24)</f>
        <v>339.35</v>
      </c>
      <c r="E80" s="119">
        <f>IF(TRIM('HourGH-AUG'!AC25)="","",'HourGH-AUG'!AC25)</f>
        <v>338.78000000000003</v>
      </c>
      <c r="F80" s="119">
        <f>IF(TRIM('HourGH-AUG'!AC26)="","",'HourGH-AUG'!AC26)</f>
        <v>338.76000000000005</v>
      </c>
      <c r="G80" s="119">
        <f>IF(TRIM('HourGH-AUG'!AC27)="","",'HourGH-AUG'!AC27)</f>
        <v>338.65000000000003</v>
      </c>
      <c r="H80" s="119">
        <f>IF(TRIM('HourGH-AUG'!AC28)="","",'HourGH-AUG'!AC28)</f>
        <v>338.46000000000004</v>
      </c>
      <c r="I80" s="119">
        <f>IF(TRIM('HourGH-AUG'!AC29)="","",'HourGH-AUG'!AC29)</f>
        <v>338.33000000000004</v>
      </c>
      <c r="J80" s="119">
        <f>IF(TRIM('HourGH-AUG'!AC30)="","",'HourGH-AUG'!AC30)</f>
        <v>338.23</v>
      </c>
      <c r="K80" s="119">
        <f>IF(TRIM('HourGH-AUG'!AC31)="","",'HourGH-AUG'!AC31)</f>
        <v>338.21000000000004</v>
      </c>
      <c r="N80" s="117">
        <f>F81</f>
        <v>338.40000000000003</v>
      </c>
      <c r="O80">
        <v>25</v>
      </c>
      <c r="P80" s="117" t="str">
        <f>F84</f>
        <v>1:00</v>
      </c>
      <c r="R80" s="117">
        <f>F87</f>
        <v>338.33000000000004</v>
      </c>
      <c r="S80">
        <v>25</v>
      </c>
      <c r="T80" s="117" t="str">
        <f>F90</f>
        <v>19:00</v>
      </c>
    </row>
    <row r="81" spans="1:20">
      <c r="A81" t="s">
        <v>233</v>
      </c>
      <c r="B81" s="119">
        <f>IF(TRIM('HourGH-AUG'!AC33)="","",'HourGH-AUG'!AC33)</f>
        <v>338.23</v>
      </c>
      <c r="C81" s="119">
        <f>IF(TRIM('HourGH-AUG'!AC34)="","",'HourGH-AUG'!AC34)</f>
        <v>338.42</v>
      </c>
      <c r="D81" s="119">
        <f>IF(TRIM('HourGH-AUG'!AC35)="","",'HourGH-AUG'!AC35)</f>
        <v>338.70000000000005</v>
      </c>
      <c r="E81" s="119">
        <f>IF(TRIM('HourGH-AUG'!AC36)="","",'HourGH-AUG'!AC36)</f>
        <v>338.70000000000005</v>
      </c>
      <c r="F81" s="119">
        <f>IF(TRIM('HourGH-AUG'!AC37)="","",'HourGH-AUG'!AC37)</f>
        <v>338.40000000000003</v>
      </c>
      <c r="G81" s="119">
        <f>IF(TRIM('HourGH-AUG'!AC38)="","",'HourGH-AUG'!AC38)</f>
        <v>338.32000000000005</v>
      </c>
      <c r="H81" s="119">
        <f>IF(TRIM('HourGH-AUG'!AC39)="","",'HourGH-AUG'!AC39)</f>
        <v>338.28000000000003</v>
      </c>
      <c r="I81" s="119">
        <f>IF(TRIM('HourGH-AUG'!AC40)="","",'HourGH-AUG'!AC40)</f>
        <v>338.24</v>
      </c>
      <c r="J81" s="119">
        <f>IF(TRIM('HourGH-AUG'!AC41)="","",'HourGH-AUG'!AC41)</f>
        <v>338.20000000000005</v>
      </c>
      <c r="K81" s="119">
        <f>IF(TRIM('HourGH-AUG'!AC42)="","",'HourGH-AUG'!AC42)</f>
        <v>338.16</v>
      </c>
      <c r="N81" s="117">
        <f>G81</f>
        <v>338.32000000000005</v>
      </c>
      <c r="O81">
        <v>26</v>
      </c>
      <c r="P81" s="117" t="str">
        <f>G84</f>
        <v>1:00</v>
      </c>
      <c r="R81" s="117">
        <f>G87</f>
        <v>338.29</v>
      </c>
      <c r="S81">
        <v>26</v>
      </c>
      <c r="T81" s="117" t="str">
        <f>G90</f>
        <v>19:00</v>
      </c>
    </row>
    <row r="82" spans="1:20">
      <c r="A82" t="s">
        <v>219</v>
      </c>
      <c r="B82" s="119" t="str">
        <f>'HourGH-AUG'!AD11&amp;":00"</f>
        <v>1:00</v>
      </c>
      <c r="C82" s="119" t="str">
        <f>'HourGH-AUG'!AD12&amp;":00"</f>
        <v>1:00</v>
      </c>
      <c r="D82" s="119" t="str">
        <f>'HourGH-AUG'!AD13&amp;":00"</f>
        <v>1:00</v>
      </c>
      <c r="E82" s="119" t="str">
        <f>'HourGH-AUG'!AD14&amp;":00"</f>
        <v>1:00</v>
      </c>
      <c r="F82" s="119" t="str">
        <f>'HourGH-AUG'!AD15&amp;":00"</f>
        <v>24:00</v>
      </c>
      <c r="G82" s="119" t="str">
        <f>'HourGH-AUG'!AD16&amp;":00"</f>
        <v>9:00</v>
      </c>
      <c r="H82" s="119" t="str">
        <f>'HourGH-AUG'!AD17&amp;":00"</f>
        <v>1:00</v>
      </c>
      <c r="I82" s="119" t="str">
        <f>'HourGH-AUG'!AD18&amp;":00"</f>
        <v>23:00</v>
      </c>
      <c r="J82" s="119" t="str">
        <f>'HourGH-AUG'!AD19&amp;":00"</f>
        <v>24:00</v>
      </c>
      <c r="K82" s="119" t="str">
        <f>'HourGH-AUG'!AD20&amp;":00"</f>
        <v>24:00</v>
      </c>
      <c r="N82" s="117">
        <f>H81</f>
        <v>338.28000000000003</v>
      </c>
      <c r="O82">
        <v>27</v>
      </c>
      <c r="P82" s="117" t="str">
        <f>H84</f>
        <v>1:00</v>
      </c>
      <c r="R82" s="117">
        <f>H87</f>
        <v>338.25</v>
      </c>
      <c r="S82">
        <v>27</v>
      </c>
      <c r="T82" s="117" t="str">
        <f>H90</f>
        <v>19:00</v>
      </c>
    </row>
    <row r="83" spans="1:20">
      <c r="A83" t="s">
        <v>220</v>
      </c>
      <c r="B83" s="119" t="str">
        <f>'HourGH-AUG'!AD22&amp;":00"</f>
        <v>3:00</v>
      </c>
      <c r="C83" s="119" t="str">
        <f>'HourGH-AUG'!AD23&amp;":00"</f>
        <v>1:00</v>
      </c>
      <c r="D83" s="119" t="str">
        <f>'HourGH-AUG'!AD24&amp;":00"</f>
        <v>1:00</v>
      </c>
      <c r="E83" s="119" t="str">
        <f>'HourGH-AUG'!AD25&amp;":00"</f>
        <v>1:00</v>
      </c>
      <c r="F83" s="119" t="str">
        <f>'HourGH-AUG'!AD26&amp;":00"</f>
        <v>15:00</v>
      </c>
      <c r="G83" s="119" t="str">
        <f>'HourGH-AUG'!AD27&amp;":00"</f>
        <v>1:00</v>
      </c>
      <c r="H83" s="119" t="str">
        <f>'HourGH-AUG'!AD28&amp;":00"</f>
        <v>1:00</v>
      </c>
      <c r="I83" s="119" t="str">
        <f>'HourGH-AUG'!AD29&amp;":00"</f>
        <v>1:00</v>
      </c>
      <c r="J83" s="119" t="str">
        <f>'HourGH-AUG'!AD30&amp;":00"</f>
        <v>1:00</v>
      </c>
      <c r="K83" s="119" t="str">
        <f>'HourGH-AUG'!AD31&amp;":00"</f>
        <v>1:00</v>
      </c>
      <c r="N83" s="117">
        <f>I81</f>
        <v>338.24</v>
      </c>
      <c r="O83">
        <v>28</v>
      </c>
      <c r="P83" s="117" t="str">
        <f>I84</f>
        <v>1:00</v>
      </c>
      <c r="R83" s="117">
        <f>I87</f>
        <v>338.21000000000004</v>
      </c>
      <c r="S83">
        <v>28</v>
      </c>
      <c r="T83" s="117" t="str">
        <f>I90</f>
        <v>19:00</v>
      </c>
    </row>
    <row r="84" spans="1:20">
      <c r="A84" t="s">
        <v>221</v>
      </c>
      <c r="B84" s="119" t="str">
        <f>'HourGH-AUG'!AD33&amp;":00"</f>
        <v>23:00</v>
      </c>
      <c r="C84" s="119" t="str">
        <f>'HourGH-AUG'!AD34&amp;":00"</f>
        <v>24:00</v>
      </c>
      <c r="D84" s="119" t="str">
        <f>'HourGH-AUG'!AD35&amp;":00"</f>
        <v>23:00</v>
      </c>
      <c r="E84" s="119" t="str">
        <f>'HourGH-AUG'!AD36&amp;":00"</f>
        <v>1:00</v>
      </c>
      <c r="F84" s="119" t="str">
        <f>'HourGH-AUG'!AD37&amp;":00"</f>
        <v>1:00</v>
      </c>
      <c r="G84" s="119" t="str">
        <f>'HourGH-AUG'!AD38&amp;":00"</f>
        <v>1:00</v>
      </c>
      <c r="H84" s="119" t="str">
        <f>'HourGH-AUG'!AD39&amp;":00"</f>
        <v>1:00</v>
      </c>
      <c r="I84" s="119" t="str">
        <f>'HourGH-AUG'!AD40&amp;":00"</f>
        <v>1:00</v>
      </c>
      <c r="J84" s="119" t="str">
        <f>'HourGH-AUG'!AD41&amp;":00"</f>
        <v>1:00</v>
      </c>
      <c r="K84" s="119" t="str">
        <f>'HourGH-AUG'!AD42&amp;":00"</f>
        <v>13:00</v>
      </c>
      <c r="N84" s="117">
        <f>J81</f>
        <v>338.20000000000005</v>
      </c>
      <c r="O84">
        <v>29</v>
      </c>
      <c r="P84" s="117" t="str">
        <f>J84</f>
        <v>1:00</v>
      </c>
      <c r="R84" s="117">
        <f>J87</f>
        <v>338.16</v>
      </c>
      <c r="S84">
        <v>29</v>
      </c>
      <c r="T84" s="117" t="str">
        <f>J90</f>
        <v>19:00</v>
      </c>
    </row>
    <row r="85" spans="1:20">
      <c r="A85" t="s">
        <v>234</v>
      </c>
      <c r="B85" s="129">
        <f>'HourGH-AUG'!AE11</f>
        <v>338.18</v>
      </c>
      <c r="C85" s="129">
        <f>'HourGH-AUG'!AE12</f>
        <v>338.13</v>
      </c>
      <c r="D85" s="129">
        <f>'HourGH-AUG'!AE13</f>
        <v>338.1</v>
      </c>
      <c r="E85" s="129">
        <f>'HourGH-AUG'!AE14</f>
        <v>338.09000000000003</v>
      </c>
      <c r="F85" s="129">
        <f>'HourGH-AUG'!AE15</f>
        <v>338.08000000000004</v>
      </c>
      <c r="G85" s="129">
        <f>'HourGH-AUG'!AE16</f>
        <v>338.20000000000005</v>
      </c>
      <c r="H85" s="129">
        <f>'HourGH-AUG'!AE17</f>
        <v>338.16</v>
      </c>
      <c r="I85" s="129">
        <f>'HourGH-AUG'!AE18</f>
        <v>338.16</v>
      </c>
      <c r="J85" s="129">
        <f>'HourGH-AUG'!AE19</f>
        <v>338.21000000000004</v>
      </c>
      <c r="K85" s="129">
        <f>'HourGH-AUG'!AE20</f>
        <v>338.96000000000004</v>
      </c>
      <c r="N85" s="117">
        <f>K81</f>
        <v>338.16</v>
      </c>
      <c r="O85">
        <v>30</v>
      </c>
      <c r="P85" s="117" t="str">
        <f>K84</f>
        <v>13:00</v>
      </c>
      <c r="R85" s="117">
        <f>K87</f>
        <v>338.14000000000004</v>
      </c>
      <c r="S85">
        <v>30</v>
      </c>
      <c r="T85" s="117" t="str">
        <f>K90</f>
        <v>6:00</v>
      </c>
    </row>
    <row r="86" spans="1:20">
      <c r="A86" t="s">
        <v>235</v>
      </c>
      <c r="B86" s="129">
        <f>'HourGH-AUG'!AE22</f>
        <v>339.81</v>
      </c>
      <c r="C86" s="129">
        <f>'HourGH-AUG'!AE23</f>
        <v>339.37</v>
      </c>
      <c r="D86" s="129">
        <f>'HourGH-AUG'!AE24</f>
        <v>338.8</v>
      </c>
      <c r="E86" s="129">
        <f>'HourGH-AUG'!AE25</f>
        <v>338.58000000000004</v>
      </c>
      <c r="F86" s="129">
        <f>'HourGH-AUG'!AE26</f>
        <v>338.6</v>
      </c>
      <c r="G86" s="129">
        <f>'HourGH-AUG'!AE27</f>
        <v>338.47</v>
      </c>
      <c r="H86" s="129">
        <f>'HourGH-AUG'!AE28</f>
        <v>338.33000000000004</v>
      </c>
      <c r="I86" s="129">
        <f>'HourGH-AUG'!AE29</f>
        <v>338.23</v>
      </c>
      <c r="J86" s="129">
        <f>'HourGH-AUG'!AE30</f>
        <v>338.22</v>
      </c>
      <c r="K86" s="129">
        <f>'HourGH-AUG'!AE31</f>
        <v>338.21000000000004</v>
      </c>
    </row>
    <row r="87" spans="1:20">
      <c r="A87" t="s">
        <v>236</v>
      </c>
      <c r="B87" s="129">
        <f>'HourGH-AUG'!AE33</f>
        <v>338.20000000000005</v>
      </c>
      <c r="C87" s="129">
        <f>'HourGH-AUG'!AE34</f>
        <v>338.24</v>
      </c>
      <c r="D87" s="129">
        <f>'HourGH-AUG'!AE35</f>
        <v>338.43</v>
      </c>
      <c r="E87" s="129">
        <f>'HourGH-AUG'!AE36</f>
        <v>338.41</v>
      </c>
      <c r="F87" s="129">
        <f>'HourGH-AUG'!AE37</f>
        <v>338.33000000000004</v>
      </c>
      <c r="G87" s="129">
        <f>'HourGH-AUG'!AE38</f>
        <v>338.29</v>
      </c>
      <c r="H87" s="129">
        <f>'HourGH-AUG'!AE39</f>
        <v>338.25</v>
      </c>
      <c r="I87" s="129">
        <f>'HourGH-AUG'!AE40</f>
        <v>338.21000000000004</v>
      </c>
      <c r="J87" s="129">
        <f>'HourGH-AUG'!AE41</f>
        <v>338.16</v>
      </c>
      <c r="K87" s="129">
        <f>'HourGH-AUG'!AE42</f>
        <v>338.14000000000004</v>
      </c>
    </row>
    <row r="88" spans="1:20">
      <c r="A88" t="s">
        <v>222</v>
      </c>
      <c r="B88" s="119" t="str">
        <f>'HourGH-AUG'!AF11&amp;":00"</f>
        <v>1:00</v>
      </c>
      <c r="C88" s="119" t="str">
        <f>'HourGH-AUG'!AF12&amp;":00"</f>
        <v>19:00</v>
      </c>
      <c r="D88" s="119" t="str">
        <f>'HourGH-AUG'!AF13&amp;":00"</f>
        <v>13:00</v>
      </c>
      <c r="E88" s="119" t="str">
        <f>'HourGH-AUG'!AF14&amp;":00"</f>
        <v>1:00</v>
      </c>
      <c r="F88" s="119" t="str">
        <f>'HourGH-AUG'!AF15&amp;":00"</f>
        <v>1:00</v>
      </c>
      <c r="G88" s="119" t="str">
        <f>'HourGH-AUG'!AF16&amp;":00"</f>
        <v>24:00</v>
      </c>
      <c r="H88" s="119" t="str">
        <f>'HourGH-AUG'!AF17&amp;":00"</f>
        <v>19:00</v>
      </c>
      <c r="I88" s="119" t="str">
        <f>'HourGH-AUG'!AF18&amp;":00"</f>
        <v>1:00</v>
      </c>
      <c r="J88" s="119" t="str">
        <f>'HourGH-AUG'!AF19&amp;":00"</f>
        <v>1:00</v>
      </c>
      <c r="K88" s="119" t="str">
        <f>'HourGH-AUG'!AF20&amp;":00"</f>
        <v>1:00</v>
      </c>
      <c r="N88" s="118">
        <f>MATCH(N90,N56:N85,0)</f>
        <v>11</v>
      </c>
      <c r="P88">
        <f>MATCH(P89,R56:R85,0)</f>
        <v>5</v>
      </c>
    </row>
    <row r="89" spans="1:20">
      <c r="A89" t="s">
        <v>223</v>
      </c>
      <c r="B89" s="119" t="str">
        <f>'HourGH-AUG'!AF22&amp;":00"</f>
        <v>24:00</v>
      </c>
      <c r="C89" s="119" t="str">
        <f>'HourGH-AUG'!AF23&amp;":00"</f>
        <v>24:00</v>
      </c>
      <c r="D89" s="119" t="str">
        <f>'HourGH-AUG'!AF24&amp;":00"</f>
        <v>24:00</v>
      </c>
      <c r="E89" s="119" t="str">
        <f>'HourGH-AUG'!AF25&amp;":00"</f>
        <v>21:00</v>
      </c>
      <c r="F89" s="119" t="str">
        <f>'HourGH-AUG'!AF26&amp;":00"</f>
        <v>1:00</v>
      </c>
      <c r="G89" s="119" t="str">
        <f>'HourGH-AUG'!AF27&amp;":00"</f>
        <v>21:00</v>
      </c>
      <c r="H89" s="119" t="str">
        <f>'HourGH-AUG'!AF28&amp;":00"</f>
        <v>24:00</v>
      </c>
      <c r="I89" s="119" t="str">
        <f>'HourGH-AUG'!AF29&amp;":00"</f>
        <v>23:00</v>
      </c>
      <c r="J89" s="119" t="str">
        <f>'HourGH-AUG'!AF30&amp;":00"</f>
        <v>3:00</v>
      </c>
      <c r="K89" s="119" t="str">
        <f>'HourGH-AUG'!AF31&amp;":00"</f>
        <v>1:00</v>
      </c>
      <c r="O89" s="118" t="str">
        <f>INDEX(P56:P85,N88)</f>
        <v>3:00</v>
      </c>
      <c r="P89" s="129">
        <f>MIN(B85:K87)</f>
        <v>338.08000000000004</v>
      </c>
      <c r="R89" t="str">
        <f>INDEX(T56:T85,P88)</f>
        <v>1:00</v>
      </c>
    </row>
    <row r="90" spans="1:20">
      <c r="A90" t="s">
        <v>224</v>
      </c>
      <c r="B90" s="119" t="str">
        <f>'HourGH-AUG'!AF33&amp;":00"</f>
        <v>7:00</v>
      </c>
      <c r="C90" s="119" t="str">
        <f>'HourGH-AUG'!AF34&amp;":00"</f>
        <v>1:00</v>
      </c>
      <c r="D90" s="119" t="str">
        <f>'HourGH-AUG'!AF35&amp;":00"</f>
        <v>1:00</v>
      </c>
      <c r="E90" s="119" t="str">
        <f>'HourGH-AUG'!AF36&amp;":00"</f>
        <v>24:00</v>
      </c>
      <c r="F90" s="119" t="str">
        <f>'HourGH-AUG'!AF37&amp;":00"</f>
        <v>19:00</v>
      </c>
      <c r="G90" s="119" t="str">
        <f>'HourGH-AUG'!AF38&amp;":00"</f>
        <v>19:00</v>
      </c>
      <c r="H90" s="119" t="str">
        <f>'HourGH-AUG'!AF39&amp;":00"</f>
        <v>19:00</v>
      </c>
      <c r="I90" s="119" t="str">
        <f>'HourGH-AUG'!AF40&amp;":00"</f>
        <v>19:00</v>
      </c>
      <c r="J90" s="119" t="str">
        <f>'HourGH-AUG'!AF41&amp;":00"</f>
        <v>19:00</v>
      </c>
      <c r="K90" s="119" t="str">
        <f>'HourGH-AUG'!AF42&amp;":00"</f>
        <v>6:00</v>
      </c>
      <c r="N90" s="119">
        <f>MAX(B79:K81)</f>
        <v>340.14000000000004</v>
      </c>
      <c r="O90" s="118">
        <f>N88</f>
        <v>11</v>
      </c>
    </row>
    <row r="91" spans="1:20">
      <c r="A91" t="s">
        <v>218</v>
      </c>
      <c r="B91" s="119">
        <f>AVERAGE(B76:K78)</f>
        <v>338.471888888889</v>
      </c>
      <c r="C91" s="311" t="str">
        <f>"MAX"&amp;" "&amp;N90&amp;" "&amp;"DATE"&amp;" " &amp;O90&amp;" "&amp;"TIME"&amp;" "&amp;O89&amp;" "&amp;"MIN"&amp;" "&amp;P89&amp;" "&amp;"DATE"&amp;" "&amp;P88&amp;" "&amp;"TIME"&amp;" "&amp;R89</f>
        <v>MAX 340.14 DATE 11 TIME 3:00 MIN 338.08 DATE 5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T92"/>
  <sheetViews>
    <sheetView workbookViewId="0">
      <selection sqref="A1:K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240</v>
      </c>
      <c r="B2" s="118">
        <f>'HourGH-SEP'!W7</f>
        <v>337.6</v>
      </c>
      <c r="C2" s="118" t="str">
        <f>'HourGH-SEP'!Z7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IF(TRIM('HourGH-SEP'!C11)="","      ",'HourGH-SEP'!C11)</f>
        <v>0.89</v>
      </c>
      <c r="C4" s="128">
        <f>IF(TRIM('HourGH-SEP'!C12)="","      ",'HourGH-SEP'!C12)</f>
        <v>1.42</v>
      </c>
      <c r="D4" s="128">
        <f>IF(TRIM('HourGH-SEP'!C13)="","      ",'HourGH-SEP'!C13)</f>
        <v>0.93</v>
      </c>
      <c r="E4" s="128">
        <f>IF(TRIM('HourGH-SEP'!C14)="","      ",'HourGH-SEP'!C14)</f>
        <v>0.71</v>
      </c>
      <c r="F4" s="118">
        <f>IF(TRIM('HourGH-SEP'!C15)="","      ",'HourGH-SEP'!C15)</f>
        <v>0.63</v>
      </c>
      <c r="G4" s="118">
        <f>IF(TRIM('HourGH-SEP'!C16)="","      ",'HourGH-SEP'!C16)</f>
        <v>0.61</v>
      </c>
      <c r="H4" s="118">
        <f>IF(TRIM('HourGH-SEP'!C17)="","      ",'HourGH-SEP'!C17)</f>
        <v>0.88</v>
      </c>
      <c r="I4" s="118">
        <f>IF(TRIM('HourGH-SEP'!C18)="","      ",'HourGH-SEP'!C18)</f>
        <v>1.47</v>
      </c>
      <c r="J4" s="118">
        <f>IF(TRIM('HourGH-SEP'!C19)="","      ",'HourGH-SEP'!C19)</f>
        <v>2.0699999999999998</v>
      </c>
      <c r="K4" s="118">
        <f>IF(TRIM('HourGH-SEP'!C20)="","      ",'HourGH-SEP'!C20)</f>
        <v>2.5</v>
      </c>
    </row>
    <row r="5" spans="1:15">
      <c r="A5" s="127" t="s">
        <v>147</v>
      </c>
      <c r="B5" s="118">
        <f>IF(TRIM('HourGH-SEP'!C22)="","      ",'HourGH-SEP'!C22)</f>
        <v>1.64</v>
      </c>
      <c r="C5" s="118">
        <f>IF(TRIM('HourGH-SEP'!C23)="","      ",'HourGH-SEP'!C23)</f>
        <v>1.24</v>
      </c>
      <c r="D5" s="118">
        <f>IF(TRIM('HourGH-SEP'!C24)="","      ",'HourGH-SEP'!C24)</f>
        <v>1.22</v>
      </c>
      <c r="E5" s="118">
        <f>IF(TRIM('HourGH-SEP'!C25)="","      ",'HourGH-SEP'!C25)</f>
        <v>1.55</v>
      </c>
      <c r="F5" s="118">
        <f>IF(TRIM('HourGH-SEP'!C26)="","      ",'HourGH-SEP'!C26)</f>
        <v>1.63</v>
      </c>
      <c r="G5" s="118">
        <f>IF(TRIM('HourGH-SEP'!C27)="","      ",'HourGH-SEP'!C27)</f>
        <v>1.75</v>
      </c>
      <c r="H5" s="118">
        <f>IF(TRIM('HourGH-SEP'!C28)="","      ",'HourGH-SEP'!C28)</f>
        <v>2</v>
      </c>
      <c r="I5" s="118">
        <f>IF(TRIM('HourGH-SEP'!C29)="","      ",'HourGH-SEP'!C29)</f>
        <v>1.8</v>
      </c>
      <c r="J5" s="118">
        <f>IF(TRIM('HourGH-SEP'!C30)="","      ",'HourGH-SEP'!C30)</f>
        <v>1.54</v>
      </c>
      <c r="K5" s="118">
        <f>IF(TRIM('HourGH-SEP'!C31)="","      ",'HourGH-SEP'!C31)</f>
        <v>1.28</v>
      </c>
    </row>
    <row r="6" spans="1:15">
      <c r="A6" s="127" t="s">
        <v>148</v>
      </c>
      <c r="B6" s="118">
        <f>IF(TRIM('HourGH-SEP'!C33)="","      ",'HourGH-SEP'!C33)</f>
        <v>1.19</v>
      </c>
      <c r="C6" s="118">
        <f>IF(TRIM('HourGH-SEP'!C34)="","      ",'HourGH-SEP'!C34)</f>
        <v>1.01</v>
      </c>
      <c r="D6" s="118">
        <f>IF(TRIM('HourGH-SEP'!C35)="","      ",'HourGH-SEP'!C35)</f>
        <v>0.89</v>
      </c>
      <c r="E6" s="118">
        <f>IF(TRIM('HourGH-SEP'!C36)="","      ",'HourGH-SEP'!C36)</f>
        <v>0.83</v>
      </c>
      <c r="F6" s="118">
        <f>IF(TRIM('HourGH-SEP'!C37)="","      ",'HourGH-SEP'!C37)</f>
        <v>0.82</v>
      </c>
      <c r="G6" s="118">
        <f>IF(TRIM('HourGH-SEP'!C38)="","      ",'HourGH-SEP'!C38)</f>
        <v>0.84</v>
      </c>
      <c r="H6" s="118">
        <f>IF(TRIM('HourGH-SEP'!C39)="","      ",'HourGH-SEP'!C39)</f>
        <v>1.62</v>
      </c>
      <c r="I6" s="118">
        <f>IF(TRIM('HourGH-SEP'!C40)="","      ",'HourGH-SEP'!C40)</f>
        <v>1.64</v>
      </c>
      <c r="J6" s="118">
        <f>IF(TRIM('HourGH-SEP'!C41)="","      ",'HourGH-SEP'!C41)</f>
        <v>1.72</v>
      </c>
      <c r="K6" s="118">
        <f>IF(TRIM('HourGH-SEP'!C42)="","      ",'HourGH-SEP'!C42)</f>
        <v>1.38</v>
      </c>
    </row>
    <row r="7" spans="1:15">
      <c r="A7" s="127" t="s">
        <v>149</v>
      </c>
      <c r="B7" s="128">
        <f>IF(TRIM('HourGH-SEP'!D11)="","      ",'HourGH-SEP'!D11)</f>
        <v>0.93</v>
      </c>
      <c r="C7" s="128">
        <f>IF(TRIM('HourGH-SEP'!D12)="","      ",'HourGH-SEP'!D12)</f>
        <v>1.4</v>
      </c>
      <c r="D7" s="128">
        <f>IF(TRIM('HourGH-SEP'!D13)="","      ",'HourGH-SEP'!D13)</f>
        <v>0.92</v>
      </c>
      <c r="E7" s="128">
        <f>IF(TRIM('HourGH-SEP'!D14)="","      ",'HourGH-SEP'!D14)</f>
        <v>0.7</v>
      </c>
      <c r="F7" s="118">
        <f>IF(TRIM('HourGH-SEP'!D15)="","      ",'HourGH-SEP'!D15)</f>
        <v>0.63</v>
      </c>
      <c r="G7" s="118">
        <f>IF(TRIM('HourGH-SEP'!D16)="","      ",'HourGH-SEP'!D16)</f>
        <v>0.61</v>
      </c>
      <c r="H7" s="118">
        <f>IF(TRIM('HourGH-SEP'!D17)="","      ",'HourGH-SEP'!D17)</f>
        <v>0.91</v>
      </c>
      <c r="I7" s="118">
        <f>IF(TRIM('HourGH-SEP'!D18)="","      ",'HourGH-SEP'!D18)</f>
        <v>1.49</v>
      </c>
      <c r="J7" s="118">
        <f>IF(TRIM('HourGH-SEP'!D19)="","      ",'HourGH-SEP'!D19)</f>
        <v>2.1</v>
      </c>
      <c r="K7" s="118">
        <f>IF(TRIM('HourGH-SEP'!D20)="","      ",'HourGH-SEP'!D20)</f>
        <v>2.48</v>
      </c>
    </row>
    <row r="8" spans="1:15">
      <c r="A8" s="127" t="s">
        <v>150</v>
      </c>
      <c r="B8" s="118">
        <f>IF(TRIM('HourGH-SEP'!D22)="","      ",'HourGH-SEP'!D22)</f>
        <v>1.61</v>
      </c>
      <c r="C8" s="118">
        <f>IF(TRIM('HourGH-SEP'!D23)="","      ",'HourGH-SEP'!D23)</f>
        <v>1.23</v>
      </c>
      <c r="D8" s="118">
        <f>IF(TRIM('HourGH-SEP'!D24)="","      ",'HourGH-SEP'!D24)</f>
        <v>1.23</v>
      </c>
      <c r="E8" s="118">
        <f>IF(TRIM('HourGH-SEP'!D25)="","      ",'HourGH-SEP'!D25)</f>
        <v>1.53</v>
      </c>
      <c r="F8" s="118">
        <f>IF(TRIM('HourGH-SEP'!D26)="","      ",'HourGH-SEP'!D26)</f>
        <v>1.67</v>
      </c>
      <c r="G8" s="118">
        <f>IF(TRIM('HourGH-SEP'!D27)="","      ",'HourGH-SEP'!D27)</f>
        <v>1.72</v>
      </c>
      <c r="H8" s="118">
        <f>IF(TRIM('HourGH-SEP'!D28)="","      ",'HourGH-SEP'!D28)</f>
        <v>2.02</v>
      </c>
      <c r="I8" s="118">
        <f>IF(TRIM('HourGH-SEP'!D29)="","      ",'HourGH-SEP'!D29)</f>
        <v>1.81</v>
      </c>
      <c r="J8" s="118">
        <f>IF(TRIM('HourGH-SEP'!D30)="","      ",'HourGH-SEP'!D30)</f>
        <v>1.51</v>
      </c>
      <c r="K8" s="118">
        <f>IF(TRIM('HourGH-SEP'!D31)="","      ",'HourGH-SEP'!D31)</f>
        <v>1.27</v>
      </c>
    </row>
    <row r="9" spans="1:15">
      <c r="A9" s="127" t="s">
        <v>151</v>
      </c>
      <c r="B9" s="118">
        <f>IF(TRIM('HourGH-SEP'!D33)="","      ",'HourGH-SEP'!D33)</f>
        <v>1.19</v>
      </c>
      <c r="C9" s="118">
        <f>IF(TRIM('HourGH-SEP'!D34)="","      ",'HourGH-SEP'!D34)</f>
        <v>1</v>
      </c>
      <c r="D9" s="118">
        <f>IF(TRIM('HourGH-SEP'!D35)="","      ",'HourGH-SEP'!D35)</f>
        <v>0.88</v>
      </c>
      <c r="E9" s="118">
        <f>IF(TRIM('HourGH-SEP'!D36)="","      ",'HourGH-SEP'!D36)</f>
        <v>0.83</v>
      </c>
      <c r="F9" s="118">
        <f>IF(TRIM('HourGH-SEP'!D37)="","      ",'HourGH-SEP'!D37)</f>
        <v>0.82</v>
      </c>
      <c r="G9" s="118">
        <f>IF(TRIM('HourGH-SEP'!D38)="","      ",'HourGH-SEP'!D38)</f>
        <v>0.85</v>
      </c>
      <c r="H9" s="118">
        <f>IF(TRIM('HourGH-SEP'!D39)="","      ",'HourGH-SEP'!D39)</f>
        <v>1.68</v>
      </c>
      <c r="I9" s="118">
        <f>IF(TRIM('HourGH-SEP'!D40)="","      ",'HourGH-SEP'!D40)</f>
        <v>1.59</v>
      </c>
      <c r="J9" s="118">
        <f>IF(TRIM('HourGH-SEP'!D41)="","      ",'HourGH-SEP'!D41)</f>
        <v>1.77</v>
      </c>
      <c r="K9" s="118">
        <f>IF(TRIM('HourGH-SEP'!D42)="","      ",'HourGH-SEP'!D42)</f>
        <v>1.35</v>
      </c>
    </row>
    <row r="10" spans="1:15">
      <c r="A10" s="127" t="s">
        <v>152</v>
      </c>
      <c r="B10" s="128">
        <f>IF(TRIM('HourGH-SEP'!E11)="","      ",'HourGH-SEP'!E11)</f>
        <v>0.98</v>
      </c>
      <c r="C10" s="128">
        <f>IF(TRIM('HourGH-SEP'!E12)="","      ",'HourGH-SEP'!E12)</f>
        <v>1.38</v>
      </c>
      <c r="D10" s="128">
        <f>IF(TRIM('HourGH-SEP'!E13)="","      ",'HourGH-SEP'!E13)</f>
        <v>0.91</v>
      </c>
      <c r="E10" s="128">
        <f>IF(TRIM('HourGH-SEP'!E14)="","      ",'HourGH-SEP'!E14)</f>
        <v>0.7</v>
      </c>
      <c r="F10" s="118">
        <f>IF(TRIM('HourGH-SEP'!E15)="","      ",'HourGH-SEP'!E15)</f>
        <v>0.63</v>
      </c>
      <c r="G10" s="118">
        <f>IF(TRIM('HourGH-SEP'!E16)="","      ",'HourGH-SEP'!E16)</f>
        <v>0.61</v>
      </c>
      <c r="H10" s="118">
        <f>IF(TRIM('HourGH-SEP'!E17)="","      ",'HourGH-SEP'!E17)</f>
        <v>0.94</v>
      </c>
      <c r="I10" s="118">
        <f>IF(TRIM('HourGH-SEP'!E18)="","      ",'HourGH-SEP'!E18)</f>
        <v>1.52</v>
      </c>
      <c r="J10" s="118">
        <f>IF(TRIM('HourGH-SEP'!E19)="","      ",'HourGH-SEP'!E19)</f>
        <v>2.13</v>
      </c>
      <c r="K10" s="118">
        <f>IF(TRIM('HourGH-SEP'!E20)="","      ",'HourGH-SEP'!E20)</f>
        <v>2.46</v>
      </c>
    </row>
    <row r="11" spans="1:15">
      <c r="A11" s="127" t="s">
        <v>153</v>
      </c>
      <c r="B11" s="118">
        <f>IF(TRIM('HourGH-SEP'!E22)="","      ",'HourGH-SEP'!E22)</f>
        <v>1.59</v>
      </c>
      <c r="C11" s="118">
        <f>IF(TRIM('HourGH-SEP'!E23)="","      ",'HourGH-SEP'!E23)</f>
        <v>1.22</v>
      </c>
      <c r="D11" s="118">
        <f>IF(TRIM('HourGH-SEP'!E24)="","      ",'HourGH-SEP'!E24)</f>
        <v>1.24</v>
      </c>
      <c r="E11" s="118">
        <f>IF(TRIM('HourGH-SEP'!E25)="","      ",'HourGH-SEP'!E25)</f>
        <v>1.52</v>
      </c>
      <c r="F11" s="118">
        <f>IF(TRIM('HourGH-SEP'!E26)="","      ",'HourGH-SEP'!E26)</f>
        <v>1.72</v>
      </c>
      <c r="G11" s="118">
        <f>IF(TRIM('HourGH-SEP'!E27)="","      ",'HourGH-SEP'!E27)</f>
        <v>1.69</v>
      </c>
      <c r="H11" s="118">
        <f>IF(TRIM('HourGH-SEP'!E28)="","      ",'HourGH-SEP'!E28)</f>
        <v>2.04</v>
      </c>
      <c r="I11" s="118">
        <f>IF(TRIM('HourGH-SEP'!E29)="","      ",'HourGH-SEP'!E29)</f>
        <v>1.83</v>
      </c>
      <c r="J11" s="118">
        <f>IF(TRIM('HourGH-SEP'!E30)="","      ",'HourGH-SEP'!E30)</f>
        <v>1.49</v>
      </c>
      <c r="K11" s="118">
        <f>IF(TRIM('HourGH-SEP'!E31)="","      ",'HourGH-SEP'!E31)</f>
        <v>1.26</v>
      </c>
    </row>
    <row r="12" spans="1:15">
      <c r="A12" s="127" t="s">
        <v>154</v>
      </c>
      <c r="B12" s="118">
        <f>IF(TRIM('HourGH-SEP'!E33)="","      ",'HourGH-SEP'!E33)</f>
        <v>1.18</v>
      </c>
      <c r="C12" s="118">
        <f>IF(TRIM('HourGH-SEP'!E34)="","      ",'HourGH-SEP'!E34)</f>
        <v>1</v>
      </c>
      <c r="D12" s="118">
        <f>IF(TRIM('HourGH-SEP'!E35)="","      ",'HourGH-SEP'!E35)</f>
        <v>0.88</v>
      </c>
      <c r="E12" s="118">
        <f>IF(TRIM('HourGH-SEP'!E36)="","      ",'HourGH-SEP'!E36)</f>
        <v>0.83</v>
      </c>
      <c r="F12" s="118">
        <f>IF(TRIM('HourGH-SEP'!E37)="","      ",'HourGH-SEP'!E37)</f>
        <v>0.82</v>
      </c>
      <c r="G12" s="118">
        <f>IF(TRIM('HourGH-SEP'!E38)="","      ",'HourGH-SEP'!E38)</f>
        <v>0.85</v>
      </c>
      <c r="H12" s="118">
        <f>IF(TRIM('HourGH-SEP'!E39)="","      ",'HourGH-SEP'!E39)</f>
        <v>1.75</v>
      </c>
      <c r="I12" s="118">
        <f>IF(TRIM('HourGH-SEP'!E40)="","      ",'HourGH-SEP'!E40)</f>
        <v>1.55</v>
      </c>
      <c r="J12" s="118">
        <f>IF(TRIM('HourGH-SEP'!E41)="","      ",'HourGH-SEP'!E41)</f>
        <v>1.81</v>
      </c>
      <c r="K12" s="118">
        <f>IF(TRIM('HourGH-SEP'!E42)="","      ",'HourGH-SEP'!E42)</f>
        <v>1.33</v>
      </c>
    </row>
    <row r="13" spans="1:15">
      <c r="A13" s="127" t="s">
        <v>155</v>
      </c>
      <c r="B13" s="128">
        <f>IF(TRIM('HourGH-SEP'!F11)="","      ",'HourGH-SEP'!F11)</f>
        <v>1.02</v>
      </c>
      <c r="C13" s="128">
        <f>IF(TRIM('HourGH-SEP'!F12)="","      ",'HourGH-SEP'!F12)</f>
        <v>1.36</v>
      </c>
      <c r="D13" s="128">
        <f>IF(TRIM('HourGH-SEP'!F13)="","      ",'HourGH-SEP'!F13)</f>
        <v>0.9</v>
      </c>
      <c r="E13" s="128">
        <f>IF(TRIM('HourGH-SEP'!F14)="","      ",'HourGH-SEP'!F14)</f>
        <v>0.69</v>
      </c>
      <c r="F13" s="118">
        <f>IF(TRIM('HourGH-SEP'!F15)="","      ",'HourGH-SEP'!F15)</f>
        <v>0.62</v>
      </c>
      <c r="G13" s="118">
        <f>IF(TRIM('HourGH-SEP'!F16)="","      ",'HourGH-SEP'!F16)</f>
        <v>0.62</v>
      </c>
      <c r="H13" s="118">
        <f>IF(TRIM('HourGH-SEP'!F17)="","      ",'HourGH-SEP'!F17)</f>
        <v>0.97</v>
      </c>
      <c r="I13" s="118">
        <f>IF(TRIM('HourGH-SEP'!F18)="","      ",'HourGH-SEP'!F18)</f>
        <v>1.54</v>
      </c>
      <c r="J13" s="118">
        <f>IF(TRIM('HourGH-SEP'!F19)="","      ",'HourGH-SEP'!F19)</f>
        <v>2.16</v>
      </c>
      <c r="K13" s="118">
        <f>IF(TRIM('HourGH-SEP'!F20)="","      ",'HourGH-SEP'!F20)</f>
        <v>2.44</v>
      </c>
    </row>
    <row r="14" spans="1:15">
      <c r="A14" s="127" t="s">
        <v>156</v>
      </c>
      <c r="B14" s="118">
        <f>IF(TRIM('HourGH-SEP'!F22)="","      ",'HourGH-SEP'!F22)</f>
        <v>1.56</v>
      </c>
      <c r="C14" s="118">
        <f>IF(TRIM('HourGH-SEP'!F23)="","      ",'HourGH-SEP'!F23)</f>
        <v>1.21</v>
      </c>
      <c r="D14" s="118">
        <f>IF(TRIM('HourGH-SEP'!F24)="","      ",'HourGH-SEP'!F24)</f>
        <v>1.26</v>
      </c>
      <c r="E14" s="118">
        <f>IF(TRIM('HourGH-SEP'!F25)="","      ",'HourGH-SEP'!F25)</f>
        <v>1.51</v>
      </c>
      <c r="F14" s="118">
        <f>IF(TRIM('HourGH-SEP'!F26)="","      ",'HourGH-SEP'!F26)</f>
        <v>1.77</v>
      </c>
      <c r="G14" s="118">
        <f>IF(TRIM('HourGH-SEP'!F27)="","      ",'HourGH-SEP'!F27)</f>
        <v>1.67</v>
      </c>
      <c r="H14" s="118">
        <f>IF(TRIM('HourGH-SEP'!F28)="","      ",'HourGH-SEP'!F28)</f>
        <v>2.0499999999999998</v>
      </c>
      <c r="I14" s="118">
        <f>IF(TRIM('HourGH-SEP'!F29)="","      ",'HourGH-SEP'!F29)</f>
        <v>1.85</v>
      </c>
      <c r="J14" s="118">
        <f>IF(TRIM('HourGH-SEP'!F30)="","      ",'HourGH-SEP'!F30)</f>
        <v>1.47</v>
      </c>
      <c r="K14" s="118">
        <f>IF(TRIM('HourGH-SEP'!F31)="","      ",'HourGH-SEP'!F31)</f>
        <v>1.26</v>
      </c>
    </row>
    <row r="15" spans="1:15">
      <c r="A15" s="127" t="s">
        <v>157</v>
      </c>
      <c r="B15" s="118">
        <f>IF(TRIM('HourGH-SEP'!F33)="","      ",'HourGH-SEP'!F33)</f>
        <v>1.18</v>
      </c>
      <c r="C15" s="118">
        <f>IF(TRIM('HourGH-SEP'!F34)="","      ",'HourGH-SEP'!F34)</f>
        <v>0.99</v>
      </c>
      <c r="D15" s="118">
        <f>IF(TRIM('HourGH-SEP'!F35)="","      ",'HourGH-SEP'!F35)</f>
        <v>0.88</v>
      </c>
      <c r="E15" s="118">
        <f>IF(TRIM('HourGH-SEP'!F36)="","      ",'HourGH-SEP'!F36)</f>
        <v>0.83</v>
      </c>
      <c r="F15" s="118">
        <f>IF(TRIM('HourGH-SEP'!F37)="","      ",'HourGH-SEP'!F37)</f>
        <v>0.82</v>
      </c>
      <c r="G15" s="118">
        <f>IF(TRIM('HourGH-SEP'!F38)="","      ",'HourGH-SEP'!F38)</f>
        <v>0.86</v>
      </c>
      <c r="H15" s="118">
        <f>IF(TRIM('HourGH-SEP'!F39)="","      ",'HourGH-SEP'!F39)</f>
        <v>1.8</v>
      </c>
      <c r="I15" s="118">
        <f>IF(TRIM('HourGH-SEP'!F40)="","      ",'HourGH-SEP'!F40)</f>
        <v>1.51</v>
      </c>
      <c r="J15" s="118">
        <f>IF(TRIM('HourGH-SEP'!F41)="","      ",'HourGH-SEP'!F41)</f>
        <v>1.83</v>
      </c>
      <c r="K15" s="118">
        <f>IF(TRIM('HourGH-SEP'!F42)="","      ",'HourGH-SEP'!F42)</f>
        <v>1.31</v>
      </c>
    </row>
    <row r="16" spans="1:15">
      <c r="A16" s="127" t="s">
        <v>158</v>
      </c>
      <c r="B16" s="128">
        <f>IF(TRIM('HourGH-SEP'!G11)="","      ",'HourGH-SEP'!G11)</f>
        <v>1.07</v>
      </c>
      <c r="C16" s="128">
        <f>IF(TRIM('HourGH-SEP'!G12)="","      ",'HourGH-SEP'!G12)</f>
        <v>1.34</v>
      </c>
      <c r="D16" s="128">
        <f>IF(TRIM('HourGH-SEP'!G13)="","      ",'HourGH-SEP'!G13)</f>
        <v>0.89</v>
      </c>
      <c r="E16" s="128">
        <f>IF(TRIM('HourGH-SEP'!G14)="","      ",'HourGH-SEP'!G14)</f>
        <v>0.69</v>
      </c>
      <c r="F16" s="118">
        <f>IF(TRIM('HourGH-SEP'!G15)="","      ",'HourGH-SEP'!G15)</f>
        <v>0.62</v>
      </c>
      <c r="G16" s="118">
        <f>IF(TRIM('HourGH-SEP'!G16)="","      ",'HourGH-SEP'!G16)</f>
        <v>0.62</v>
      </c>
      <c r="H16" s="118">
        <f>IF(TRIM('HourGH-SEP'!G17)="","      ",'HourGH-SEP'!G17)</f>
        <v>0.99</v>
      </c>
      <c r="I16" s="118">
        <f>IF(TRIM('HourGH-SEP'!G18)="","      ",'HourGH-SEP'!G18)</f>
        <v>1.56</v>
      </c>
      <c r="J16" s="118">
        <f>IF(TRIM('HourGH-SEP'!G19)="","      ",'HourGH-SEP'!G19)</f>
        <v>2.19</v>
      </c>
      <c r="K16" s="118">
        <f>IF(TRIM('HourGH-SEP'!G20)="","      ",'HourGH-SEP'!G20)</f>
        <v>2.42</v>
      </c>
    </row>
    <row r="17" spans="1:11">
      <c r="A17" s="127" t="s">
        <v>159</v>
      </c>
      <c r="B17" s="118">
        <f>IF(TRIM('HourGH-SEP'!G22)="","      ",'HourGH-SEP'!G22)</f>
        <v>1.54</v>
      </c>
      <c r="C17" s="118">
        <f>IF(TRIM('HourGH-SEP'!G23)="","      ",'HourGH-SEP'!G23)</f>
        <v>1.21</v>
      </c>
      <c r="D17" s="118">
        <f>IF(TRIM('HourGH-SEP'!G24)="","      ",'HourGH-SEP'!G24)</f>
        <v>1.27</v>
      </c>
      <c r="E17" s="118">
        <f>IF(TRIM('HourGH-SEP'!G25)="","      ",'HourGH-SEP'!G25)</f>
        <v>1.5</v>
      </c>
      <c r="F17" s="118">
        <f>IF(TRIM('HourGH-SEP'!G26)="","      ",'HourGH-SEP'!G26)</f>
        <v>1.8</v>
      </c>
      <c r="G17" s="118">
        <f>IF(TRIM('HourGH-SEP'!G27)="","      ",'HourGH-SEP'!G27)</f>
        <v>1.65</v>
      </c>
      <c r="H17" s="118">
        <f>IF(TRIM('HourGH-SEP'!G28)="","      ",'HourGH-SEP'!G28)</f>
        <v>2.0499999999999998</v>
      </c>
      <c r="I17" s="118">
        <f>IF(TRIM('HourGH-SEP'!G29)="","      ",'HourGH-SEP'!G29)</f>
        <v>1.89</v>
      </c>
      <c r="J17" s="118">
        <f>IF(TRIM('HourGH-SEP'!G30)="","      ",'HourGH-SEP'!G30)</f>
        <v>1.45</v>
      </c>
      <c r="K17" s="118">
        <f>IF(TRIM('HourGH-SEP'!G31)="","      ",'HourGH-SEP'!G31)</f>
        <v>1.25</v>
      </c>
    </row>
    <row r="18" spans="1:11">
      <c r="A18" s="127" t="s">
        <v>160</v>
      </c>
      <c r="B18" s="118">
        <f>IF(TRIM('HourGH-SEP'!G33)="","      ",'HourGH-SEP'!G33)</f>
        <v>1.18</v>
      </c>
      <c r="C18" s="118">
        <f>IF(TRIM('HourGH-SEP'!G34)="","      ",'HourGH-SEP'!G34)</f>
        <v>0.99</v>
      </c>
      <c r="D18" s="118">
        <f>IF(TRIM('HourGH-SEP'!G35)="","      ",'HourGH-SEP'!G35)</f>
        <v>0.88</v>
      </c>
      <c r="E18" s="118">
        <f>IF(TRIM('HourGH-SEP'!G36)="","      ",'HourGH-SEP'!G36)</f>
        <v>0.83</v>
      </c>
      <c r="F18" s="118">
        <f>IF(TRIM('HourGH-SEP'!G37)="","      ",'HourGH-SEP'!G37)</f>
        <v>0.82</v>
      </c>
      <c r="G18" s="118">
        <f>IF(TRIM('HourGH-SEP'!G38)="","      ",'HourGH-SEP'!G38)</f>
        <v>0.87</v>
      </c>
      <c r="H18" s="118">
        <f>IF(TRIM('HourGH-SEP'!G39)="","      ",'HourGH-SEP'!G39)</f>
        <v>1.85</v>
      </c>
      <c r="I18" s="118">
        <f>IF(TRIM('HourGH-SEP'!G40)="","      ",'HourGH-SEP'!G40)</f>
        <v>1.49</v>
      </c>
      <c r="J18" s="118">
        <f>IF(TRIM('HourGH-SEP'!G41)="","      ",'HourGH-SEP'!G41)</f>
        <v>1.85</v>
      </c>
      <c r="K18" s="118">
        <f>IF(TRIM('HourGH-SEP'!G42)="","      ",'HourGH-SEP'!G42)</f>
        <v>1.29</v>
      </c>
    </row>
    <row r="19" spans="1:11">
      <c r="A19" s="127" t="s">
        <v>161</v>
      </c>
      <c r="B19" s="128">
        <f>IF(TRIM('HourGH-SEP'!H11)="","      ",'HourGH-SEP'!H11)</f>
        <v>1.1200000000000001</v>
      </c>
      <c r="C19" s="128">
        <f>IF(TRIM('HourGH-SEP'!H12)="","      ",'HourGH-SEP'!H12)</f>
        <v>1.32</v>
      </c>
      <c r="D19" s="128">
        <f>IF(TRIM('HourGH-SEP'!H13)="","      ",'HourGH-SEP'!H13)</f>
        <v>0.88</v>
      </c>
      <c r="E19" s="128">
        <f>IF(TRIM('HourGH-SEP'!H14)="","      ",'HourGH-SEP'!H14)</f>
        <v>0.69</v>
      </c>
      <c r="F19" s="118">
        <f>IF(TRIM('HourGH-SEP'!H15)="","      ",'HourGH-SEP'!H15)</f>
        <v>0.62</v>
      </c>
      <c r="G19" s="118">
        <f>IF(TRIM('HourGH-SEP'!H16)="","      ",'HourGH-SEP'!H16)</f>
        <v>0.62</v>
      </c>
      <c r="H19" s="118">
        <f>IF(TRIM('HourGH-SEP'!H17)="","      ",'HourGH-SEP'!H17)</f>
        <v>1.02</v>
      </c>
      <c r="I19" s="118">
        <f>IF(TRIM('HourGH-SEP'!H18)="","      ",'HourGH-SEP'!H18)</f>
        <v>1.58</v>
      </c>
      <c r="J19" s="118">
        <f>IF(TRIM('HourGH-SEP'!H19)="","      ",'HourGH-SEP'!H19)</f>
        <v>2.2200000000000002</v>
      </c>
      <c r="K19" s="118">
        <f>IF(TRIM('HourGH-SEP'!H20)="","      ",'HourGH-SEP'!H20)</f>
        <v>2.4</v>
      </c>
    </row>
    <row r="20" spans="1:11">
      <c r="A20" s="127" t="s">
        <v>162</v>
      </c>
      <c r="B20" s="118">
        <f>IF(TRIM('HourGH-SEP'!H22)="","      ",'HourGH-SEP'!H22)</f>
        <v>1.52</v>
      </c>
      <c r="C20" s="118">
        <f>IF(TRIM('HourGH-SEP'!H23)="","      ",'HourGH-SEP'!H23)</f>
        <v>1.2</v>
      </c>
      <c r="D20" s="118">
        <f>IF(TRIM('HourGH-SEP'!H24)="","      ",'HourGH-SEP'!H24)</f>
        <v>1.28</v>
      </c>
      <c r="E20" s="118">
        <f>IF(TRIM('HourGH-SEP'!H25)="","      ",'HourGH-SEP'!H25)</f>
        <v>1.49</v>
      </c>
      <c r="F20" s="118">
        <f>IF(TRIM('HourGH-SEP'!H26)="","      ",'HourGH-SEP'!H26)</f>
        <v>1.83</v>
      </c>
      <c r="G20" s="118">
        <f>IF(TRIM('HourGH-SEP'!H27)="","      ",'HourGH-SEP'!H27)</f>
        <v>1.63</v>
      </c>
      <c r="H20" s="118">
        <f>IF(TRIM('HourGH-SEP'!H28)="","      ",'HourGH-SEP'!H28)</f>
        <v>2.0499999999999998</v>
      </c>
      <c r="I20" s="118">
        <f>IF(TRIM('HourGH-SEP'!H29)="","      ",'HourGH-SEP'!H29)</f>
        <v>1.92</v>
      </c>
      <c r="J20" s="118">
        <f>IF(TRIM('HourGH-SEP'!H30)="","      ",'HourGH-SEP'!H30)</f>
        <v>1.43</v>
      </c>
      <c r="K20" s="118">
        <f>IF(TRIM('HourGH-SEP'!H31)="","      ",'HourGH-SEP'!H31)</f>
        <v>1.25</v>
      </c>
    </row>
    <row r="21" spans="1:11">
      <c r="A21" s="127" t="s">
        <v>163</v>
      </c>
      <c r="B21" s="118">
        <f>IF(TRIM('HourGH-SEP'!H33)="","      ",'HourGH-SEP'!H33)</f>
        <v>1.17</v>
      </c>
      <c r="C21" s="118">
        <f>IF(TRIM('HourGH-SEP'!H34)="","      ",'HourGH-SEP'!H34)</f>
        <v>0.98</v>
      </c>
      <c r="D21" s="118">
        <f>IF(TRIM('HourGH-SEP'!H35)="","      ",'HourGH-SEP'!H35)</f>
        <v>0.88</v>
      </c>
      <c r="E21" s="118">
        <f>IF(TRIM('HourGH-SEP'!H36)="","      ",'HourGH-SEP'!H36)</f>
        <v>0.82</v>
      </c>
      <c r="F21" s="118">
        <f>IF(TRIM('HourGH-SEP'!H37)="","      ",'HourGH-SEP'!H37)</f>
        <v>0.82</v>
      </c>
      <c r="G21" s="118">
        <f>IF(TRIM('HourGH-SEP'!H38)="","      ",'HourGH-SEP'!H38)</f>
        <v>0.88</v>
      </c>
      <c r="H21" s="118">
        <f>IF(TRIM('HourGH-SEP'!H39)="","      ",'HourGH-SEP'!H39)</f>
        <v>1.88</v>
      </c>
      <c r="I21" s="118">
        <f>IF(TRIM('HourGH-SEP'!H40)="","      ",'HourGH-SEP'!H40)</f>
        <v>1.47</v>
      </c>
      <c r="J21" s="118">
        <f>IF(TRIM('HourGH-SEP'!H41)="","      ",'HourGH-SEP'!H41)</f>
        <v>1.88</v>
      </c>
      <c r="K21" s="118">
        <f>IF(TRIM('HourGH-SEP'!H42)="","      ",'HourGH-SEP'!H42)</f>
        <v>1.27</v>
      </c>
    </row>
    <row r="22" spans="1:11">
      <c r="A22" s="127" t="s">
        <v>164</v>
      </c>
      <c r="B22" s="128">
        <f>IF(TRIM('HourGH-SEP'!I11)="","      ",'HourGH-SEP'!I11)</f>
        <v>1.17</v>
      </c>
      <c r="C22" s="128">
        <f>IF(TRIM('HourGH-SEP'!I12)="","      ",'HourGH-SEP'!I12)</f>
        <v>1.29</v>
      </c>
      <c r="D22" s="128">
        <f>IF(TRIM('HourGH-SEP'!I13)="","      ",'HourGH-SEP'!I13)</f>
        <v>0.87</v>
      </c>
      <c r="E22" s="128">
        <f>IF(TRIM('HourGH-SEP'!I14)="","      ",'HourGH-SEP'!I14)</f>
        <v>0.68</v>
      </c>
      <c r="F22" s="118">
        <f>IF(TRIM('HourGH-SEP'!I15)="","      ",'HourGH-SEP'!I15)</f>
        <v>0.62</v>
      </c>
      <c r="G22" s="118">
        <f>IF(TRIM('HourGH-SEP'!I16)="","      ",'HourGH-SEP'!I16)</f>
        <v>0.62</v>
      </c>
      <c r="H22" s="128">
        <f>IF(TRIM('HourGH-SEP'!I17)="","      ",'HourGH-SEP'!I17)</f>
        <v>1.06</v>
      </c>
      <c r="I22" s="128">
        <f>IF(TRIM('HourGH-SEP'!I18)="","      ",'HourGH-SEP'!I18)</f>
        <v>1.58</v>
      </c>
      <c r="J22" s="128">
        <f>IF(TRIM('HourGH-SEP'!I19)="","      ",'HourGH-SEP'!I19)</f>
        <v>2.2599999999999998</v>
      </c>
      <c r="K22" s="128">
        <f>IF(TRIM('HourGH-SEP'!I20)="","      ",'HourGH-SEP'!I20)</f>
        <v>2.37</v>
      </c>
    </row>
    <row r="23" spans="1:11">
      <c r="A23" s="127" t="s">
        <v>165</v>
      </c>
      <c r="B23" s="128">
        <f>IF(TRIM('HourGH-SEP'!I22)="","      ",'HourGH-SEP'!I22)</f>
        <v>1.5</v>
      </c>
      <c r="C23" s="128">
        <f>IF(TRIM('HourGH-SEP'!I23)="","      ",'HourGH-SEP'!I23)</f>
        <v>1.2</v>
      </c>
      <c r="D23" s="128">
        <f>IF(TRIM('HourGH-SEP'!I24)="","      ",'HourGH-SEP'!I24)</f>
        <v>1.29</v>
      </c>
      <c r="E23" s="128">
        <f>IF(TRIM('HourGH-SEP'!I25)="","      ",'HourGH-SEP'!I25)</f>
        <v>1.48</v>
      </c>
      <c r="F23" s="118">
        <f>IF(TRIM('HourGH-SEP'!I26)="","      ",'HourGH-SEP'!I26)</f>
        <v>1.87</v>
      </c>
      <c r="G23" s="118">
        <f>IF(TRIM('HourGH-SEP'!I27)="","      ",'HourGH-SEP'!I27)</f>
        <v>1.6</v>
      </c>
      <c r="H23" s="118">
        <f>IF(TRIM('HourGH-SEP'!I28)="","      ",'HourGH-SEP'!I28)</f>
        <v>2.0499999999999998</v>
      </c>
      <c r="I23" s="118">
        <f>IF(TRIM('HourGH-SEP'!I29)="","      ",'HourGH-SEP'!I29)</f>
        <v>1.95</v>
      </c>
      <c r="J23" s="118">
        <f>IF(TRIM('HourGH-SEP'!I30)="","      ",'HourGH-SEP'!I30)</f>
        <v>1.41</v>
      </c>
      <c r="K23" s="118">
        <f>IF(TRIM('HourGH-SEP'!I31)="","      ",'HourGH-SEP'!I31)</f>
        <v>1.25</v>
      </c>
    </row>
    <row r="24" spans="1:11">
      <c r="A24" s="127" t="s">
        <v>166</v>
      </c>
      <c r="B24" s="128">
        <f>IF(TRIM('HourGH-SEP'!J33)="","      ",'HourGH-SEP'!J33)</f>
        <v>1.1599999999999999</v>
      </c>
      <c r="C24" s="128">
        <f>IF(TRIM('HourGH-SEP'!I34)="","      ",'HourGH-SEP'!I34)</f>
        <v>0.98</v>
      </c>
      <c r="D24" s="128">
        <f>IF(TRIM('HourGH-SEP'!I35)="","      ",'HourGH-SEP'!I35)</f>
        <v>0.87</v>
      </c>
      <c r="E24" s="128">
        <f>IF(TRIM('HourGH-SEP'!I36)="","      ",'HourGH-SEP'!I36)</f>
        <v>0.82</v>
      </c>
      <c r="F24" s="118">
        <f>IF(TRIM('HourGH-SEP'!I37)="","      ",'HourGH-SEP'!I37)</f>
        <v>0.82</v>
      </c>
      <c r="G24" s="118">
        <f>IF(TRIM('HourGH-SEP'!I38)="","      ",'HourGH-SEP'!I38)</f>
        <v>0.9</v>
      </c>
      <c r="H24" s="118">
        <f>IF(TRIM('HourGH-SEP'!I39)="","      ",'HourGH-SEP'!I39)</f>
        <v>1.92</v>
      </c>
      <c r="I24" s="118">
        <f>IF(TRIM('HourGH-SEP'!I40)="","      ",'HourGH-SEP'!I40)</f>
        <v>1.46</v>
      </c>
      <c r="J24" s="118">
        <f>IF(TRIM('HourGH-SEP'!I41)="","      ",'HourGH-SEP'!I41)</f>
        <v>1.9</v>
      </c>
      <c r="K24" s="118">
        <f>IF(TRIM('HourGH-SEP'!I42)="","      ",'HourGH-SEP'!I42)</f>
        <v>1.25</v>
      </c>
    </row>
    <row r="25" spans="1:11">
      <c r="A25" s="127" t="s">
        <v>167</v>
      </c>
      <c r="B25" s="128">
        <f>IF(TRIM('HourGH-SEP'!J11)="","      ",'HourGH-SEP'!J11)</f>
        <v>1.22</v>
      </c>
      <c r="C25" s="128">
        <f>IF(TRIM('HourGH-SEP'!J12)="","      ",'HourGH-SEP'!J12)</f>
        <v>1.26</v>
      </c>
      <c r="D25" s="128">
        <f>IF(TRIM('HourGH-SEP'!J13)="","      ",'HourGH-SEP'!J13)</f>
        <v>0.86</v>
      </c>
      <c r="E25" s="128">
        <f>IF(TRIM('HourGH-SEP'!J14)="","      ",'HourGH-SEP'!J14)</f>
        <v>0.68</v>
      </c>
      <c r="F25" s="118">
        <f>IF(TRIM('HourGH-SEP'!J15)="","      ",'HourGH-SEP'!J15)</f>
        <v>0.62</v>
      </c>
      <c r="G25" s="118">
        <f>IF(TRIM('HourGH-SEP'!J16)="","      ",'HourGH-SEP'!J16)</f>
        <v>0.63</v>
      </c>
      <c r="H25" s="128">
        <f>IF(TRIM('HourGH-SEP'!J17)="","      ",'HourGH-SEP'!J17)</f>
        <v>1.0900000000000001</v>
      </c>
      <c r="I25" s="128">
        <f>IF(TRIM('HourGH-SEP'!J18)="","      ",'HourGH-SEP'!J18)</f>
        <v>1.58</v>
      </c>
      <c r="J25" s="128">
        <f>IF(TRIM('HourGH-SEP'!J19)="","      ",'HourGH-SEP'!J19)</f>
        <v>2.29</v>
      </c>
      <c r="K25" s="128">
        <f>IF(TRIM('HourGH-SEP'!J20)="","      ",'HourGH-SEP'!J20)</f>
        <v>2.33</v>
      </c>
    </row>
    <row r="26" spans="1:11">
      <c r="A26" s="127" t="s">
        <v>168</v>
      </c>
      <c r="B26" s="128">
        <f>IF(TRIM('HourGH-SEP'!J22)="","      ",'HourGH-SEP'!J22)</f>
        <v>1.47</v>
      </c>
      <c r="C26" s="128">
        <f>IF(TRIM('HourGH-SEP'!J23)="","      ",'HourGH-SEP'!J23)</f>
        <v>1.19</v>
      </c>
      <c r="D26" s="128">
        <f>IF(TRIM('HourGH-SEP'!J24)="","      ",'HourGH-SEP'!J24)</f>
        <v>1.31</v>
      </c>
      <c r="E26" s="128">
        <f>IF(TRIM('HourGH-SEP'!J25)="","      ",'HourGH-SEP'!J25)</f>
        <v>1.46</v>
      </c>
      <c r="F26" s="118">
        <f>IF(TRIM('HourGH-SEP'!J26)="","      ",'HourGH-SEP'!J26)</f>
        <v>1.89</v>
      </c>
      <c r="G26" s="118">
        <f>IF(TRIM('HourGH-SEP'!J27)="","      ",'HourGH-SEP'!J27)</f>
        <v>1.59</v>
      </c>
      <c r="H26" s="128">
        <f>IF(TRIM('HourGH-SEP'!J28)="","      ",'HourGH-SEP'!J28)</f>
        <v>2.04</v>
      </c>
      <c r="I26" s="128">
        <f>IF(TRIM('HourGH-SEP'!J29)="","      ",'HourGH-SEP'!J29)</f>
        <v>1.97</v>
      </c>
      <c r="J26" s="128">
        <f>IF(TRIM('HourGH-SEP'!J30)="","      ",'HourGH-SEP'!J30)</f>
        <v>1.4</v>
      </c>
      <c r="K26" s="128">
        <f>IF(TRIM('HourGH-SEP'!J31)="","      ",'HourGH-SEP'!J31)</f>
        <v>1.24</v>
      </c>
    </row>
    <row r="27" spans="1:11">
      <c r="A27" s="127" t="s">
        <v>169</v>
      </c>
      <c r="B27" s="128">
        <f>IF(TRIM('HourGH-SEP'!K33)="","      ",'HourGH-SEP'!K33)</f>
        <v>1.1599999999999999</v>
      </c>
      <c r="C27" s="128">
        <f>IF(TRIM('HourGH-SEP'!J34)="","      ",'HourGH-SEP'!J34)</f>
        <v>0.97</v>
      </c>
      <c r="D27" s="128">
        <f>IF(TRIM('HourGH-SEP'!J35)="","      ",'HourGH-SEP'!J35)</f>
        <v>0.87</v>
      </c>
      <c r="E27" s="128">
        <f>IF(TRIM('HourGH-SEP'!J36)="","      ",'HourGH-SEP'!J36)</f>
        <v>0.82</v>
      </c>
      <c r="F27" s="118">
        <f>IF(TRIM('HourGH-SEP'!J37)="","      ",'HourGH-SEP'!J37)</f>
        <v>0.82</v>
      </c>
      <c r="G27" s="118">
        <f>IF(TRIM('HourGH-SEP'!J38)="","      ",'HourGH-SEP'!J38)</f>
        <v>0.92</v>
      </c>
      <c r="H27" s="128">
        <f>IF(TRIM('HourGH-SEP'!J39)="","      ",'HourGH-SEP'!J39)</f>
        <v>1.96</v>
      </c>
      <c r="I27" s="128">
        <f>IF(TRIM('HourGH-SEP'!J40)="","      ",'HourGH-SEP'!J40)</f>
        <v>1.44</v>
      </c>
      <c r="J27" s="128">
        <f>IF(TRIM('HourGH-SEP'!J41)="","      ",'HourGH-SEP'!J41)</f>
        <v>1.92</v>
      </c>
      <c r="K27" s="128">
        <f>IF(TRIM('HourGH-SEP'!J42)="","      ",'HourGH-SEP'!J42)</f>
        <v>1.24</v>
      </c>
    </row>
    <row r="28" spans="1:11">
      <c r="A28" s="127" t="s">
        <v>170</v>
      </c>
      <c r="B28" s="128">
        <f>IF(TRIM('HourGH-SEP'!K11)="","      ",'HourGH-SEP'!K11)</f>
        <v>1.27</v>
      </c>
      <c r="C28" s="128">
        <f>IF(TRIM('HourGH-SEP'!K12)="","      ",'HourGH-SEP'!K12)</f>
        <v>1.23</v>
      </c>
      <c r="D28" s="128">
        <f>IF(TRIM('HourGH-SEP'!K13)="","      ",'HourGH-SEP'!K13)</f>
        <v>0.85</v>
      </c>
      <c r="E28" s="128">
        <f>IF(TRIM('HourGH-SEP'!K14)="","      ",'HourGH-SEP'!K14)</f>
        <v>0.68</v>
      </c>
      <c r="F28" s="118">
        <f>IF(TRIM('HourGH-SEP'!K15)="","      ",'HourGH-SEP'!K15)</f>
        <v>0.62</v>
      </c>
      <c r="G28" s="118">
        <f>IF(TRIM('HourGH-SEP'!K16)="","      ",'HourGH-SEP'!K16)</f>
        <v>0.63</v>
      </c>
      <c r="H28" s="128">
        <f>IF(TRIM('HourGH-SEP'!K17)="","      ",'HourGH-SEP'!K17)</f>
        <v>1.1200000000000001</v>
      </c>
      <c r="I28" s="128">
        <f>IF(TRIM('HourGH-SEP'!K18)="","      ",'HourGH-SEP'!K18)</f>
        <v>1.59</v>
      </c>
      <c r="J28" s="128">
        <f>IF(TRIM('HourGH-SEP'!K19)="","      ",'HourGH-SEP'!K19)</f>
        <v>2.33</v>
      </c>
      <c r="K28" s="128">
        <f>IF(TRIM('HourGH-SEP'!K20)="","      ",'HourGH-SEP'!K20)</f>
        <v>2.2999999999999998</v>
      </c>
    </row>
    <row r="29" spans="1:11">
      <c r="A29" s="127" t="s">
        <v>171</v>
      </c>
      <c r="B29" s="128">
        <f>IF(TRIM('HourGH-SEP'!K22)="","      ",'HourGH-SEP'!K22)</f>
        <v>1.45</v>
      </c>
      <c r="C29" s="128">
        <f>IF(TRIM('HourGH-SEP'!K23)="","      ",'HourGH-SEP'!K23)</f>
        <v>1.19</v>
      </c>
      <c r="D29" s="128">
        <f>IF(TRIM('HourGH-SEP'!K24)="","      ",'HourGH-SEP'!K24)</f>
        <v>1.33</v>
      </c>
      <c r="E29" s="128">
        <f>IF(TRIM('HourGH-SEP'!K25)="","      ",'HourGH-SEP'!K25)</f>
        <v>1.45</v>
      </c>
      <c r="F29" s="118">
        <f>IF(TRIM('HourGH-SEP'!K26)="","      ",'HourGH-SEP'!K26)</f>
        <v>1.91</v>
      </c>
      <c r="G29" s="118">
        <f>IF(TRIM('HourGH-SEP'!K27)="","      ",'HourGH-SEP'!K27)</f>
        <v>1.59</v>
      </c>
      <c r="H29" s="128">
        <f>IF(TRIM('HourGH-SEP'!K28)="","      ",'HourGH-SEP'!K28)</f>
        <v>2.02</v>
      </c>
      <c r="I29" s="128">
        <f>IF(TRIM('HourGH-SEP'!K29)="","      ",'HourGH-SEP'!K29)</f>
        <v>1.98</v>
      </c>
      <c r="J29" s="128">
        <f>IF(TRIM('HourGH-SEP'!K30)="","      ",'HourGH-SEP'!K30)</f>
        <v>1.39</v>
      </c>
      <c r="K29" s="128">
        <f>IF(TRIM('HourGH-SEP'!K31)="","      ",'HourGH-SEP'!K31)</f>
        <v>1.24</v>
      </c>
    </row>
    <row r="30" spans="1:11">
      <c r="A30" s="127" t="s">
        <v>172</v>
      </c>
      <c r="B30" s="128">
        <f>IF(TRIM('HourGH-SEP'!L33)="","      ",'HourGH-SEP'!L33)</f>
        <v>1.1499999999999999</v>
      </c>
      <c r="C30" s="128">
        <f>IF(TRIM('HourGH-SEP'!K34)="","      ",'HourGH-SEP'!K34)</f>
        <v>0.97</v>
      </c>
      <c r="D30" s="128">
        <f>IF(TRIM('HourGH-SEP'!K35)="","      ",'HourGH-SEP'!K35)</f>
        <v>0.87</v>
      </c>
      <c r="E30" s="128">
        <f>IF(TRIM('HourGH-SEP'!K36)="","      ",'HourGH-SEP'!K36)</f>
        <v>0.82</v>
      </c>
      <c r="F30" s="118">
        <f>IF(TRIM('HourGH-SEP'!K37)="","      ",'HourGH-SEP'!K37)</f>
        <v>0.82</v>
      </c>
      <c r="G30" s="118">
        <f>IF(TRIM('HourGH-SEP'!K38)="","      ",'HourGH-SEP'!K38)</f>
        <v>0.94</v>
      </c>
      <c r="H30" s="128">
        <f>IF(TRIM('HourGH-SEP'!K39)="","      ",'HourGH-SEP'!K39)</f>
        <v>1.98</v>
      </c>
      <c r="I30" s="128">
        <f>IF(TRIM('HourGH-SEP'!K40)="","      ",'HourGH-SEP'!K40)</f>
        <v>1.43</v>
      </c>
      <c r="J30" s="128">
        <f>IF(TRIM('HourGH-SEP'!K41)="","      ",'HourGH-SEP'!K41)</f>
        <v>1.93</v>
      </c>
      <c r="K30" s="128">
        <f>IF(TRIM('HourGH-SEP'!K42)="","      ",'HourGH-SEP'!K42)</f>
        <v>1.23</v>
      </c>
    </row>
    <row r="31" spans="1:11">
      <c r="A31" s="127" t="s">
        <v>173</v>
      </c>
      <c r="B31" s="128">
        <f>IF(TRIM('HourGH-SEP'!L11)="","      ",'HourGH-SEP'!L11)</f>
        <v>1.32</v>
      </c>
      <c r="C31" s="128">
        <f>IF(TRIM('HourGH-SEP'!L12)="","      ",'HourGH-SEP'!L12)</f>
        <v>1.2</v>
      </c>
      <c r="D31" s="128">
        <f>IF(TRIM('HourGH-SEP'!L13)="","      ",'HourGH-SEP'!L13)</f>
        <v>0.84</v>
      </c>
      <c r="E31" s="128">
        <f>IF(TRIM('HourGH-SEP'!L14)="","      ",'HourGH-SEP'!L14)</f>
        <v>0.68</v>
      </c>
      <c r="F31" s="118">
        <f>IF(TRIM('HourGH-SEP'!L15)="","      ",'HourGH-SEP'!L15)</f>
        <v>0.61</v>
      </c>
      <c r="G31" s="118">
        <f>IF(TRIM('HourGH-SEP'!L16)="","      ",'HourGH-SEP'!L16)</f>
        <v>0.64</v>
      </c>
      <c r="H31" s="128">
        <f>IF(TRIM('HourGH-SEP'!L17)="","      ",'HourGH-SEP'!L17)</f>
        <v>1.1399999999999999</v>
      </c>
      <c r="I31" s="128">
        <f>IF(TRIM('HourGH-SEP'!L18)="","      ",'HourGH-SEP'!L18)</f>
        <v>1.59</v>
      </c>
      <c r="J31" s="128">
        <f>IF(TRIM('HourGH-SEP'!L19)="","      ",'HourGH-SEP'!L19)</f>
        <v>2.36</v>
      </c>
      <c r="K31" s="128">
        <f>IF(TRIM('HourGH-SEP'!L20)="","      ",'HourGH-SEP'!L20)</f>
        <v>2.2599999999999998</v>
      </c>
    </row>
    <row r="32" spans="1:11">
      <c r="A32" s="127" t="s">
        <v>174</v>
      </c>
      <c r="B32" s="128">
        <f>IF(TRIM('HourGH-SEP'!L22)="","      ",'HourGH-SEP'!L22)</f>
        <v>1.44</v>
      </c>
      <c r="C32" s="128">
        <f>IF(TRIM('HourGH-SEP'!L23)="","      ",'HourGH-SEP'!L23)</f>
        <v>1.19</v>
      </c>
      <c r="D32" s="128">
        <f>IF(TRIM('HourGH-SEP'!L24)="","      ",'HourGH-SEP'!L24)</f>
        <v>1.35</v>
      </c>
      <c r="E32" s="128">
        <f>IF(TRIM('HourGH-SEP'!L25)="","      ",'HourGH-SEP'!L25)</f>
        <v>1.44</v>
      </c>
      <c r="F32" s="118">
        <f>IF(TRIM('HourGH-SEP'!L26)="","      ",'HourGH-SEP'!L26)</f>
        <v>1.93</v>
      </c>
      <c r="G32" s="118">
        <f>IF(TRIM('HourGH-SEP'!L27)="","      ",'HourGH-SEP'!L27)</f>
        <v>1.58</v>
      </c>
      <c r="H32" s="128">
        <f>IF(TRIM('HourGH-SEP'!L28)="","      ",'HourGH-SEP'!L28)</f>
        <v>1.99</v>
      </c>
      <c r="I32" s="128">
        <f>IF(TRIM('HourGH-SEP'!L29)="","      ",'HourGH-SEP'!L29)</f>
        <v>1.99</v>
      </c>
      <c r="J32" s="128">
        <f>IF(TRIM('HourGH-SEP'!L30)="","      ",'HourGH-SEP'!L30)</f>
        <v>1.38</v>
      </c>
      <c r="K32" s="128">
        <f>IF(TRIM('HourGH-SEP'!L31)="","      ",'HourGH-SEP'!L31)</f>
        <v>1.24</v>
      </c>
    </row>
    <row r="33" spans="1:11">
      <c r="A33" s="127" t="s">
        <v>175</v>
      </c>
      <c r="B33" s="128">
        <f>IF(TRIM('HourGH-SEP'!M33)="","      ",'HourGH-SEP'!M33)</f>
        <v>1.1499999999999999</v>
      </c>
      <c r="C33" s="128">
        <f>IF(TRIM('HourGH-SEP'!L34)="","      ",'HourGH-SEP'!L34)</f>
        <v>0.96</v>
      </c>
      <c r="D33" s="128">
        <f>IF(TRIM('HourGH-SEP'!L35)="","      ",'HourGH-SEP'!L35)</f>
        <v>0.86</v>
      </c>
      <c r="E33" s="128">
        <f>IF(TRIM('HourGH-SEP'!L36)="","      ",'HourGH-SEP'!L36)</f>
        <v>0.82</v>
      </c>
      <c r="F33" s="118">
        <f>IF(TRIM('HourGH-SEP'!L37)="","      ",'HourGH-SEP'!L37)</f>
        <v>0.82</v>
      </c>
      <c r="G33" s="118">
        <f>IF(TRIM('HourGH-SEP'!L38)="","      ",'HourGH-SEP'!L38)</f>
        <v>0.96</v>
      </c>
      <c r="H33" s="128">
        <f>IF(TRIM('HourGH-SEP'!L39)="","      ",'HourGH-SEP'!L39)</f>
        <v>2</v>
      </c>
      <c r="I33" s="128">
        <f>IF(TRIM('HourGH-SEP'!L40)="","      ",'HourGH-SEP'!L40)</f>
        <v>1.42</v>
      </c>
      <c r="J33" s="128">
        <f>IF(TRIM('HourGH-SEP'!L41)="","      ",'HourGH-SEP'!L41)</f>
        <v>1.93</v>
      </c>
      <c r="K33" s="128">
        <f>IF(TRIM('HourGH-SEP'!L42)="","      ",'HourGH-SEP'!L42)</f>
        <v>1.21</v>
      </c>
    </row>
    <row r="34" spans="1:11">
      <c r="A34" s="127" t="s">
        <v>176</v>
      </c>
      <c r="B34" s="128">
        <f>IF(TRIM('HourGH-SEP'!M11)="","      ",'HourGH-SEP'!M11)</f>
        <v>1.35</v>
      </c>
      <c r="C34" s="128">
        <f>IF(TRIM('HourGH-SEP'!M12)="","      ",'HourGH-SEP'!M12)</f>
        <v>1.18</v>
      </c>
      <c r="D34" s="128">
        <f>IF(TRIM('HourGH-SEP'!M13)="","      ",'HourGH-SEP'!M13)</f>
        <v>0.83</v>
      </c>
      <c r="E34" s="128">
        <f>IF(TRIM('HourGH-SEP'!M14)="","      ",'HourGH-SEP'!M14)</f>
        <v>0.68</v>
      </c>
      <c r="F34" s="118">
        <f>IF(TRIM('HourGH-SEP'!M15)="","      ",'HourGH-SEP'!M15)</f>
        <v>0.61</v>
      </c>
      <c r="G34" s="118">
        <f>IF(TRIM('HourGH-SEP'!M16)="","      ",'HourGH-SEP'!M16)</f>
        <v>0.65</v>
      </c>
      <c r="H34" s="128">
        <f>IF(TRIM('HourGH-SEP'!M17)="","      ",'HourGH-SEP'!M17)</f>
        <v>1.1599999999999999</v>
      </c>
      <c r="I34" s="128">
        <f>IF(TRIM('HourGH-SEP'!M18)="","      ",'HourGH-SEP'!M18)</f>
        <v>1.59</v>
      </c>
      <c r="J34" s="128">
        <f>IF(TRIM('HourGH-SEP'!M19)="","      ",'HourGH-SEP'!M19)</f>
        <v>2.39</v>
      </c>
      <c r="K34" s="128">
        <f>IF(TRIM('HourGH-SEP'!M20)="","      ",'HourGH-SEP'!M20)</f>
        <v>2.21</v>
      </c>
    </row>
    <row r="35" spans="1:11">
      <c r="A35" s="127" t="s">
        <v>177</v>
      </c>
      <c r="B35" s="128">
        <f>IF(TRIM('HourGH-SEP'!M22)="","      ",'HourGH-SEP'!M22)</f>
        <v>1.42</v>
      </c>
      <c r="C35" s="128">
        <f>IF(TRIM('HourGH-SEP'!M23)="","      ",'HourGH-SEP'!M23)</f>
        <v>1.19</v>
      </c>
      <c r="D35" s="128">
        <f>IF(TRIM('HourGH-SEP'!M24)="","      ",'HourGH-SEP'!M24)</f>
        <v>1.37</v>
      </c>
      <c r="E35" s="128">
        <f>IF(TRIM('HourGH-SEP'!M25)="","      ",'HourGH-SEP'!M25)</f>
        <v>1.43</v>
      </c>
      <c r="F35" s="118">
        <f>IF(TRIM('HourGH-SEP'!M26)="","      ",'HourGH-SEP'!M26)</f>
        <v>1.95</v>
      </c>
      <c r="G35" s="118">
        <f>IF(TRIM('HourGH-SEP'!M27)="","      ",'HourGH-SEP'!M27)</f>
        <v>1.58</v>
      </c>
      <c r="H35" s="128">
        <f>IF(TRIM('HourGH-SEP'!M28)="","      ",'HourGH-SEP'!M28)</f>
        <v>1.97</v>
      </c>
      <c r="I35" s="128">
        <f>IF(TRIM('HourGH-SEP'!M29)="","      ",'HourGH-SEP'!M29)</f>
        <v>2</v>
      </c>
      <c r="J35" s="128">
        <f>IF(TRIM('HourGH-SEP'!M30)="","      ",'HourGH-SEP'!M30)</f>
        <v>1.37</v>
      </c>
      <c r="K35" s="128">
        <f>IF(TRIM('HourGH-SEP'!M31)="","      ",'HourGH-SEP'!M31)</f>
        <v>1.23</v>
      </c>
    </row>
    <row r="36" spans="1:11">
      <c r="A36" s="127" t="s">
        <v>178</v>
      </c>
      <c r="B36" s="128">
        <f>IF(TRIM('HourGH-SEP'!N33)="","      ",'HourGH-SEP'!N33)</f>
        <v>1.1399999999999999</v>
      </c>
      <c r="C36" s="128">
        <f>IF(TRIM('HourGH-SEP'!M34)="","      ",'HourGH-SEP'!M34)</f>
        <v>0.96</v>
      </c>
      <c r="D36" s="128">
        <f>IF(TRIM('HourGH-SEP'!M35)="","      ",'HourGH-SEP'!M35)</f>
        <v>0.86</v>
      </c>
      <c r="E36" s="128">
        <f>IF(TRIM('HourGH-SEP'!M36)="","      ",'HourGH-SEP'!M36)</f>
        <v>0.82</v>
      </c>
      <c r="F36" s="118">
        <f>IF(TRIM('HourGH-SEP'!M37)="","      ",'HourGH-SEP'!M37)</f>
        <v>0.82</v>
      </c>
      <c r="G36" s="118">
        <f>IF(TRIM('HourGH-SEP'!M38)="","      ",'HourGH-SEP'!M38)</f>
        <v>0.99</v>
      </c>
      <c r="H36" s="128">
        <f>IF(TRIM('HourGH-SEP'!M39)="","      ",'HourGH-SEP'!M39)</f>
        <v>2.02</v>
      </c>
      <c r="I36" s="128">
        <f>IF(TRIM('HourGH-SEP'!M40)="","      ",'HourGH-SEP'!M40)</f>
        <v>1.41</v>
      </c>
      <c r="J36" s="128">
        <f>IF(TRIM('HourGH-SEP'!M41)="","      ",'HourGH-SEP'!M41)</f>
        <v>1.93</v>
      </c>
      <c r="K36" s="128">
        <f>IF(TRIM('HourGH-SEP'!M42)="","      ",'HourGH-SEP'!M42)</f>
        <v>1.19</v>
      </c>
    </row>
    <row r="37" spans="1:11">
      <c r="A37" s="127" t="s">
        <v>179</v>
      </c>
      <c r="B37" s="128">
        <f>IF(TRIM('HourGH-SEP'!N11)="","      ",'HourGH-SEP'!N11)</f>
        <v>1.37</v>
      </c>
      <c r="C37" s="128">
        <f>IF(TRIM('HourGH-SEP'!N12)="","      ",'HourGH-SEP'!N12)</f>
        <v>1.1499999999999999</v>
      </c>
      <c r="D37" s="128">
        <f>IF(TRIM('HourGH-SEP'!N13)="","      ",'HourGH-SEP'!N13)</f>
        <v>0.81</v>
      </c>
      <c r="E37" s="128">
        <f>IF(TRIM('HourGH-SEP'!N14)="","      ",'HourGH-SEP'!N14)</f>
        <v>0.67</v>
      </c>
      <c r="F37" s="118">
        <f>IF(TRIM('HourGH-SEP'!N15)="","      ",'HourGH-SEP'!N15)</f>
        <v>0.61</v>
      </c>
      <c r="G37" s="118">
        <f>IF(TRIM('HourGH-SEP'!N16)="","      ",'HourGH-SEP'!N16)</f>
        <v>0.66</v>
      </c>
      <c r="H37" s="128">
        <f>IF(TRIM('HourGH-SEP'!N17)="","      ",'HourGH-SEP'!N17)</f>
        <v>1.19</v>
      </c>
      <c r="I37" s="128">
        <f>IF(TRIM('HourGH-SEP'!N18)="","      ",'HourGH-SEP'!N18)</f>
        <v>1.59</v>
      </c>
      <c r="J37" s="128">
        <f>IF(TRIM('HourGH-SEP'!N19)="","      ",'HourGH-SEP'!N19)</f>
        <v>2.41</v>
      </c>
      <c r="K37" s="128">
        <f>IF(TRIM('HourGH-SEP'!N20)="","      ",'HourGH-SEP'!N20)</f>
        <v>2.16</v>
      </c>
    </row>
    <row r="38" spans="1:11">
      <c r="A38" s="127" t="s">
        <v>180</v>
      </c>
      <c r="B38" s="128">
        <f>IF(TRIM('HourGH-SEP'!N22)="","      ",'HourGH-SEP'!N22)</f>
        <v>1.4</v>
      </c>
      <c r="C38" s="128">
        <f>IF(TRIM('HourGH-SEP'!N23)="","      ",'HourGH-SEP'!N23)</f>
        <v>1.18</v>
      </c>
      <c r="D38" s="128">
        <f>IF(TRIM('HourGH-SEP'!N24)="","      ",'HourGH-SEP'!N24)</f>
        <v>1.39</v>
      </c>
      <c r="E38" s="128">
        <f>IF(TRIM('HourGH-SEP'!N25)="","      ",'HourGH-SEP'!N25)</f>
        <v>1.42</v>
      </c>
      <c r="F38" s="118">
        <f>IF(TRIM('HourGH-SEP'!N26)="","      ",'HourGH-SEP'!N26)</f>
        <v>1.96</v>
      </c>
      <c r="G38" s="118">
        <f>IF(TRIM('HourGH-SEP'!N27)="","      ",'HourGH-SEP'!N27)</f>
        <v>1.58</v>
      </c>
      <c r="H38" s="128">
        <f>IF(TRIM('HourGH-SEP'!N28)="","      ",'HourGH-SEP'!N28)</f>
        <v>1.94</v>
      </c>
      <c r="I38" s="128">
        <f>IF(TRIM('HourGH-SEP'!N29)="","      ",'HourGH-SEP'!N29)</f>
        <v>2</v>
      </c>
      <c r="J38" s="128">
        <f>IF(TRIM('HourGH-SEP'!N30)="","      ",'HourGH-SEP'!N30)</f>
        <v>1.36</v>
      </c>
      <c r="K38" s="128">
        <f>IF(TRIM('HourGH-SEP'!N31)="","      ",'HourGH-SEP'!N31)</f>
        <v>1.23</v>
      </c>
    </row>
    <row r="39" spans="1:11">
      <c r="A39" s="127" t="s">
        <v>181</v>
      </c>
      <c r="B39" s="128">
        <f>IF(TRIM('HourGH-SEP'!O33)="","      ",'HourGH-SEP'!O33)</f>
        <v>1.1399999999999999</v>
      </c>
      <c r="C39" s="128">
        <f>IF(TRIM('HourGH-SEP'!N34)="","      ",'HourGH-SEP'!N34)</f>
        <v>0.95</v>
      </c>
      <c r="D39" s="128">
        <f>IF(TRIM('HourGH-SEP'!N35)="","      ",'HourGH-SEP'!N35)</f>
        <v>0.86</v>
      </c>
      <c r="E39" s="128">
        <f>IF(TRIM('HourGH-SEP'!N36)="","      ",'HourGH-SEP'!N36)</f>
        <v>0.82</v>
      </c>
      <c r="F39" s="118">
        <f>IF(TRIM('HourGH-SEP'!N37)="","      ",'HourGH-SEP'!N37)</f>
        <v>0.82</v>
      </c>
      <c r="G39" s="118">
        <f>IF(TRIM('HourGH-SEP'!N38)="","      ",'HourGH-SEP'!N38)</f>
        <v>1.01</v>
      </c>
      <c r="H39" s="128">
        <f>IF(TRIM('HourGH-SEP'!N39)="","      ",'HourGH-SEP'!N39)</f>
        <v>2.0299999999999998</v>
      </c>
      <c r="I39" s="128">
        <f>IF(TRIM('HourGH-SEP'!N40)="","      ",'HourGH-SEP'!N40)</f>
        <v>1.41</v>
      </c>
      <c r="J39" s="128">
        <f>IF(TRIM('HourGH-SEP'!N41)="","      ",'HourGH-SEP'!N41)</f>
        <v>1.92</v>
      </c>
      <c r="K39" s="128">
        <f>IF(TRIM('HourGH-SEP'!N42)="","      ",'HourGH-SEP'!N42)</f>
        <v>1.18</v>
      </c>
    </row>
    <row r="40" spans="1:11">
      <c r="A40" s="127" t="s">
        <v>182</v>
      </c>
      <c r="B40" s="128">
        <f>IF(TRIM('HourGH-SEP'!O11)="","      ",'HourGH-SEP'!O11)</f>
        <v>1.4</v>
      </c>
      <c r="C40" s="128">
        <f>IF(TRIM('HourGH-SEP'!O12)="","      ",'HourGH-SEP'!O12)</f>
        <v>1.1299999999999999</v>
      </c>
      <c r="D40" s="128">
        <f>IF(TRIM('HourGH-SEP'!O13)="","      ",'HourGH-SEP'!O13)</f>
        <v>0.79</v>
      </c>
      <c r="E40" s="128">
        <f>IF(TRIM('HourGH-SEP'!O14)="","      ",'HourGH-SEP'!O14)</f>
        <v>0.67</v>
      </c>
      <c r="F40" s="118">
        <f>IF(TRIM('HourGH-SEP'!O15)="","      ",'HourGH-SEP'!O15)</f>
        <v>0.61</v>
      </c>
      <c r="G40" s="118">
        <f>IF(TRIM('HourGH-SEP'!O16)="","      ",'HourGH-SEP'!O16)</f>
        <v>0.67</v>
      </c>
      <c r="H40" s="128">
        <f>IF(TRIM('HourGH-SEP'!O17)="","      ",'HourGH-SEP'!O17)</f>
        <v>1.21</v>
      </c>
      <c r="I40" s="128">
        <f>IF(TRIM('HourGH-SEP'!O18)="","      ",'HourGH-SEP'!O18)</f>
        <v>1.61</v>
      </c>
      <c r="J40" s="128">
        <f>IF(TRIM('HourGH-SEP'!O19)="","      ",'HourGH-SEP'!O19)</f>
        <v>2.44</v>
      </c>
      <c r="K40" s="128">
        <f>IF(TRIM('HourGH-SEP'!O20)="","      ",'HourGH-SEP'!O20)</f>
        <v>2.11</v>
      </c>
    </row>
    <row r="41" spans="1:11">
      <c r="A41" s="127" t="s">
        <v>183</v>
      </c>
      <c r="B41" s="128">
        <f>IF(TRIM('HourGH-SEP'!O22)="","      ",'HourGH-SEP'!O22)</f>
        <v>1.39</v>
      </c>
      <c r="C41" s="128">
        <f>IF(TRIM('HourGH-SEP'!O23)="","      ",'HourGH-SEP'!O23)</f>
        <v>1.18</v>
      </c>
      <c r="D41" s="128">
        <f>IF(TRIM('HourGH-SEP'!O24)="","      ",'HourGH-SEP'!O24)</f>
        <v>1.41</v>
      </c>
      <c r="E41" s="128">
        <f>IF(TRIM('HourGH-SEP'!O25)="","      ",'HourGH-SEP'!O25)</f>
        <v>1.41</v>
      </c>
      <c r="F41" s="118">
        <f>IF(TRIM('HourGH-SEP'!O26)="","      ",'HourGH-SEP'!O26)</f>
        <v>1.96</v>
      </c>
      <c r="G41" s="118">
        <f>IF(TRIM('HourGH-SEP'!O27)="","      ",'HourGH-SEP'!O27)</f>
        <v>1.57</v>
      </c>
      <c r="H41" s="128">
        <f>IF(TRIM('HourGH-SEP'!O28)="","      ",'HourGH-SEP'!O28)</f>
        <v>1.91</v>
      </c>
      <c r="I41" s="128">
        <f>IF(TRIM('HourGH-SEP'!O29)="","      ",'HourGH-SEP'!O29)</f>
        <v>2</v>
      </c>
      <c r="J41" s="128">
        <f>IF(TRIM('HourGH-SEP'!O30)="","      ",'HourGH-SEP'!O30)</f>
        <v>1.36</v>
      </c>
      <c r="K41" s="128">
        <f>IF(TRIM('HourGH-SEP'!O31)="","      ",'HourGH-SEP'!O31)</f>
        <v>1.23</v>
      </c>
    </row>
    <row r="42" spans="1:11">
      <c r="A42" s="127" t="s">
        <v>184</v>
      </c>
      <c r="B42" s="128">
        <f>IF(TRIM('HourGH-SEP'!P33)="","      ",'HourGH-SEP'!P33)</f>
        <v>1.1299999999999999</v>
      </c>
      <c r="C42" s="128">
        <f>IF(TRIM('HourGH-SEP'!O34)="","      ",'HourGH-SEP'!O34)</f>
        <v>0.95</v>
      </c>
      <c r="D42" s="128">
        <f>IF(TRIM('HourGH-SEP'!O35)="","      ",'HourGH-SEP'!O35)</f>
        <v>0.85</v>
      </c>
      <c r="E42" s="128">
        <f>IF(TRIM('HourGH-SEP'!O36)="","      ",'HourGH-SEP'!O36)</f>
        <v>0.81</v>
      </c>
      <c r="F42" s="118">
        <f>IF(TRIM('HourGH-SEP'!O37)="","      ",'HourGH-SEP'!O37)</f>
        <v>0.81</v>
      </c>
      <c r="G42" s="118">
        <f>IF(TRIM('HourGH-SEP'!O38)="","      ",'HourGH-SEP'!O38)</f>
        <v>1.03</v>
      </c>
      <c r="H42" s="128">
        <f>IF(TRIM('HourGH-SEP'!O39)="","      ",'HourGH-SEP'!O39)</f>
        <v>2.04</v>
      </c>
      <c r="I42" s="128">
        <f>IF(TRIM('HourGH-SEP'!O40)="","      ",'HourGH-SEP'!O40)</f>
        <v>1.41</v>
      </c>
      <c r="J42" s="128">
        <f>IF(TRIM('HourGH-SEP'!O41)="","      ",'HourGH-SEP'!O41)</f>
        <v>1.91</v>
      </c>
      <c r="K42" s="128">
        <f>IF(TRIM('HourGH-SEP'!O42)="","      ",'HourGH-SEP'!O42)</f>
        <v>1.17</v>
      </c>
    </row>
    <row r="43" spans="1:11">
      <c r="A43" s="127" t="s">
        <v>185</v>
      </c>
      <c r="B43" s="128">
        <f>IF(TRIM('HourGH-SEP'!P11)="","      ",'HourGH-SEP'!P11)</f>
        <v>1.42</v>
      </c>
      <c r="C43" s="128">
        <f>IF(TRIM('HourGH-SEP'!P12)="","      ",'HourGH-SEP'!P12)</f>
        <v>1.1000000000000001</v>
      </c>
      <c r="D43" s="128">
        <f>IF(TRIM('HourGH-SEP'!P13)="","      ",'HourGH-SEP'!P13)</f>
        <v>0.78</v>
      </c>
      <c r="E43" s="128">
        <f>IF(TRIM('HourGH-SEP'!P14)="","      ",'HourGH-SEP'!P14)</f>
        <v>0.67</v>
      </c>
      <c r="F43" s="118">
        <f>IF(TRIM('HourGH-SEP'!P15)="","      ",'HourGH-SEP'!P15)</f>
        <v>0.6</v>
      </c>
      <c r="G43" s="118">
        <f>IF(TRIM('HourGH-SEP'!P16)="","      ",'HourGH-SEP'!P16)</f>
        <v>0.68</v>
      </c>
      <c r="H43" s="128">
        <f>IF(TRIM('HourGH-SEP'!P17)="","      ",'HourGH-SEP'!P17)</f>
        <v>1.23</v>
      </c>
      <c r="I43" s="128">
        <f>IF(TRIM('HourGH-SEP'!P18)="","      ",'HourGH-SEP'!P18)</f>
        <v>1.65</v>
      </c>
      <c r="J43" s="128">
        <f>IF(TRIM('HourGH-SEP'!P19)="","      ",'HourGH-SEP'!P19)</f>
        <v>2.46</v>
      </c>
      <c r="K43" s="128">
        <f>IF(TRIM('HourGH-SEP'!P20)="","      ",'HourGH-SEP'!P20)</f>
        <v>2.0699999999999998</v>
      </c>
    </row>
    <row r="44" spans="1:11">
      <c r="A44" s="127" t="s">
        <v>186</v>
      </c>
      <c r="B44" s="128">
        <f>IF(TRIM('HourGH-SEP'!P22)="","      ",'HourGH-SEP'!P22)</f>
        <v>1.37</v>
      </c>
      <c r="C44" s="128">
        <f>IF(TRIM('HourGH-SEP'!P23)="","      ",'HourGH-SEP'!P23)</f>
        <v>1.18</v>
      </c>
      <c r="D44" s="128">
        <f>IF(TRIM('HourGH-SEP'!P24)="","      ",'HourGH-SEP'!P24)</f>
        <v>1.44</v>
      </c>
      <c r="E44" s="128">
        <f>IF(TRIM('HourGH-SEP'!P25)="","      ",'HourGH-SEP'!P25)</f>
        <v>1.41</v>
      </c>
      <c r="F44" s="118">
        <f>IF(TRIM('HourGH-SEP'!P26)="","      ",'HourGH-SEP'!P26)</f>
        <v>1.96</v>
      </c>
      <c r="G44" s="118">
        <f>IF(TRIM('HourGH-SEP'!P27)="","      ",'HourGH-SEP'!P27)</f>
        <v>1.57</v>
      </c>
      <c r="H44" s="128">
        <f>IF(TRIM('HourGH-SEP'!P28)="","      ",'HourGH-SEP'!P28)</f>
        <v>1.87</v>
      </c>
      <c r="I44" s="128">
        <f>IF(TRIM('HourGH-SEP'!P29)="","      ",'HourGH-SEP'!P29)</f>
        <v>1.98</v>
      </c>
      <c r="J44" s="128">
        <f>IF(TRIM('HourGH-SEP'!P30)="","      ",'HourGH-SEP'!P30)</f>
        <v>1.35</v>
      </c>
      <c r="K44" s="128">
        <f>IF(TRIM('HourGH-SEP'!P31)="","      ",'HourGH-SEP'!P31)</f>
        <v>1.23</v>
      </c>
    </row>
    <row r="45" spans="1:11">
      <c r="A45" s="127" t="s">
        <v>187</v>
      </c>
      <c r="B45" s="128">
        <f>IF(TRIM('HourGH-SEP'!Q33)="","      ",'HourGH-SEP'!Q33)</f>
        <v>1.1200000000000001</v>
      </c>
      <c r="C45" s="128">
        <f>IF(TRIM('HourGH-SEP'!P34)="","      ",'HourGH-SEP'!P34)</f>
        <v>0.94</v>
      </c>
      <c r="D45" s="128">
        <f>IF(TRIM('HourGH-SEP'!P35)="","      ",'HourGH-SEP'!P35)</f>
        <v>0.85</v>
      </c>
      <c r="E45" s="128">
        <f>IF(TRIM('HourGH-SEP'!P36)="","      ",'HourGH-SEP'!P36)</f>
        <v>0.81</v>
      </c>
      <c r="F45" s="118">
        <f>IF(TRIM('HourGH-SEP'!P37)="","      ",'HourGH-SEP'!P37)</f>
        <v>0.81</v>
      </c>
      <c r="G45" s="118">
        <f>IF(TRIM('HourGH-SEP'!P38)="","      ",'HourGH-SEP'!P38)</f>
        <v>1.07</v>
      </c>
      <c r="H45" s="128">
        <f>IF(TRIM('HourGH-SEP'!P39)="","      ",'HourGH-SEP'!P39)</f>
        <v>2.04</v>
      </c>
      <c r="I45" s="128">
        <f>IF(TRIM('HourGH-SEP'!P40)="","      ",'HourGH-SEP'!P40)</f>
        <v>1.42</v>
      </c>
      <c r="J45" s="128">
        <f>IF(TRIM('HourGH-SEP'!P41)="","      ",'HourGH-SEP'!P41)</f>
        <v>1.89</v>
      </c>
      <c r="K45" s="128">
        <f>IF(TRIM('HourGH-SEP'!P42)="","      ",'HourGH-SEP'!P42)</f>
        <v>1.1599999999999999</v>
      </c>
    </row>
    <row r="46" spans="1:11">
      <c r="A46" s="127" t="s">
        <v>188</v>
      </c>
      <c r="B46" s="128">
        <f>IF(TRIM('HourGH-SEP'!Q11)="","      ",'HourGH-SEP'!Q11)</f>
        <v>1.43</v>
      </c>
      <c r="C46" s="128">
        <f>IF(TRIM('HourGH-SEP'!Q12)="","      ",'HourGH-SEP'!Q12)</f>
        <v>1.08</v>
      </c>
      <c r="D46" s="128">
        <f>IF(TRIM('HourGH-SEP'!Q13)="","      ",'HourGH-SEP'!Q13)</f>
        <v>0.77</v>
      </c>
      <c r="E46" s="128">
        <f>IF(TRIM('HourGH-SEP'!Q14)="","      ",'HourGH-SEP'!Q14)</f>
        <v>0.66</v>
      </c>
      <c r="F46" s="118">
        <f>IF(TRIM('HourGH-SEP'!Q15)="","      ",'HourGH-SEP'!Q15)</f>
        <v>0.6</v>
      </c>
      <c r="G46" s="118">
        <f>IF(TRIM('HourGH-SEP'!Q16)="","      ",'HourGH-SEP'!Q16)</f>
        <v>0.69</v>
      </c>
      <c r="H46" s="128">
        <f>IF(TRIM('HourGH-SEP'!Q17)="","      ",'HourGH-SEP'!Q17)</f>
        <v>1.25</v>
      </c>
      <c r="I46" s="128">
        <f>IF(TRIM('HourGH-SEP'!Q18)="","      ",'HourGH-SEP'!Q18)</f>
        <v>1.78</v>
      </c>
      <c r="J46" s="128">
        <f>IF(TRIM('HourGH-SEP'!Q19)="","      ",'HourGH-SEP'!Q19)</f>
        <v>2.56</v>
      </c>
      <c r="K46" s="128">
        <f>IF(TRIM('HourGH-SEP'!Q20)="","      ",'HourGH-SEP'!Q20)</f>
        <v>2.02</v>
      </c>
    </row>
    <row r="47" spans="1:11">
      <c r="A47" s="127" t="s">
        <v>189</v>
      </c>
      <c r="B47" s="128">
        <f>IF(TRIM('HourGH-SEP'!Q22)="","      ",'HourGH-SEP'!Q22)</f>
        <v>1.35</v>
      </c>
      <c r="C47" s="128">
        <f>IF(TRIM('HourGH-SEP'!Q23)="","      ",'HourGH-SEP'!Q23)</f>
        <v>1.18</v>
      </c>
      <c r="D47" s="128">
        <f>IF(TRIM('HourGH-SEP'!Q24)="","      ",'HourGH-SEP'!Q24)</f>
        <v>1.46</v>
      </c>
      <c r="E47" s="128">
        <f>IF(TRIM('HourGH-SEP'!Q25)="","      ",'HourGH-SEP'!Q25)</f>
        <v>1.41</v>
      </c>
      <c r="F47" s="118">
        <f>IF(TRIM('HourGH-SEP'!Q26)="","      ",'HourGH-SEP'!Q26)</f>
        <v>1.96</v>
      </c>
      <c r="G47" s="118">
        <f>IF(TRIM('HourGH-SEP'!Q27)="","      ",'HourGH-SEP'!Q27)</f>
        <v>1.57</v>
      </c>
      <c r="H47" s="128">
        <f>IF(TRIM('HourGH-SEP'!Q28)="","      ",'HourGH-SEP'!Q28)</f>
        <v>1.84</v>
      </c>
      <c r="I47" s="128">
        <f>IF(TRIM('HourGH-SEP'!Q29)="","      ",'HourGH-SEP'!Q29)</f>
        <v>1.96</v>
      </c>
      <c r="J47" s="128">
        <f>IF(TRIM('HourGH-SEP'!Q30)="","      ",'HourGH-SEP'!Q30)</f>
        <v>1.35</v>
      </c>
      <c r="K47" s="128">
        <f>IF(TRIM('HourGH-SEP'!Q31)="","      ",'HourGH-SEP'!Q31)</f>
        <v>1.23</v>
      </c>
    </row>
    <row r="48" spans="1:11">
      <c r="A48" s="127" t="s">
        <v>190</v>
      </c>
      <c r="B48" s="128">
        <f>IF(TRIM('HourGH-SEP'!R33)="","      ",'HourGH-SEP'!R33)</f>
        <v>1.1100000000000001</v>
      </c>
      <c r="C48" s="128">
        <f>IF(TRIM('HourGH-SEP'!Q34)="","      ",'HourGH-SEP'!Q34)</f>
        <v>0.94</v>
      </c>
      <c r="D48" s="128">
        <f>IF(TRIM('HourGH-SEP'!Q35)="","      ",'HourGH-SEP'!Q35)</f>
        <v>0.85</v>
      </c>
      <c r="E48" s="128">
        <f>IF(TRIM('HourGH-SEP'!Q36)="","      ",'HourGH-SEP'!Q36)</f>
        <v>0.81</v>
      </c>
      <c r="F48" s="118">
        <f>IF(TRIM('HourGH-SEP'!Q37)="","      ",'HourGH-SEP'!Q37)</f>
        <v>0.81</v>
      </c>
      <c r="G48" s="118">
        <f>IF(TRIM('HourGH-SEP'!Q38)="","      ",'HourGH-SEP'!Q38)</f>
        <v>1.1000000000000001</v>
      </c>
      <c r="H48" s="128">
        <f>IF(TRIM('HourGH-SEP'!Q39)="","      ",'HourGH-SEP'!Q39)</f>
        <v>2.04</v>
      </c>
      <c r="I48" s="128">
        <f>IF(TRIM('HourGH-SEP'!Q40)="","      ",'HourGH-SEP'!Q40)</f>
        <v>1.43</v>
      </c>
      <c r="J48" s="128">
        <f>IF(TRIM('HourGH-SEP'!Q41)="","      ",'HourGH-SEP'!Q41)</f>
        <v>1.86</v>
      </c>
      <c r="K48" s="128">
        <f>IF(TRIM('HourGH-SEP'!Q42)="","      ",'HourGH-SEP'!Q42)</f>
        <v>1.1499999999999999</v>
      </c>
    </row>
    <row r="49" spans="1:20">
      <c r="A49" s="127" t="s">
        <v>191</v>
      </c>
      <c r="B49" s="128">
        <f>IF(TRIM('HourGH-SEP'!R11)="","      ",'HourGH-SEP'!R11)</f>
        <v>1.44</v>
      </c>
      <c r="C49" s="128">
        <f>IF(TRIM('HourGH-SEP'!R12)="","      ",'HourGH-SEP'!R12)</f>
        <v>1.06</v>
      </c>
      <c r="D49" s="128">
        <f>IF(TRIM('HourGH-SEP'!R13)="","      ",'HourGH-SEP'!R13)</f>
        <v>0.76</v>
      </c>
      <c r="E49" s="128">
        <f>IF(TRIM('HourGH-SEP'!R14)="","      ",'HourGH-SEP'!R14)</f>
        <v>0.66</v>
      </c>
      <c r="F49" s="118">
        <f>IF(TRIM('HourGH-SEP'!R15)="","      ",'HourGH-SEP'!R15)</f>
        <v>0.6</v>
      </c>
      <c r="G49" s="118">
        <f>IF(TRIM('HourGH-SEP'!R16)="","      ",'HourGH-SEP'!R16)</f>
        <v>0.71</v>
      </c>
      <c r="H49" s="128">
        <f>IF(TRIM('HourGH-SEP'!R17)="","      ",'HourGH-SEP'!R17)</f>
        <v>1.28</v>
      </c>
      <c r="I49" s="128">
        <f>IF(TRIM('HourGH-SEP'!R18)="","      ",'HourGH-SEP'!R18)</f>
        <v>1.8</v>
      </c>
      <c r="J49" s="128">
        <f>IF(TRIM('HourGH-SEP'!R19)="","      ",'HourGH-SEP'!R19)</f>
        <v>2.58</v>
      </c>
      <c r="K49" s="128">
        <f>IF(TRIM('HourGH-SEP'!R20)="","      ",'HourGH-SEP'!R20)</f>
        <v>1.98</v>
      </c>
    </row>
    <row r="50" spans="1:20">
      <c r="A50" s="127" t="s">
        <v>192</v>
      </c>
      <c r="B50" s="128">
        <f>IF(TRIM('HourGH-SEP'!R22)="","      ",'HourGH-SEP'!R22)</f>
        <v>1.34</v>
      </c>
      <c r="C50" s="128">
        <f>IF(TRIM('HourGH-SEP'!R23)="","      ",'HourGH-SEP'!R23)</f>
        <v>1.18</v>
      </c>
      <c r="D50" s="128">
        <f>IF(TRIM('HourGH-SEP'!R24)="","      ",'HourGH-SEP'!R24)</f>
        <v>1.49</v>
      </c>
      <c r="E50" s="128">
        <f>IF(TRIM('HourGH-SEP'!R25)="","      ",'HourGH-SEP'!R25)</f>
        <v>1.41</v>
      </c>
      <c r="F50" s="118">
        <f>IF(TRIM('HourGH-SEP'!R26)="","      ",'HourGH-SEP'!R26)</f>
        <v>1.95</v>
      </c>
      <c r="G50" s="118">
        <f>IF(TRIM('HourGH-SEP'!R27)="","      ",'HourGH-SEP'!R27)</f>
        <v>1.6</v>
      </c>
      <c r="H50" s="128">
        <f>IF(TRIM('HourGH-SEP'!R28)="","      ",'HourGH-SEP'!R28)</f>
        <v>1.82</v>
      </c>
      <c r="I50" s="128">
        <f>IF(TRIM('HourGH-SEP'!R29)="","      ",'HourGH-SEP'!R29)</f>
        <v>1.93</v>
      </c>
      <c r="J50" s="128">
        <f>IF(TRIM('HourGH-SEP'!R30)="","      ",'HourGH-SEP'!R30)</f>
        <v>1.34</v>
      </c>
      <c r="K50" s="128">
        <f>IF(TRIM('HourGH-SEP'!R31)="","      ",'HourGH-SEP'!R31)</f>
        <v>1.22</v>
      </c>
    </row>
    <row r="51" spans="1:20">
      <c r="A51" s="127" t="s">
        <v>193</v>
      </c>
      <c r="B51" s="128">
        <f>IF(TRIM('HourGH-SEP'!S33)="","      ",'HourGH-SEP'!S33)</f>
        <v>1.1000000000000001</v>
      </c>
      <c r="C51" s="128">
        <f>IF(TRIM('HourGH-SEP'!R34)="","      ",'HourGH-SEP'!R34)</f>
        <v>0.93</v>
      </c>
      <c r="D51" s="128">
        <f>IF(TRIM('HourGH-SEP'!R35)="","      ",'HourGH-SEP'!R35)</f>
        <v>0.85</v>
      </c>
      <c r="E51" s="128">
        <f>IF(TRIM('HourGH-SEP'!R36)="","      ",'HourGH-SEP'!R36)</f>
        <v>0.81</v>
      </c>
      <c r="F51" s="118">
        <f>IF(TRIM('HourGH-SEP'!R37)="","      ",'HourGH-SEP'!R37)</f>
        <v>0.81</v>
      </c>
      <c r="G51" s="118">
        <f>IF(TRIM('HourGH-SEP'!R38)="","      ",'HourGH-SEP'!R38)</f>
        <v>1.1399999999999999</v>
      </c>
      <c r="H51" s="128">
        <f>IF(TRIM('HourGH-SEP'!R39)="","      ",'HourGH-SEP'!R39)</f>
        <v>2.0299999999999998</v>
      </c>
      <c r="I51" s="128">
        <f>IF(TRIM('HourGH-SEP'!R40)="","      ",'HourGH-SEP'!R40)</f>
        <v>1.44</v>
      </c>
      <c r="J51" s="128">
        <f>IF(TRIM('HourGH-SEP'!R41)="","      ",'HourGH-SEP'!R41)</f>
        <v>1.82</v>
      </c>
      <c r="K51" s="128">
        <f>IF(TRIM('HourGH-SEP'!R42)="","      ",'HourGH-SEP'!R42)</f>
        <v>1.1299999999999999</v>
      </c>
    </row>
    <row r="52" spans="1:20">
      <c r="A52" s="127" t="s">
        <v>194</v>
      </c>
      <c r="B52" s="128">
        <f>IF(TRIM('HourGH-SEP'!S11)="","      ",'HourGH-SEP'!S11)</f>
        <v>1.45</v>
      </c>
      <c r="C52" s="128">
        <f>IF(TRIM('HourGH-SEP'!S12)="","      ",'HourGH-SEP'!S12)</f>
        <v>1.04</v>
      </c>
      <c r="D52" s="128">
        <f>IF(TRIM('HourGH-SEP'!S13)="","      ",'HourGH-SEP'!S13)</f>
        <v>0.75</v>
      </c>
      <c r="E52" s="128">
        <f>IF(TRIM('HourGH-SEP'!S14)="","      ",'HourGH-SEP'!S14)</f>
        <v>0.66</v>
      </c>
      <c r="F52" s="118">
        <f>IF(TRIM('HourGH-SEP'!S15)="","      ",'HourGH-SEP'!S15)</f>
        <v>0.6</v>
      </c>
      <c r="G52" s="118">
        <f>IF(TRIM('HourGH-SEP'!S16)="","      ",'HourGH-SEP'!S16)</f>
        <v>0.72</v>
      </c>
      <c r="H52" s="128">
        <f>IF(TRIM('HourGH-SEP'!S17)="","      ",'HourGH-SEP'!S17)</f>
        <v>1.3</v>
      </c>
      <c r="I52" s="128">
        <f>IF(TRIM('HourGH-SEP'!S18)="","      ",'HourGH-SEP'!S18)</f>
        <v>1.83</v>
      </c>
      <c r="J52" s="128">
        <f>IF(TRIM('HourGH-SEP'!S19)="","      ",'HourGH-SEP'!S19)</f>
        <v>2.6</v>
      </c>
      <c r="K52" s="128">
        <f>IF(TRIM('HourGH-SEP'!S20)="","      ",'HourGH-SEP'!S20)</f>
        <v>1.93</v>
      </c>
    </row>
    <row r="53" spans="1:20">
      <c r="A53" s="127" t="s">
        <v>195</v>
      </c>
      <c r="B53" s="128">
        <f>IF(TRIM('HourGH-SEP'!S22)="","      ",'HourGH-SEP'!S22)</f>
        <v>1.33</v>
      </c>
      <c r="C53" s="128">
        <f>IF(TRIM('HourGH-SEP'!S23)="","      ",'HourGH-SEP'!S23)</f>
        <v>1.18</v>
      </c>
      <c r="D53" s="128">
        <f>IF(TRIM('HourGH-SEP'!S24)="","      ",'HourGH-SEP'!S24)</f>
        <v>1.51</v>
      </c>
      <c r="E53" s="128">
        <f>IF(TRIM('HourGH-SEP'!S25)="","      ",'HourGH-SEP'!S25)</f>
        <v>1.42</v>
      </c>
      <c r="F53" s="118">
        <f>IF(TRIM('HourGH-SEP'!S26)="","      ",'HourGH-SEP'!S26)</f>
        <v>1.94</v>
      </c>
      <c r="G53" s="118">
        <f>IF(TRIM('HourGH-SEP'!S27)="","      ",'HourGH-SEP'!S27)</f>
        <v>1.62</v>
      </c>
      <c r="H53" s="128">
        <f>IF(TRIM('HourGH-SEP'!S28)="","      ",'HourGH-SEP'!S28)</f>
        <v>1.8</v>
      </c>
      <c r="I53" s="128">
        <f>IF(TRIM('HourGH-SEP'!S29)="","      ",'HourGH-SEP'!S29)</f>
        <v>1.89</v>
      </c>
      <c r="J53" s="128">
        <f>IF(TRIM('HourGH-SEP'!S30)="","      ",'HourGH-SEP'!S30)</f>
        <v>1.33</v>
      </c>
      <c r="K53" s="128">
        <f>IF(TRIM('HourGH-SEP'!S31)="","      ",'HourGH-SEP'!S31)</f>
        <v>1.22</v>
      </c>
    </row>
    <row r="54" spans="1:20">
      <c r="A54" s="127" t="s">
        <v>196</v>
      </c>
      <c r="B54" s="128">
        <f>IF(TRIM('HourGH-SEP'!T33)="","      ",'HourGH-SEP'!T33)</f>
        <v>1.0900000000000001</v>
      </c>
      <c r="C54" s="128">
        <f>IF(TRIM('HourGH-SEP'!S34)="","      ",'HourGH-SEP'!S34)</f>
        <v>0.93</v>
      </c>
      <c r="D54" s="128">
        <f>IF(TRIM('HourGH-SEP'!S35)="","      ",'HourGH-SEP'!S35)</f>
        <v>0.85</v>
      </c>
      <c r="E54" s="128">
        <f>IF(TRIM('HourGH-SEP'!S36)="","      ",'HourGH-SEP'!S36)</f>
        <v>0.81</v>
      </c>
      <c r="F54" s="118">
        <f>IF(TRIM('HourGH-SEP'!S37)="","      ",'HourGH-SEP'!S37)</f>
        <v>0.81</v>
      </c>
      <c r="G54" s="118">
        <f>IF(TRIM('HourGH-SEP'!S38)="","      ",'HourGH-SEP'!S38)</f>
        <v>1.18</v>
      </c>
      <c r="H54" s="128">
        <f>IF(TRIM('HourGH-SEP'!S39)="","      ",'HourGH-SEP'!S39)</f>
        <v>2.0099999999999998</v>
      </c>
      <c r="I54" s="128">
        <f>IF(TRIM('HourGH-SEP'!S40)="","      ",'HourGH-SEP'!S40)</f>
        <v>1.46</v>
      </c>
      <c r="J54" s="128">
        <f>IF(TRIM('HourGH-SEP'!S41)="","      ",'HourGH-SEP'!S41)</f>
        <v>1.77</v>
      </c>
      <c r="K54" s="128">
        <f>IF(TRIM('HourGH-SEP'!S42)="","      ",'HourGH-SEP'!S42)</f>
        <v>1.1200000000000001</v>
      </c>
    </row>
    <row r="55" spans="1:20">
      <c r="A55" s="127" t="s">
        <v>197</v>
      </c>
      <c r="B55" s="128">
        <f>IF(TRIM('HourGH-SEP'!T11)="","      ",'HourGH-SEP'!T11)</f>
        <v>1.46</v>
      </c>
      <c r="C55" s="128">
        <f>IF(TRIM('HourGH-SEP'!T12)="","      ",'HourGH-SEP'!T12)</f>
        <v>1.03</v>
      </c>
      <c r="D55" s="128">
        <f>IF(TRIM('HourGH-SEP'!T13)="","      ",'HourGH-SEP'!T13)</f>
        <v>0.74</v>
      </c>
      <c r="E55" s="128">
        <f>IF(TRIM('HourGH-SEP'!T14)="","      ",'HourGH-SEP'!T14)</f>
        <v>0.65</v>
      </c>
      <c r="F55" s="118">
        <f>IF(TRIM('HourGH-SEP'!T15)="","      ",'HourGH-SEP'!T15)</f>
        <v>0.6</v>
      </c>
      <c r="G55" s="118">
        <f>IF(TRIM('HourGH-SEP'!T16)="","      ",'HourGH-SEP'!T16)</f>
        <v>0.74</v>
      </c>
      <c r="H55" s="128">
        <f>IF(TRIM('HourGH-SEP'!T17)="","      ",'HourGH-SEP'!T17)</f>
        <v>1.32</v>
      </c>
      <c r="I55" s="128">
        <f>IF(TRIM('HourGH-SEP'!T18)="","      ",'HourGH-SEP'!T18)</f>
        <v>1.85</v>
      </c>
      <c r="J55" s="128">
        <f>IF(TRIM('HourGH-SEP'!T19)="","      ",'HourGH-SEP'!T19)</f>
        <v>2.62</v>
      </c>
      <c r="K55" s="128">
        <f>IF(TRIM('HourGH-SEP'!T20)="","      ",'HourGH-SEP'!T20)</f>
        <v>1.89</v>
      </c>
    </row>
    <row r="56" spans="1:20">
      <c r="A56" s="127" t="s">
        <v>198</v>
      </c>
      <c r="B56" s="128">
        <f>IF(TRIM('HourGH-SEP'!T22)="","      ",'HourGH-SEP'!T22)</f>
        <v>1.31</v>
      </c>
      <c r="C56" s="128">
        <f>IF(TRIM('HourGH-SEP'!T23)="","      ",'HourGH-SEP'!T23)</f>
        <v>1.18</v>
      </c>
      <c r="D56" s="128">
        <f>IF(TRIM('HourGH-SEP'!T24)="","      ",'HourGH-SEP'!T24)</f>
        <v>1.52</v>
      </c>
      <c r="E56" s="128">
        <f>IF(TRIM('HourGH-SEP'!T25)="","      ",'HourGH-SEP'!T25)</f>
        <v>1.43</v>
      </c>
      <c r="F56" s="118">
        <f>IF(TRIM('HourGH-SEP'!T26)="","      ",'HourGH-SEP'!T26)</f>
        <v>1.92</v>
      </c>
      <c r="G56" s="118">
        <f>IF(TRIM('HourGH-SEP'!T27)="","      ",'HourGH-SEP'!T27)</f>
        <v>1.65</v>
      </c>
      <c r="H56" s="128">
        <f>IF(TRIM('HourGH-SEP'!T28)="","      ",'HourGH-SEP'!T28)</f>
        <v>1.79</v>
      </c>
      <c r="I56" s="128">
        <f>IF(TRIM('HourGH-SEP'!T29)="","      ",'HourGH-SEP'!T29)</f>
        <v>1.84</v>
      </c>
      <c r="J56" s="128">
        <f>IF(TRIM('HourGH-SEP'!T30)="","      ",'HourGH-SEP'!T30)</f>
        <v>1.32</v>
      </c>
      <c r="K56" s="128">
        <f>IF(TRIM('HourGH-SEP'!T31)="","      ",'HourGH-SEP'!T31)</f>
        <v>1.22</v>
      </c>
      <c r="N56" s="117">
        <f>B79</f>
        <v>339.06</v>
      </c>
      <c r="O56">
        <v>1</v>
      </c>
      <c r="P56" s="117" t="str">
        <f>B82</f>
        <v>18:00</v>
      </c>
      <c r="R56" s="117">
        <f>B85</f>
        <v>338.49</v>
      </c>
      <c r="S56">
        <v>1</v>
      </c>
      <c r="T56" s="117" t="str">
        <f>B88</f>
        <v>1:00</v>
      </c>
    </row>
    <row r="57" spans="1:20">
      <c r="A57" s="127" t="s">
        <v>199</v>
      </c>
      <c r="B57" s="128" t="e">
        <f>IF(TRIM('HourGH-SEP'!#REF!)="","      ",'HourGH-SEP'!#REF!)</f>
        <v>#REF!</v>
      </c>
      <c r="C57" s="128">
        <f>IF(TRIM('HourGH-SEP'!T34)="","      ",'HourGH-SEP'!T34)</f>
        <v>0.92</v>
      </c>
      <c r="D57" s="128">
        <f>IF(TRIM('HourGH-SEP'!T35)="","      ",'HourGH-SEP'!T35)</f>
        <v>0.85</v>
      </c>
      <c r="E57" s="128">
        <f>IF(TRIM('HourGH-SEP'!T36)="","      ",'HourGH-SEP'!T36)</f>
        <v>0.81</v>
      </c>
      <c r="F57" s="118">
        <f>IF(TRIM('HourGH-SEP'!T37)="","      ",'HourGH-SEP'!T37)</f>
        <v>0.81</v>
      </c>
      <c r="G57" s="118">
        <f>IF(TRIM('HourGH-SEP'!T38)="","      ",'HourGH-SEP'!T38)</f>
        <v>1.23</v>
      </c>
      <c r="H57" s="128">
        <f>IF(TRIM('HourGH-SEP'!T39)="","      ",'HourGH-SEP'!T39)</f>
        <v>1.99</v>
      </c>
      <c r="I57" s="128">
        <f>IF(TRIM('HourGH-SEP'!T40)="","      ",'HourGH-SEP'!T40)</f>
        <v>1.48</v>
      </c>
      <c r="J57" s="128">
        <f>IF(TRIM('HourGH-SEP'!T41)="","      ",'HourGH-SEP'!T41)</f>
        <v>1.71</v>
      </c>
      <c r="K57" s="128">
        <f>IF(TRIM('HourGH-SEP'!T42)="","      ",'HourGH-SEP'!T42)</f>
        <v>1.1100000000000001</v>
      </c>
      <c r="N57" s="117">
        <f>C79</f>
        <v>339.02000000000004</v>
      </c>
      <c r="O57">
        <v>2</v>
      </c>
      <c r="P57" s="117" t="str">
        <f>C82</f>
        <v>1:00</v>
      </c>
      <c r="R57" s="117">
        <f>C85</f>
        <v>338.54</v>
      </c>
      <c r="S57">
        <v>2</v>
      </c>
      <c r="T57" s="117" t="str">
        <f>C88</f>
        <v>24:00</v>
      </c>
    </row>
    <row r="58" spans="1:20">
      <c r="A58" s="127" t="s">
        <v>200</v>
      </c>
      <c r="B58" s="128">
        <f>IF(TRIM('HourGH-SEP'!U11)="","      ",'HourGH-SEP'!U11)</f>
        <v>1.46</v>
      </c>
      <c r="C58" s="128">
        <f>IF(TRIM('HourGH-SEP'!U12)="","      ",'HourGH-SEP'!U12)</f>
        <v>1.01</v>
      </c>
      <c r="D58" s="128">
        <f>IF(TRIM('HourGH-SEP'!U13)="","      ",'HourGH-SEP'!U13)</f>
        <v>0.74</v>
      </c>
      <c r="E58" s="128">
        <f>IF(TRIM('HourGH-SEP'!U14)="","      ",'HourGH-SEP'!U14)</f>
        <v>0.65</v>
      </c>
      <c r="F58" s="118">
        <f>IF(TRIM('HourGH-SEP'!U15)="","      ",'HourGH-SEP'!U15)</f>
        <v>0.6</v>
      </c>
      <c r="G58" s="118">
        <f>IF(TRIM('HourGH-SEP'!U16)="","      ",'HourGH-SEP'!U16)</f>
        <v>0.75</v>
      </c>
      <c r="H58" s="128">
        <f>IF(TRIM('HourGH-SEP'!U17)="","      ",'HourGH-SEP'!U17)</f>
        <v>1.34</v>
      </c>
      <c r="I58" s="128">
        <f>IF(TRIM('HourGH-SEP'!U18)="","      ",'HourGH-SEP'!U18)</f>
        <v>1.88</v>
      </c>
      <c r="J58" s="128">
        <f>IF(TRIM('HourGH-SEP'!U19)="","      ",'HourGH-SEP'!U19)</f>
        <v>2.62</v>
      </c>
      <c r="K58" s="128">
        <f>IF(TRIM('HourGH-SEP'!U20)="","      ",'HourGH-SEP'!U20)</f>
        <v>1.84</v>
      </c>
      <c r="N58" s="117">
        <f>D79</f>
        <v>338.53000000000003</v>
      </c>
      <c r="O58">
        <v>3</v>
      </c>
      <c r="P58" s="117" t="str">
        <f>D82</f>
        <v>1:00</v>
      </c>
      <c r="R58" s="117">
        <f>D85</f>
        <v>338.31</v>
      </c>
      <c r="S58">
        <v>3</v>
      </c>
      <c r="T58" s="117" t="str">
        <f>D88</f>
        <v>24:00</v>
      </c>
    </row>
    <row r="59" spans="1:20">
      <c r="A59" s="127" t="s">
        <v>201</v>
      </c>
      <c r="B59" s="128">
        <f>IF(TRIM('HourGH-SEP'!U22)="","      ",'HourGH-SEP'!U22)</f>
        <v>1.3</v>
      </c>
      <c r="C59" s="128">
        <f>IF(TRIM('HourGH-SEP'!U23)="","      ",'HourGH-SEP'!U23)</f>
        <v>1.19</v>
      </c>
      <c r="D59" s="128">
        <f>IF(TRIM('HourGH-SEP'!U24)="","      ",'HourGH-SEP'!U24)</f>
        <v>1.54</v>
      </c>
      <c r="E59" s="128">
        <f>IF(TRIM('HourGH-SEP'!U25)="","      ",'HourGH-SEP'!U25)</f>
        <v>1.44</v>
      </c>
      <c r="F59" s="118">
        <f>IF(TRIM('HourGH-SEP'!U26)="","      ",'HourGH-SEP'!U26)</f>
        <v>1.9</v>
      </c>
      <c r="G59" s="118">
        <f>IF(TRIM('HourGH-SEP'!U27)="","      ",'HourGH-SEP'!U27)</f>
        <v>1.7</v>
      </c>
      <c r="H59" s="128">
        <f>IF(TRIM('HourGH-SEP'!U28)="","      ",'HourGH-SEP'!U28)</f>
        <v>1.78</v>
      </c>
      <c r="I59" s="128">
        <f>IF(TRIM('HourGH-SEP'!U29)="","      ",'HourGH-SEP'!U29)</f>
        <v>1.8</v>
      </c>
      <c r="J59" s="128">
        <f>IF(TRIM('HourGH-SEP'!U30)="","      ",'HourGH-SEP'!U30)</f>
        <v>1.31</v>
      </c>
      <c r="K59" s="128">
        <f>IF(TRIM('HourGH-SEP'!U31)="","      ",'HourGH-SEP'!U31)</f>
        <v>1.21</v>
      </c>
      <c r="N59" s="117">
        <f>E79</f>
        <v>338.31</v>
      </c>
      <c r="O59">
        <v>4</v>
      </c>
      <c r="P59" s="117" t="str">
        <f>E82</f>
        <v>1:00</v>
      </c>
      <c r="R59" s="117">
        <f>E85</f>
        <v>338.23</v>
      </c>
      <c r="S59">
        <v>4</v>
      </c>
      <c r="T59" s="117" t="str">
        <f>E88</f>
        <v>24:00</v>
      </c>
    </row>
    <row r="60" spans="1:20">
      <c r="A60" s="127" t="s">
        <v>202</v>
      </c>
      <c r="B60" s="128">
        <f>IF(TRIM('HourGH-SEP'!U33)="","      ",'HourGH-SEP'!U33)</f>
        <v>1.08</v>
      </c>
      <c r="C60" s="128">
        <f>IF(TRIM('HourGH-SEP'!U34)="","      ",'HourGH-SEP'!U34)</f>
        <v>0.92</v>
      </c>
      <c r="D60" s="128">
        <f>IF(TRIM('HourGH-SEP'!U35)="","      ",'HourGH-SEP'!U35)</f>
        <v>0.84</v>
      </c>
      <c r="E60" s="128">
        <f>IF(TRIM('HourGH-SEP'!U36)="","      ",'HourGH-SEP'!U36)</f>
        <v>0.81</v>
      </c>
      <c r="F60" s="118">
        <f>IF(TRIM('HourGH-SEP'!U37)="","      ",'HourGH-SEP'!U37)</f>
        <v>0.82</v>
      </c>
      <c r="G60" s="118">
        <f>IF(TRIM('HourGH-SEP'!U38)="","      ",'HourGH-SEP'!U38)</f>
        <v>1.27</v>
      </c>
      <c r="H60" s="128">
        <f>IF(TRIM('HourGH-SEP'!U39)="","      ",'HourGH-SEP'!U39)</f>
        <v>1.97</v>
      </c>
      <c r="I60" s="128">
        <f>IF(TRIM('HourGH-SEP'!U40)="","      ",'HourGH-SEP'!U40)</f>
        <v>1.5</v>
      </c>
      <c r="J60" s="128">
        <f>IF(TRIM('HourGH-SEP'!U41)="","      ",'HourGH-SEP'!U41)</f>
        <v>1.65</v>
      </c>
      <c r="K60" s="128">
        <f>IF(TRIM('HourGH-SEP'!U42)="","      ",'HourGH-SEP'!U42)</f>
        <v>1.1000000000000001</v>
      </c>
      <c r="N60" s="117">
        <f>F79</f>
        <v>338.23</v>
      </c>
      <c r="O60">
        <v>5</v>
      </c>
      <c r="P60" s="117" t="str">
        <f>F82</f>
        <v>1:00</v>
      </c>
      <c r="R60" s="117">
        <f>F85</f>
        <v>338.20000000000005</v>
      </c>
      <c r="S60">
        <v>5</v>
      </c>
      <c r="T60" s="117" t="str">
        <f>F88</f>
        <v>14:00</v>
      </c>
    </row>
    <row r="61" spans="1:20">
      <c r="A61" s="127" t="s">
        <v>203</v>
      </c>
      <c r="B61" s="128">
        <f>IF(TRIM('HourGH-SEP'!V11)="","      ",'HourGH-SEP'!V11)</f>
        <v>1.46</v>
      </c>
      <c r="C61" s="128">
        <f>IF(TRIM('HourGH-SEP'!V12)="","      ",'HourGH-SEP'!V12)</f>
        <v>0.99</v>
      </c>
      <c r="D61" s="128">
        <f>IF(TRIM('HourGH-SEP'!V13)="","      ",'HourGH-SEP'!V13)</f>
        <v>0.73</v>
      </c>
      <c r="E61" s="128">
        <f>IF(TRIM('HourGH-SEP'!V14)="","      ",'HourGH-SEP'!V14)</f>
        <v>0.64</v>
      </c>
      <c r="F61" s="118">
        <f>IF(TRIM('HourGH-SEP'!V15)="","      ",'HourGH-SEP'!V15)</f>
        <v>0.6</v>
      </c>
      <c r="G61" s="118">
        <f>IF(TRIM('HourGH-SEP'!V16)="","      ",'HourGH-SEP'!V16)</f>
        <v>0.77</v>
      </c>
      <c r="H61" s="128">
        <f>IF(TRIM('HourGH-SEP'!V17)="","      ",'HourGH-SEP'!V17)</f>
        <v>1.36</v>
      </c>
      <c r="I61" s="128">
        <f>IF(TRIM('HourGH-SEP'!V18)="","      ",'HourGH-SEP'!V18)</f>
        <v>1.91</v>
      </c>
      <c r="J61" s="128">
        <f>IF(TRIM('HourGH-SEP'!V19)="","      ",'HourGH-SEP'!V19)</f>
        <v>2.62</v>
      </c>
      <c r="K61" s="128">
        <f>IF(TRIM('HourGH-SEP'!V20)="","      ",'HourGH-SEP'!V20)</f>
        <v>1.8</v>
      </c>
      <c r="N61" s="117">
        <f>G79</f>
        <v>338.45000000000005</v>
      </c>
      <c r="O61">
        <v>6</v>
      </c>
      <c r="P61" s="117" t="str">
        <f>G82</f>
        <v>24:00</v>
      </c>
      <c r="R61" s="117">
        <f>G85</f>
        <v>338.21000000000004</v>
      </c>
      <c r="S61">
        <v>6</v>
      </c>
      <c r="T61" s="117" t="str">
        <f>G88</f>
        <v>1:00</v>
      </c>
    </row>
    <row r="62" spans="1:20">
      <c r="A62" s="127" t="s">
        <v>204</v>
      </c>
      <c r="B62" s="128">
        <f>IF(TRIM('HourGH-SEP'!V22)="","      ",'HourGH-SEP'!V22)</f>
        <v>1.29</v>
      </c>
      <c r="C62" s="128">
        <f>IF(TRIM('HourGH-SEP'!V23)="","      ",'HourGH-SEP'!V23)</f>
        <v>1.19</v>
      </c>
      <c r="D62" s="128">
        <f>IF(TRIM('HourGH-SEP'!V24)="","      ",'HourGH-SEP'!V24)</f>
        <v>1.55</v>
      </c>
      <c r="E62" s="128">
        <f>IF(TRIM('HourGH-SEP'!V25)="","      ",'HourGH-SEP'!V25)</f>
        <v>1.46</v>
      </c>
      <c r="F62" s="118">
        <f>IF(TRIM('HourGH-SEP'!V26)="","      ",'HourGH-SEP'!V26)</f>
        <v>1.88</v>
      </c>
      <c r="G62" s="118">
        <f>IF(TRIM('HourGH-SEP'!V27)="","      ",'HourGH-SEP'!V27)</f>
        <v>1.76</v>
      </c>
      <c r="H62" s="128">
        <f>IF(TRIM('HourGH-SEP'!V28)="","      ",'HourGH-SEP'!V28)</f>
        <v>1.78</v>
      </c>
      <c r="I62" s="128">
        <f>IF(TRIM('HourGH-SEP'!V29)="","      ",'HourGH-SEP'!V29)</f>
        <v>1.75</v>
      </c>
      <c r="J62" s="128">
        <f>IF(TRIM('HourGH-SEP'!V30)="","      ",'HourGH-SEP'!V30)</f>
        <v>1.3</v>
      </c>
      <c r="K62" s="128">
        <f>IF(TRIM('HourGH-SEP'!V31)="","      ",'HourGH-SEP'!V31)</f>
        <v>1.21</v>
      </c>
      <c r="N62" s="117">
        <f>H79</f>
        <v>339.05</v>
      </c>
      <c r="O62">
        <v>7</v>
      </c>
      <c r="P62" s="117" t="str">
        <f>H82</f>
        <v>24:00</v>
      </c>
      <c r="R62" s="117">
        <f>H85</f>
        <v>338.48</v>
      </c>
      <c r="S62">
        <v>7</v>
      </c>
      <c r="T62" s="117" t="str">
        <f>H88</f>
        <v>1:00</v>
      </c>
    </row>
    <row r="63" spans="1:20">
      <c r="A63" s="127" t="s">
        <v>205</v>
      </c>
      <c r="B63" s="128">
        <f>IF(TRIM('HourGH-SEP'!V33)="","      ",'HourGH-SEP'!V33)</f>
        <v>1.07</v>
      </c>
      <c r="C63" s="128">
        <f>IF(TRIM('HourGH-SEP'!V34)="","      ",'HourGH-SEP'!V34)</f>
        <v>0.91</v>
      </c>
      <c r="D63" s="128">
        <f>IF(TRIM('HourGH-SEP'!V35)="","      ",'HourGH-SEP'!V35)</f>
        <v>0.84</v>
      </c>
      <c r="E63" s="128">
        <f>IF(TRIM('HourGH-SEP'!V36)="","      ",'HourGH-SEP'!V36)</f>
        <v>0.81</v>
      </c>
      <c r="F63" s="118">
        <f>IF(TRIM('HourGH-SEP'!V37)="","      ",'HourGH-SEP'!V37)</f>
        <v>0.82</v>
      </c>
      <c r="G63" s="118">
        <f>IF(TRIM('HourGH-SEP'!V38)="","      ",'HourGH-SEP'!V38)</f>
        <v>1.32</v>
      </c>
      <c r="H63" s="128">
        <f>IF(TRIM('HourGH-SEP'!V39)="","      ",'HourGH-SEP'!V39)</f>
        <v>1.93</v>
      </c>
      <c r="I63" s="128">
        <f>IF(TRIM('HourGH-SEP'!V40)="","      ",'HourGH-SEP'!V40)</f>
        <v>1.54</v>
      </c>
      <c r="J63" s="128">
        <f>IF(TRIM('HourGH-SEP'!V41)="","      ",'HourGH-SEP'!V41)</f>
        <v>1.59</v>
      </c>
      <c r="K63" s="128">
        <f>IF(TRIM('HourGH-SEP'!V42)="","      ",'HourGH-SEP'!V42)</f>
        <v>1.0900000000000001</v>
      </c>
      <c r="N63" s="117">
        <f>I79</f>
        <v>339.63</v>
      </c>
      <c r="O63">
        <v>8</v>
      </c>
      <c r="P63" s="117" t="str">
        <f>I82</f>
        <v>24:00</v>
      </c>
      <c r="R63" s="117">
        <f>I85</f>
        <v>339.07000000000005</v>
      </c>
      <c r="S63">
        <v>8</v>
      </c>
      <c r="T63" s="117" t="str">
        <f>I88</f>
        <v>1:00</v>
      </c>
    </row>
    <row r="64" spans="1:20">
      <c r="A64" s="127" t="s">
        <v>206</v>
      </c>
      <c r="B64" s="128">
        <f>IF(TRIM('HourGH-SEP'!W11)="","      ",'HourGH-SEP'!W11)</f>
        <v>1.46</v>
      </c>
      <c r="C64" s="128">
        <f>IF(TRIM('HourGH-SEP'!W12)="","      ",'HourGH-SEP'!W12)</f>
        <v>0.98</v>
      </c>
      <c r="D64" s="128">
        <f>IF(TRIM('HourGH-SEP'!W13)="","      ",'HourGH-SEP'!W13)</f>
        <v>0.73</v>
      </c>
      <c r="E64" s="128">
        <f>IF(TRIM('HourGH-SEP'!W14)="","      ",'HourGH-SEP'!W14)</f>
        <v>0.64</v>
      </c>
      <c r="F64" s="118">
        <f>IF(TRIM('HourGH-SEP'!W15)="","      ",'HourGH-SEP'!W15)</f>
        <v>0.61</v>
      </c>
      <c r="G64" s="118">
        <f>IF(TRIM('HourGH-SEP'!W16)="","      ",'HourGH-SEP'!W16)</f>
        <v>0.79</v>
      </c>
      <c r="H64" s="128">
        <f>IF(TRIM('HourGH-SEP'!W17)="","      ",'HourGH-SEP'!W17)</f>
        <v>1.38</v>
      </c>
      <c r="I64" s="128">
        <f>IF(TRIM('HourGH-SEP'!W18)="","      ",'HourGH-SEP'!W18)</f>
        <v>1.94</v>
      </c>
      <c r="J64" s="128">
        <f>IF(TRIM('HourGH-SEP'!W19)="","      ",'HourGH-SEP'!W19)</f>
        <v>2.58</v>
      </c>
      <c r="K64" s="128">
        <f>IF(TRIM('HourGH-SEP'!W20)="","      ",'HourGH-SEP'!W20)</f>
        <v>1.77</v>
      </c>
      <c r="N64" s="117">
        <f>J79</f>
        <v>340.22</v>
      </c>
      <c r="O64">
        <v>9</v>
      </c>
      <c r="P64" s="117" t="str">
        <f>J82</f>
        <v>18:00</v>
      </c>
      <c r="R64" s="117">
        <f>J85</f>
        <v>339.67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IF(TRIM('HourGH-SEP'!W22)="","      ",'HourGH-SEP'!W22)</f>
        <v>1.28</v>
      </c>
      <c r="C65" s="128">
        <f>IF(TRIM('HourGH-SEP'!W23)="","      ",'HourGH-SEP'!W23)</f>
        <v>1.19</v>
      </c>
      <c r="D65" s="128">
        <f>IF(TRIM('HourGH-SEP'!W24)="","      ",'HourGH-SEP'!W24)</f>
        <v>1.56</v>
      </c>
      <c r="E65" s="128">
        <f>IF(TRIM('HourGH-SEP'!W25)="","      ",'HourGH-SEP'!W25)</f>
        <v>1.48</v>
      </c>
      <c r="F65" s="118">
        <f>IF(TRIM('HourGH-SEP'!W26)="","      ",'HourGH-SEP'!W26)</f>
        <v>1.85</v>
      </c>
      <c r="G65" s="118">
        <f>IF(TRIM('HourGH-SEP'!W27)="","      ",'HourGH-SEP'!W27)</f>
        <v>1.82</v>
      </c>
      <c r="H65" s="128">
        <f>IF(TRIM('HourGH-SEP'!W28)="","      ",'HourGH-SEP'!W28)</f>
        <v>1.78</v>
      </c>
      <c r="I65" s="128">
        <f>IF(TRIM('HourGH-SEP'!W29)="","      ",'HourGH-SEP'!W29)</f>
        <v>1.7</v>
      </c>
      <c r="J65" s="128">
        <f>IF(TRIM('HourGH-SEP'!W30)="","      ",'HourGH-SEP'!W30)</f>
        <v>1.29</v>
      </c>
      <c r="K65" s="128">
        <f>IF(TRIM('HourGH-SEP'!W31)="","      ",'HourGH-SEP'!W31)</f>
        <v>1.21</v>
      </c>
      <c r="N65" s="117">
        <f>K79</f>
        <v>340.1</v>
      </c>
      <c r="O65">
        <v>10</v>
      </c>
      <c r="P65" s="117" t="str">
        <f>K82</f>
        <v>1:00</v>
      </c>
      <c r="R65" s="117">
        <f>K85</f>
        <v>339.27000000000004</v>
      </c>
      <c r="S65">
        <v>10</v>
      </c>
      <c r="T65" s="117" t="str">
        <f>K88</f>
        <v>24:00</v>
      </c>
    </row>
    <row r="66" spans="1:20">
      <c r="A66" s="127" t="s">
        <v>208</v>
      </c>
      <c r="B66" s="128">
        <f>IF(TRIM('HourGH-SEP'!W33)="","      ",'HourGH-SEP'!W33)</f>
        <v>1.06</v>
      </c>
      <c r="C66" s="128">
        <f>IF(TRIM('HourGH-SEP'!W34)="","      ",'HourGH-SEP'!W34)</f>
        <v>0.91</v>
      </c>
      <c r="D66" s="128">
        <f>IF(TRIM('HourGH-SEP'!W35)="","      ",'HourGH-SEP'!W35)</f>
        <v>0.84</v>
      </c>
      <c r="E66" s="128">
        <f>IF(TRIM('HourGH-SEP'!W36)="","      ",'HourGH-SEP'!W36)</f>
        <v>0.81</v>
      </c>
      <c r="F66" s="118">
        <f>IF(TRIM('HourGH-SEP'!W37)="","      ",'HourGH-SEP'!W37)</f>
        <v>0.82</v>
      </c>
      <c r="G66" s="118">
        <f>IF(TRIM('HourGH-SEP'!W38)="","      ",'HourGH-SEP'!W38)</f>
        <v>1.39</v>
      </c>
      <c r="H66" s="128">
        <f>IF(TRIM('HourGH-SEP'!W39)="","      ",'HourGH-SEP'!W39)</f>
        <v>1.87</v>
      </c>
      <c r="I66" s="128">
        <f>IF(TRIM('HourGH-SEP'!W40)="","      ",'HourGH-SEP'!W40)</f>
        <v>1.57</v>
      </c>
      <c r="J66" s="128">
        <f>IF(TRIM('HourGH-SEP'!W41)="","      ",'HourGH-SEP'!W41)</f>
        <v>1.53</v>
      </c>
      <c r="K66" s="128">
        <f>IF(TRIM('HourGH-SEP'!W42)="","      ",'HourGH-SEP'!W42)</f>
        <v>1.08</v>
      </c>
      <c r="N66" s="117">
        <f>B80</f>
        <v>339.24</v>
      </c>
      <c r="O66">
        <v>11</v>
      </c>
      <c r="P66" s="117" t="str">
        <f>B83</f>
        <v>1:00</v>
      </c>
      <c r="R66" s="117">
        <f>B86</f>
        <v>338.85</v>
      </c>
      <c r="S66">
        <v>11</v>
      </c>
      <c r="T66" s="117" t="str">
        <f>B89</f>
        <v>24:00</v>
      </c>
    </row>
    <row r="67" spans="1:20">
      <c r="A67" s="127" t="s">
        <v>209</v>
      </c>
      <c r="B67" s="128">
        <f>IF(TRIM('HourGH-SEP'!X11)="","      ",'HourGH-SEP'!X11)</f>
        <v>1.45</v>
      </c>
      <c r="C67" s="128">
        <f>IF(TRIM('HourGH-SEP'!X12)="","      ",'HourGH-SEP'!X12)</f>
        <v>0.97</v>
      </c>
      <c r="D67" s="128">
        <f>IF(TRIM('HourGH-SEP'!X13)="","      ",'HourGH-SEP'!X13)</f>
        <v>0.72</v>
      </c>
      <c r="E67" s="128">
        <f>IF(TRIM('HourGH-SEP'!X14)="","      ",'HourGH-SEP'!X14)</f>
        <v>0.64</v>
      </c>
      <c r="F67" s="118">
        <f>IF(TRIM('HourGH-SEP'!X15)="","      ",'HourGH-SEP'!X15)</f>
        <v>0.61</v>
      </c>
      <c r="G67" s="118">
        <f>IF(TRIM('HourGH-SEP'!X16)="","      ",'HourGH-SEP'!X16)</f>
        <v>0.8</v>
      </c>
      <c r="H67" s="128">
        <f>IF(TRIM('HourGH-SEP'!X17)="","      ",'HourGH-SEP'!X17)</f>
        <v>1.4</v>
      </c>
      <c r="I67" s="128">
        <f>IF(TRIM('HourGH-SEP'!X18)="","      ",'HourGH-SEP'!X18)</f>
        <v>1.97</v>
      </c>
      <c r="J67" s="128">
        <f>IF(TRIM('HourGH-SEP'!X19)="","      ",'HourGH-SEP'!X19)</f>
        <v>2.56</v>
      </c>
      <c r="K67" s="128">
        <f>IF(TRIM('HourGH-SEP'!X20)="","      ",'HourGH-SEP'!X20)</f>
        <v>1.73</v>
      </c>
      <c r="N67" s="117">
        <f>C80</f>
        <v>338.84000000000003</v>
      </c>
      <c r="O67">
        <v>12</v>
      </c>
      <c r="P67" s="117" t="str">
        <f>C83</f>
        <v>1:00</v>
      </c>
      <c r="R67" s="117">
        <f>C86</f>
        <v>338.78000000000003</v>
      </c>
      <c r="S67">
        <v>12</v>
      </c>
      <c r="T67" s="117" t="str">
        <f>C89</f>
        <v>12:00</v>
      </c>
    </row>
    <row r="68" spans="1:20">
      <c r="A68" s="127" t="s">
        <v>210</v>
      </c>
      <c r="B68" s="128">
        <f>IF(TRIM('HourGH-SEP'!X22)="","      ",'HourGH-SEP'!X22)</f>
        <v>1.27</v>
      </c>
      <c r="C68" s="128">
        <f>IF(TRIM('HourGH-SEP'!X23)="","      ",'HourGH-SEP'!X23)</f>
        <v>1.2</v>
      </c>
      <c r="D68" s="128">
        <f>IF(TRIM('HourGH-SEP'!X24)="","      ",'HourGH-SEP'!X24)</f>
        <v>1.57</v>
      </c>
      <c r="E68" s="128">
        <f>IF(TRIM('HourGH-SEP'!X25)="","      ",'HourGH-SEP'!X25)</f>
        <v>1.51</v>
      </c>
      <c r="F68" s="118">
        <f>IF(TRIM('HourGH-SEP'!X26)="","      ",'HourGH-SEP'!X26)</f>
        <v>1.83</v>
      </c>
      <c r="G68" s="118">
        <f>IF(TRIM('HourGH-SEP'!X27)="","      ",'HourGH-SEP'!X27)</f>
        <v>1.87</v>
      </c>
      <c r="H68" s="128">
        <f>IF(TRIM('HourGH-SEP'!X28)="","      ",'HourGH-SEP'!X28)</f>
        <v>1.78</v>
      </c>
      <c r="I68" s="128">
        <f>IF(TRIM('HourGH-SEP'!X29)="","      ",'HourGH-SEP'!X29)</f>
        <v>1.66</v>
      </c>
      <c r="J68" s="128">
        <f>IF(TRIM('HourGH-SEP'!X30)="","      ",'HourGH-SEP'!X30)</f>
        <v>1.29</v>
      </c>
      <c r="K68" s="128">
        <f>IF(TRIM('HourGH-SEP'!X31)="","      ",'HourGH-SEP'!X31)</f>
        <v>1.2</v>
      </c>
      <c r="N68" s="117">
        <f>D80</f>
        <v>339.17</v>
      </c>
      <c r="O68">
        <v>13</v>
      </c>
      <c r="P68" s="117" t="str">
        <f>D83</f>
        <v>22:00</v>
      </c>
      <c r="R68" s="117">
        <f>D86</f>
        <v>338.82000000000005</v>
      </c>
      <c r="S68">
        <v>13</v>
      </c>
      <c r="T68" s="117" t="str">
        <f>D89</f>
        <v>1:00</v>
      </c>
    </row>
    <row r="69" spans="1:20">
      <c r="A69" s="127" t="s">
        <v>211</v>
      </c>
      <c r="B69" s="128">
        <f>IF(TRIM('HourGH-SEP'!X33)="","      ",'HourGH-SEP'!X33)</f>
        <v>1.05</v>
      </c>
      <c r="C69" s="128">
        <f>IF(TRIM('HourGH-SEP'!X34)="","      ",'HourGH-SEP'!X34)</f>
        <v>0.9</v>
      </c>
      <c r="D69" s="128">
        <f>IF(TRIM('HourGH-SEP'!X35)="","      ",'HourGH-SEP'!X35)</f>
        <v>0.84</v>
      </c>
      <c r="E69" s="128">
        <f>IF(TRIM('HourGH-SEP'!X36)="","      ",'HourGH-SEP'!X36)</f>
        <v>0.81</v>
      </c>
      <c r="F69" s="118">
        <f>IF(TRIM('HourGH-SEP'!X37)="","      ",'HourGH-SEP'!X37)</f>
        <v>0.83</v>
      </c>
      <c r="G69" s="118">
        <f>IF(TRIM('HourGH-SEP'!X38)="","      ",'HourGH-SEP'!X38)</f>
        <v>1.45</v>
      </c>
      <c r="H69" s="128">
        <f>IF(TRIM('HourGH-SEP'!X39)="","      ",'HourGH-SEP'!X39)</f>
        <v>1.81</v>
      </c>
      <c r="I69" s="128">
        <f>IF(TRIM('HourGH-SEP'!X40)="","      ",'HourGH-SEP'!X40)</f>
        <v>1.6</v>
      </c>
      <c r="J69" s="128">
        <f>IF(TRIM('HourGH-SEP'!X41)="","      ",'HourGH-SEP'!X41)</f>
        <v>1.49</v>
      </c>
      <c r="K69" s="128">
        <f>IF(TRIM('HourGH-SEP'!X42)="","      ",'HourGH-SEP'!X42)</f>
        <v>1.07</v>
      </c>
      <c r="N69" s="117">
        <f>E80</f>
        <v>339.19</v>
      </c>
      <c r="O69">
        <v>14</v>
      </c>
      <c r="P69" s="117" t="str">
        <f>E83</f>
        <v>24:00</v>
      </c>
      <c r="R69" s="117">
        <f>E86</f>
        <v>339.01000000000005</v>
      </c>
      <c r="S69">
        <v>14</v>
      </c>
      <c r="T69" s="117" t="str">
        <f>E89</f>
        <v>13:00</v>
      </c>
    </row>
    <row r="70" spans="1:20">
      <c r="A70" s="127" t="s">
        <v>212</v>
      </c>
      <c r="B70" s="128">
        <f>IF(TRIM('HourGH-SEP'!Y11)="","      ",'HourGH-SEP'!Y11)</f>
        <v>1.44</v>
      </c>
      <c r="C70" s="128">
        <f>IF(TRIM('HourGH-SEP'!Y12)="","      ",'HourGH-SEP'!Y12)</f>
        <v>0.95</v>
      </c>
      <c r="D70" s="128">
        <f>IF(TRIM('HourGH-SEP'!Y13)="","      ",'HourGH-SEP'!Y13)</f>
        <v>0.72</v>
      </c>
      <c r="E70" s="128">
        <f>IF(TRIM('HourGH-SEP'!Y14)="","      ",'HourGH-SEP'!Y14)</f>
        <v>0.64</v>
      </c>
      <c r="F70" s="118">
        <f>IF(TRIM('HourGH-SEP'!Y15)="","      ",'HourGH-SEP'!Y15)</f>
        <v>0.61</v>
      </c>
      <c r="G70" s="118">
        <f>IF(TRIM('HourGH-SEP'!Y16)="","      ",'HourGH-SEP'!Y16)</f>
        <v>0.82</v>
      </c>
      <c r="H70" s="128">
        <f>IF(TRIM('HourGH-SEP'!Y17)="","      ",'HourGH-SEP'!Y17)</f>
        <v>1.43</v>
      </c>
      <c r="I70" s="128">
        <f>IF(TRIM('HourGH-SEP'!Y18)="","      ",'HourGH-SEP'!Y18)</f>
        <v>2</v>
      </c>
      <c r="J70" s="128">
        <f>IF(TRIM('HourGH-SEP'!Y19)="","      ",'HourGH-SEP'!Y19)</f>
        <v>2.5299999999999998</v>
      </c>
      <c r="K70" s="128">
        <f>IF(TRIM('HourGH-SEP'!Y20)="","      ",'HourGH-SEP'!Y20)</f>
        <v>1.7</v>
      </c>
      <c r="N70" s="117">
        <f>F80</f>
        <v>339.56</v>
      </c>
      <c r="O70">
        <v>15</v>
      </c>
      <c r="P70" s="117" t="str">
        <f>F83</f>
        <v>12:00</v>
      </c>
      <c r="R70" s="117">
        <f>F86</f>
        <v>339.23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IF(TRIM('HourGH-SEP'!Y22)="","      ",'HourGH-SEP'!Y22)</f>
        <v>1.26</v>
      </c>
      <c r="C71" s="128">
        <f>IF(TRIM('HourGH-SEP'!Y23)="","      ",'HourGH-SEP'!Y23)</f>
        <v>1.2</v>
      </c>
      <c r="D71" s="128">
        <f>IF(TRIM('HourGH-SEP'!Y24)="","      ",'HourGH-SEP'!Y24)</f>
        <v>1.57</v>
      </c>
      <c r="E71" s="128">
        <f>IF(TRIM('HourGH-SEP'!Y25)="","      ",'HourGH-SEP'!Y25)</f>
        <v>1.55</v>
      </c>
      <c r="F71" s="118">
        <f>IF(TRIM('HourGH-SEP'!Y26)="","      ",'HourGH-SEP'!Y26)</f>
        <v>1.79</v>
      </c>
      <c r="G71" s="118">
        <f>IF(TRIM('HourGH-SEP'!Y27)="","      ",'HourGH-SEP'!Y27)</f>
        <v>1.93</v>
      </c>
      <c r="H71" s="128">
        <f>IF(TRIM('HourGH-SEP'!Y28)="","      ",'HourGH-SEP'!Y28)</f>
        <v>1.78</v>
      </c>
      <c r="I71" s="128">
        <f>IF(TRIM('HourGH-SEP'!Y29)="","      ",'HourGH-SEP'!Y29)</f>
        <v>1.61</v>
      </c>
      <c r="J71" s="128">
        <f>IF(TRIM('HourGH-SEP'!Y30)="","      ",'HourGH-SEP'!Y30)</f>
        <v>1.28</v>
      </c>
      <c r="K71" s="128">
        <f>IF(TRIM('HourGH-SEP'!Y31)="","      ",'HourGH-SEP'!Y31)</f>
        <v>1.2</v>
      </c>
      <c r="N71" s="117">
        <f>G80</f>
        <v>339.57000000000005</v>
      </c>
      <c r="O71">
        <v>16</v>
      </c>
      <c r="P71" s="117" t="str">
        <f>G83</f>
        <v>24:00</v>
      </c>
      <c r="R71" s="117">
        <f>G86</f>
        <v>339.17</v>
      </c>
      <c r="S71">
        <v>16</v>
      </c>
      <c r="T71" s="117" t="str">
        <f>G89</f>
        <v>13:00</v>
      </c>
    </row>
    <row r="72" spans="1:20">
      <c r="A72" s="127" t="s">
        <v>214</v>
      </c>
      <c r="B72" s="128">
        <f>IF(TRIM('HourGH-SEP'!Y33)="","      ",'HourGH-SEP'!Y33)</f>
        <v>1.04</v>
      </c>
      <c r="C72" s="128">
        <f>IF(TRIM('HourGH-SEP'!Y34)="","      ",'HourGH-SEP'!Y34)</f>
        <v>0.9</v>
      </c>
      <c r="D72" s="128">
        <f>IF(TRIM('HourGH-SEP'!Y35)="","      ",'HourGH-SEP'!Y35)</f>
        <v>0.84</v>
      </c>
      <c r="E72" s="128">
        <f>IF(TRIM('HourGH-SEP'!Y36)="","      ",'HourGH-SEP'!Y36)</f>
        <v>0.81</v>
      </c>
      <c r="F72" s="118">
        <f>IF(TRIM('HourGH-SEP'!Y37)="","      ",'HourGH-SEP'!Y37)</f>
        <v>0.83</v>
      </c>
      <c r="G72" s="118">
        <f>IF(TRIM('HourGH-SEP'!Y38)="","      ",'HourGH-SEP'!Y38)</f>
        <v>1.5</v>
      </c>
      <c r="H72" s="128">
        <f>IF(TRIM('HourGH-SEP'!Y39)="","      ",'HourGH-SEP'!Y39)</f>
        <v>1.73</v>
      </c>
      <c r="I72" s="128">
        <f>IF(TRIM('HourGH-SEP'!Y40)="","      ",'HourGH-SEP'!Y40)</f>
        <v>1.64</v>
      </c>
      <c r="J72" s="128">
        <f>IF(TRIM('HourGH-SEP'!Y41)="","      ",'HourGH-SEP'!Y41)</f>
        <v>1.45</v>
      </c>
      <c r="K72" s="128">
        <f>IF(TRIM('HourGH-SEP'!Y42)="","      ",'HourGH-SEP'!Y42)</f>
        <v>1.06</v>
      </c>
      <c r="N72" s="117">
        <f>H80</f>
        <v>339.65000000000003</v>
      </c>
      <c r="O72">
        <v>17</v>
      </c>
      <c r="P72" s="117" t="str">
        <f>H83</f>
        <v>4:00</v>
      </c>
      <c r="R72" s="117">
        <f>H86</f>
        <v>339.38</v>
      </c>
      <c r="S72">
        <v>17</v>
      </c>
      <c r="T72" s="117" t="str">
        <f>H89</f>
        <v>19:00</v>
      </c>
    </row>
    <row r="73" spans="1:20">
      <c r="A73" s="127" t="s">
        <v>215</v>
      </c>
      <c r="B73" s="128">
        <f>IF(TRIM('HourGH-SEP'!Z11)="","      ",'HourGH-SEP'!Z11)</f>
        <v>1.43</v>
      </c>
      <c r="C73" s="128">
        <f>IF(TRIM('HourGH-SEP'!Z12)="","      ",'HourGH-SEP'!Z12)</f>
        <v>0.94</v>
      </c>
      <c r="D73" s="128">
        <f>IF(TRIM('HourGH-SEP'!Z13)="","      ",'HourGH-SEP'!Z13)</f>
        <v>0.71</v>
      </c>
      <c r="E73" s="128">
        <f>IF(TRIM('HourGH-SEP'!Z14)="","      ",'HourGH-SEP'!Z14)</f>
        <v>0.63</v>
      </c>
      <c r="F73" s="118">
        <f>IF(TRIM('HourGH-SEP'!Z15)="","      ",'HourGH-SEP'!Z15)</f>
        <v>0.61</v>
      </c>
      <c r="G73" s="118">
        <f>IF(TRIM('HourGH-SEP'!Z16)="","      ",'HourGH-SEP'!Z16)</f>
        <v>0.85</v>
      </c>
      <c r="H73" s="128">
        <f>IF(TRIM('HourGH-SEP'!Z17)="","      ",'HourGH-SEP'!Z17)</f>
        <v>1.45</v>
      </c>
      <c r="I73" s="128">
        <f>IF(TRIM('HourGH-SEP'!Z18)="","      ",'HourGH-SEP'!Z18)</f>
        <v>2.0299999999999998</v>
      </c>
      <c r="J73" s="128">
        <f>IF(TRIM('HourGH-SEP'!Z19)="","      ",'HourGH-SEP'!Z19)</f>
        <v>2.5099999999999998</v>
      </c>
      <c r="K73" s="128">
        <f>IF(TRIM('HourGH-SEP'!Z20)="","      ",'HourGH-SEP'!Z20)</f>
        <v>1.67</v>
      </c>
      <c r="N73" s="117">
        <f>I80</f>
        <v>339.6</v>
      </c>
      <c r="O73">
        <v>18</v>
      </c>
      <c r="P73" s="117" t="str">
        <f>I83</f>
        <v>11:00</v>
      </c>
      <c r="R73" s="117">
        <f>I86</f>
        <v>339.17</v>
      </c>
      <c r="S73">
        <v>18</v>
      </c>
      <c r="T73" s="117" t="str">
        <f>I89</f>
        <v>24:00</v>
      </c>
    </row>
    <row r="74" spans="1:20">
      <c r="A74" s="127" t="s">
        <v>216</v>
      </c>
      <c r="B74" s="128">
        <f>IF(TRIM('HourGH-SEP'!Z22)="","      ",'HourGH-SEP'!Z22)</f>
        <v>1.25</v>
      </c>
      <c r="C74" s="128">
        <f>IF(TRIM('HourGH-SEP'!Z23)="","      ",'HourGH-SEP'!Z23)</f>
        <v>1.21</v>
      </c>
      <c r="D74" s="128">
        <f>IF(TRIM('HourGH-SEP'!Z24)="","      ",'HourGH-SEP'!Z24)</f>
        <v>1.56</v>
      </c>
      <c r="E74" s="128">
        <f>IF(TRIM('HourGH-SEP'!Z25)="","      ",'HourGH-SEP'!Z25)</f>
        <v>1.59</v>
      </c>
      <c r="F74" s="118">
        <f>IF(TRIM('HourGH-SEP'!Z26)="","      ",'HourGH-SEP'!Z26)</f>
        <v>1.77</v>
      </c>
      <c r="G74" s="118">
        <f>IF(TRIM('HourGH-SEP'!Z27)="","      ",'HourGH-SEP'!Z27)</f>
        <v>1.97</v>
      </c>
      <c r="H74" s="128">
        <f>IF(TRIM('HourGH-SEP'!Z28)="","      ",'HourGH-SEP'!Z28)</f>
        <v>1.79</v>
      </c>
      <c r="I74" s="128">
        <f>IF(TRIM('HourGH-SEP'!Z29)="","      ",'HourGH-SEP'!Z29)</f>
        <v>1.57</v>
      </c>
      <c r="J74" s="128">
        <f>IF(TRIM('HourGH-SEP'!Z30)="","      ",'HourGH-SEP'!Z30)</f>
        <v>1.28</v>
      </c>
      <c r="K74" s="128">
        <f>IF(TRIM('HourGH-SEP'!Z31)="","      ",'HourGH-SEP'!Z31)</f>
        <v>1.19</v>
      </c>
      <c r="N74" s="117">
        <f>J80</f>
        <v>339.14000000000004</v>
      </c>
      <c r="O74">
        <v>19</v>
      </c>
      <c r="P74" s="117" t="str">
        <f>J83</f>
        <v>1:00</v>
      </c>
      <c r="R74" s="117">
        <f>J86</f>
        <v>338.88</v>
      </c>
      <c r="S74">
        <v>19</v>
      </c>
      <c r="T74" s="117" t="str">
        <f>J89</f>
        <v>23:00</v>
      </c>
    </row>
    <row r="75" spans="1:20">
      <c r="A75" s="127" t="s">
        <v>217</v>
      </c>
      <c r="B75" s="128">
        <f>IF(TRIM('HourGH-SEP'!Z33)="","      ",'HourGH-SEP'!Z33)</f>
        <v>1.03</v>
      </c>
      <c r="C75" s="128">
        <f>IF(TRIM('HourGH-SEP'!Z34)="","      ",'HourGH-SEP'!Z34)</f>
        <v>0.89</v>
      </c>
      <c r="D75" s="128">
        <f>IF(TRIM('HourGH-SEP'!Z35)="","      ",'HourGH-SEP'!Z35)</f>
        <v>0.84</v>
      </c>
      <c r="E75" s="128">
        <f>IF(TRIM('HourGH-SEP'!Z36)="","      ",'HourGH-SEP'!Z36)</f>
        <v>0.81</v>
      </c>
      <c r="F75" s="118">
        <f>IF(TRIM('HourGH-SEP'!Z37)="","      ",'HourGH-SEP'!Z37)</f>
        <v>0.84</v>
      </c>
      <c r="G75" s="118">
        <f>IF(TRIM('HourGH-SEP'!Z38)="","      ",'HourGH-SEP'!Z38)</f>
        <v>1.55</v>
      </c>
      <c r="H75" s="128">
        <f>IF(TRIM('HourGH-SEP'!Z39)="","      ",'HourGH-SEP'!Z39)</f>
        <v>1.69</v>
      </c>
      <c r="I75" s="128">
        <f>IF(TRIM('HourGH-SEP'!Z40)="","      ",'HourGH-SEP'!Z40)</f>
        <v>1.68</v>
      </c>
      <c r="J75" s="128">
        <f>IF(TRIM('HourGH-SEP'!Z41)="","      ",'HourGH-SEP'!Z41)</f>
        <v>1.41</v>
      </c>
      <c r="K75" s="128">
        <f>IF(TRIM('HourGH-SEP'!Z42)="","      ",'HourGH-SEP'!Z42)</f>
        <v>1.05</v>
      </c>
      <c r="N75" s="117">
        <f>K80</f>
        <v>338.88</v>
      </c>
      <c r="O75">
        <v>20</v>
      </c>
      <c r="P75" s="117" t="str">
        <f>K83</f>
        <v>1:00</v>
      </c>
      <c r="R75" s="117">
        <f>K86</f>
        <v>338.79</v>
      </c>
      <c r="S75">
        <v>20</v>
      </c>
      <c r="T75" s="117" t="str">
        <f>K89</f>
        <v>24:00</v>
      </c>
    </row>
    <row r="76" spans="1:20">
      <c r="A76" t="s">
        <v>228</v>
      </c>
      <c r="B76" s="119">
        <f>IF(TRIM('HourGH-SEP'!AB11)="","",'HourGH-SEP'!AB11)</f>
        <v>338.89208333333335</v>
      </c>
      <c r="C76" s="119">
        <f>IF(TRIM('HourGH-SEP'!AB12)="","",'HourGH-SEP'!AB12)</f>
        <v>338.75875000000002</v>
      </c>
      <c r="D76" s="119">
        <f>IF(TRIM('HourGH-SEP'!AB13)="","",'HourGH-SEP'!AB13)</f>
        <v>338.40958333333333</v>
      </c>
      <c r="E76" s="119">
        <f>IF(TRIM('HourGH-SEP'!AB14)="","",'HourGH-SEP'!AB14)</f>
        <v>338.26916666666671</v>
      </c>
      <c r="F76" s="119">
        <f>IF(TRIM('HourGH-SEP'!AB15)="","",'HourGH-SEP'!AB15)</f>
        <v>338.21208333333334</v>
      </c>
      <c r="G76" s="119">
        <f>IF(TRIM('HourGH-SEP'!AB16)="","",'HourGH-SEP'!AB16)</f>
        <v>338.28791666666672</v>
      </c>
      <c r="H76" s="119">
        <f>IF(TRIM('HourGH-SEP'!AB17)="","",'HourGH-SEP'!AB17)</f>
        <v>338.78416666666669</v>
      </c>
      <c r="I76" s="119">
        <f>IF(TRIM('HourGH-SEP'!AB18)="","",'HourGH-SEP'!AB18)</f>
        <v>339.3054166666667</v>
      </c>
      <c r="J76" s="119">
        <f>IF(TRIM('HourGH-SEP'!AB19)="","",'HourGH-SEP'!AB19)</f>
        <v>339.99958333333336</v>
      </c>
      <c r="K76" s="119">
        <f>IF(TRIM('HourGH-SEP'!AB20)="","",'HourGH-SEP'!AB20)</f>
        <v>339.71833333333336</v>
      </c>
      <c r="N76" s="117">
        <f>B81</f>
        <v>338.79</v>
      </c>
      <c r="O76">
        <v>21</v>
      </c>
      <c r="P76" s="117" t="str">
        <f>B84</f>
        <v>1:00</v>
      </c>
      <c r="R76" s="117">
        <f>B87</f>
        <v>338.63</v>
      </c>
      <c r="S76">
        <v>21</v>
      </c>
      <c r="T76" s="117" t="str">
        <f>B90</f>
        <v>24:00</v>
      </c>
    </row>
    <row r="77" spans="1:20">
      <c r="A77" t="s">
        <v>229</v>
      </c>
      <c r="B77" s="119">
        <f>IF(TRIM('HourGH-SEP'!AB22)="","",'HourGH-SEP'!AB22)</f>
        <v>339.01166666666671</v>
      </c>
      <c r="C77" s="119">
        <f>IF(TRIM('HourGH-SEP'!AB23)="","",'HourGH-SEP'!AB23)</f>
        <v>338.79625000000004</v>
      </c>
      <c r="D77" s="119">
        <f>IF(TRIM('HourGH-SEP'!AB24)="","",'HourGH-SEP'!AB24)</f>
        <v>339.005</v>
      </c>
      <c r="E77" s="119">
        <f>IF(TRIM('HourGH-SEP'!AB25)="","",'HourGH-SEP'!AB25)</f>
        <v>339.07083333333338</v>
      </c>
      <c r="F77" s="119">
        <f>IF(TRIM('HourGH-SEP'!AB26)="","",'HourGH-SEP'!AB26)</f>
        <v>339.46000000000004</v>
      </c>
      <c r="G77" s="119">
        <f>IF(TRIM('HourGH-SEP'!AB27)="","",'HourGH-SEP'!AB27)</f>
        <v>339.27750000000003</v>
      </c>
      <c r="H77" s="119">
        <f>IF(TRIM('HourGH-SEP'!AB28)="","",'HourGH-SEP'!AB28)</f>
        <v>339.51416666666671</v>
      </c>
      <c r="I77" s="119">
        <f>IF(TRIM('HourGH-SEP'!AB29)="","",'HourGH-SEP'!AB29)</f>
        <v>339.4616666666667</v>
      </c>
      <c r="J77" s="119">
        <f>IF(TRIM('HourGH-SEP'!AB30)="","",'HourGH-SEP'!AB30)</f>
        <v>338.97500000000002</v>
      </c>
      <c r="K77" s="119">
        <f>IF(TRIM('HourGH-SEP'!AB31)="","",'HourGH-SEP'!AB31)</f>
        <v>338.83208333333334</v>
      </c>
      <c r="N77" s="117">
        <f>C81</f>
        <v>338.61</v>
      </c>
      <c r="O77">
        <v>22</v>
      </c>
      <c r="P77" s="117" t="str">
        <f>C84</f>
        <v>1:00</v>
      </c>
      <c r="R77" s="117">
        <f>C87</f>
        <v>338.49</v>
      </c>
      <c r="S77">
        <v>22</v>
      </c>
      <c r="T77" s="117" t="str">
        <f>C90</f>
        <v>24:00</v>
      </c>
    </row>
    <row r="78" spans="1:20">
      <c r="A78" t="s">
        <v>230</v>
      </c>
      <c r="B78" s="119">
        <f>IF(TRIM('HourGH-SEP'!AB33)="","",'HourGH-SEP'!AB33)</f>
        <v>338.72666666666669</v>
      </c>
      <c r="C78" s="119">
        <f>IF(TRIM('HourGH-SEP'!AB34)="","",'HourGH-SEP'!AB34)</f>
        <v>338.55</v>
      </c>
      <c r="D78" s="119">
        <f>IF(TRIM('HourGH-SEP'!AB35)="","",'HourGH-SEP'!AB35)</f>
        <v>338.4591666666667</v>
      </c>
      <c r="E78" s="119">
        <f>IF(TRIM('HourGH-SEP'!AB36)="","",'HourGH-SEP'!AB36)</f>
        <v>338.41708333333338</v>
      </c>
      <c r="F78" s="119">
        <f>IF(TRIM('HourGH-SEP'!AB37)="","",'HourGH-SEP'!AB37)</f>
        <v>338.41916666666668</v>
      </c>
      <c r="G78" s="119">
        <f>IF(TRIM('HourGH-SEP'!AB38)="","",'HourGH-SEP'!AB38)</f>
        <v>338.6875</v>
      </c>
      <c r="H78" s="119">
        <f>IF(TRIM('HourGH-SEP'!AB39)="","",'HourGH-SEP'!AB39)</f>
        <v>339.50166666666667</v>
      </c>
      <c r="I78" s="119">
        <f>IF(TRIM('HourGH-SEP'!AB40)="","",'HourGH-SEP'!AB40)</f>
        <v>339.09958333333333</v>
      </c>
      <c r="J78" s="119">
        <f>IF(TRIM('HourGH-SEP'!AB41)="","",'HourGH-SEP'!AB41)</f>
        <v>339.36958333333337</v>
      </c>
      <c r="K78" s="119">
        <f>IF(TRIM('HourGH-SEP'!AB42)="","",'HourGH-SEP'!AB42)</f>
        <v>338.78833333333336</v>
      </c>
      <c r="N78" s="117">
        <f>D81</f>
        <v>338.49</v>
      </c>
      <c r="O78">
        <v>23</v>
      </c>
      <c r="P78" s="117" t="str">
        <f>D84</f>
        <v>1:00</v>
      </c>
      <c r="R78" s="117">
        <f>D87</f>
        <v>338.44</v>
      </c>
      <c r="S78">
        <v>23</v>
      </c>
      <c r="T78" s="117" t="str">
        <f>D90</f>
        <v>19:00</v>
      </c>
    </row>
    <row r="79" spans="1:20">
      <c r="A79" t="s">
        <v>231</v>
      </c>
      <c r="B79" s="119">
        <f>IF(TRIM('HourGH-SEP'!AC11)="","",'HourGH-SEP'!AC11)</f>
        <v>339.06</v>
      </c>
      <c r="C79" s="119">
        <f>IF(TRIM('HourGH-SEP'!AC12)="","",'HourGH-SEP'!AC12)</f>
        <v>339.02000000000004</v>
      </c>
      <c r="D79" s="119">
        <f>IF(TRIM('HourGH-SEP'!AC13)="","",'HourGH-SEP'!AC13)</f>
        <v>338.53000000000003</v>
      </c>
      <c r="E79" s="119">
        <f>IF(TRIM('HourGH-SEP'!AC14)="","",'HourGH-SEP'!AC14)</f>
        <v>338.31</v>
      </c>
      <c r="F79" s="119">
        <f>IF(TRIM('HourGH-SEP'!AC15)="","",'HourGH-SEP'!AC15)</f>
        <v>338.23</v>
      </c>
      <c r="G79" s="119">
        <f>IF(TRIM('HourGH-SEP'!AC16)="","",'HourGH-SEP'!AC16)</f>
        <v>338.45000000000005</v>
      </c>
      <c r="H79" s="119">
        <f>IF(TRIM('HourGH-SEP'!AC17)="","",'HourGH-SEP'!AC17)</f>
        <v>339.05</v>
      </c>
      <c r="I79" s="119">
        <f>IF(TRIM('HourGH-SEP'!AC18)="","",'HourGH-SEP'!AC18)</f>
        <v>339.63</v>
      </c>
      <c r="J79" s="119">
        <f>IF(TRIM('HourGH-SEP'!AC19)="","",'HourGH-SEP'!AC19)</f>
        <v>340.22</v>
      </c>
      <c r="K79" s="119">
        <f>IF(TRIM('HourGH-SEP'!AC20)="","",'HourGH-SEP'!AC20)</f>
        <v>340.1</v>
      </c>
      <c r="N79" s="117">
        <f>E81</f>
        <v>338.43</v>
      </c>
      <c r="O79">
        <v>24</v>
      </c>
      <c r="P79" s="117" t="str">
        <f>E84</f>
        <v>1:00</v>
      </c>
      <c r="R79" s="117">
        <f>E87</f>
        <v>338.41</v>
      </c>
      <c r="S79">
        <v>24</v>
      </c>
      <c r="T79" s="117" t="str">
        <f>E90</f>
        <v>13:00</v>
      </c>
    </row>
    <row r="80" spans="1:20">
      <c r="A80" t="s">
        <v>232</v>
      </c>
      <c r="B80" s="119">
        <f>IF(TRIM('HourGH-SEP'!AC22)="","",'HourGH-SEP'!AC22)</f>
        <v>339.24</v>
      </c>
      <c r="C80" s="119">
        <f>IF(TRIM('HourGH-SEP'!AC23)="","",'HourGH-SEP'!AC23)</f>
        <v>338.84000000000003</v>
      </c>
      <c r="D80" s="119">
        <f>IF(TRIM('HourGH-SEP'!AC24)="","",'HourGH-SEP'!AC24)</f>
        <v>339.17</v>
      </c>
      <c r="E80" s="119">
        <f>IF(TRIM('HourGH-SEP'!AC25)="","",'HourGH-SEP'!AC25)</f>
        <v>339.19</v>
      </c>
      <c r="F80" s="119">
        <f>IF(TRIM('HourGH-SEP'!AC26)="","",'HourGH-SEP'!AC26)</f>
        <v>339.56</v>
      </c>
      <c r="G80" s="119">
        <f>IF(TRIM('HourGH-SEP'!AC27)="","",'HourGH-SEP'!AC27)</f>
        <v>339.57000000000005</v>
      </c>
      <c r="H80" s="119">
        <f>IF(TRIM('HourGH-SEP'!AC28)="","",'HourGH-SEP'!AC28)</f>
        <v>339.65000000000003</v>
      </c>
      <c r="I80" s="119">
        <f>IF(TRIM('HourGH-SEP'!AC29)="","",'HourGH-SEP'!AC29)</f>
        <v>339.6</v>
      </c>
      <c r="J80" s="119">
        <f>IF(TRIM('HourGH-SEP'!AC30)="","",'HourGH-SEP'!AC30)</f>
        <v>339.14000000000004</v>
      </c>
      <c r="K80" s="119">
        <f>IF(TRIM('HourGH-SEP'!AC31)="","",'HourGH-SEP'!AC31)</f>
        <v>338.88</v>
      </c>
      <c r="N80" s="117">
        <f>F81</f>
        <v>338.44</v>
      </c>
      <c r="O80">
        <v>25</v>
      </c>
      <c r="P80" s="117" t="str">
        <f>F84</f>
        <v>24:00</v>
      </c>
      <c r="R80" s="117">
        <f>F87</f>
        <v>338.41</v>
      </c>
      <c r="S80">
        <v>25</v>
      </c>
      <c r="T80" s="117" t="str">
        <f>F90</f>
        <v>13:00</v>
      </c>
    </row>
    <row r="81" spans="1:20">
      <c r="A81" t="s">
        <v>233</v>
      </c>
      <c r="B81" s="119">
        <f>IF(TRIM('HourGH-SEP'!AC33)="","",'HourGH-SEP'!AC33)</f>
        <v>338.79</v>
      </c>
      <c r="C81" s="119">
        <f>IF(TRIM('HourGH-SEP'!AC34)="","",'HourGH-SEP'!AC34)</f>
        <v>338.61</v>
      </c>
      <c r="D81" s="119">
        <f>IF(TRIM('HourGH-SEP'!AC35)="","",'HourGH-SEP'!AC35)</f>
        <v>338.49</v>
      </c>
      <c r="E81" s="119">
        <f>IF(TRIM('HourGH-SEP'!AC36)="","",'HourGH-SEP'!AC36)</f>
        <v>338.43</v>
      </c>
      <c r="F81" s="119">
        <f>IF(TRIM('HourGH-SEP'!AC37)="","",'HourGH-SEP'!AC37)</f>
        <v>338.44</v>
      </c>
      <c r="G81" s="119">
        <f>IF(TRIM('HourGH-SEP'!AC38)="","",'HourGH-SEP'!AC38)</f>
        <v>339.15000000000003</v>
      </c>
      <c r="H81" s="119">
        <f>IF(TRIM('HourGH-SEP'!AC39)="","",'HourGH-SEP'!AC39)</f>
        <v>339.64000000000004</v>
      </c>
      <c r="I81" s="119">
        <f>IF(TRIM('HourGH-SEP'!AC40)="","",'HourGH-SEP'!AC40)</f>
        <v>339.28000000000003</v>
      </c>
      <c r="J81" s="119">
        <f>IF(TRIM('HourGH-SEP'!AC41)="","",'HourGH-SEP'!AC41)</f>
        <v>339.53000000000003</v>
      </c>
      <c r="K81" s="119">
        <f>IF(TRIM('HourGH-SEP'!AC42)="","",'HourGH-SEP'!AC42)</f>
        <v>338.98</v>
      </c>
      <c r="N81" s="117">
        <f>G81</f>
        <v>339.15000000000003</v>
      </c>
      <c r="O81">
        <v>26</v>
      </c>
      <c r="P81" s="117" t="str">
        <f>G84</f>
        <v>24:00</v>
      </c>
      <c r="R81" s="117">
        <f>G87</f>
        <v>338.44</v>
      </c>
      <c r="S81">
        <v>26</v>
      </c>
      <c r="T81" s="117" t="str">
        <f>G90</f>
        <v>1:00</v>
      </c>
    </row>
    <row r="82" spans="1:20">
      <c r="A82" t="s">
        <v>219</v>
      </c>
      <c r="B82" s="119" t="str">
        <f>'HourGH-SEP'!AD11&amp;":00"</f>
        <v>18:00</v>
      </c>
      <c r="C82" s="119" t="str">
        <f>'HourGH-SEP'!AD12&amp;":00"</f>
        <v>1:00</v>
      </c>
      <c r="D82" s="119" t="str">
        <f>'HourGH-SEP'!AD13&amp;":00"</f>
        <v>1:00</v>
      </c>
      <c r="E82" s="119" t="str">
        <f>'HourGH-SEP'!AD14&amp;":00"</f>
        <v>1:00</v>
      </c>
      <c r="F82" s="119" t="str">
        <f>'HourGH-SEP'!AD15&amp;":00"</f>
        <v>1:00</v>
      </c>
      <c r="G82" s="119" t="str">
        <f>'HourGH-SEP'!AD16&amp;":00"</f>
        <v>24:00</v>
      </c>
      <c r="H82" s="119" t="str">
        <f>'HourGH-SEP'!AD17&amp;":00"</f>
        <v>24:00</v>
      </c>
      <c r="I82" s="119" t="str">
        <f>'HourGH-SEP'!AD18&amp;":00"</f>
        <v>24:00</v>
      </c>
      <c r="J82" s="119" t="str">
        <f>'HourGH-SEP'!AD19&amp;":00"</f>
        <v>18:00</v>
      </c>
      <c r="K82" s="119" t="str">
        <f>'HourGH-SEP'!AD20&amp;":00"</f>
        <v>1:00</v>
      </c>
      <c r="N82" s="117">
        <f>H81</f>
        <v>339.64000000000004</v>
      </c>
      <c r="O82">
        <v>27</v>
      </c>
      <c r="P82" s="117" t="str">
        <f>H84</f>
        <v>13:00</v>
      </c>
      <c r="R82" s="117">
        <f>H87</f>
        <v>339.22</v>
      </c>
      <c r="S82">
        <v>27</v>
      </c>
      <c r="T82" s="117" t="str">
        <f>H90</f>
        <v>1:00</v>
      </c>
    </row>
    <row r="83" spans="1:20">
      <c r="A83" t="s">
        <v>220</v>
      </c>
      <c r="B83" s="119" t="str">
        <f>'HourGH-SEP'!AD22&amp;":00"</f>
        <v>1:00</v>
      </c>
      <c r="C83" s="119" t="str">
        <f>'HourGH-SEP'!AD23&amp;":00"</f>
        <v>1:00</v>
      </c>
      <c r="D83" s="119" t="str">
        <f>'HourGH-SEP'!AD24&amp;":00"</f>
        <v>22:00</v>
      </c>
      <c r="E83" s="119" t="str">
        <f>'HourGH-SEP'!AD25&amp;":00"</f>
        <v>24:00</v>
      </c>
      <c r="F83" s="119" t="str">
        <f>'HourGH-SEP'!AD26&amp;":00"</f>
        <v>12:00</v>
      </c>
      <c r="G83" s="119" t="str">
        <f>'HourGH-SEP'!AD27&amp;":00"</f>
        <v>24:00</v>
      </c>
      <c r="H83" s="119" t="str">
        <f>'HourGH-SEP'!AD28&amp;":00"</f>
        <v>4:00</v>
      </c>
      <c r="I83" s="119" t="str">
        <f>'HourGH-SEP'!AD29&amp;":00"</f>
        <v>11:00</v>
      </c>
      <c r="J83" s="119" t="str">
        <f>'HourGH-SEP'!AD30&amp;":00"</f>
        <v>1:00</v>
      </c>
      <c r="K83" s="119" t="str">
        <f>'HourGH-SEP'!AD31&amp;":00"</f>
        <v>1:00</v>
      </c>
      <c r="N83" s="117">
        <f>I81</f>
        <v>339.28000000000003</v>
      </c>
      <c r="O83">
        <v>28</v>
      </c>
      <c r="P83" s="117" t="str">
        <f>I84</f>
        <v>24:00</v>
      </c>
      <c r="R83" s="117">
        <f>I87</f>
        <v>339.01000000000005</v>
      </c>
      <c r="S83">
        <v>28</v>
      </c>
      <c r="T83" s="117" t="str">
        <f>I90</f>
        <v>11:00</v>
      </c>
    </row>
    <row r="84" spans="1:20">
      <c r="A84" t="s">
        <v>221</v>
      </c>
      <c r="B84" s="119" t="str">
        <f>'HourGH-SEP'!AD33&amp;":00"</f>
        <v>1:00</v>
      </c>
      <c r="C84" s="119" t="str">
        <f>'HourGH-SEP'!AD34&amp;":00"</f>
        <v>1:00</v>
      </c>
      <c r="D84" s="119" t="str">
        <f>'HourGH-SEP'!AD35&amp;":00"</f>
        <v>1:00</v>
      </c>
      <c r="E84" s="119" t="str">
        <f>'HourGH-SEP'!AD36&amp;":00"</f>
        <v>1:00</v>
      </c>
      <c r="F84" s="119" t="str">
        <f>'HourGH-SEP'!AD37&amp;":00"</f>
        <v>24:00</v>
      </c>
      <c r="G84" s="119" t="str">
        <f>'HourGH-SEP'!AD38&amp;":00"</f>
        <v>24:00</v>
      </c>
      <c r="H84" s="119" t="str">
        <f>'HourGH-SEP'!AD39&amp;":00"</f>
        <v>13:00</v>
      </c>
      <c r="I84" s="119" t="str">
        <f>'HourGH-SEP'!AD40&amp;":00"</f>
        <v>24:00</v>
      </c>
      <c r="J84" s="119" t="str">
        <f>'HourGH-SEP'!AD41&amp;":00"</f>
        <v>9:00</v>
      </c>
      <c r="K84" s="119" t="str">
        <f>'HourGH-SEP'!AD42&amp;":00"</f>
        <v>1:00</v>
      </c>
      <c r="N84" s="117">
        <f>J81</f>
        <v>339.53000000000003</v>
      </c>
      <c r="O84">
        <v>29</v>
      </c>
      <c r="P84" s="117" t="str">
        <f>J84</f>
        <v>9:00</v>
      </c>
      <c r="R84" s="117">
        <f>J87</f>
        <v>339.01000000000005</v>
      </c>
      <c r="S84">
        <v>29</v>
      </c>
      <c r="T84" s="117" t="str">
        <f>J90</f>
        <v>24:00</v>
      </c>
    </row>
    <row r="85" spans="1:20">
      <c r="A85" t="s">
        <v>234</v>
      </c>
      <c r="B85" s="129">
        <f>'HourGH-SEP'!AE11</f>
        <v>338.49</v>
      </c>
      <c r="C85" s="129">
        <f>'HourGH-SEP'!AE12</f>
        <v>338.54</v>
      </c>
      <c r="D85" s="129">
        <f>'HourGH-SEP'!AE13</f>
        <v>338.31</v>
      </c>
      <c r="E85" s="129">
        <f>'HourGH-SEP'!AE14</f>
        <v>338.23</v>
      </c>
      <c r="F85" s="129">
        <f>'HourGH-SEP'!AE15</f>
        <v>338.20000000000005</v>
      </c>
      <c r="G85" s="129">
        <f>'HourGH-SEP'!AE16</f>
        <v>338.21000000000004</v>
      </c>
      <c r="H85" s="129">
        <f>'HourGH-SEP'!AE17</f>
        <v>338.48</v>
      </c>
      <c r="I85" s="129">
        <f>'HourGH-SEP'!AE18</f>
        <v>339.07000000000005</v>
      </c>
      <c r="J85" s="129">
        <f>'HourGH-SEP'!AE19</f>
        <v>339.67</v>
      </c>
      <c r="K85" s="129">
        <f>'HourGH-SEP'!AE20</f>
        <v>339.27000000000004</v>
      </c>
      <c r="N85" s="117">
        <f>K81</f>
        <v>338.98</v>
      </c>
      <c r="O85">
        <v>30</v>
      </c>
      <c r="P85" s="117" t="str">
        <f>K84</f>
        <v>1:00</v>
      </c>
      <c r="R85" s="117">
        <f>K87</f>
        <v>338.65000000000003</v>
      </c>
      <c r="S85">
        <v>30</v>
      </c>
      <c r="T85" s="117" t="str">
        <f>K90</f>
        <v>24:00</v>
      </c>
    </row>
    <row r="86" spans="1:20">
      <c r="A86" t="s">
        <v>235</v>
      </c>
      <c r="B86" s="129">
        <f>'HourGH-SEP'!AE22</f>
        <v>338.85</v>
      </c>
      <c r="C86" s="129">
        <f>'HourGH-SEP'!AE23</f>
        <v>338.78000000000003</v>
      </c>
      <c r="D86" s="129">
        <f>'HourGH-SEP'!AE24</f>
        <v>338.82000000000005</v>
      </c>
      <c r="E86" s="129">
        <f>'HourGH-SEP'!AE25</f>
        <v>339.01000000000005</v>
      </c>
      <c r="F86" s="129">
        <f>'HourGH-SEP'!AE26</f>
        <v>339.23</v>
      </c>
      <c r="G86" s="129">
        <f>'HourGH-SEP'!AE27</f>
        <v>339.17</v>
      </c>
      <c r="H86" s="129">
        <f>'HourGH-SEP'!AE28</f>
        <v>339.38</v>
      </c>
      <c r="I86" s="129">
        <f>'HourGH-SEP'!AE29</f>
        <v>339.17</v>
      </c>
      <c r="J86" s="129">
        <f>'HourGH-SEP'!AE30</f>
        <v>338.88</v>
      </c>
      <c r="K86" s="129">
        <f>'HourGH-SEP'!AE31</f>
        <v>338.79</v>
      </c>
    </row>
    <row r="87" spans="1:20">
      <c r="A87" t="s">
        <v>236</v>
      </c>
      <c r="B87" s="129">
        <f>'HourGH-SEP'!AE33</f>
        <v>338.63</v>
      </c>
      <c r="C87" s="129">
        <f>'HourGH-SEP'!AE34</f>
        <v>338.49</v>
      </c>
      <c r="D87" s="129">
        <f>'HourGH-SEP'!AE35</f>
        <v>338.44</v>
      </c>
      <c r="E87" s="129">
        <f>'HourGH-SEP'!AE36</f>
        <v>338.41</v>
      </c>
      <c r="F87" s="129">
        <f>'HourGH-SEP'!AE37</f>
        <v>338.41</v>
      </c>
      <c r="G87" s="129">
        <f>'HourGH-SEP'!AE38</f>
        <v>338.44</v>
      </c>
      <c r="H87" s="129">
        <f>'HourGH-SEP'!AE39</f>
        <v>339.22</v>
      </c>
      <c r="I87" s="129">
        <f>'HourGH-SEP'!AE40</f>
        <v>339.01000000000005</v>
      </c>
      <c r="J87" s="129">
        <f>'HourGH-SEP'!AE41</f>
        <v>339.01000000000005</v>
      </c>
      <c r="K87" s="129">
        <f>'HourGH-SEP'!AE42</f>
        <v>338.65000000000003</v>
      </c>
    </row>
    <row r="88" spans="1:20">
      <c r="A88" t="s">
        <v>222</v>
      </c>
      <c r="B88" s="119" t="str">
        <f>'HourGH-SEP'!AF11&amp;":00"</f>
        <v>1:00</v>
      </c>
      <c r="C88" s="119" t="str">
        <f>'HourGH-SEP'!AF12&amp;":00"</f>
        <v>24:00</v>
      </c>
      <c r="D88" s="119" t="str">
        <f>'HourGH-SEP'!AF13&amp;":00"</f>
        <v>24:00</v>
      </c>
      <c r="E88" s="119" t="str">
        <f>'HourGH-SEP'!AF14&amp;":00"</f>
        <v>24:00</v>
      </c>
      <c r="F88" s="119" t="str">
        <f>'HourGH-SEP'!AF15&amp;":00"</f>
        <v>14:00</v>
      </c>
      <c r="G88" s="119" t="str">
        <f>'HourGH-SEP'!AF16&amp;":00"</f>
        <v>1:00</v>
      </c>
      <c r="H88" s="119" t="str">
        <f>'HourGH-SEP'!AF17&amp;":00"</f>
        <v>1:00</v>
      </c>
      <c r="I88" s="119" t="str">
        <f>'HourGH-SEP'!AF18&amp;":00"</f>
        <v>1:00</v>
      </c>
      <c r="J88" s="119" t="str">
        <f>'HourGH-SEP'!AF19&amp;":00"</f>
        <v>1:00</v>
      </c>
      <c r="K88" s="119" t="str">
        <f>'HourGH-SEP'!AF20&amp;":00"</f>
        <v>24:00</v>
      </c>
      <c r="N88" s="118">
        <f>MATCH(N90,N56:N85,0)</f>
        <v>9</v>
      </c>
      <c r="P88">
        <f>MATCH(P89,R56:R85,0)</f>
        <v>5</v>
      </c>
    </row>
    <row r="89" spans="1:20">
      <c r="A89" t="s">
        <v>223</v>
      </c>
      <c r="B89" s="119" t="str">
        <f>'HourGH-SEP'!AF22&amp;":00"</f>
        <v>24:00</v>
      </c>
      <c r="C89" s="119" t="str">
        <f>'HourGH-SEP'!AF23&amp;":00"</f>
        <v>12:00</v>
      </c>
      <c r="D89" s="119" t="str">
        <f>'HourGH-SEP'!AF24&amp;":00"</f>
        <v>1:00</v>
      </c>
      <c r="E89" s="119" t="str">
        <f>'HourGH-SEP'!AF25&amp;":00"</f>
        <v>13:00</v>
      </c>
      <c r="F89" s="119" t="str">
        <f>'HourGH-SEP'!AF26&amp;":00"</f>
        <v>1:00</v>
      </c>
      <c r="G89" s="119" t="str">
        <f>'HourGH-SEP'!AF27&amp;":00"</f>
        <v>13:00</v>
      </c>
      <c r="H89" s="119" t="str">
        <f>'HourGH-SEP'!AF28&amp;":00"</f>
        <v>19:00</v>
      </c>
      <c r="I89" s="119" t="str">
        <f>'HourGH-SEP'!AF29&amp;":00"</f>
        <v>24:00</v>
      </c>
      <c r="J89" s="119" t="str">
        <f>'HourGH-SEP'!AF30&amp;":00"</f>
        <v>23:00</v>
      </c>
      <c r="K89" s="119" t="str">
        <f>'HourGH-SEP'!AF31&amp;":00"</f>
        <v>24:00</v>
      </c>
      <c r="O89" s="118" t="str">
        <f>INDEX(P56:P85,N88)</f>
        <v>18:00</v>
      </c>
      <c r="P89" s="129">
        <f>MIN(B85:K87)</f>
        <v>338.20000000000005</v>
      </c>
      <c r="R89" t="str">
        <f>INDEX(T56:T85,P88)</f>
        <v>14:00</v>
      </c>
    </row>
    <row r="90" spans="1:20">
      <c r="A90" t="s">
        <v>224</v>
      </c>
      <c r="B90" s="119" t="str">
        <f>'HourGH-SEP'!AF33&amp;":00"</f>
        <v>24:00</v>
      </c>
      <c r="C90" s="119" t="str">
        <f>'HourGH-SEP'!AF34&amp;":00"</f>
        <v>24:00</v>
      </c>
      <c r="D90" s="119" t="str">
        <f>'HourGH-SEP'!AF35&amp;":00"</f>
        <v>19:00</v>
      </c>
      <c r="E90" s="119" t="str">
        <f>'HourGH-SEP'!AF36&amp;":00"</f>
        <v>13:00</v>
      </c>
      <c r="F90" s="119" t="str">
        <f>'HourGH-SEP'!AF37&amp;":00"</f>
        <v>13:00</v>
      </c>
      <c r="G90" s="119" t="str">
        <f>'HourGH-SEP'!AF38&amp;":00"</f>
        <v>1:00</v>
      </c>
      <c r="H90" s="119" t="str">
        <f>'HourGH-SEP'!AF39&amp;":00"</f>
        <v>1:00</v>
      </c>
      <c r="I90" s="119" t="str">
        <f>'HourGH-SEP'!AF40&amp;":00"</f>
        <v>11:00</v>
      </c>
      <c r="J90" s="119" t="str">
        <f>'HourGH-SEP'!AF41&amp;":00"</f>
        <v>24:00</v>
      </c>
      <c r="K90" s="119" t="str">
        <f>'HourGH-SEP'!AF42&amp;":00"</f>
        <v>24:00</v>
      </c>
      <c r="N90" s="119">
        <f>MAX(B79:K81)</f>
        <v>340.22</v>
      </c>
      <c r="O90" s="118">
        <f>N88</f>
        <v>9</v>
      </c>
    </row>
    <row r="91" spans="1:20">
      <c r="A91" t="s">
        <v>218</v>
      </c>
      <c r="B91" s="119">
        <f>AVERAGE(B76:K78)</f>
        <v>338.9353333333334</v>
      </c>
      <c r="C91" s="311" t="str">
        <f>"MAX"&amp;" "&amp;N90&amp;" "&amp;"DATE"&amp;" " &amp;O90&amp;" "&amp;"TIME"&amp;" "&amp;O89&amp;" "&amp;"MIN"&amp;" "&amp;P89&amp;" "&amp;"DATE"&amp;" "&amp;P88&amp;" "&amp;"TIME"&amp;" "&amp;R89</f>
        <v>MAX 340.22 DATE 9 TIME 18:00 MIN 338.2 DATE 5 TIME 14:00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T92"/>
  <sheetViews>
    <sheetView workbookViewId="0">
      <selection sqref="A1:L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241</v>
      </c>
      <c r="B2" s="118">
        <f>'HourGH-OCT'!W7</f>
        <v>337.6</v>
      </c>
      <c r="C2" s="118" t="str">
        <f>'HourGH-OCT'!Z7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IF(TRIM('HourGH-OCT'!C11)="","      ",'HourGH-OCT'!C11)</f>
        <v>1.04</v>
      </c>
      <c r="C4" s="128">
        <f>IF(TRIM('HourGH-OCT'!C12)="","      ",'HourGH-OCT'!C12)</f>
        <v>0.98</v>
      </c>
      <c r="D4" s="128">
        <f>IF(TRIM('HourGH-OCT'!C13)="","      ",'HourGH-OCT'!C13)</f>
        <v>0.99</v>
      </c>
      <c r="E4" s="128">
        <f>IF(TRIM('HourGH-OCT'!C14)="","      ",'HourGH-OCT'!C14)</f>
        <v>0.98</v>
      </c>
      <c r="F4" s="118">
        <f>IF(TRIM('HourGH-OCT'!C15)="","      ",'HourGH-OCT'!C15)</f>
        <v>0.89</v>
      </c>
      <c r="G4" s="118">
        <f>IF(TRIM('HourGH-OCT'!C16)="","      ",'HourGH-OCT'!C16)</f>
        <v>0.95</v>
      </c>
      <c r="H4" s="118">
        <f>IF(TRIM('HourGH-OCT'!C17)="","      ",'HourGH-OCT'!C17)</f>
        <v>0.97</v>
      </c>
      <c r="I4" s="118">
        <f>IF(TRIM('HourGH-OCT'!C18)="","      ",'HourGH-OCT'!C18)</f>
        <v>0.84</v>
      </c>
      <c r="J4" s="118">
        <f>IF(TRIM('HourGH-OCT'!C19)="","      ",'HourGH-OCT'!C19)</f>
        <v>0.79</v>
      </c>
      <c r="K4" s="118">
        <f>IF(TRIM('HourGH-OCT'!C20)="","      ",'HourGH-OCT'!C20)</f>
        <v>0.71</v>
      </c>
    </row>
    <row r="5" spans="1:15">
      <c r="A5" s="127" t="s">
        <v>147</v>
      </c>
      <c r="B5" s="118">
        <f>IF(TRIM('HourGH-OCT'!C22)="","      ",'HourGH-OCT'!C22)</f>
        <v>0.66</v>
      </c>
      <c r="C5" s="118">
        <f>IF(TRIM('HourGH-OCT'!C23)="","      ",'HourGH-OCT'!C23)</f>
        <v>0.64</v>
      </c>
      <c r="D5" s="118">
        <f>IF(TRIM('HourGH-OCT'!C24)="","      ",'HourGH-OCT'!C24)</f>
        <v>0.64</v>
      </c>
      <c r="E5" s="118">
        <f>IF(TRIM('HourGH-OCT'!C25)="","      ",'HourGH-OCT'!C25)</f>
        <v>0.62</v>
      </c>
      <c r="F5" s="118">
        <f>IF(TRIM('HourGH-OCT'!C26)="","      ",'HourGH-OCT'!C26)</f>
        <v>0.6</v>
      </c>
      <c r="G5" s="118">
        <f>IF(TRIM('HourGH-OCT'!C27)="","      ",'HourGH-OCT'!C27)</f>
        <v>0.57999999999999996</v>
      </c>
      <c r="H5" s="118">
        <f>IF(TRIM('HourGH-OCT'!C28)="","      ",'HourGH-OCT'!C28)</f>
        <v>0.57999999999999996</v>
      </c>
      <c r="I5" s="118">
        <f>IF(TRIM('HourGH-OCT'!C29)="","      ",'HourGH-OCT'!C29)</f>
        <v>0.63</v>
      </c>
      <c r="J5" s="118">
        <f>IF(TRIM('HourGH-OCT'!C30)="","      ",'HourGH-OCT'!C30)</f>
        <v>2.4500000000000002</v>
      </c>
      <c r="K5" s="118">
        <f>IF(TRIM('HourGH-OCT'!C31)="","      ",'HourGH-OCT'!C31)</f>
        <v>2.33</v>
      </c>
    </row>
    <row r="6" spans="1:15">
      <c r="A6" s="127" t="s">
        <v>148</v>
      </c>
      <c r="B6" s="118">
        <f>IF(TRIM('HourGH-OCT'!C33)="","      ",'HourGH-OCT'!C33)</f>
        <v>1.77</v>
      </c>
      <c r="C6" s="118">
        <f>IF(TRIM('HourGH-OCT'!C34)="","      ",'HourGH-OCT'!C34)</f>
        <v>1.8</v>
      </c>
      <c r="D6" s="118">
        <f>IF(TRIM('HourGH-OCT'!C35)="","      ",'HourGH-OCT'!C35)</f>
        <v>2.09</v>
      </c>
      <c r="E6" s="118">
        <f>IF(TRIM('HourGH-OCT'!C36)="","      ",'HourGH-OCT'!C36)</f>
        <v>1.5</v>
      </c>
      <c r="F6" s="118">
        <f>IF(TRIM('HourGH-OCT'!C37)="","      ",'HourGH-OCT'!C37)</f>
        <v>1.61</v>
      </c>
      <c r="G6" s="118">
        <f>IF(TRIM('HourGH-OCT'!C38)="","      ",'HourGH-OCT'!C38)</f>
        <v>1.34</v>
      </c>
      <c r="H6" s="118">
        <f>IF(TRIM('HourGH-OCT'!C39)="","      ",'HourGH-OCT'!C39)</f>
        <v>1.21</v>
      </c>
      <c r="I6" s="118">
        <f>IF(TRIM('HourGH-OCT'!C40)="","      ",'HourGH-OCT'!C40)</f>
        <v>1.1499999999999999</v>
      </c>
      <c r="J6" s="118">
        <f>IF(TRIM('HourGH-OCT'!C41)="","      ",'HourGH-OCT'!C41)</f>
        <v>1.27</v>
      </c>
      <c r="K6" s="118">
        <f>IF(TRIM('HourGH-OCT'!C42)="","      ",'HourGH-OCT'!C42)</f>
        <v>1.3</v>
      </c>
      <c r="L6" s="118">
        <f>IF(TRIM('HourGH-OCT'!C43)="","      ",'HourGH-OCT'!C43)</f>
        <v>1.1000000000000001</v>
      </c>
    </row>
    <row r="7" spans="1:15">
      <c r="A7" s="127" t="s">
        <v>149</v>
      </c>
      <c r="B7" s="128">
        <f>IF(TRIM('HourGH-OCT'!D11)="","      ",'HourGH-OCT'!D11)</f>
        <v>1.04</v>
      </c>
      <c r="C7" s="128">
        <f>IF(TRIM('HourGH-OCT'!D12)="","      ",'HourGH-OCT'!D12)</f>
        <v>0.98</v>
      </c>
      <c r="D7" s="128">
        <f>IF(TRIM('HourGH-OCT'!D13)="","      ",'HourGH-OCT'!D13)</f>
        <v>0.99</v>
      </c>
      <c r="E7" s="128">
        <f>IF(TRIM('HourGH-OCT'!D14)="","      ",'HourGH-OCT'!D14)</f>
        <v>0.98</v>
      </c>
      <c r="F7" s="118">
        <f>IF(TRIM('HourGH-OCT'!D15)="","      ",'HourGH-OCT'!D15)</f>
        <v>0.88</v>
      </c>
      <c r="G7" s="118">
        <f>IF(TRIM('HourGH-OCT'!D16)="","      ",'HourGH-OCT'!D16)</f>
        <v>0.95</v>
      </c>
      <c r="H7" s="118">
        <f>IF(TRIM('HourGH-OCT'!D17)="","      ",'HourGH-OCT'!D17)</f>
        <v>0.96</v>
      </c>
      <c r="I7" s="118">
        <f>IF(TRIM('HourGH-OCT'!D18)="","      ",'HourGH-OCT'!D18)</f>
        <v>0.83</v>
      </c>
      <c r="J7" s="118">
        <f>IF(TRIM('HourGH-OCT'!D19)="","      ",'HourGH-OCT'!D19)</f>
        <v>0.78</v>
      </c>
      <c r="K7" s="118">
        <f>IF(TRIM('HourGH-OCT'!D20)="","      ",'HourGH-OCT'!D20)</f>
        <v>0.71</v>
      </c>
    </row>
    <row r="8" spans="1:15">
      <c r="A8" s="127" t="s">
        <v>150</v>
      </c>
      <c r="B8" s="118">
        <f>IF(TRIM('HourGH-OCT'!D22)="","      ",'HourGH-OCT'!D22)</f>
        <v>0.66</v>
      </c>
      <c r="C8" s="118">
        <f>IF(TRIM('HourGH-OCT'!D23)="","      ",'HourGH-OCT'!D23)</f>
        <v>0.64</v>
      </c>
      <c r="D8" s="118">
        <f>IF(TRIM('HourGH-OCT'!D24)="","      ",'HourGH-OCT'!D24)</f>
        <v>0.64</v>
      </c>
      <c r="E8" s="118">
        <f>IF(TRIM('HourGH-OCT'!D25)="","      ",'HourGH-OCT'!D25)</f>
        <v>0.62</v>
      </c>
      <c r="F8" s="118">
        <f>IF(TRIM('HourGH-OCT'!D26)="","      ",'HourGH-OCT'!D26)</f>
        <v>0.6</v>
      </c>
      <c r="G8" s="118">
        <f>IF(TRIM('HourGH-OCT'!D27)="","      ",'HourGH-OCT'!D27)</f>
        <v>0.57999999999999996</v>
      </c>
      <c r="H8" s="118">
        <f>IF(TRIM('HourGH-OCT'!D28)="","      ",'HourGH-OCT'!D28)</f>
        <v>0.57999999999999996</v>
      </c>
      <c r="I8" s="118">
        <f>IF(TRIM('HourGH-OCT'!D29)="","      ",'HourGH-OCT'!D29)</f>
        <v>0.64</v>
      </c>
      <c r="J8" s="118">
        <f>IF(TRIM('HourGH-OCT'!D30)="","      ",'HourGH-OCT'!D30)</f>
        <v>2.4900000000000002</v>
      </c>
      <c r="K8" s="118">
        <f>IF(TRIM('HourGH-OCT'!D31)="","      ",'HourGH-OCT'!D31)</f>
        <v>2.2799999999999998</v>
      </c>
    </row>
    <row r="9" spans="1:15">
      <c r="A9" s="127" t="s">
        <v>151</v>
      </c>
      <c r="B9" s="118">
        <f>IF(TRIM('HourGH-OCT'!D33)="","      ",'HourGH-OCT'!D33)</f>
        <v>1.76</v>
      </c>
      <c r="C9" s="118">
        <f>IF(TRIM('HourGH-OCT'!D34)="","      ",'HourGH-OCT'!D34)</f>
        <v>1.82</v>
      </c>
      <c r="D9" s="118">
        <f>IF(TRIM('HourGH-OCT'!D35)="","      ",'HourGH-OCT'!D35)</f>
        <v>2.0699999999999998</v>
      </c>
      <c r="E9" s="118">
        <f>IF(TRIM('HourGH-OCT'!D36)="","      ",'HourGH-OCT'!D36)</f>
        <v>1.5</v>
      </c>
      <c r="F9" s="118">
        <f>IF(TRIM('HourGH-OCT'!D37)="","      ",'HourGH-OCT'!D37)</f>
        <v>1.59</v>
      </c>
      <c r="G9" s="118">
        <f>IF(TRIM('HourGH-OCT'!D38)="","      ",'HourGH-OCT'!D38)</f>
        <v>1.34</v>
      </c>
      <c r="H9" s="118">
        <f>IF(TRIM('HourGH-OCT'!D39)="","      ",'HourGH-OCT'!D39)</f>
        <v>1.21</v>
      </c>
      <c r="I9" s="118">
        <f>IF(TRIM('HourGH-OCT'!D40)="","      ",'HourGH-OCT'!D40)</f>
        <v>1.1499999999999999</v>
      </c>
      <c r="J9" s="118">
        <f>IF(TRIM('HourGH-OCT'!D41)="","      ",'HourGH-OCT'!D41)</f>
        <v>1.29</v>
      </c>
      <c r="K9" s="118">
        <f>IF(TRIM('HourGH-OCT'!D42)="","      ",'HourGH-OCT'!D42)</f>
        <v>1.28</v>
      </c>
      <c r="L9" s="118">
        <f>IF(TRIM('HourGH-OCT'!D43)="","      ",'HourGH-OCT'!D43)</f>
        <v>1.1000000000000001</v>
      </c>
    </row>
    <row r="10" spans="1:15">
      <c r="A10" s="127" t="s">
        <v>152</v>
      </c>
      <c r="B10" s="128">
        <f>IF(TRIM('HourGH-OCT'!E11)="","      ",'HourGH-OCT'!E11)</f>
        <v>1.03</v>
      </c>
      <c r="C10" s="128">
        <f>IF(TRIM('HourGH-OCT'!E12)="","      ",'HourGH-OCT'!E12)</f>
        <v>0.98</v>
      </c>
      <c r="D10" s="128">
        <f>IF(TRIM('HourGH-OCT'!E13)="","      ",'HourGH-OCT'!E13)</f>
        <v>0.99</v>
      </c>
      <c r="E10" s="128">
        <f>IF(TRIM('HourGH-OCT'!E14)="","      ",'HourGH-OCT'!E14)</f>
        <v>0.98</v>
      </c>
      <c r="F10" s="118">
        <f>IF(TRIM('HourGH-OCT'!E15)="","      ",'HourGH-OCT'!E15)</f>
        <v>0.88</v>
      </c>
      <c r="G10" s="118">
        <f>IF(TRIM('HourGH-OCT'!E16)="","      ",'HourGH-OCT'!E16)</f>
        <v>0.96</v>
      </c>
      <c r="H10" s="118">
        <f>IF(TRIM('HourGH-OCT'!E17)="","      ",'HourGH-OCT'!E17)</f>
        <v>0.95</v>
      </c>
      <c r="I10" s="118">
        <f>IF(TRIM('HourGH-OCT'!E18)="","      ",'HourGH-OCT'!E18)</f>
        <v>0.83</v>
      </c>
      <c r="J10" s="118">
        <f>IF(TRIM('HourGH-OCT'!E19)="","      ",'HourGH-OCT'!E19)</f>
        <v>0.78</v>
      </c>
      <c r="K10" s="118">
        <f>IF(TRIM('HourGH-OCT'!E20)="","      ",'HourGH-OCT'!E20)</f>
        <v>0.71</v>
      </c>
    </row>
    <row r="11" spans="1:15">
      <c r="A11" s="127" t="s">
        <v>153</v>
      </c>
      <c r="B11" s="118">
        <f>IF(TRIM('HourGH-OCT'!E22)="","      ",'HourGH-OCT'!E22)</f>
        <v>0.66</v>
      </c>
      <c r="C11" s="118">
        <f>IF(TRIM('HourGH-OCT'!E23)="","      ",'HourGH-OCT'!E23)</f>
        <v>0.64</v>
      </c>
      <c r="D11" s="118">
        <f>IF(TRIM('HourGH-OCT'!E24)="","      ",'HourGH-OCT'!E24)</f>
        <v>0.64</v>
      </c>
      <c r="E11" s="118">
        <f>IF(TRIM('HourGH-OCT'!E25)="","      ",'HourGH-OCT'!E25)</f>
        <v>0.62</v>
      </c>
      <c r="F11" s="118">
        <f>IF(TRIM('HourGH-OCT'!E26)="","      ",'HourGH-OCT'!E26)</f>
        <v>0.6</v>
      </c>
      <c r="G11" s="118">
        <f>IF(TRIM('HourGH-OCT'!E27)="","      ",'HourGH-OCT'!E27)</f>
        <v>0.57999999999999996</v>
      </c>
      <c r="H11" s="118">
        <f>IF(TRIM('HourGH-OCT'!E28)="","      ",'HourGH-OCT'!E28)</f>
        <v>0.57999999999999996</v>
      </c>
      <c r="I11" s="118">
        <f>IF(TRIM('HourGH-OCT'!E29)="","      ",'HourGH-OCT'!E29)</f>
        <v>0.65</v>
      </c>
      <c r="J11" s="118">
        <f>IF(TRIM('HourGH-OCT'!E30)="","      ",'HourGH-OCT'!E30)</f>
        <v>2.52</v>
      </c>
      <c r="K11" s="118">
        <f>IF(TRIM('HourGH-OCT'!E31)="","      ",'HourGH-OCT'!E31)</f>
        <v>2.23</v>
      </c>
    </row>
    <row r="12" spans="1:15">
      <c r="A12" s="127" t="s">
        <v>154</v>
      </c>
      <c r="B12" s="118">
        <f>IF(TRIM('HourGH-OCT'!E33)="","      ",'HourGH-OCT'!E33)</f>
        <v>1.75</v>
      </c>
      <c r="C12" s="118">
        <f>IF(TRIM('HourGH-OCT'!E34)="","      ",'HourGH-OCT'!E34)</f>
        <v>1.85</v>
      </c>
      <c r="D12" s="118">
        <f>IF(TRIM('HourGH-OCT'!E35)="","      ",'HourGH-OCT'!E35)</f>
        <v>2.0499999999999998</v>
      </c>
      <c r="E12" s="118">
        <f>IF(TRIM('HourGH-OCT'!E36)="","      ",'HourGH-OCT'!E36)</f>
        <v>1.51</v>
      </c>
      <c r="F12" s="118">
        <f>IF(TRIM('HourGH-OCT'!E37)="","      ",'HourGH-OCT'!E37)</f>
        <v>1.57</v>
      </c>
      <c r="G12" s="118">
        <f>IF(TRIM('HourGH-OCT'!E38)="","      ",'HourGH-OCT'!E38)</f>
        <v>1.33</v>
      </c>
      <c r="H12" s="118">
        <f>IF(TRIM('HourGH-OCT'!E39)="","      ",'HourGH-OCT'!E39)</f>
        <v>1.2</v>
      </c>
      <c r="I12" s="118">
        <f>IF(TRIM('HourGH-OCT'!E40)="","      ",'HourGH-OCT'!E40)</f>
        <v>1.1399999999999999</v>
      </c>
      <c r="J12" s="118">
        <f>IF(TRIM('HourGH-OCT'!E41)="","      ",'HourGH-OCT'!E41)</f>
        <v>1.31</v>
      </c>
      <c r="K12" s="118">
        <f>IF(TRIM('HourGH-OCT'!E42)="","      ",'HourGH-OCT'!E42)</f>
        <v>1.25</v>
      </c>
      <c r="L12" s="118">
        <f>IF(TRIM('HourGH-OCT'!E43)="","      ",'HourGH-OCT'!E43)</f>
        <v>1.1000000000000001</v>
      </c>
    </row>
    <row r="13" spans="1:15">
      <c r="A13" s="127" t="s">
        <v>155</v>
      </c>
      <c r="B13" s="128">
        <f>IF(TRIM('HourGH-OCT'!F11)="","      ",'HourGH-OCT'!F11)</f>
        <v>1.03</v>
      </c>
      <c r="C13" s="128">
        <f>IF(TRIM('HourGH-OCT'!F12)="","      ",'HourGH-OCT'!F12)</f>
        <v>0.98</v>
      </c>
      <c r="D13" s="128">
        <f>IF(TRIM('HourGH-OCT'!F13)="","      ",'HourGH-OCT'!F13)</f>
        <v>0.99</v>
      </c>
      <c r="E13" s="128">
        <f>IF(TRIM('HourGH-OCT'!F14)="","      ",'HourGH-OCT'!F14)</f>
        <v>0.98</v>
      </c>
      <c r="F13" s="118">
        <f>IF(TRIM('HourGH-OCT'!F15)="","      ",'HourGH-OCT'!F15)</f>
        <v>0.88</v>
      </c>
      <c r="G13" s="118">
        <f>IF(TRIM('HourGH-OCT'!F16)="","      ",'HourGH-OCT'!F16)</f>
        <v>0.97</v>
      </c>
      <c r="H13" s="118">
        <f>IF(TRIM('HourGH-OCT'!F17)="","      ",'HourGH-OCT'!F17)</f>
        <v>0.94</v>
      </c>
      <c r="I13" s="118">
        <f>IF(TRIM('HourGH-OCT'!F18)="","      ",'HourGH-OCT'!F18)</f>
        <v>0.83</v>
      </c>
      <c r="J13" s="118">
        <f>IF(TRIM('HourGH-OCT'!F19)="","      ",'HourGH-OCT'!F19)</f>
        <v>0.77</v>
      </c>
      <c r="K13" s="118">
        <f>IF(TRIM('HourGH-OCT'!F20)="","      ",'HourGH-OCT'!F20)</f>
        <v>0.71</v>
      </c>
    </row>
    <row r="14" spans="1:15">
      <c r="A14" s="127" t="s">
        <v>156</v>
      </c>
      <c r="B14" s="118">
        <f>IF(TRIM('HourGH-OCT'!F22)="","      ",'HourGH-OCT'!F22)</f>
        <v>0.66</v>
      </c>
      <c r="C14" s="118">
        <f>IF(TRIM('HourGH-OCT'!F23)="","      ",'HourGH-OCT'!F23)</f>
        <v>0.64</v>
      </c>
      <c r="D14" s="118">
        <f>IF(TRIM('HourGH-OCT'!F24)="","      ",'HourGH-OCT'!F24)</f>
        <v>0.64</v>
      </c>
      <c r="E14" s="118">
        <f>IF(TRIM('HourGH-OCT'!F25)="","      ",'HourGH-OCT'!F25)</f>
        <v>0.62</v>
      </c>
      <c r="F14" s="118">
        <f>IF(TRIM('HourGH-OCT'!F26)="","      ",'HourGH-OCT'!F26)</f>
        <v>0.6</v>
      </c>
      <c r="G14" s="118">
        <f>IF(TRIM('HourGH-OCT'!F27)="","      ",'HourGH-OCT'!F27)</f>
        <v>0.57999999999999996</v>
      </c>
      <c r="H14" s="118">
        <f>IF(TRIM('HourGH-OCT'!F28)="","      ",'HourGH-OCT'!F28)</f>
        <v>0.57999999999999996</v>
      </c>
      <c r="I14" s="118">
        <f>IF(TRIM('HourGH-OCT'!F29)="","      ",'HourGH-OCT'!F29)</f>
        <v>0.66</v>
      </c>
      <c r="J14" s="118">
        <f>IF(TRIM('HourGH-OCT'!F30)="","      ",'HourGH-OCT'!F30)</f>
        <v>2.54</v>
      </c>
      <c r="K14" s="118">
        <f>IF(TRIM('HourGH-OCT'!F31)="","      ",'HourGH-OCT'!F31)</f>
        <v>2.19</v>
      </c>
    </row>
    <row r="15" spans="1:15">
      <c r="A15" s="127" t="s">
        <v>157</v>
      </c>
      <c r="B15" s="118">
        <f>IF(TRIM('HourGH-OCT'!F33)="","      ",'HourGH-OCT'!F33)</f>
        <v>1.74</v>
      </c>
      <c r="C15" s="118">
        <f>IF(TRIM('HourGH-OCT'!F34)="","      ",'HourGH-OCT'!F34)</f>
        <v>1.88</v>
      </c>
      <c r="D15" s="118">
        <f>IF(TRIM('HourGH-OCT'!F35)="","      ",'HourGH-OCT'!F35)</f>
        <v>2.0299999999999998</v>
      </c>
      <c r="E15" s="118">
        <f>IF(TRIM('HourGH-OCT'!F36)="","      ",'HourGH-OCT'!F36)</f>
        <v>1.52</v>
      </c>
      <c r="F15" s="118">
        <f>IF(TRIM('HourGH-OCT'!F37)="","      ",'HourGH-OCT'!F37)</f>
        <v>1.55</v>
      </c>
      <c r="G15" s="118">
        <f>IF(TRIM('HourGH-OCT'!F38)="","      ",'HourGH-OCT'!F38)</f>
        <v>1.33</v>
      </c>
      <c r="H15" s="118">
        <f>IF(TRIM('HourGH-OCT'!F39)="","      ",'HourGH-OCT'!F39)</f>
        <v>1.2</v>
      </c>
      <c r="I15" s="118">
        <f>IF(TRIM('HourGH-OCT'!F40)="","      ",'HourGH-OCT'!F40)</f>
        <v>1.1399999999999999</v>
      </c>
      <c r="J15" s="118">
        <f>IF(TRIM('HourGH-OCT'!F41)="","      ",'HourGH-OCT'!F41)</f>
        <v>1.33</v>
      </c>
      <c r="K15" s="118">
        <f>IF(TRIM('HourGH-OCT'!F42)="","      ",'HourGH-OCT'!F42)</f>
        <v>1.22</v>
      </c>
      <c r="L15" s="118">
        <f>IF(TRIM('HourGH-OCT'!F43)="","      ",'HourGH-OCT'!F43)</f>
        <v>1.1000000000000001</v>
      </c>
    </row>
    <row r="16" spans="1:15">
      <c r="A16" s="127" t="s">
        <v>158</v>
      </c>
      <c r="B16" s="128">
        <f>IF(TRIM('HourGH-OCT'!G11)="","      ",'HourGH-OCT'!G11)</f>
        <v>1.02</v>
      </c>
      <c r="C16" s="128">
        <f>IF(TRIM('HourGH-OCT'!G12)="","      ",'HourGH-OCT'!G12)</f>
        <v>0.98</v>
      </c>
      <c r="D16" s="128">
        <f>IF(TRIM('HourGH-OCT'!G13)="","      ",'HourGH-OCT'!G13)</f>
        <v>0.99</v>
      </c>
      <c r="E16" s="128">
        <f>IF(TRIM('HourGH-OCT'!G14)="","      ",'HourGH-OCT'!G14)</f>
        <v>0.98</v>
      </c>
      <c r="F16" s="118">
        <f>IF(TRIM('HourGH-OCT'!G15)="","      ",'HourGH-OCT'!G15)</f>
        <v>0.88</v>
      </c>
      <c r="G16" s="118">
        <f>IF(TRIM('HourGH-OCT'!G16)="","      ",'HourGH-OCT'!G16)</f>
        <v>0.98</v>
      </c>
      <c r="H16" s="118">
        <f>IF(TRIM('HourGH-OCT'!G17)="","      ",'HourGH-OCT'!G17)</f>
        <v>0.93</v>
      </c>
      <c r="I16" s="118">
        <f>IF(TRIM('HourGH-OCT'!G18)="","      ",'HourGH-OCT'!G18)</f>
        <v>0.83</v>
      </c>
      <c r="J16" s="118">
        <f>IF(TRIM('HourGH-OCT'!G19)="","      ",'HourGH-OCT'!G19)</f>
        <v>0.77</v>
      </c>
      <c r="K16" s="118">
        <f>IF(TRIM('HourGH-OCT'!G20)="","      ",'HourGH-OCT'!G20)</f>
        <v>0.71</v>
      </c>
    </row>
    <row r="17" spans="1:12">
      <c r="A17" s="127" t="s">
        <v>159</v>
      </c>
      <c r="B17" s="118">
        <f>IF(TRIM('HourGH-OCT'!G22)="","      ",'HourGH-OCT'!G22)</f>
        <v>0.66</v>
      </c>
      <c r="C17" s="118">
        <f>IF(TRIM('HourGH-OCT'!G23)="","      ",'HourGH-OCT'!G23)</f>
        <v>0.64</v>
      </c>
      <c r="D17" s="118">
        <f>IF(TRIM('HourGH-OCT'!G24)="","      ",'HourGH-OCT'!G24)</f>
        <v>0.64</v>
      </c>
      <c r="E17" s="118">
        <f>IF(TRIM('HourGH-OCT'!G25)="","      ",'HourGH-OCT'!G25)</f>
        <v>0.62</v>
      </c>
      <c r="F17" s="118">
        <f>IF(TRIM('HourGH-OCT'!G26)="","      ",'HourGH-OCT'!G26)</f>
        <v>0.6</v>
      </c>
      <c r="G17" s="118">
        <f>IF(TRIM('HourGH-OCT'!G27)="","      ",'HourGH-OCT'!G27)</f>
        <v>0.57999999999999996</v>
      </c>
      <c r="H17" s="118">
        <f>IF(TRIM('HourGH-OCT'!G28)="","      ",'HourGH-OCT'!G28)</f>
        <v>0.57999999999999996</v>
      </c>
      <c r="I17" s="118">
        <f>IF(TRIM('HourGH-OCT'!G29)="","      ",'HourGH-OCT'!G29)</f>
        <v>0.67</v>
      </c>
      <c r="J17" s="118">
        <f>IF(TRIM('HourGH-OCT'!G30)="","      ",'HourGH-OCT'!G30)</f>
        <v>2.56</v>
      </c>
      <c r="K17" s="118">
        <f>IF(TRIM('HourGH-OCT'!G31)="","      ",'HourGH-OCT'!G31)</f>
        <v>2.16</v>
      </c>
    </row>
    <row r="18" spans="1:12">
      <c r="A18" s="127" t="s">
        <v>160</v>
      </c>
      <c r="B18" s="118">
        <f>IF(TRIM('HourGH-OCT'!G33)="","      ",'HourGH-OCT'!G33)</f>
        <v>1.73</v>
      </c>
      <c r="C18" s="118">
        <f>IF(TRIM('HourGH-OCT'!G34)="","      ",'HourGH-OCT'!G34)</f>
        <v>1.9</v>
      </c>
      <c r="D18" s="118">
        <f>IF(TRIM('HourGH-OCT'!G35)="","      ",'HourGH-OCT'!G35)</f>
        <v>2</v>
      </c>
      <c r="E18" s="118">
        <f>IF(TRIM('HourGH-OCT'!G36)="","      ",'HourGH-OCT'!G36)</f>
        <v>1.53</v>
      </c>
      <c r="F18" s="118">
        <f>IF(TRIM('HourGH-OCT'!G37)="","      ",'HourGH-OCT'!G37)</f>
        <v>1.53</v>
      </c>
      <c r="G18" s="118">
        <f>IF(TRIM('HourGH-OCT'!G38)="","      ",'HourGH-OCT'!G38)</f>
        <v>1.32</v>
      </c>
      <c r="H18" s="118">
        <f>IF(TRIM('HourGH-OCT'!G39)="","      ",'HourGH-OCT'!G39)</f>
        <v>1.2</v>
      </c>
      <c r="I18" s="118">
        <f>IF(TRIM('HourGH-OCT'!G40)="","      ",'HourGH-OCT'!G40)</f>
        <v>1.1399999999999999</v>
      </c>
      <c r="J18" s="118">
        <f>IF(TRIM('HourGH-OCT'!G41)="","      ",'HourGH-OCT'!G41)</f>
        <v>1.36</v>
      </c>
      <c r="K18" s="118">
        <f>IF(TRIM('HourGH-OCT'!G42)="","      ",'HourGH-OCT'!G42)</f>
        <v>1.2</v>
      </c>
      <c r="L18" s="118">
        <f>IF(TRIM('HourGH-OCT'!G43)="","      ",'HourGH-OCT'!G43)</f>
        <v>1.1000000000000001</v>
      </c>
    </row>
    <row r="19" spans="1:12">
      <c r="A19" s="127" t="s">
        <v>161</v>
      </c>
      <c r="B19" s="128">
        <f>IF(TRIM('HourGH-OCT'!H11)="","      ",'HourGH-OCT'!H11)</f>
        <v>1.01</v>
      </c>
      <c r="C19" s="128">
        <f>IF(TRIM('HourGH-OCT'!H12)="","      ",'HourGH-OCT'!H12)</f>
        <v>0.97</v>
      </c>
      <c r="D19" s="128">
        <f>IF(TRIM('HourGH-OCT'!H13)="","      ",'HourGH-OCT'!H13)</f>
        <v>0.99</v>
      </c>
      <c r="E19" s="128">
        <f>IF(TRIM('HourGH-OCT'!H14)="","      ",'HourGH-OCT'!H14)</f>
        <v>0.98</v>
      </c>
      <c r="F19" s="118">
        <f>IF(TRIM('HourGH-OCT'!H15)="","      ",'HourGH-OCT'!H15)</f>
        <v>0.87</v>
      </c>
      <c r="G19" s="118">
        <f>IF(TRIM('HourGH-OCT'!H16)="","      ",'HourGH-OCT'!H16)</f>
        <v>0.99</v>
      </c>
      <c r="H19" s="118">
        <f>IF(TRIM('HourGH-OCT'!H17)="","      ",'HourGH-OCT'!H17)</f>
        <v>0.92</v>
      </c>
      <c r="I19" s="118">
        <f>IF(TRIM('HourGH-OCT'!H18)="","      ",'HourGH-OCT'!H18)</f>
        <v>0.83</v>
      </c>
      <c r="J19" s="118">
        <f>IF(TRIM('HourGH-OCT'!H19)="","      ",'HourGH-OCT'!H19)</f>
        <v>0.76</v>
      </c>
      <c r="K19" s="118">
        <f>IF(TRIM('HourGH-OCT'!H20)="","      ",'HourGH-OCT'!H20)</f>
        <v>0.7</v>
      </c>
    </row>
    <row r="20" spans="1:12">
      <c r="A20" s="127" t="s">
        <v>162</v>
      </c>
      <c r="B20" s="118">
        <f>IF(TRIM('HourGH-OCT'!H22)="","      ",'HourGH-OCT'!H22)</f>
        <v>0.65</v>
      </c>
      <c r="C20" s="118">
        <f>IF(TRIM('HourGH-OCT'!H23)="","      ",'HourGH-OCT'!H23)</f>
        <v>0.64</v>
      </c>
      <c r="D20" s="118">
        <f>IF(TRIM('HourGH-OCT'!H24)="","      ",'HourGH-OCT'!H24)</f>
        <v>0.64</v>
      </c>
      <c r="E20" s="118">
        <f>IF(TRIM('HourGH-OCT'!H25)="","      ",'HourGH-OCT'!H25)</f>
        <v>0.62</v>
      </c>
      <c r="F20" s="118">
        <f>IF(TRIM('HourGH-OCT'!H26)="","      ",'HourGH-OCT'!H26)</f>
        <v>0.6</v>
      </c>
      <c r="G20" s="118">
        <f>IF(TRIM('HourGH-OCT'!H27)="","      ",'HourGH-OCT'!H27)</f>
        <v>0.57999999999999996</v>
      </c>
      <c r="H20" s="118">
        <f>IF(TRIM('HourGH-OCT'!H28)="","      ",'HourGH-OCT'!H28)</f>
        <v>0.57999999999999996</v>
      </c>
      <c r="I20" s="118">
        <f>IF(TRIM('HourGH-OCT'!H29)="","      ",'HourGH-OCT'!H29)</f>
        <v>0.68</v>
      </c>
      <c r="J20" s="118">
        <f>IF(TRIM('HourGH-OCT'!H30)="","      ",'HourGH-OCT'!H30)</f>
        <v>2.58</v>
      </c>
      <c r="K20" s="118">
        <f>IF(TRIM('HourGH-OCT'!H31)="","      ",'HourGH-OCT'!H31)</f>
        <v>2.12</v>
      </c>
    </row>
    <row r="21" spans="1:12">
      <c r="A21" s="127" t="s">
        <v>163</v>
      </c>
      <c r="B21" s="118">
        <f>IF(TRIM('HourGH-OCT'!H33)="","      ",'HourGH-OCT'!H33)</f>
        <v>1.72</v>
      </c>
      <c r="C21" s="118">
        <f>IF(TRIM('HourGH-OCT'!H34)="","      ",'HourGH-OCT'!H34)</f>
        <v>1.92</v>
      </c>
      <c r="D21" s="118">
        <f>IF(TRIM('HourGH-OCT'!H35)="","      ",'HourGH-OCT'!H35)</f>
        <v>1.97</v>
      </c>
      <c r="E21" s="118">
        <f>IF(TRIM('HourGH-OCT'!H36)="","      ",'HourGH-OCT'!H36)</f>
        <v>1.54</v>
      </c>
      <c r="F21" s="118">
        <f>IF(TRIM('HourGH-OCT'!H37)="","      ",'HourGH-OCT'!H37)</f>
        <v>1.51</v>
      </c>
      <c r="G21" s="118">
        <f>IF(TRIM('HourGH-OCT'!H38)="","      ",'HourGH-OCT'!H38)</f>
        <v>1.31</v>
      </c>
      <c r="H21" s="118">
        <f>IF(TRIM('HourGH-OCT'!H39)="","      ",'HourGH-OCT'!H39)</f>
        <v>1.2</v>
      </c>
      <c r="I21" s="118">
        <f>IF(TRIM('HourGH-OCT'!H40)="","      ",'HourGH-OCT'!H40)</f>
        <v>1.1399999999999999</v>
      </c>
      <c r="J21" s="118">
        <f>IF(TRIM('HourGH-OCT'!H41)="","      ",'HourGH-OCT'!H41)</f>
        <v>1.38</v>
      </c>
      <c r="K21" s="118">
        <f>IF(TRIM('HourGH-OCT'!H42)="","      ",'HourGH-OCT'!H42)</f>
        <v>1.17</v>
      </c>
      <c r="L21" s="118">
        <f>IF(TRIM('HourGH-OCT'!H43)="","      ",'HourGH-OCT'!H43)</f>
        <v>1.1000000000000001</v>
      </c>
    </row>
    <row r="22" spans="1:12">
      <c r="A22" s="127" t="s">
        <v>164</v>
      </c>
      <c r="B22" s="128">
        <f>IF(TRIM('HourGH-OCT'!I11)="","      ",'HourGH-OCT'!I11)</f>
        <v>1.01</v>
      </c>
      <c r="C22" s="128">
        <f>IF(TRIM('HourGH-OCT'!I12)="","      ",'HourGH-OCT'!I12)</f>
        <v>0.97</v>
      </c>
      <c r="D22" s="128">
        <f>IF(TRIM('HourGH-OCT'!I13)="","      ",'HourGH-OCT'!I13)</f>
        <v>0.99</v>
      </c>
      <c r="E22" s="128">
        <f>IF(TRIM('HourGH-OCT'!I14)="","      ",'HourGH-OCT'!I14)</f>
        <v>0.98</v>
      </c>
      <c r="F22" s="118">
        <f>IF(TRIM('HourGH-OCT'!I15)="","      ",'HourGH-OCT'!I15)</f>
        <v>0.87</v>
      </c>
      <c r="G22" s="118">
        <f>IF(TRIM('HourGH-OCT'!I16)="","      ",'HourGH-OCT'!I16)</f>
        <v>1</v>
      </c>
      <c r="H22" s="128">
        <f>IF(TRIM('HourGH-OCT'!I17)="","      ",'HourGH-OCT'!I17)</f>
        <v>0.92</v>
      </c>
      <c r="I22" s="128">
        <f>IF(TRIM('HourGH-OCT'!I18)="","      ",'HourGH-OCT'!I18)</f>
        <v>0.83</v>
      </c>
      <c r="J22" s="128">
        <f>IF(TRIM('HourGH-OCT'!I19)="","      ",'HourGH-OCT'!I19)</f>
        <v>0.76</v>
      </c>
      <c r="K22" s="128">
        <f>IF(TRIM('HourGH-OCT'!I20)="","      ",'HourGH-OCT'!I20)</f>
        <v>0.7</v>
      </c>
    </row>
    <row r="23" spans="1:12">
      <c r="A23" s="127" t="s">
        <v>165</v>
      </c>
      <c r="B23" s="128">
        <f>IF(TRIM('HourGH-OCT'!I22)="","      ",'HourGH-OCT'!I22)</f>
        <v>0.65</v>
      </c>
      <c r="C23" s="128">
        <f>IF(TRIM('HourGH-OCT'!I23)="","      ",'HourGH-OCT'!I23)</f>
        <v>0.64</v>
      </c>
      <c r="D23" s="128">
        <f>IF(TRIM('HourGH-OCT'!I24)="","      ",'HourGH-OCT'!I24)</f>
        <v>0.64</v>
      </c>
      <c r="E23" s="128">
        <f>IF(TRIM('HourGH-OCT'!I25)="","      ",'HourGH-OCT'!I25)</f>
        <v>0.62</v>
      </c>
      <c r="F23" s="118">
        <f>IF(TRIM('HourGH-OCT'!I26)="","      ",'HourGH-OCT'!I26)</f>
        <v>0.6</v>
      </c>
      <c r="G23" s="118">
        <f>IF(TRIM('HourGH-OCT'!I27)="","      ",'HourGH-OCT'!I27)</f>
        <v>0.57999999999999996</v>
      </c>
      <c r="H23" s="118">
        <f>IF(TRIM('HourGH-OCT'!I28)="","      ",'HourGH-OCT'!I28)</f>
        <v>0.57999999999999996</v>
      </c>
      <c r="I23" s="118">
        <f>IF(TRIM('HourGH-OCT'!I29)="","      ",'HourGH-OCT'!I29)</f>
        <v>0.71</v>
      </c>
      <c r="J23" s="118">
        <f>IF(TRIM('HourGH-OCT'!I30)="","      ",'HourGH-OCT'!I30)</f>
        <v>2.6</v>
      </c>
      <c r="K23" s="118">
        <f>IF(TRIM('HourGH-OCT'!I31)="","      ",'HourGH-OCT'!I31)</f>
        <v>2.1</v>
      </c>
    </row>
    <row r="24" spans="1:12">
      <c r="A24" s="127" t="s">
        <v>166</v>
      </c>
      <c r="B24" s="128">
        <f>IF(TRIM('HourGH-OCT'!I33)="","      ",'HourGH-OCT'!I33)</f>
        <v>1.71</v>
      </c>
      <c r="C24" s="128">
        <f>IF(TRIM('HourGH-OCT'!I34)="","      ",'HourGH-OCT'!I34)</f>
        <v>1.93</v>
      </c>
      <c r="D24" s="128">
        <f>IF(TRIM('HourGH-OCT'!I35)="","      ",'HourGH-OCT'!I35)</f>
        <v>1.94</v>
      </c>
      <c r="E24" s="128">
        <f>IF(TRIM('HourGH-OCT'!I36)="","      ",'HourGH-OCT'!I36)</f>
        <v>1.56</v>
      </c>
      <c r="F24" s="118">
        <f>IF(TRIM('HourGH-OCT'!I37)="","      ",'HourGH-OCT'!I37)</f>
        <v>1.5</v>
      </c>
      <c r="G24" s="118">
        <f>IF(TRIM('HourGH-OCT'!I38)="","      ",'HourGH-OCT'!I38)</f>
        <v>1.31</v>
      </c>
      <c r="H24" s="118">
        <f>IF(TRIM('HourGH-OCT'!I39)="","      ",'HourGH-OCT'!I39)</f>
        <v>1.2</v>
      </c>
      <c r="I24" s="118">
        <f>IF(TRIM('HourGH-OCT'!I40)="","      ",'HourGH-OCT'!I40)</f>
        <v>1.1399999999999999</v>
      </c>
      <c r="J24" s="118">
        <f>IF(TRIM('HourGH-OCT'!I41)="","      ",'HourGH-OCT'!I41)</f>
        <v>1.4</v>
      </c>
      <c r="K24" s="118">
        <f>IF(TRIM('HourGH-OCT'!I42)="","      ",'HourGH-OCT'!I42)</f>
        <v>1.1599999999999999</v>
      </c>
      <c r="L24" s="118">
        <f>IF(TRIM('HourGH-OCT'!I43)="","      ",'HourGH-OCT'!I43)</f>
        <v>1.0900000000000001</v>
      </c>
    </row>
    <row r="25" spans="1:12">
      <c r="A25" s="127" t="s">
        <v>167</v>
      </c>
      <c r="B25" s="128">
        <f>IF(TRIM('HourGH-OCT'!J11)="","      ",'HourGH-OCT'!J11)</f>
        <v>1.01</v>
      </c>
      <c r="C25" s="128">
        <f>IF(TRIM('HourGH-OCT'!J12)="","      ",'HourGH-OCT'!J12)</f>
        <v>0.97</v>
      </c>
      <c r="D25" s="128">
        <f>IF(TRIM('HourGH-OCT'!J13)="","      ",'HourGH-OCT'!J13)</f>
        <v>0.99</v>
      </c>
      <c r="E25" s="128">
        <f>IF(TRIM('HourGH-OCT'!J14)="","      ",'HourGH-OCT'!J14)</f>
        <v>0.98</v>
      </c>
      <c r="F25" s="118">
        <f>IF(TRIM('HourGH-OCT'!J15)="","      ",'HourGH-OCT'!J15)</f>
        <v>0.87</v>
      </c>
      <c r="G25" s="118">
        <f>IF(TRIM('HourGH-OCT'!J16)="","      ",'HourGH-OCT'!J16)</f>
        <v>1.01</v>
      </c>
      <c r="H25" s="128">
        <f>IF(TRIM('HourGH-OCT'!J17)="","      ",'HourGH-OCT'!J17)</f>
        <v>0.91</v>
      </c>
      <c r="I25" s="128">
        <f>IF(TRIM('HourGH-OCT'!J18)="","      ",'HourGH-OCT'!J18)</f>
        <v>0.83</v>
      </c>
      <c r="J25" s="128">
        <f>IF(TRIM('HourGH-OCT'!J19)="","      ",'HourGH-OCT'!J19)</f>
        <v>0.76</v>
      </c>
      <c r="K25" s="128">
        <f>IF(TRIM('HourGH-OCT'!J20)="","      ",'HourGH-OCT'!J20)</f>
        <v>0.7</v>
      </c>
    </row>
    <row r="26" spans="1:12">
      <c r="A26" s="127" t="s">
        <v>168</v>
      </c>
      <c r="B26" s="128">
        <f>IF(TRIM('HourGH-OCT'!J22)="","      ",'HourGH-OCT'!J22)</f>
        <v>0.65</v>
      </c>
      <c r="C26" s="128">
        <f>IF(TRIM('HourGH-OCT'!J23)="","      ",'HourGH-OCT'!J23)</f>
        <v>0.64</v>
      </c>
      <c r="D26" s="128">
        <f>IF(TRIM('HourGH-OCT'!J24)="","      ",'HourGH-OCT'!J24)</f>
        <v>0.64</v>
      </c>
      <c r="E26" s="128">
        <f>IF(TRIM('HourGH-OCT'!J25)="","      ",'HourGH-OCT'!J25)</f>
        <v>0.62</v>
      </c>
      <c r="F26" s="118">
        <f>IF(TRIM('HourGH-OCT'!J26)="","      ",'HourGH-OCT'!J26)</f>
        <v>0.6</v>
      </c>
      <c r="G26" s="118">
        <f>IF(TRIM('HourGH-OCT'!J27)="","      ",'HourGH-OCT'!J27)</f>
        <v>0.57999999999999996</v>
      </c>
      <c r="H26" s="128">
        <f>IF(TRIM('HourGH-OCT'!J28)="","      ",'HourGH-OCT'!J28)</f>
        <v>0.57999999999999996</v>
      </c>
      <c r="I26" s="128">
        <f>IF(TRIM('HourGH-OCT'!J29)="","      ",'HourGH-OCT'!J29)</f>
        <v>0.74</v>
      </c>
      <c r="J26" s="128">
        <f>IF(TRIM('HourGH-OCT'!J30)="","      ",'HourGH-OCT'!J30)</f>
        <v>2.61</v>
      </c>
      <c r="K26" s="128">
        <f>IF(TRIM('HourGH-OCT'!J31)="","      ",'HourGH-OCT'!J31)</f>
        <v>2.0699999999999998</v>
      </c>
    </row>
    <row r="27" spans="1:12">
      <c r="A27" s="127" t="s">
        <v>169</v>
      </c>
      <c r="B27" s="128">
        <f>IF(TRIM('HourGH-OCT'!J33)="","      ",'HourGH-OCT'!J33)</f>
        <v>1.71</v>
      </c>
      <c r="C27" s="128">
        <f>IF(TRIM('HourGH-OCT'!J34)="","      ",'HourGH-OCT'!J34)</f>
        <v>1.97</v>
      </c>
      <c r="D27" s="128">
        <f>IF(TRIM('HourGH-OCT'!J35)="","      ",'HourGH-OCT'!J35)</f>
        <v>1.91</v>
      </c>
      <c r="E27" s="128">
        <f>IF(TRIM('HourGH-OCT'!J36)="","      ",'HourGH-OCT'!J36)</f>
        <v>1.58</v>
      </c>
      <c r="F27" s="118">
        <f>IF(TRIM('HourGH-OCT'!J37)="","      ",'HourGH-OCT'!J37)</f>
        <v>1.49</v>
      </c>
      <c r="G27" s="118">
        <f>IF(TRIM('HourGH-OCT'!J38)="","      ",'HourGH-OCT'!J38)</f>
        <v>1.3</v>
      </c>
      <c r="H27" s="128">
        <f>IF(TRIM('HourGH-OCT'!J39)="","      ",'HourGH-OCT'!J39)</f>
        <v>1.2</v>
      </c>
      <c r="I27" s="128">
        <f>IF(TRIM('HourGH-OCT'!J40)="","      ",'HourGH-OCT'!J40)</f>
        <v>1.1399999999999999</v>
      </c>
      <c r="J27" s="128">
        <f>IF(TRIM('HourGH-OCT'!J41)="","      ",'HourGH-OCT'!J41)</f>
        <v>1.42</v>
      </c>
      <c r="K27" s="128">
        <f>IF(TRIM('HourGH-OCT'!J42)="","      ",'HourGH-OCT'!J42)</f>
        <v>1.1499999999999999</v>
      </c>
      <c r="L27" s="118">
        <f>IF(TRIM('HourGH-OCT'!J43)="","      ",'HourGH-OCT'!J43)</f>
        <v>1.0900000000000001</v>
      </c>
    </row>
    <row r="28" spans="1:12">
      <c r="A28" s="127" t="s">
        <v>170</v>
      </c>
      <c r="B28" s="128">
        <f>IF(TRIM('HourGH-OCT'!K11)="","      ",'HourGH-OCT'!K11)</f>
        <v>1.01</v>
      </c>
      <c r="C28" s="128">
        <f>IF(TRIM('HourGH-OCT'!K12)="","      ",'HourGH-OCT'!K12)</f>
        <v>0.97</v>
      </c>
      <c r="D28" s="128">
        <f>IF(TRIM('HourGH-OCT'!K13)="","      ",'HourGH-OCT'!K13)</f>
        <v>0.99</v>
      </c>
      <c r="E28" s="128">
        <f>IF(TRIM('HourGH-OCT'!K14)="","      ",'HourGH-OCT'!K14)</f>
        <v>0.98</v>
      </c>
      <c r="F28" s="118">
        <f>IF(TRIM('HourGH-OCT'!K15)="","      ",'HourGH-OCT'!K15)</f>
        <v>0.87</v>
      </c>
      <c r="G28" s="118">
        <f>IF(TRIM('HourGH-OCT'!K16)="","      ",'HourGH-OCT'!K16)</f>
        <v>1.02</v>
      </c>
      <c r="H28" s="128">
        <f>IF(TRIM('HourGH-OCT'!K17)="","      ",'HourGH-OCT'!K17)</f>
        <v>0.91</v>
      </c>
      <c r="I28" s="128">
        <f>IF(TRIM('HourGH-OCT'!K18)="","      ",'HourGH-OCT'!K18)</f>
        <v>0.83</v>
      </c>
      <c r="J28" s="128">
        <f>IF(TRIM('HourGH-OCT'!K19)="","      ",'HourGH-OCT'!K19)</f>
        <v>0.75</v>
      </c>
      <c r="K28" s="128">
        <f>IF(TRIM('HourGH-OCT'!K20)="","      ",'HourGH-OCT'!K20)</f>
        <v>0.7</v>
      </c>
    </row>
    <row r="29" spans="1:12">
      <c r="A29" s="127" t="s">
        <v>171</v>
      </c>
      <c r="B29" s="128">
        <f>IF(TRIM('HourGH-OCT'!K22)="","      ",'HourGH-OCT'!K22)</f>
        <v>0.65</v>
      </c>
      <c r="C29" s="128">
        <f>IF(TRIM('HourGH-OCT'!K23)="","      ",'HourGH-OCT'!K23)</f>
        <v>0.64</v>
      </c>
      <c r="D29" s="128">
        <f>IF(TRIM('HourGH-OCT'!K24)="","      ",'HourGH-OCT'!K24)</f>
        <v>0.64</v>
      </c>
      <c r="E29" s="128">
        <f>IF(TRIM('HourGH-OCT'!K25)="","      ",'HourGH-OCT'!K25)</f>
        <v>0.62</v>
      </c>
      <c r="F29" s="118">
        <f>IF(TRIM('HourGH-OCT'!K26)="","      ",'HourGH-OCT'!K26)</f>
        <v>0.6</v>
      </c>
      <c r="G29" s="118">
        <f>IF(TRIM('HourGH-OCT'!K27)="","      ",'HourGH-OCT'!K27)</f>
        <v>0.57999999999999996</v>
      </c>
      <c r="H29" s="128">
        <f>IF(TRIM('HourGH-OCT'!K28)="","      ",'HourGH-OCT'!K28)</f>
        <v>0.57999999999999996</v>
      </c>
      <c r="I29" s="128">
        <f>IF(TRIM('HourGH-OCT'!K29)="","      ",'HourGH-OCT'!K29)</f>
        <v>0.79</v>
      </c>
      <c r="J29" s="128">
        <f>IF(TRIM('HourGH-OCT'!K30)="","      ",'HourGH-OCT'!K30)</f>
        <v>2.62</v>
      </c>
      <c r="K29" s="128">
        <f>IF(TRIM('HourGH-OCT'!K31)="","      ",'HourGH-OCT'!K31)</f>
        <v>2.04</v>
      </c>
    </row>
    <row r="30" spans="1:12">
      <c r="A30" s="127" t="s">
        <v>172</v>
      </c>
      <c r="B30" s="128">
        <f>IF(TRIM('HourGH-OCT'!K33)="","      ",'HourGH-OCT'!K33)</f>
        <v>1.7</v>
      </c>
      <c r="C30" s="128">
        <f>IF(TRIM('HourGH-OCT'!K34)="","      ",'HourGH-OCT'!K34)</f>
        <v>2</v>
      </c>
      <c r="D30" s="128">
        <f>IF(TRIM('HourGH-OCT'!K35)="","      ",'HourGH-OCT'!K35)</f>
        <v>1.88</v>
      </c>
      <c r="E30" s="128">
        <f>IF(TRIM('HourGH-OCT'!K36)="","      ",'HourGH-OCT'!K36)</f>
        <v>1.59</v>
      </c>
      <c r="F30" s="118">
        <f>IF(TRIM('HourGH-OCT'!K37)="","      ",'HourGH-OCT'!K37)</f>
        <v>1.48</v>
      </c>
      <c r="G30" s="118">
        <f>IF(TRIM('HourGH-OCT'!K38)="","      ",'HourGH-OCT'!K38)</f>
        <v>1.3</v>
      </c>
      <c r="H30" s="128">
        <f>IF(TRIM('HourGH-OCT'!K39)="","      ",'HourGH-OCT'!K39)</f>
        <v>1.19</v>
      </c>
      <c r="I30" s="128">
        <f>IF(TRIM('HourGH-OCT'!K40)="","      ",'HourGH-OCT'!K40)</f>
        <v>1.1399999999999999</v>
      </c>
      <c r="J30" s="128">
        <f>IF(TRIM('HourGH-OCT'!K41)="","      ",'HourGH-OCT'!K41)</f>
        <v>1.44</v>
      </c>
      <c r="K30" s="128">
        <f>IF(TRIM('HourGH-OCT'!K42)="","      ",'HourGH-OCT'!K42)</f>
        <v>1.1399999999999999</v>
      </c>
      <c r="L30" s="118">
        <f>IF(TRIM('HourGH-OCT'!K43)="","      ",'HourGH-OCT'!K43)</f>
        <v>1.0900000000000001</v>
      </c>
    </row>
    <row r="31" spans="1:12">
      <c r="A31" s="127" t="s">
        <v>173</v>
      </c>
      <c r="B31" s="128">
        <f>IF(TRIM('HourGH-OCT'!L11)="","      ",'HourGH-OCT'!L11)</f>
        <v>1.01</v>
      </c>
      <c r="C31" s="128">
        <f>IF(TRIM('HourGH-OCT'!L12)="","      ",'HourGH-OCT'!L12)</f>
        <v>0.97</v>
      </c>
      <c r="D31" s="128">
        <f>IF(TRIM('HourGH-OCT'!L13)="","      ",'HourGH-OCT'!L13)</f>
        <v>0.99</v>
      </c>
      <c r="E31" s="128">
        <f>IF(TRIM('HourGH-OCT'!L14)="","      ",'HourGH-OCT'!L14)</f>
        <v>0.97</v>
      </c>
      <c r="F31" s="118">
        <f>IF(TRIM('HourGH-OCT'!L15)="","      ",'HourGH-OCT'!L15)</f>
        <v>0.87</v>
      </c>
      <c r="G31" s="118">
        <f>IF(TRIM('HourGH-OCT'!L16)="","      ",'HourGH-OCT'!L16)</f>
        <v>1.03</v>
      </c>
      <c r="H31" s="128">
        <f>IF(TRIM('HourGH-OCT'!L17)="","      ",'HourGH-OCT'!L17)</f>
        <v>0.9</v>
      </c>
      <c r="I31" s="128">
        <f>IF(TRIM('HourGH-OCT'!L18)="","      ",'HourGH-OCT'!L18)</f>
        <v>0.83</v>
      </c>
      <c r="J31" s="128">
        <f>IF(TRIM('HourGH-OCT'!L19)="","      ",'HourGH-OCT'!L19)</f>
        <v>0.75</v>
      </c>
      <c r="K31" s="128">
        <f>IF(TRIM('HourGH-OCT'!L20)="","      ",'HourGH-OCT'!L20)</f>
        <v>0.7</v>
      </c>
    </row>
    <row r="32" spans="1:12">
      <c r="A32" s="127" t="s">
        <v>174</v>
      </c>
      <c r="B32" s="128">
        <f>IF(TRIM('HourGH-OCT'!L22)="","      ",'HourGH-OCT'!L22)</f>
        <v>0.65</v>
      </c>
      <c r="C32" s="128">
        <f>IF(TRIM('HourGH-OCT'!L23)="","      ",'HourGH-OCT'!L23)</f>
        <v>0.64</v>
      </c>
      <c r="D32" s="128">
        <f>IF(TRIM('HourGH-OCT'!L24)="","      ",'HourGH-OCT'!L24)</f>
        <v>0.64</v>
      </c>
      <c r="E32" s="128">
        <f>IF(TRIM('HourGH-OCT'!L25)="","      ",'HourGH-OCT'!L25)</f>
        <v>0.62</v>
      </c>
      <c r="F32" s="118">
        <f>IF(TRIM('HourGH-OCT'!L26)="","      ",'HourGH-OCT'!L26)</f>
        <v>0.6</v>
      </c>
      <c r="G32" s="118">
        <f>IF(TRIM('HourGH-OCT'!L27)="","      ",'HourGH-OCT'!L27)</f>
        <v>0.57999999999999996</v>
      </c>
      <c r="H32" s="128">
        <f>IF(TRIM('HourGH-OCT'!L28)="","      ",'HourGH-OCT'!L28)</f>
        <v>0.57999999999999996</v>
      </c>
      <c r="I32" s="128">
        <f>IF(TRIM('HourGH-OCT'!L29)="","      ",'HourGH-OCT'!L29)</f>
        <v>0.83</v>
      </c>
      <c r="J32" s="128">
        <f>IF(TRIM('HourGH-OCT'!L30)="","      ",'HourGH-OCT'!L30)</f>
        <v>2.63</v>
      </c>
      <c r="K32" s="128">
        <f>IF(TRIM('HourGH-OCT'!L31)="","      ",'HourGH-OCT'!L31)</f>
        <v>2.0099999999999998</v>
      </c>
    </row>
    <row r="33" spans="1:12">
      <c r="A33" s="127" t="s">
        <v>175</v>
      </c>
      <c r="B33" s="128">
        <f>IF(TRIM('HourGH-OCT'!L33)="","      ",'HourGH-OCT'!L33)</f>
        <v>1.7</v>
      </c>
      <c r="C33" s="128">
        <f>IF(TRIM('HourGH-OCT'!L34)="","      ",'HourGH-OCT'!L34)</f>
        <v>2.0299999999999998</v>
      </c>
      <c r="D33" s="128">
        <f>IF(TRIM('HourGH-OCT'!L35)="","      ",'HourGH-OCT'!L35)</f>
        <v>1.85</v>
      </c>
      <c r="E33" s="128">
        <f>IF(TRIM('HourGH-OCT'!L36)="","      ",'HourGH-OCT'!L36)</f>
        <v>1.6</v>
      </c>
      <c r="F33" s="118">
        <f>IF(TRIM('HourGH-OCT'!L37)="","      ",'HourGH-OCT'!L37)</f>
        <v>1.46</v>
      </c>
      <c r="G33" s="118">
        <f>IF(TRIM('HourGH-OCT'!L38)="","      ",'HourGH-OCT'!L38)</f>
        <v>1.29</v>
      </c>
      <c r="H33" s="128">
        <f>IF(TRIM('HourGH-OCT'!L39)="","      ",'HourGH-OCT'!L39)</f>
        <v>1.19</v>
      </c>
      <c r="I33" s="128">
        <f>IF(TRIM('HourGH-OCT'!L40)="","      ",'HourGH-OCT'!L40)</f>
        <v>1.1399999999999999</v>
      </c>
      <c r="J33" s="128">
        <f>IF(TRIM('HourGH-OCT'!L41)="","      ",'HourGH-OCT'!L41)</f>
        <v>1.45</v>
      </c>
      <c r="K33" s="128">
        <f>IF(TRIM('HourGH-OCT'!L42)="","      ",'HourGH-OCT'!L42)</f>
        <v>1.1299999999999999</v>
      </c>
      <c r="L33" s="118">
        <f>IF(TRIM('HourGH-OCT'!L43)="","      ",'HourGH-OCT'!L43)</f>
        <v>1.0900000000000001</v>
      </c>
    </row>
    <row r="34" spans="1:12">
      <c r="A34" s="127" t="s">
        <v>176</v>
      </c>
      <c r="B34" s="128">
        <f>IF(TRIM('HourGH-OCT'!M11)="","      ",'HourGH-OCT'!M11)</f>
        <v>1.01</v>
      </c>
      <c r="C34" s="128">
        <f>IF(TRIM('HourGH-OCT'!M12)="","      ",'HourGH-OCT'!M12)</f>
        <v>0.97</v>
      </c>
      <c r="D34" s="128">
        <f>IF(TRIM('HourGH-OCT'!M13)="","      ",'HourGH-OCT'!M13)</f>
        <v>0.99</v>
      </c>
      <c r="E34" s="128">
        <f>IF(TRIM('HourGH-OCT'!M14)="","      ",'HourGH-OCT'!M14)</f>
        <v>0.97</v>
      </c>
      <c r="F34" s="118">
        <f>IF(TRIM('HourGH-OCT'!M15)="","      ",'HourGH-OCT'!M15)</f>
        <v>0.87</v>
      </c>
      <c r="G34" s="118">
        <f>IF(TRIM('HourGH-OCT'!M16)="","      ",'HourGH-OCT'!M16)</f>
        <v>1.03</v>
      </c>
      <c r="H34" s="128">
        <f>IF(TRIM('HourGH-OCT'!M17)="","      ",'HourGH-OCT'!M17)</f>
        <v>0.9</v>
      </c>
      <c r="I34" s="128">
        <f>IF(TRIM('HourGH-OCT'!M18)="","      ",'HourGH-OCT'!M18)</f>
        <v>0.83</v>
      </c>
      <c r="J34" s="128">
        <f>IF(TRIM('HourGH-OCT'!M19)="","      ",'HourGH-OCT'!M19)</f>
        <v>0.75</v>
      </c>
      <c r="K34" s="128">
        <f>IF(TRIM('HourGH-OCT'!M20)="","      ",'HourGH-OCT'!M20)</f>
        <v>0.69</v>
      </c>
    </row>
    <row r="35" spans="1:12">
      <c r="A35" s="127" t="s">
        <v>177</v>
      </c>
      <c r="B35" s="128">
        <f>IF(TRIM('HourGH-OCT'!M22)="","      ",'HourGH-OCT'!M22)</f>
        <v>0.65</v>
      </c>
      <c r="C35" s="128">
        <f>IF(TRIM('HourGH-OCT'!M23)="","      ",'HourGH-OCT'!M23)</f>
        <v>0.64</v>
      </c>
      <c r="D35" s="128">
        <f>IF(TRIM('HourGH-OCT'!M24)="","      ",'HourGH-OCT'!M24)</f>
        <v>0.64</v>
      </c>
      <c r="E35" s="128">
        <f>IF(TRIM('HourGH-OCT'!M25)="","      ",'HourGH-OCT'!M25)</f>
        <v>0.62</v>
      </c>
      <c r="F35" s="118">
        <f>IF(TRIM('HourGH-OCT'!M26)="","      ",'HourGH-OCT'!M26)</f>
        <v>0.6</v>
      </c>
      <c r="G35" s="118">
        <f>IF(TRIM('HourGH-OCT'!M27)="","      ",'HourGH-OCT'!M27)</f>
        <v>0.57999999999999996</v>
      </c>
      <c r="H35" s="128">
        <f>IF(TRIM('HourGH-OCT'!M28)="","      ",'HourGH-OCT'!M28)</f>
        <v>0.57999999999999996</v>
      </c>
      <c r="I35" s="128">
        <f>IF(TRIM('HourGH-OCT'!M29)="","      ",'HourGH-OCT'!M29)</f>
        <v>0.92</v>
      </c>
      <c r="J35" s="128">
        <f>IF(TRIM('HourGH-OCT'!M30)="","      ",'HourGH-OCT'!M30)</f>
        <v>2.63</v>
      </c>
      <c r="K35" s="128">
        <f>IF(TRIM('HourGH-OCT'!M31)="","      ",'HourGH-OCT'!M31)</f>
        <v>1.99</v>
      </c>
    </row>
    <row r="36" spans="1:12">
      <c r="A36" s="127" t="s">
        <v>178</v>
      </c>
      <c r="B36" s="128">
        <f>IF(TRIM('HourGH-OCT'!M33)="","      ",'HourGH-OCT'!M33)</f>
        <v>1.7</v>
      </c>
      <c r="C36" s="128">
        <f>IF(TRIM('HourGH-OCT'!M34)="","      ",'HourGH-OCT'!M34)</f>
        <v>2.04</v>
      </c>
      <c r="D36" s="128">
        <f>IF(TRIM('HourGH-OCT'!M35)="","      ",'HourGH-OCT'!M35)</f>
        <v>1.81</v>
      </c>
      <c r="E36" s="128">
        <f>IF(TRIM('HourGH-OCT'!M36)="","      ",'HourGH-OCT'!M36)</f>
        <v>1.61</v>
      </c>
      <c r="F36" s="118">
        <f>IF(TRIM('HourGH-OCT'!M37)="","      ",'HourGH-OCT'!M37)</f>
        <v>1.45</v>
      </c>
      <c r="G36" s="118">
        <f>IF(TRIM('HourGH-OCT'!M38)="","      ",'HourGH-OCT'!M38)</f>
        <v>1.29</v>
      </c>
      <c r="H36" s="128">
        <f>IF(TRIM('HourGH-OCT'!M39)="","      ",'HourGH-OCT'!M39)</f>
        <v>1.19</v>
      </c>
      <c r="I36" s="128">
        <f>IF(TRIM('HourGH-OCT'!M40)="","      ",'HourGH-OCT'!M40)</f>
        <v>1.1399999999999999</v>
      </c>
      <c r="J36" s="128">
        <f>IF(TRIM('HourGH-OCT'!M41)="","      ",'HourGH-OCT'!M41)</f>
        <v>1.46</v>
      </c>
      <c r="K36" s="128">
        <f>IF(TRIM('HourGH-OCT'!M42)="","      ",'HourGH-OCT'!M42)</f>
        <v>1.1299999999999999</v>
      </c>
      <c r="L36" s="118">
        <f>IF(TRIM('HourGH-OCT'!M43)="","      ",'HourGH-OCT'!M43)</f>
        <v>1.0900000000000001</v>
      </c>
    </row>
    <row r="37" spans="1:12">
      <c r="A37" s="127" t="s">
        <v>179</v>
      </c>
      <c r="B37" s="128">
        <f>IF(TRIM('HourGH-OCT'!N11)="","      ",'HourGH-OCT'!N11)</f>
        <v>1.01</v>
      </c>
      <c r="C37" s="128">
        <f>IF(TRIM('HourGH-OCT'!N12)="","      ",'HourGH-OCT'!N12)</f>
        <v>0.97</v>
      </c>
      <c r="D37" s="128">
        <f>IF(TRIM('HourGH-OCT'!N13)="","      ",'HourGH-OCT'!N13)</f>
        <v>0.99</v>
      </c>
      <c r="E37" s="128">
        <f>IF(TRIM('HourGH-OCT'!N14)="","      ",'HourGH-OCT'!N14)</f>
        <v>0.96</v>
      </c>
      <c r="F37" s="118">
        <f>IF(TRIM('HourGH-OCT'!N15)="","      ",'HourGH-OCT'!N15)</f>
        <v>0.88</v>
      </c>
      <c r="G37" s="118">
        <f>IF(TRIM('HourGH-OCT'!N16)="","      ",'HourGH-OCT'!N16)</f>
        <v>1.04</v>
      </c>
      <c r="H37" s="128">
        <f>IF(TRIM('HourGH-OCT'!N17)="","      ",'HourGH-OCT'!N17)</f>
        <v>0.89</v>
      </c>
      <c r="I37" s="128">
        <f>IF(TRIM('HourGH-OCT'!N18)="","      ",'HourGH-OCT'!N18)</f>
        <v>0.82</v>
      </c>
      <c r="J37" s="128">
        <f>IF(TRIM('HourGH-OCT'!N19)="","      ",'HourGH-OCT'!N19)</f>
        <v>0.74</v>
      </c>
      <c r="K37" s="128">
        <f>IF(TRIM('HourGH-OCT'!N20)="","      ",'HourGH-OCT'!N20)</f>
        <v>0.69</v>
      </c>
    </row>
    <row r="38" spans="1:12">
      <c r="A38" s="127" t="s">
        <v>180</v>
      </c>
      <c r="B38" s="128">
        <f>IF(TRIM('HourGH-OCT'!N22)="","      ",'HourGH-OCT'!N22)</f>
        <v>0.65</v>
      </c>
      <c r="C38" s="128">
        <f>IF(TRIM('HourGH-OCT'!N23)="","      ",'HourGH-OCT'!N23)</f>
        <v>0.64</v>
      </c>
      <c r="D38" s="128">
        <f>IF(TRIM('HourGH-OCT'!N24)="","      ",'HourGH-OCT'!N24)</f>
        <v>0.64</v>
      </c>
      <c r="E38" s="128">
        <f>IF(TRIM('HourGH-OCT'!N25)="","      ",'HourGH-OCT'!N25)</f>
        <v>0.62</v>
      </c>
      <c r="F38" s="118">
        <f>IF(TRIM('HourGH-OCT'!N26)="","      ",'HourGH-OCT'!N26)</f>
        <v>0.6</v>
      </c>
      <c r="G38" s="118">
        <f>IF(TRIM('HourGH-OCT'!N27)="","      ",'HourGH-OCT'!N27)</f>
        <v>0.57999999999999996</v>
      </c>
      <c r="H38" s="128">
        <f>IF(TRIM('HourGH-OCT'!N28)="","      ",'HourGH-OCT'!N28)</f>
        <v>0.57999999999999996</v>
      </c>
      <c r="I38" s="128">
        <f>IF(TRIM('HourGH-OCT'!N29)="","      ",'HourGH-OCT'!N29)</f>
        <v>1.1000000000000001</v>
      </c>
      <c r="J38" s="128">
        <f>IF(TRIM('HourGH-OCT'!N30)="","      ",'HourGH-OCT'!N30)</f>
        <v>2.63</v>
      </c>
      <c r="K38" s="128">
        <f>IF(TRIM('HourGH-OCT'!N31)="","      ",'HourGH-OCT'!N31)</f>
        <v>1.97</v>
      </c>
    </row>
    <row r="39" spans="1:12">
      <c r="A39" s="127" t="s">
        <v>181</v>
      </c>
      <c r="B39" s="128">
        <f>IF(TRIM('HourGH-OCT'!N33)="","      ",'HourGH-OCT'!N33)</f>
        <v>1.7</v>
      </c>
      <c r="C39" s="128">
        <f>IF(TRIM('HourGH-OCT'!N34)="","      ",'HourGH-OCT'!N34)</f>
        <v>2.06</v>
      </c>
      <c r="D39" s="128">
        <f>IF(TRIM('HourGH-OCT'!N35)="","      ",'HourGH-OCT'!N35)</f>
        <v>1.77</v>
      </c>
      <c r="E39" s="128">
        <f>IF(TRIM('HourGH-OCT'!N36)="","      ",'HourGH-OCT'!N36)</f>
        <v>1.62</v>
      </c>
      <c r="F39" s="118">
        <f>IF(TRIM('HourGH-OCT'!N37)="","      ",'HourGH-OCT'!N37)</f>
        <v>1.44</v>
      </c>
      <c r="G39" s="118">
        <f>IF(TRIM('HourGH-OCT'!N38)="","      ",'HourGH-OCT'!N38)</f>
        <v>1.28</v>
      </c>
      <c r="H39" s="128">
        <f>IF(TRIM('HourGH-OCT'!N39)="","      ",'HourGH-OCT'!N39)</f>
        <v>1.18</v>
      </c>
      <c r="I39" s="128">
        <f>IF(TRIM('HourGH-OCT'!N40)="","      ",'HourGH-OCT'!N40)</f>
        <v>1.1399999999999999</v>
      </c>
      <c r="J39" s="128">
        <f>IF(TRIM('HourGH-OCT'!N41)="","      ",'HourGH-OCT'!N41)</f>
        <v>1.47</v>
      </c>
      <c r="K39" s="128">
        <f>IF(TRIM('HourGH-OCT'!N42)="","      ",'HourGH-OCT'!N42)</f>
        <v>1.1200000000000001</v>
      </c>
      <c r="L39" s="118">
        <f>IF(TRIM('HourGH-OCT'!N43)="","      ",'HourGH-OCT'!N43)</f>
        <v>1.08</v>
      </c>
    </row>
    <row r="40" spans="1:12">
      <c r="A40" s="127" t="s">
        <v>182</v>
      </c>
      <c r="B40" s="128">
        <f>IF(TRIM('HourGH-OCT'!O11)="","      ",'HourGH-OCT'!O11)</f>
        <v>1</v>
      </c>
      <c r="C40" s="128">
        <f>IF(TRIM('HourGH-OCT'!O12)="","      ",'HourGH-OCT'!O12)</f>
        <v>0.97</v>
      </c>
      <c r="D40" s="128">
        <f>IF(TRIM('HourGH-OCT'!O13)="","      ",'HourGH-OCT'!O13)</f>
        <v>1</v>
      </c>
      <c r="E40" s="128">
        <f>IF(TRIM('HourGH-OCT'!O14)="","      ",'HourGH-OCT'!O14)</f>
        <v>0.96</v>
      </c>
      <c r="F40" s="118">
        <f>IF(TRIM('HourGH-OCT'!O15)="","      ",'HourGH-OCT'!O15)</f>
        <v>0.88</v>
      </c>
      <c r="G40" s="118">
        <f>IF(TRIM('HourGH-OCT'!O16)="","      ",'HourGH-OCT'!O16)</f>
        <v>1.04</v>
      </c>
      <c r="H40" s="128">
        <f>IF(TRIM('HourGH-OCT'!O17)="","      ",'HourGH-OCT'!O17)</f>
        <v>0.88</v>
      </c>
      <c r="I40" s="128">
        <f>IF(TRIM('HourGH-OCT'!O18)="","      ",'HourGH-OCT'!O18)</f>
        <v>0.82</v>
      </c>
      <c r="J40" s="128">
        <f>IF(TRIM('HourGH-OCT'!O19)="","      ",'HourGH-OCT'!O19)</f>
        <v>0.74</v>
      </c>
      <c r="K40" s="128">
        <f>IF(TRIM('HourGH-OCT'!O20)="","      ",'HourGH-OCT'!O20)</f>
        <v>0.69</v>
      </c>
    </row>
    <row r="41" spans="1:12">
      <c r="A41" s="127" t="s">
        <v>183</v>
      </c>
      <c r="B41" s="128">
        <f>IF(TRIM('HourGH-OCT'!O22)="","      ",'HourGH-OCT'!O22)</f>
        <v>0.65</v>
      </c>
      <c r="C41" s="128">
        <f>IF(TRIM('HourGH-OCT'!O23)="","      ",'HourGH-OCT'!O23)</f>
        <v>0.64</v>
      </c>
      <c r="D41" s="128">
        <f>IF(TRIM('HourGH-OCT'!O24)="","      ",'HourGH-OCT'!O24)</f>
        <v>0.63</v>
      </c>
      <c r="E41" s="128">
        <f>IF(TRIM('HourGH-OCT'!O25)="","      ",'HourGH-OCT'!O25)</f>
        <v>0.61</v>
      </c>
      <c r="F41" s="118">
        <f>IF(TRIM('HourGH-OCT'!O26)="","      ",'HourGH-OCT'!O26)</f>
        <v>0.59</v>
      </c>
      <c r="G41" s="118">
        <f>IF(TRIM('HourGH-OCT'!O27)="","      ",'HourGH-OCT'!O27)</f>
        <v>0.57999999999999996</v>
      </c>
      <c r="H41" s="128">
        <f>IF(TRIM('HourGH-OCT'!O28)="","      ",'HourGH-OCT'!O28)</f>
        <v>0.57999999999999996</v>
      </c>
      <c r="I41" s="128">
        <f>IF(TRIM('HourGH-OCT'!O29)="","      ",'HourGH-OCT'!O29)</f>
        <v>1.28</v>
      </c>
      <c r="J41" s="128">
        <f>IF(TRIM('HourGH-OCT'!O30)="","      ",'HourGH-OCT'!O30)</f>
        <v>2.63</v>
      </c>
      <c r="K41" s="128">
        <f>IF(TRIM('HourGH-OCT'!O31)="","      ",'HourGH-OCT'!O31)</f>
        <v>1.95</v>
      </c>
    </row>
    <row r="42" spans="1:12">
      <c r="A42" s="127" t="s">
        <v>184</v>
      </c>
      <c r="B42" s="128">
        <f>IF(TRIM('HourGH-OCT'!O33)="","      ",'HourGH-OCT'!O33)</f>
        <v>1.7</v>
      </c>
      <c r="C42" s="128">
        <f>IF(TRIM('HourGH-OCT'!O34)="","      ",'HourGH-OCT'!O34)</f>
        <v>2.08</v>
      </c>
      <c r="D42" s="128">
        <f>IF(TRIM('HourGH-OCT'!O35)="","      ",'HourGH-OCT'!O35)</f>
        <v>1.73</v>
      </c>
      <c r="E42" s="128">
        <f>IF(TRIM('HourGH-OCT'!O36)="","      ",'HourGH-OCT'!O36)</f>
        <v>1.64</v>
      </c>
      <c r="F42" s="118">
        <f>IF(TRIM('HourGH-OCT'!O37)="","      ",'HourGH-OCT'!O37)</f>
        <v>1.43</v>
      </c>
      <c r="G42" s="118">
        <f>IF(TRIM('HourGH-OCT'!O38)="","      ",'HourGH-OCT'!O38)</f>
        <v>1.27</v>
      </c>
      <c r="H42" s="128">
        <f>IF(TRIM('HourGH-OCT'!O39)="","      ",'HourGH-OCT'!O39)</f>
        <v>1.18</v>
      </c>
      <c r="I42" s="128">
        <f>IF(TRIM('HourGH-OCT'!O40)="","      ",'HourGH-OCT'!O40)</f>
        <v>1.1399999999999999</v>
      </c>
      <c r="J42" s="128">
        <f>IF(TRIM('HourGH-OCT'!O41)="","      ",'HourGH-OCT'!O41)</f>
        <v>1.48</v>
      </c>
      <c r="K42" s="128">
        <f>IF(TRIM('HourGH-OCT'!O42)="","      ",'HourGH-OCT'!O42)</f>
        <v>1.1200000000000001</v>
      </c>
      <c r="L42" s="118">
        <f>IF(TRIM('HourGH-OCT'!O43)="","      ",'HourGH-OCT'!O43)</f>
        <v>1.08</v>
      </c>
    </row>
    <row r="43" spans="1:12">
      <c r="A43" s="127" t="s">
        <v>185</v>
      </c>
      <c r="B43" s="128">
        <f>IF(TRIM('HourGH-OCT'!P11)="","      ",'HourGH-OCT'!P11)</f>
        <v>1</v>
      </c>
      <c r="C43" s="128">
        <f>IF(TRIM('HourGH-OCT'!P12)="","      ",'HourGH-OCT'!P12)</f>
        <v>0.97</v>
      </c>
      <c r="D43" s="128">
        <f>IF(TRIM('HourGH-OCT'!P13)="","      ",'HourGH-OCT'!P13)</f>
        <v>1</v>
      </c>
      <c r="E43" s="128">
        <f>IF(TRIM('HourGH-OCT'!P14)="","      ",'HourGH-OCT'!P14)</f>
        <v>0.95</v>
      </c>
      <c r="F43" s="118">
        <f>IF(TRIM('HourGH-OCT'!P15)="","      ",'HourGH-OCT'!P15)</f>
        <v>0.88</v>
      </c>
      <c r="G43" s="118">
        <f>IF(TRIM('HourGH-OCT'!P16)="","      ",'HourGH-OCT'!P16)</f>
        <v>1.04</v>
      </c>
      <c r="H43" s="128">
        <f>IF(TRIM('HourGH-OCT'!P17)="","      ",'HourGH-OCT'!P17)</f>
        <v>0.88</v>
      </c>
      <c r="I43" s="128">
        <f>IF(TRIM('HourGH-OCT'!P18)="","      ",'HourGH-OCT'!P18)</f>
        <v>0.82</v>
      </c>
      <c r="J43" s="128">
        <f>IF(TRIM('HourGH-OCT'!P19)="","      ",'HourGH-OCT'!P19)</f>
        <v>0.74</v>
      </c>
      <c r="K43" s="128">
        <f>IF(TRIM('HourGH-OCT'!P20)="","      ",'HourGH-OCT'!P20)</f>
        <v>0.68</v>
      </c>
    </row>
    <row r="44" spans="1:12">
      <c r="A44" s="127" t="s">
        <v>186</v>
      </c>
      <c r="B44" s="128">
        <f>IF(TRIM('HourGH-OCT'!P22)="","      ",'HourGH-OCT'!P22)</f>
        <v>0.65</v>
      </c>
      <c r="C44" s="128">
        <f>IF(TRIM('HourGH-OCT'!P23)="","      ",'HourGH-OCT'!P23)</f>
        <v>0.64</v>
      </c>
      <c r="D44" s="128">
        <f>IF(TRIM('HourGH-OCT'!P24)="","      ",'HourGH-OCT'!P24)</f>
        <v>0.63</v>
      </c>
      <c r="E44" s="128">
        <f>IF(TRIM('HourGH-OCT'!P25)="","      ",'HourGH-OCT'!P25)</f>
        <v>0.61</v>
      </c>
      <c r="F44" s="118">
        <f>IF(TRIM('HourGH-OCT'!P26)="","      ",'HourGH-OCT'!P26)</f>
        <v>0.59</v>
      </c>
      <c r="G44" s="118">
        <f>IF(TRIM('HourGH-OCT'!P27)="","      ",'HourGH-OCT'!P27)</f>
        <v>0.57999999999999996</v>
      </c>
      <c r="H44" s="128">
        <f>IF(TRIM('HourGH-OCT'!P28)="","      ",'HourGH-OCT'!P28)</f>
        <v>0.57999999999999996</v>
      </c>
      <c r="I44" s="128">
        <f>IF(TRIM('HourGH-OCT'!P29)="","      ",'HourGH-OCT'!P29)</f>
        <v>1.5</v>
      </c>
      <c r="J44" s="128">
        <f>IF(TRIM('HourGH-OCT'!P30)="","      ",'HourGH-OCT'!P30)</f>
        <v>2.63</v>
      </c>
      <c r="K44" s="128">
        <f>IF(TRIM('HourGH-OCT'!P31)="","      ",'HourGH-OCT'!P31)</f>
        <v>1.93</v>
      </c>
    </row>
    <row r="45" spans="1:12">
      <c r="A45" s="127" t="s">
        <v>187</v>
      </c>
      <c r="B45" s="128">
        <f>IF(TRIM('HourGH-OCT'!P33)="","      ",'HourGH-OCT'!P33)</f>
        <v>1.7</v>
      </c>
      <c r="C45" s="128">
        <f>IF(TRIM('HourGH-OCT'!P34)="","      ",'HourGH-OCT'!P34)</f>
        <v>2.1</v>
      </c>
      <c r="D45" s="128">
        <f>IF(TRIM('HourGH-OCT'!P35)="","      ",'HourGH-OCT'!P35)</f>
        <v>1.69</v>
      </c>
      <c r="E45" s="128">
        <f>IF(TRIM('HourGH-OCT'!P36)="","      ",'HourGH-OCT'!P36)</f>
        <v>1.65</v>
      </c>
      <c r="F45" s="118">
        <f>IF(TRIM('HourGH-OCT'!P37)="","      ",'HourGH-OCT'!P37)</f>
        <v>1.42</v>
      </c>
      <c r="G45" s="118">
        <f>IF(TRIM('HourGH-OCT'!P38)="","      ",'HourGH-OCT'!P38)</f>
        <v>1.27</v>
      </c>
      <c r="H45" s="128">
        <f>IF(TRIM('HourGH-OCT'!P39)="","      ",'HourGH-OCT'!P39)</f>
        <v>1.18</v>
      </c>
      <c r="I45" s="128">
        <f>IF(TRIM('HourGH-OCT'!P40)="","      ",'HourGH-OCT'!P40)</f>
        <v>1.1399999999999999</v>
      </c>
      <c r="J45" s="128">
        <f>IF(TRIM('HourGH-OCT'!P41)="","      ",'HourGH-OCT'!P41)</f>
        <v>1.48</v>
      </c>
      <c r="K45" s="128">
        <f>IF(TRIM('HourGH-OCT'!P42)="","      ",'HourGH-OCT'!P42)</f>
        <v>1.1200000000000001</v>
      </c>
      <c r="L45" s="118">
        <f>IF(TRIM('HourGH-OCT'!P43)="","      ",'HourGH-OCT'!P43)</f>
        <v>1.08</v>
      </c>
    </row>
    <row r="46" spans="1:12">
      <c r="A46" s="127" t="s">
        <v>188</v>
      </c>
      <c r="B46" s="128">
        <f>IF(TRIM('HourGH-OCT'!Q11)="","      ",'HourGH-OCT'!Q11)</f>
        <v>1</v>
      </c>
      <c r="C46" s="128">
        <f>IF(TRIM('HourGH-OCT'!Q12)="","      ",'HourGH-OCT'!Q12)</f>
        <v>0.97</v>
      </c>
      <c r="D46" s="128">
        <f>IF(TRIM('HourGH-OCT'!Q13)="","      ",'HourGH-OCT'!Q13)</f>
        <v>1</v>
      </c>
      <c r="E46" s="128">
        <f>IF(TRIM('HourGH-OCT'!Q14)="","      ",'HourGH-OCT'!Q14)</f>
        <v>0.95</v>
      </c>
      <c r="F46" s="118">
        <f>IF(TRIM('HourGH-OCT'!Q15)="","      ",'HourGH-OCT'!Q15)</f>
        <v>0.89</v>
      </c>
      <c r="G46" s="118">
        <f>IF(TRIM('HourGH-OCT'!Q16)="","      ",'HourGH-OCT'!Q16)</f>
        <v>1.04</v>
      </c>
      <c r="H46" s="128">
        <f>IF(TRIM('HourGH-OCT'!Q17)="","      ",'HourGH-OCT'!Q17)</f>
        <v>0.87</v>
      </c>
      <c r="I46" s="128">
        <f>IF(TRIM('HourGH-OCT'!Q18)="","      ",'HourGH-OCT'!Q18)</f>
        <v>0.81</v>
      </c>
      <c r="J46" s="128">
        <f>IF(TRIM('HourGH-OCT'!Q19)="","      ",'HourGH-OCT'!Q19)</f>
        <v>0.73</v>
      </c>
      <c r="K46" s="128">
        <f>IF(TRIM('HourGH-OCT'!Q20)="","      ",'HourGH-OCT'!Q20)</f>
        <v>0.68</v>
      </c>
    </row>
    <row r="47" spans="1:12">
      <c r="A47" s="127" t="s">
        <v>189</v>
      </c>
      <c r="B47" s="128">
        <f>IF(TRIM('HourGH-OCT'!Q22)="","      ",'HourGH-OCT'!Q22)</f>
        <v>0.65</v>
      </c>
      <c r="C47" s="128">
        <f>IF(TRIM('HourGH-OCT'!Q23)="","      ",'HourGH-OCT'!Q23)</f>
        <v>0.64</v>
      </c>
      <c r="D47" s="128">
        <f>IF(TRIM('HourGH-OCT'!Q24)="","      ",'HourGH-OCT'!Q24)</f>
        <v>0.63</v>
      </c>
      <c r="E47" s="128">
        <f>IF(TRIM('HourGH-OCT'!Q25)="","      ",'HourGH-OCT'!Q25)</f>
        <v>0.61</v>
      </c>
      <c r="F47" s="118">
        <f>IF(TRIM('HourGH-OCT'!Q26)="","      ",'HourGH-OCT'!Q26)</f>
        <v>0.59</v>
      </c>
      <c r="G47" s="118">
        <f>IF(TRIM('HourGH-OCT'!Q27)="","      ",'HourGH-OCT'!Q27)</f>
        <v>0.57999999999999996</v>
      </c>
      <c r="H47" s="128">
        <f>IF(TRIM('HourGH-OCT'!Q28)="","      ",'HourGH-OCT'!Q28)</f>
        <v>0.57999999999999996</v>
      </c>
      <c r="I47" s="128">
        <f>IF(TRIM('HourGH-OCT'!Q29)="","      ",'HourGH-OCT'!Q29)</f>
        <v>1.67</v>
      </c>
      <c r="J47" s="128">
        <f>IF(TRIM('HourGH-OCT'!Q30)="","      ",'HourGH-OCT'!Q30)</f>
        <v>2.62</v>
      </c>
      <c r="K47" s="128">
        <f>IF(TRIM('HourGH-OCT'!Q31)="","      ",'HourGH-OCT'!Q31)</f>
        <v>1.91</v>
      </c>
    </row>
    <row r="48" spans="1:12">
      <c r="A48" s="127" t="s">
        <v>190</v>
      </c>
      <c r="B48" s="128">
        <f>IF(TRIM('HourGH-OCT'!Q33)="","      ",'HourGH-OCT'!Q33)</f>
        <v>1.7</v>
      </c>
      <c r="C48" s="128">
        <f>IF(TRIM('HourGH-OCT'!Q34)="","      ",'HourGH-OCT'!Q34)</f>
        <v>2.11</v>
      </c>
      <c r="D48" s="128">
        <f>IF(TRIM('HourGH-OCT'!Q35)="","      ",'HourGH-OCT'!Q35)</f>
        <v>1.65</v>
      </c>
      <c r="E48" s="128">
        <f>IF(TRIM('HourGH-OCT'!Q36)="","      ",'HourGH-OCT'!Q36)</f>
        <v>1.67</v>
      </c>
      <c r="F48" s="118">
        <f>IF(TRIM('HourGH-OCT'!Q37)="","      ",'HourGH-OCT'!Q37)</f>
        <v>1.41</v>
      </c>
      <c r="G48" s="118">
        <f>IF(TRIM('HourGH-OCT'!Q38)="","      ",'HourGH-OCT'!Q38)</f>
        <v>1.26</v>
      </c>
      <c r="H48" s="128">
        <f>IF(TRIM('HourGH-OCT'!Q39)="","      ",'HourGH-OCT'!Q39)</f>
        <v>1.17</v>
      </c>
      <c r="I48" s="128">
        <f>IF(TRIM('HourGH-OCT'!Q40)="","      ",'HourGH-OCT'!Q40)</f>
        <v>1.1499999999999999</v>
      </c>
      <c r="J48" s="128">
        <f>IF(TRIM('HourGH-OCT'!Q41)="","      ",'HourGH-OCT'!Q41)</f>
        <v>1.48</v>
      </c>
      <c r="K48" s="128">
        <f>IF(TRIM('HourGH-OCT'!Q42)="","      ",'HourGH-OCT'!Q42)</f>
        <v>1.1100000000000001</v>
      </c>
      <c r="L48" s="118">
        <f>IF(TRIM('HourGH-OCT'!Q43)="","      ",'HourGH-OCT'!Q43)</f>
        <v>1.08</v>
      </c>
    </row>
    <row r="49" spans="1:20">
      <c r="A49" s="127" t="s">
        <v>191</v>
      </c>
      <c r="B49" s="128">
        <f>IF(TRIM('HourGH-OCT'!R11)="","      ",'HourGH-OCT'!R11)</f>
        <v>1</v>
      </c>
      <c r="C49" s="128">
        <f>IF(TRIM('HourGH-OCT'!R12)="","      ",'HourGH-OCT'!R12)</f>
        <v>0.97</v>
      </c>
      <c r="D49" s="128">
        <f>IF(TRIM('HourGH-OCT'!R13)="","      ",'HourGH-OCT'!R13)</f>
        <v>1</v>
      </c>
      <c r="E49" s="128">
        <f>IF(TRIM('HourGH-OCT'!R14)="","      ",'HourGH-OCT'!R14)</f>
        <v>0.94</v>
      </c>
      <c r="F49" s="118">
        <f>IF(TRIM('HourGH-OCT'!R15)="","      ",'HourGH-OCT'!R15)</f>
        <v>0.89</v>
      </c>
      <c r="G49" s="118">
        <f>IF(TRIM('HourGH-OCT'!R16)="","      ",'HourGH-OCT'!R16)</f>
        <v>1.04</v>
      </c>
      <c r="H49" s="128">
        <f>IF(TRIM('HourGH-OCT'!R17)="","      ",'HourGH-OCT'!R17)</f>
        <v>0.87</v>
      </c>
      <c r="I49" s="128">
        <f>IF(TRIM('HourGH-OCT'!R18)="","      ",'HourGH-OCT'!R18)</f>
        <v>0.81</v>
      </c>
      <c r="J49" s="128">
        <f>IF(TRIM('HourGH-OCT'!R19)="","      ",'HourGH-OCT'!R19)</f>
        <v>0.73</v>
      </c>
      <c r="K49" s="128">
        <f>IF(TRIM('HourGH-OCT'!R20)="","      ",'HourGH-OCT'!R20)</f>
        <v>0.68</v>
      </c>
    </row>
    <row r="50" spans="1:20">
      <c r="A50" s="127" t="s">
        <v>192</v>
      </c>
      <c r="B50" s="128">
        <f>IF(TRIM('HourGH-OCT'!R22)="","      ",'HourGH-OCT'!R22)</f>
        <v>0.65</v>
      </c>
      <c r="C50" s="128">
        <f>IF(TRIM('HourGH-OCT'!R23)="","      ",'HourGH-OCT'!R23)</f>
        <v>0.64</v>
      </c>
      <c r="D50" s="128">
        <f>IF(TRIM('HourGH-OCT'!R24)="","      ",'HourGH-OCT'!R24)</f>
        <v>0.63</v>
      </c>
      <c r="E50" s="128">
        <f>IF(TRIM('HourGH-OCT'!R25)="","      ",'HourGH-OCT'!R25)</f>
        <v>0.61</v>
      </c>
      <c r="F50" s="118">
        <f>IF(TRIM('HourGH-OCT'!R26)="","      ",'HourGH-OCT'!R26)</f>
        <v>0.59</v>
      </c>
      <c r="G50" s="118">
        <f>IF(TRIM('HourGH-OCT'!R27)="","      ",'HourGH-OCT'!R27)</f>
        <v>0.57999999999999996</v>
      </c>
      <c r="H50" s="128">
        <f>IF(TRIM('HourGH-OCT'!R28)="","      ",'HourGH-OCT'!R28)</f>
        <v>0.57999999999999996</v>
      </c>
      <c r="I50" s="128">
        <f>IF(TRIM('HourGH-OCT'!R29)="","      ",'HourGH-OCT'!R29)</f>
        <v>1.78</v>
      </c>
      <c r="J50" s="128">
        <f>IF(TRIM('HourGH-OCT'!R30)="","      ",'HourGH-OCT'!R30)</f>
        <v>2.61</v>
      </c>
      <c r="K50" s="128">
        <f>IF(TRIM('HourGH-OCT'!R31)="","      ",'HourGH-OCT'!R31)</f>
        <v>1.89</v>
      </c>
    </row>
    <row r="51" spans="1:20">
      <c r="A51" s="127" t="s">
        <v>193</v>
      </c>
      <c r="B51" s="128">
        <f>IF(TRIM('HourGH-OCT'!R33)="","      ",'HourGH-OCT'!R33)</f>
        <v>1.7</v>
      </c>
      <c r="C51" s="128">
        <f>IF(TRIM('HourGH-OCT'!R34)="","      ",'HourGH-OCT'!R34)</f>
        <v>2.12</v>
      </c>
      <c r="D51" s="128">
        <f>IF(TRIM('HourGH-OCT'!R35)="","      ",'HourGH-OCT'!R35)</f>
        <v>1.62</v>
      </c>
      <c r="E51" s="128">
        <f>IF(TRIM('HourGH-OCT'!R36)="","      ",'HourGH-OCT'!R36)</f>
        <v>1.67</v>
      </c>
      <c r="F51" s="118">
        <f>IF(TRIM('HourGH-OCT'!R37)="","      ",'HourGH-OCT'!R37)</f>
        <v>1.4</v>
      </c>
      <c r="G51" s="118">
        <f>IF(TRIM('HourGH-OCT'!R38)="","      ",'HourGH-OCT'!R38)</f>
        <v>1.26</v>
      </c>
      <c r="H51" s="128">
        <f>IF(TRIM('HourGH-OCT'!R39)="","      ",'HourGH-OCT'!R39)</f>
        <v>1.17</v>
      </c>
      <c r="I51" s="128">
        <f>IF(TRIM('HourGH-OCT'!R40)="","      ",'HourGH-OCT'!R40)</f>
        <v>1.1499999999999999</v>
      </c>
      <c r="J51" s="128">
        <f>IF(TRIM('HourGH-OCT'!R41)="","      ",'HourGH-OCT'!R41)</f>
        <v>1.48</v>
      </c>
      <c r="K51" s="128">
        <f>IF(TRIM('HourGH-OCT'!R42)="","      ",'HourGH-OCT'!R42)</f>
        <v>1.1100000000000001</v>
      </c>
      <c r="L51" s="118">
        <f>IF(TRIM('HourGH-OCT'!R43)="","      ",'HourGH-OCT'!R43)</f>
        <v>1.08</v>
      </c>
    </row>
    <row r="52" spans="1:20">
      <c r="A52" s="127" t="s">
        <v>194</v>
      </c>
      <c r="B52" s="128">
        <f>IF(TRIM('HourGH-OCT'!S11)="","      ",'HourGH-OCT'!S11)</f>
        <v>1</v>
      </c>
      <c r="C52" s="128">
        <f>IF(TRIM('HourGH-OCT'!S12)="","      ",'HourGH-OCT'!S12)</f>
        <v>0.97</v>
      </c>
      <c r="D52" s="128">
        <f>IF(TRIM('HourGH-OCT'!S13)="","      ",'HourGH-OCT'!S13)</f>
        <v>1</v>
      </c>
      <c r="E52" s="128">
        <f>IF(TRIM('HourGH-OCT'!S14)="","      ",'HourGH-OCT'!S14)</f>
        <v>0.93</v>
      </c>
      <c r="F52" s="118">
        <f>IF(TRIM('HourGH-OCT'!S15)="","      ",'HourGH-OCT'!S15)</f>
        <v>0.9</v>
      </c>
      <c r="G52" s="118">
        <f>IF(TRIM('HourGH-OCT'!S16)="","      ",'HourGH-OCT'!S16)</f>
        <v>1.04</v>
      </c>
      <c r="H52" s="128">
        <f>IF(TRIM('HourGH-OCT'!S17)="","      ",'HourGH-OCT'!S17)</f>
        <v>0.86</v>
      </c>
      <c r="I52" s="128">
        <f>IF(TRIM('HourGH-OCT'!S18)="","      ",'HourGH-OCT'!S18)</f>
        <v>0.81</v>
      </c>
      <c r="J52" s="128">
        <f>IF(TRIM('HourGH-OCT'!S19)="","      ",'HourGH-OCT'!S19)</f>
        <v>0.73</v>
      </c>
      <c r="K52" s="128">
        <f>IF(TRIM('HourGH-OCT'!S20)="","      ",'HourGH-OCT'!S20)</f>
        <v>0.68</v>
      </c>
    </row>
    <row r="53" spans="1:20">
      <c r="A53" s="127" t="s">
        <v>195</v>
      </c>
      <c r="B53" s="128">
        <f>IF(TRIM('HourGH-OCT'!S22)="","      ",'HourGH-OCT'!S22)</f>
        <v>0.65</v>
      </c>
      <c r="C53" s="128">
        <f>IF(TRIM('HourGH-OCT'!S23)="","      ",'HourGH-OCT'!S23)</f>
        <v>0.64</v>
      </c>
      <c r="D53" s="128">
        <f>IF(TRIM('HourGH-OCT'!S24)="","      ",'HourGH-OCT'!S24)</f>
        <v>0.63</v>
      </c>
      <c r="E53" s="128">
        <f>IF(TRIM('HourGH-OCT'!S25)="","      ",'HourGH-OCT'!S25)</f>
        <v>0.61</v>
      </c>
      <c r="F53" s="118">
        <f>IF(TRIM('HourGH-OCT'!S26)="","      ",'HourGH-OCT'!S26)</f>
        <v>0.59</v>
      </c>
      <c r="G53" s="118">
        <f>IF(TRIM('HourGH-OCT'!S27)="","      ",'HourGH-OCT'!S27)</f>
        <v>0.57999999999999996</v>
      </c>
      <c r="H53" s="128">
        <f>IF(TRIM('HourGH-OCT'!S28)="","      ",'HourGH-OCT'!S28)</f>
        <v>0.57999999999999996</v>
      </c>
      <c r="I53" s="128">
        <f>IF(TRIM('HourGH-OCT'!S29)="","      ",'HourGH-OCT'!S29)</f>
        <v>1.88</v>
      </c>
      <c r="J53" s="128">
        <f>IF(TRIM('HourGH-OCT'!S30)="","      ",'HourGH-OCT'!S30)</f>
        <v>2.59</v>
      </c>
      <c r="K53" s="128">
        <f>IF(TRIM('HourGH-OCT'!S31)="","      ",'HourGH-OCT'!S31)</f>
        <v>1.87</v>
      </c>
    </row>
    <row r="54" spans="1:20">
      <c r="A54" s="127" t="s">
        <v>196</v>
      </c>
      <c r="B54" s="128">
        <f>IF(TRIM('HourGH-OCT'!S33)="","      ",'HourGH-OCT'!S33)</f>
        <v>1.7</v>
      </c>
      <c r="C54" s="128">
        <f>IF(TRIM('HourGH-OCT'!S34)="","      ",'HourGH-OCT'!S34)</f>
        <v>2.13</v>
      </c>
      <c r="D54" s="128">
        <f>IF(TRIM('HourGH-OCT'!S35)="","      ",'HourGH-OCT'!S35)</f>
        <v>1.59</v>
      </c>
      <c r="E54" s="128">
        <f>IF(TRIM('HourGH-OCT'!S36)="","      ",'HourGH-OCT'!S36)</f>
        <v>1.68</v>
      </c>
      <c r="F54" s="118">
        <f>IF(TRIM('HourGH-OCT'!S37)="","      ",'HourGH-OCT'!S37)</f>
        <v>1.39</v>
      </c>
      <c r="G54" s="118">
        <f>IF(TRIM('HourGH-OCT'!S38)="","      ",'HourGH-OCT'!S38)</f>
        <v>1.25</v>
      </c>
      <c r="H54" s="128">
        <f>IF(TRIM('HourGH-OCT'!S39)="","      ",'HourGH-OCT'!S39)</f>
        <v>1.17</v>
      </c>
      <c r="I54" s="128">
        <f>IF(TRIM('HourGH-OCT'!S40)="","      ",'HourGH-OCT'!S40)</f>
        <v>1.1599999999999999</v>
      </c>
      <c r="J54" s="128">
        <f>IF(TRIM('HourGH-OCT'!S41)="","      ",'HourGH-OCT'!S41)</f>
        <v>1.47</v>
      </c>
      <c r="K54" s="128">
        <f>IF(TRIM('HourGH-OCT'!S42)="","      ",'HourGH-OCT'!S42)</f>
        <v>1.1100000000000001</v>
      </c>
      <c r="L54" s="118">
        <f>IF(TRIM('HourGH-OCT'!S43)="","      ",'HourGH-OCT'!S43)</f>
        <v>1.08</v>
      </c>
    </row>
    <row r="55" spans="1:20">
      <c r="A55" s="127" t="s">
        <v>197</v>
      </c>
      <c r="B55" s="128">
        <f>IF(TRIM('HourGH-OCT'!T11)="","      ",'HourGH-OCT'!T11)</f>
        <v>1</v>
      </c>
      <c r="C55" s="128">
        <f>IF(TRIM('HourGH-OCT'!T12)="","      ",'HourGH-OCT'!T12)</f>
        <v>0.97</v>
      </c>
      <c r="D55" s="128">
        <f>IF(TRIM('HourGH-OCT'!T13)="","      ",'HourGH-OCT'!T13)</f>
        <v>1</v>
      </c>
      <c r="E55" s="128">
        <f>IF(TRIM('HourGH-OCT'!T14)="","      ",'HourGH-OCT'!T14)</f>
        <v>0.92</v>
      </c>
      <c r="F55" s="118">
        <f>IF(TRIM('HourGH-OCT'!T15)="","      ",'HourGH-OCT'!T15)</f>
        <v>0.9</v>
      </c>
      <c r="G55" s="118">
        <f>IF(TRIM('HourGH-OCT'!T16)="","      ",'HourGH-OCT'!T16)</f>
        <v>1.04</v>
      </c>
      <c r="H55" s="128">
        <f>IF(TRIM('HourGH-OCT'!T17)="","      ",'HourGH-OCT'!T17)</f>
        <v>0.86</v>
      </c>
      <c r="I55" s="128">
        <f>IF(TRIM('HourGH-OCT'!T18)="","      ",'HourGH-OCT'!T18)</f>
        <v>0.81</v>
      </c>
      <c r="J55" s="128">
        <f>IF(TRIM('HourGH-OCT'!T19)="","      ",'HourGH-OCT'!T19)</f>
        <v>0.73</v>
      </c>
      <c r="K55" s="128">
        <f>IF(TRIM('HourGH-OCT'!T20)="","      ",'HourGH-OCT'!T20)</f>
        <v>0.67</v>
      </c>
    </row>
    <row r="56" spans="1:20">
      <c r="A56" s="127" t="s">
        <v>198</v>
      </c>
      <c r="B56" s="128">
        <f>IF(TRIM('HourGH-OCT'!T22)="","      ",'HourGH-OCT'!T22)</f>
        <v>0.65</v>
      </c>
      <c r="C56" s="128">
        <f>IF(TRIM('HourGH-OCT'!T23)="","      ",'HourGH-OCT'!T23)</f>
        <v>0.64</v>
      </c>
      <c r="D56" s="128">
        <f>IF(TRIM('HourGH-OCT'!T24)="","      ",'HourGH-OCT'!T24)</f>
        <v>0.63</v>
      </c>
      <c r="E56" s="128">
        <f>IF(TRIM('HourGH-OCT'!T25)="","      ",'HourGH-OCT'!T25)</f>
        <v>0.61</v>
      </c>
      <c r="F56" s="118">
        <f>IF(TRIM('HourGH-OCT'!T26)="","      ",'HourGH-OCT'!T26)</f>
        <v>0.59</v>
      </c>
      <c r="G56" s="118">
        <f>IF(TRIM('HourGH-OCT'!T27)="","      ",'HourGH-OCT'!T27)</f>
        <v>0.57999999999999996</v>
      </c>
      <c r="H56" s="128">
        <f>IF(TRIM('HourGH-OCT'!T28)="","      ",'HourGH-OCT'!T28)</f>
        <v>0.57999999999999996</v>
      </c>
      <c r="I56" s="128">
        <f>IF(TRIM('HourGH-OCT'!T29)="","      ",'HourGH-OCT'!T29)</f>
        <v>1.98</v>
      </c>
      <c r="J56" s="128">
        <f>IF(TRIM('HourGH-OCT'!T30)="","      ",'HourGH-OCT'!T30)</f>
        <v>2.57</v>
      </c>
      <c r="K56" s="128">
        <f>IF(TRIM('HourGH-OCT'!T31)="","      ",'HourGH-OCT'!T31)</f>
        <v>1.85</v>
      </c>
      <c r="N56" s="117">
        <f>B79</f>
        <v>338.64000000000004</v>
      </c>
      <c r="O56">
        <v>1</v>
      </c>
      <c r="P56" s="117" t="str">
        <f>B82</f>
        <v>1:00</v>
      </c>
      <c r="R56" s="117">
        <f>B85</f>
        <v>338.59000000000003</v>
      </c>
      <c r="S56">
        <v>1</v>
      </c>
      <c r="T56" s="117" t="str">
        <f>B88</f>
        <v>19:00</v>
      </c>
    </row>
    <row r="57" spans="1:20">
      <c r="A57" s="127" t="s">
        <v>199</v>
      </c>
      <c r="B57" s="128">
        <f>IF(TRIM('HourGH-OCT'!T33)="","      ",'HourGH-OCT'!T33)</f>
        <v>1.71</v>
      </c>
      <c r="C57" s="128">
        <f>IF(TRIM('HourGH-OCT'!T34)="","      ",'HourGH-OCT'!T34)</f>
        <v>2.13</v>
      </c>
      <c r="D57" s="128">
        <f>IF(TRIM('HourGH-OCT'!T35)="","      ",'HourGH-OCT'!T35)</f>
        <v>1.57</v>
      </c>
      <c r="E57" s="128">
        <f>IF(TRIM('HourGH-OCT'!T36)="","      ",'HourGH-OCT'!T36)</f>
        <v>1.68</v>
      </c>
      <c r="F57" s="118">
        <f>IF(TRIM('HourGH-OCT'!T37)="","      ",'HourGH-OCT'!T37)</f>
        <v>1.38</v>
      </c>
      <c r="G57" s="118">
        <f>IF(TRIM('HourGH-OCT'!T38)="","      ",'HourGH-OCT'!T38)</f>
        <v>1.25</v>
      </c>
      <c r="H57" s="128">
        <f>IF(TRIM('HourGH-OCT'!T39)="","      ",'HourGH-OCT'!T39)</f>
        <v>1.17</v>
      </c>
      <c r="I57" s="128">
        <f>IF(TRIM('HourGH-OCT'!T40)="","      ",'HourGH-OCT'!T40)</f>
        <v>1.17</v>
      </c>
      <c r="J57" s="128">
        <f>IF(TRIM('HourGH-OCT'!T41)="","      ",'HourGH-OCT'!T41)</f>
        <v>1.46</v>
      </c>
      <c r="K57" s="128">
        <f>IF(TRIM('HourGH-OCT'!T42)="","      ",'HourGH-OCT'!T42)</f>
        <v>1.1100000000000001</v>
      </c>
      <c r="L57" s="118">
        <f>IF(TRIM('HourGH-OCT'!T43)="","      ",'HourGH-OCT'!T43)</f>
        <v>1.07</v>
      </c>
      <c r="N57" s="117">
        <f>C79</f>
        <v>338.58000000000004</v>
      </c>
      <c r="O57">
        <v>2</v>
      </c>
      <c r="P57" s="117" t="str">
        <f>C82</f>
        <v>1:00</v>
      </c>
      <c r="R57" s="117">
        <f>C85</f>
        <v>338.57000000000005</v>
      </c>
      <c r="S57">
        <v>2</v>
      </c>
      <c r="T57" s="117" t="str">
        <f>C88</f>
        <v>6:00</v>
      </c>
    </row>
    <row r="58" spans="1:20">
      <c r="A58" s="127" t="s">
        <v>200</v>
      </c>
      <c r="B58" s="128">
        <f>IF(TRIM('HourGH-OCT'!U11)="","      ",'HourGH-OCT'!U11)</f>
        <v>0.99</v>
      </c>
      <c r="C58" s="128">
        <f>IF(TRIM('HourGH-OCT'!U12)="","      ",'HourGH-OCT'!U12)</f>
        <v>0.98</v>
      </c>
      <c r="D58" s="128">
        <f>IF(TRIM('HourGH-OCT'!U13)="","      ",'HourGH-OCT'!U13)</f>
        <v>1</v>
      </c>
      <c r="E58" s="128">
        <f>IF(TRIM('HourGH-OCT'!U14)="","      ",'HourGH-OCT'!U14)</f>
        <v>0.91</v>
      </c>
      <c r="F58" s="118">
        <f>IF(TRIM('HourGH-OCT'!U15)="","      ",'HourGH-OCT'!U15)</f>
        <v>0.91</v>
      </c>
      <c r="G58" s="118">
        <f>IF(TRIM('HourGH-OCT'!U16)="","      ",'HourGH-OCT'!U16)</f>
        <v>1.03</v>
      </c>
      <c r="H58" s="128">
        <f>IF(TRIM('HourGH-OCT'!U17)="","      ",'HourGH-OCT'!U17)</f>
        <v>0.86</v>
      </c>
      <c r="I58" s="128">
        <f>IF(TRIM('HourGH-OCT'!U18)="","      ",'HourGH-OCT'!U18)</f>
        <v>0.81</v>
      </c>
      <c r="J58" s="128">
        <f>IF(TRIM('HourGH-OCT'!U19)="","      ",'HourGH-OCT'!U19)</f>
        <v>0.72</v>
      </c>
      <c r="K58" s="128">
        <f>IF(TRIM('HourGH-OCT'!U20)="","      ",'HourGH-OCT'!U20)</f>
        <v>0.67</v>
      </c>
      <c r="N58" s="117">
        <f>D79</f>
        <v>338.6</v>
      </c>
      <c r="O58">
        <v>3</v>
      </c>
      <c r="P58" s="117" t="str">
        <f>D82</f>
        <v>13:00</v>
      </c>
      <c r="R58" s="117">
        <f>D85</f>
        <v>338.59000000000003</v>
      </c>
      <c r="S58">
        <v>3</v>
      </c>
      <c r="T58" s="117" t="str">
        <f>D88</f>
        <v>1:00</v>
      </c>
    </row>
    <row r="59" spans="1:20">
      <c r="A59" s="127" t="s">
        <v>201</v>
      </c>
      <c r="B59" s="128">
        <f>IF(TRIM('HourGH-OCT'!U22)="","      ",'HourGH-OCT'!U22)</f>
        <v>0.65</v>
      </c>
      <c r="C59" s="128">
        <f>IF(TRIM('HourGH-OCT'!U23)="","      ",'HourGH-OCT'!U23)</f>
        <v>0.64</v>
      </c>
      <c r="D59" s="128">
        <f>IF(TRIM('HourGH-OCT'!U24)="","      ",'HourGH-OCT'!U24)</f>
        <v>0.63</v>
      </c>
      <c r="E59" s="128">
        <f>IF(TRIM('HourGH-OCT'!U25)="","      ",'HourGH-OCT'!U25)</f>
        <v>0.61</v>
      </c>
      <c r="F59" s="118">
        <f>IF(TRIM('HourGH-OCT'!U26)="","      ",'HourGH-OCT'!U26)</f>
        <v>0.59</v>
      </c>
      <c r="G59" s="118">
        <f>IF(TRIM('HourGH-OCT'!U27)="","      ",'HourGH-OCT'!U27)</f>
        <v>0.57999999999999996</v>
      </c>
      <c r="H59" s="128">
        <f>IF(TRIM('HourGH-OCT'!U28)="","      ",'HourGH-OCT'!U28)</f>
        <v>0.59</v>
      </c>
      <c r="I59" s="128">
        <f>IF(TRIM('HourGH-OCT'!U29)="","      ",'HourGH-OCT'!U29)</f>
        <v>2.1</v>
      </c>
      <c r="J59" s="128">
        <f>IF(TRIM('HourGH-OCT'!U30)="","      ",'HourGH-OCT'!U30)</f>
        <v>2.5499999999999998</v>
      </c>
      <c r="K59" s="128">
        <f>IF(TRIM('HourGH-OCT'!U31)="","      ",'HourGH-OCT'!U31)</f>
        <v>1.84</v>
      </c>
      <c r="N59" s="117">
        <f>E79</f>
        <v>338.58000000000004</v>
      </c>
      <c r="O59">
        <v>4</v>
      </c>
      <c r="P59" s="117" t="str">
        <f>E82</f>
        <v>1:00</v>
      </c>
      <c r="R59" s="117">
        <f>E85</f>
        <v>338.49</v>
      </c>
      <c r="S59">
        <v>4</v>
      </c>
      <c r="T59" s="117" t="str">
        <f>E88</f>
        <v>23:00</v>
      </c>
    </row>
    <row r="60" spans="1:20">
      <c r="A60" s="127" t="s">
        <v>202</v>
      </c>
      <c r="B60" s="128">
        <f>IF(TRIM('HourGH-OCT'!U33)="","      ",'HourGH-OCT'!U33)</f>
        <v>1.71</v>
      </c>
      <c r="C60" s="128">
        <f>IF(TRIM('HourGH-OCT'!U34)="","      ",'HourGH-OCT'!U34)</f>
        <v>2.13</v>
      </c>
      <c r="D60" s="128">
        <f>IF(TRIM('HourGH-OCT'!U35)="","      ",'HourGH-OCT'!U35)</f>
        <v>1.55</v>
      </c>
      <c r="E60" s="128">
        <f>IF(TRIM('HourGH-OCT'!U36)="","      ",'HourGH-OCT'!U36)</f>
        <v>1.68</v>
      </c>
      <c r="F60" s="118">
        <f>IF(TRIM('HourGH-OCT'!U37)="","      ",'HourGH-OCT'!U37)</f>
        <v>1.37</v>
      </c>
      <c r="G60" s="118">
        <f>IF(TRIM('HourGH-OCT'!U38)="","      ",'HourGH-OCT'!U38)</f>
        <v>1.24</v>
      </c>
      <c r="H60" s="128">
        <f>IF(TRIM('HourGH-OCT'!U39)="","      ",'HourGH-OCT'!U39)</f>
        <v>1.1599999999999999</v>
      </c>
      <c r="I60" s="128">
        <f>IF(TRIM('HourGH-OCT'!U40)="","      ",'HourGH-OCT'!U40)</f>
        <v>1.18</v>
      </c>
      <c r="J60" s="128">
        <f>IF(TRIM('HourGH-OCT'!U41)="","      ",'HourGH-OCT'!U41)</f>
        <v>1.45</v>
      </c>
      <c r="K60" s="128">
        <f>IF(TRIM('HourGH-OCT'!U42)="","      ",'HourGH-OCT'!U42)</f>
        <v>1.1000000000000001</v>
      </c>
      <c r="L60" s="118">
        <f>IF(TRIM('HourGH-OCT'!U43)="","      ",'HourGH-OCT'!U43)</f>
        <v>1.07</v>
      </c>
      <c r="N60" s="117">
        <f>F79</f>
        <v>338.54</v>
      </c>
      <c r="O60">
        <v>5</v>
      </c>
      <c r="P60" s="117" t="str">
        <f>F82</f>
        <v>24:00</v>
      </c>
      <c r="R60" s="117">
        <f>F85</f>
        <v>338.47</v>
      </c>
      <c r="S60">
        <v>5</v>
      </c>
      <c r="T60" s="117" t="str">
        <f>F88</f>
        <v>6:00</v>
      </c>
    </row>
    <row r="61" spans="1:20">
      <c r="A61" s="127" t="s">
        <v>203</v>
      </c>
      <c r="B61" s="128">
        <f>IF(TRIM('HourGH-OCT'!V11)="","      ",'HourGH-OCT'!V11)</f>
        <v>0.99</v>
      </c>
      <c r="C61" s="128">
        <f>IF(TRIM('HourGH-OCT'!V12)="","      ",'HourGH-OCT'!V12)</f>
        <v>0.98</v>
      </c>
      <c r="D61" s="128">
        <f>IF(TRIM('HourGH-OCT'!V13)="","      ",'HourGH-OCT'!V13)</f>
        <v>0.99</v>
      </c>
      <c r="E61" s="128">
        <f>IF(TRIM('HourGH-OCT'!V14)="","      ",'HourGH-OCT'!V14)</f>
        <v>0.91</v>
      </c>
      <c r="F61" s="118">
        <f>IF(TRIM('HourGH-OCT'!V15)="","      ",'HourGH-OCT'!V15)</f>
        <v>0.92</v>
      </c>
      <c r="G61" s="118">
        <f>IF(TRIM('HourGH-OCT'!V16)="","      ",'HourGH-OCT'!V16)</f>
        <v>1.03</v>
      </c>
      <c r="H61" s="128">
        <f>IF(TRIM('HourGH-OCT'!V17)="","      ",'HourGH-OCT'!V17)</f>
        <v>0.85</v>
      </c>
      <c r="I61" s="128">
        <f>IF(TRIM('HourGH-OCT'!V18)="","      ",'HourGH-OCT'!V18)</f>
        <v>0.8</v>
      </c>
      <c r="J61" s="128">
        <f>IF(TRIM('HourGH-OCT'!V19)="","      ",'HourGH-OCT'!V19)</f>
        <v>0.72</v>
      </c>
      <c r="K61" s="128">
        <f>IF(TRIM('HourGH-OCT'!V20)="","      ",'HourGH-OCT'!V20)</f>
        <v>0.67</v>
      </c>
      <c r="N61" s="117">
        <f>G79</f>
        <v>338.64000000000004</v>
      </c>
      <c r="O61">
        <v>6</v>
      </c>
      <c r="P61" s="117" t="str">
        <f>G82</f>
        <v>12:00</v>
      </c>
      <c r="R61" s="117">
        <f>G85</f>
        <v>338.55</v>
      </c>
      <c r="S61">
        <v>6</v>
      </c>
      <c r="T61" s="117" t="str">
        <f>G88</f>
        <v>1:00</v>
      </c>
    </row>
    <row r="62" spans="1:20">
      <c r="A62" s="127" t="s">
        <v>204</v>
      </c>
      <c r="B62" s="128">
        <f>IF(TRIM('HourGH-OCT'!V22)="","      ",'HourGH-OCT'!V22)</f>
        <v>0.65</v>
      </c>
      <c r="C62" s="128">
        <f>IF(TRIM('HourGH-OCT'!V23)="","      ",'HourGH-OCT'!V23)</f>
        <v>0.64</v>
      </c>
      <c r="D62" s="128">
        <f>IF(TRIM('HourGH-OCT'!V24)="","      ",'HourGH-OCT'!V24)</f>
        <v>0.63</v>
      </c>
      <c r="E62" s="128">
        <f>IF(TRIM('HourGH-OCT'!V25)="","      ",'HourGH-OCT'!V25)</f>
        <v>0.61</v>
      </c>
      <c r="F62" s="118">
        <f>IF(TRIM('HourGH-OCT'!V26)="","      ",'HourGH-OCT'!V26)</f>
        <v>0.59</v>
      </c>
      <c r="G62" s="118">
        <f>IF(TRIM('HourGH-OCT'!V27)="","      ",'HourGH-OCT'!V27)</f>
        <v>0.57999999999999996</v>
      </c>
      <c r="H62" s="128">
        <f>IF(TRIM('HourGH-OCT'!V28)="","      ",'HourGH-OCT'!V28)</f>
        <v>0.59</v>
      </c>
      <c r="I62" s="128">
        <f>IF(TRIM('HourGH-OCT'!V29)="","      ",'HourGH-OCT'!V29)</f>
        <v>2.17</v>
      </c>
      <c r="J62" s="128">
        <f>IF(TRIM('HourGH-OCT'!V30)="","      ",'HourGH-OCT'!V30)</f>
        <v>2.52</v>
      </c>
      <c r="K62" s="128">
        <f>IF(TRIM('HourGH-OCT'!V31)="","      ",'HourGH-OCT'!V31)</f>
        <v>1.83</v>
      </c>
      <c r="N62" s="117">
        <f>H79</f>
        <v>338.57000000000005</v>
      </c>
      <c r="O62">
        <v>7</v>
      </c>
      <c r="P62" s="117" t="str">
        <f>H82</f>
        <v>1:00</v>
      </c>
      <c r="R62" s="117">
        <f>H85</f>
        <v>338.44</v>
      </c>
      <c r="S62">
        <v>7</v>
      </c>
      <c r="T62" s="117" t="str">
        <f>H88</f>
        <v>23:00</v>
      </c>
    </row>
    <row r="63" spans="1:20">
      <c r="A63" s="127" t="s">
        <v>205</v>
      </c>
      <c r="B63" s="128">
        <f>IF(TRIM('HourGH-OCT'!V33)="","      ",'HourGH-OCT'!V33)</f>
        <v>1.72</v>
      </c>
      <c r="C63" s="128">
        <f>IF(TRIM('HourGH-OCT'!V34)="","      ",'HourGH-OCT'!V34)</f>
        <v>2.13</v>
      </c>
      <c r="D63" s="128">
        <f>IF(TRIM('HourGH-OCT'!V35)="","      ",'HourGH-OCT'!V35)</f>
        <v>1.53</v>
      </c>
      <c r="E63" s="128">
        <f>IF(TRIM('HourGH-OCT'!V36)="","      ",'HourGH-OCT'!V36)</f>
        <v>1.68</v>
      </c>
      <c r="F63" s="118">
        <f>IF(TRIM('HourGH-OCT'!V37)="","      ",'HourGH-OCT'!V37)</f>
        <v>1.37</v>
      </c>
      <c r="G63" s="118">
        <f>IF(TRIM('HourGH-OCT'!V38)="","      ",'HourGH-OCT'!V38)</f>
        <v>1.23</v>
      </c>
      <c r="H63" s="128">
        <f>IF(TRIM('HourGH-OCT'!V39)="","      ",'HourGH-OCT'!V39)</f>
        <v>1.1599999999999999</v>
      </c>
      <c r="I63" s="128">
        <f>IF(TRIM('HourGH-OCT'!V40)="","      ",'HourGH-OCT'!V40)</f>
        <v>1.19</v>
      </c>
      <c r="J63" s="128">
        <f>IF(TRIM('HourGH-OCT'!V41)="","      ",'HourGH-OCT'!V41)</f>
        <v>1.43</v>
      </c>
      <c r="K63" s="128">
        <f>IF(TRIM('HourGH-OCT'!V42)="","      ",'HourGH-OCT'!V42)</f>
        <v>1.1000000000000001</v>
      </c>
      <c r="L63" s="118">
        <f>IF(TRIM('HourGH-OCT'!V43)="","      ",'HourGH-OCT'!V43)</f>
        <v>1.07</v>
      </c>
      <c r="N63" s="117">
        <f>I79</f>
        <v>338.44</v>
      </c>
      <c r="O63">
        <v>8</v>
      </c>
      <c r="P63" s="117" t="str">
        <f>I82</f>
        <v>1:00</v>
      </c>
      <c r="R63" s="117">
        <f>I85</f>
        <v>338.39000000000004</v>
      </c>
      <c r="S63">
        <v>8</v>
      </c>
      <c r="T63" s="117" t="str">
        <f>I88</f>
        <v>24:00</v>
      </c>
    </row>
    <row r="64" spans="1:20">
      <c r="A64" s="127" t="s">
        <v>206</v>
      </c>
      <c r="B64" s="128">
        <f>IF(TRIM('HourGH-OCT'!W11)="","      ",'HourGH-OCT'!W11)</f>
        <v>0.99</v>
      </c>
      <c r="C64" s="128">
        <f>IF(TRIM('HourGH-OCT'!W12)="","      ",'HourGH-OCT'!W12)</f>
        <v>0.98</v>
      </c>
      <c r="D64" s="128">
        <f>IF(TRIM('HourGH-OCT'!W13)="","      ",'HourGH-OCT'!W13)</f>
        <v>0.99</v>
      </c>
      <c r="E64" s="128">
        <f>IF(TRIM('HourGH-OCT'!W14)="","      ",'HourGH-OCT'!W14)</f>
        <v>0.9</v>
      </c>
      <c r="F64" s="118">
        <f>IF(TRIM('HourGH-OCT'!W15)="","      ",'HourGH-OCT'!W15)</f>
        <v>0.92</v>
      </c>
      <c r="G64" s="118">
        <f>IF(TRIM('HourGH-OCT'!W16)="","      ",'HourGH-OCT'!W16)</f>
        <v>1.02</v>
      </c>
      <c r="H64" s="128">
        <f>IF(TRIM('HourGH-OCT'!W17)="","      ",'HourGH-OCT'!W17)</f>
        <v>0.85</v>
      </c>
      <c r="I64" s="128">
        <f>IF(TRIM('HourGH-OCT'!W18)="","      ",'HourGH-OCT'!W18)</f>
        <v>0.8</v>
      </c>
      <c r="J64" s="128">
        <f>IF(TRIM('HourGH-OCT'!W19)="","      ",'HourGH-OCT'!W19)</f>
        <v>0.72</v>
      </c>
      <c r="K64" s="128">
        <f>IF(TRIM('HourGH-OCT'!W20)="","      ",'HourGH-OCT'!W20)</f>
        <v>0.67</v>
      </c>
      <c r="N64" s="117">
        <f>J79</f>
        <v>338.39000000000004</v>
      </c>
      <c r="O64">
        <v>9</v>
      </c>
      <c r="P64" s="117" t="str">
        <f>J82</f>
        <v>1:00</v>
      </c>
      <c r="R64" s="117">
        <f>J85</f>
        <v>338.32000000000005</v>
      </c>
      <c r="S64">
        <v>9</v>
      </c>
      <c r="T64" s="117" t="str">
        <f>J88</f>
        <v>19:00</v>
      </c>
    </row>
    <row r="65" spans="1:20">
      <c r="A65" s="127" t="s">
        <v>207</v>
      </c>
      <c r="B65" s="128">
        <f>IF(TRIM('HourGH-OCT'!W22)="","      ",'HourGH-OCT'!W22)</f>
        <v>0.65</v>
      </c>
      <c r="C65" s="128">
        <f>IF(TRIM('HourGH-OCT'!W23)="","      ",'HourGH-OCT'!W23)</f>
        <v>0.64</v>
      </c>
      <c r="D65" s="128">
        <f>IF(TRIM('HourGH-OCT'!W24)="","      ",'HourGH-OCT'!W24)</f>
        <v>0.63</v>
      </c>
      <c r="E65" s="128">
        <f>IF(TRIM('HourGH-OCT'!W25)="","      ",'HourGH-OCT'!W25)</f>
        <v>0.61</v>
      </c>
      <c r="F65" s="118">
        <f>IF(TRIM('HourGH-OCT'!W26)="","      ",'HourGH-OCT'!W26)</f>
        <v>0.59</v>
      </c>
      <c r="G65" s="118">
        <f>IF(TRIM('HourGH-OCT'!W27)="","      ",'HourGH-OCT'!W27)</f>
        <v>0.57999999999999996</v>
      </c>
      <c r="H65" s="128">
        <f>IF(TRIM('HourGH-OCT'!W28)="","      ",'HourGH-OCT'!W28)</f>
        <v>0.6</v>
      </c>
      <c r="I65" s="128">
        <f>IF(TRIM('HourGH-OCT'!W29)="","      ",'HourGH-OCT'!W29)</f>
        <v>2.25</v>
      </c>
      <c r="J65" s="128">
        <f>IF(TRIM('HourGH-OCT'!W30)="","      ",'HourGH-OCT'!W30)</f>
        <v>2.4900000000000002</v>
      </c>
      <c r="K65" s="128">
        <f>IF(TRIM('HourGH-OCT'!W31)="","      ",'HourGH-OCT'!W31)</f>
        <v>1.81</v>
      </c>
      <c r="N65" s="117">
        <f>K79</f>
        <v>338.31</v>
      </c>
      <c r="O65">
        <v>10</v>
      </c>
      <c r="P65" s="117" t="str">
        <f>K82</f>
        <v>1:00</v>
      </c>
      <c r="R65" s="117">
        <f>K85</f>
        <v>338.27000000000004</v>
      </c>
      <c r="S65">
        <v>10</v>
      </c>
      <c r="T65" s="117" t="str">
        <f>K88</f>
        <v>18:00</v>
      </c>
    </row>
    <row r="66" spans="1:20">
      <c r="A66" s="127" t="s">
        <v>208</v>
      </c>
      <c r="B66" s="128">
        <f>IF(TRIM('HourGH-OCT'!W33)="","      ",'HourGH-OCT'!W33)</f>
        <v>1.73</v>
      </c>
      <c r="C66" s="128">
        <f>IF(TRIM('HourGH-OCT'!W34)="","      ",'HourGH-OCT'!W34)</f>
        <v>2.13</v>
      </c>
      <c r="D66" s="128">
        <f>IF(TRIM('HourGH-OCT'!W35)="","      ",'HourGH-OCT'!W35)</f>
        <v>1.52</v>
      </c>
      <c r="E66" s="128">
        <f>IF(TRIM('HourGH-OCT'!W36)="","      ",'HourGH-OCT'!W36)</f>
        <v>1.67</v>
      </c>
      <c r="F66" s="118">
        <f>IF(TRIM('HourGH-OCT'!W37)="","      ",'HourGH-OCT'!W37)</f>
        <v>1.36</v>
      </c>
      <c r="G66" s="118">
        <f>IF(TRIM('HourGH-OCT'!W38)="","      ",'HourGH-OCT'!W38)</f>
        <v>1.23</v>
      </c>
      <c r="H66" s="128">
        <f>IF(TRIM('HourGH-OCT'!W39)="","      ",'HourGH-OCT'!W39)</f>
        <v>1.1599999999999999</v>
      </c>
      <c r="I66" s="128">
        <f>IF(TRIM('HourGH-OCT'!W40)="","      ",'HourGH-OCT'!W40)</f>
        <v>1.2</v>
      </c>
      <c r="J66" s="128">
        <f>IF(TRIM('HourGH-OCT'!W41)="","      ",'HourGH-OCT'!W41)</f>
        <v>1.41</v>
      </c>
      <c r="K66" s="128">
        <f>IF(TRIM('HourGH-OCT'!W42)="","      ",'HourGH-OCT'!W42)</f>
        <v>1.1000000000000001</v>
      </c>
      <c r="L66" s="118">
        <f>IF(TRIM('HourGH-OCT'!W43)="","      ",'HourGH-OCT'!W43)</f>
        <v>1.06</v>
      </c>
      <c r="N66" s="117">
        <f>B80</f>
        <v>338.26000000000005</v>
      </c>
      <c r="O66">
        <v>11</v>
      </c>
      <c r="P66" s="117" t="str">
        <f>B83</f>
        <v>1:00</v>
      </c>
      <c r="R66" s="117">
        <f>B86</f>
        <v>338.25</v>
      </c>
      <c r="S66">
        <v>11</v>
      </c>
      <c r="T66" s="117" t="str">
        <f>B89</f>
        <v>6:00</v>
      </c>
    </row>
    <row r="67" spans="1:20">
      <c r="A67" s="127" t="s">
        <v>209</v>
      </c>
      <c r="B67" s="128">
        <f>IF(TRIM('HourGH-OCT'!X11)="","      ",'HourGH-OCT'!X11)</f>
        <v>0.99</v>
      </c>
      <c r="C67" s="128">
        <f>IF(TRIM('HourGH-OCT'!X12)="","      ",'HourGH-OCT'!X12)</f>
        <v>0.98</v>
      </c>
      <c r="D67" s="128">
        <f>IF(TRIM('HourGH-OCT'!X13)="","      ",'HourGH-OCT'!X13)</f>
        <v>0.99</v>
      </c>
      <c r="E67" s="128">
        <f>IF(TRIM('HourGH-OCT'!X14)="","      ",'HourGH-OCT'!X14)</f>
        <v>0.9</v>
      </c>
      <c r="F67" s="118">
        <f>IF(TRIM('HourGH-OCT'!X15)="","      ",'HourGH-OCT'!X15)</f>
        <v>0.93</v>
      </c>
      <c r="G67" s="118">
        <f>IF(TRIM('HourGH-OCT'!X16)="","      ",'HourGH-OCT'!X16)</f>
        <v>1.01</v>
      </c>
      <c r="H67" s="128">
        <f>IF(TRIM('HourGH-OCT'!X17)="","      ",'HourGH-OCT'!X17)</f>
        <v>0.85</v>
      </c>
      <c r="I67" s="128">
        <f>IF(TRIM('HourGH-OCT'!X18)="","      ",'HourGH-OCT'!X18)</f>
        <v>0.8</v>
      </c>
      <c r="J67" s="128">
        <f>IF(TRIM('HourGH-OCT'!X19)="","      ",'HourGH-OCT'!X19)</f>
        <v>0.72</v>
      </c>
      <c r="K67" s="128">
        <f>IF(TRIM('HourGH-OCT'!X20)="","      ",'HourGH-OCT'!X20)</f>
        <v>0.67</v>
      </c>
      <c r="N67" s="117">
        <f>C80</f>
        <v>338.24</v>
      </c>
      <c r="O67">
        <v>12</v>
      </c>
      <c r="P67" s="117" t="str">
        <f>C83</f>
        <v>1:00</v>
      </c>
      <c r="R67" s="117">
        <f>C86</f>
        <v>338.24</v>
      </c>
      <c r="S67">
        <v>12</v>
      </c>
      <c r="T67" s="117" t="str">
        <f>C89</f>
        <v>1:00</v>
      </c>
    </row>
    <row r="68" spans="1:20">
      <c r="A68" s="127" t="s">
        <v>210</v>
      </c>
      <c r="B68" s="128">
        <f>IF(TRIM('HourGH-OCT'!X22)="","      ",'HourGH-OCT'!X22)</f>
        <v>0.65</v>
      </c>
      <c r="C68" s="128">
        <f>IF(TRIM('HourGH-OCT'!X23)="","      ",'HourGH-OCT'!X23)</f>
        <v>0.64</v>
      </c>
      <c r="D68" s="128">
        <f>IF(TRIM('HourGH-OCT'!X24)="","      ",'HourGH-OCT'!X24)</f>
        <v>0.63</v>
      </c>
      <c r="E68" s="128">
        <f>IF(TRIM('HourGH-OCT'!X25)="","      ",'HourGH-OCT'!X25)</f>
        <v>0.61</v>
      </c>
      <c r="F68" s="118">
        <f>IF(TRIM('HourGH-OCT'!X26)="","      ",'HourGH-OCT'!X26)</f>
        <v>0.59</v>
      </c>
      <c r="G68" s="118">
        <f>IF(TRIM('HourGH-OCT'!X27)="","      ",'HourGH-OCT'!X27)</f>
        <v>0.57999999999999996</v>
      </c>
      <c r="H68" s="128">
        <f>IF(TRIM('HourGH-OCT'!X28)="","      ",'HourGH-OCT'!X28)</f>
        <v>0.6</v>
      </c>
      <c r="I68" s="128">
        <f>IF(TRIM('HourGH-OCT'!X29)="","      ",'HourGH-OCT'!X29)</f>
        <v>2.31</v>
      </c>
      <c r="J68" s="128">
        <f>IF(TRIM('HourGH-OCT'!X30)="","      ",'HourGH-OCT'!X30)</f>
        <v>2.4500000000000002</v>
      </c>
      <c r="K68" s="128">
        <f>IF(TRIM('HourGH-OCT'!X31)="","      ",'HourGH-OCT'!X31)</f>
        <v>1.8</v>
      </c>
      <c r="N68" s="117">
        <f>D80</f>
        <v>338.24</v>
      </c>
      <c r="O68">
        <v>13</v>
      </c>
      <c r="P68" s="117" t="str">
        <f>D83</f>
        <v>1:00</v>
      </c>
      <c r="R68" s="117">
        <f>D86</f>
        <v>338.23</v>
      </c>
      <c r="S68">
        <v>13</v>
      </c>
      <c r="T68" s="117" t="str">
        <f>D89</f>
        <v>13:00</v>
      </c>
    </row>
    <row r="69" spans="1:20">
      <c r="A69" s="127" t="s">
        <v>211</v>
      </c>
      <c r="B69" s="128">
        <f>IF(TRIM('HourGH-OCT'!X33)="","      ",'HourGH-OCT'!X33)</f>
        <v>1.75</v>
      </c>
      <c r="C69" s="128">
        <f>IF(TRIM('HourGH-OCT'!X34)="","      ",'HourGH-OCT'!X34)</f>
        <v>2.13</v>
      </c>
      <c r="D69" s="128">
        <f>IF(TRIM('HourGH-OCT'!X35)="","      ",'HourGH-OCT'!X35)</f>
        <v>1.51</v>
      </c>
      <c r="E69" s="128">
        <f>IF(TRIM('HourGH-OCT'!X36)="","      ",'HourGH-OCT'!X36)</f>
        <v>1.66</v>
      </c>
      <c r="F69" s="118">
        <f>IF(TRIM('HourGH-OCT'!X37)="","      ",'HourGH-OCT'!X37)</f>
        <v>1.36</v>
      </c>
      <c r="G69" s="118">
        <f>IF(TRIM('HourGH-OCT'!X38)="","      ",'HourGH-OCT'!X38)</f>
        <v>1.22</v>
      </c>
      <c r="H69" s="128">
        <f>IF(TRIM('HourGH-OCT'!X39)="","      ",'HourGH-OCT'!X39)</f>
        <v>1.1599999999999999</v>
      </c>
      <c r="I69" s="128">
        <f>IF(TRIM('HourGH-OCT'!X40)="","      ",'HourGH-OCT'!X40)</f>
        <v>1.22</v>
      </c>
      <c r="J69" s="128">
        <f>IF(TRIM('HourGH-OCT'!X41)="","      ",'HourGH-OCT'!X41)</f>
        <v>1.39</v>
      </c>
      <c r="K69" s="128">
        <f>IF(TRIM('HourGH-OCT'!X42)="","      ",'HourGH-OCT'!X42)</f>
        <v>1.1000000000000001</v>
      </c>
      <c r="L69" s="118">
        <f>IF(TRIM('HourGH-OCT'!X43)="","      ",'HourGH-OCT'!X43)</f>
        <v>1.06</v>
      </c>
      <c r="N69" s="117">
        <f>E80</f>
        <v>338.22</v>
      </c>
      <c r="O69">
        <v>14</v>
      </c>
      <c r="P69" s="117" t="str">
        <f>E83</f>
        <v>1:00</v>
      </c>
      <c r="R69" s="117">
        <f>E86</f>
        <v>338.21000000000004</v>
      </c>
      <c r="S69">
        <v>14</v>
      </c>
      <c r="T69" s="117" t="str">
        <f>E89</f>
        <v>13:00</v>
      </c>
    </row>
    <row r="70" spans="1:20">
      <c r="A70" s="127" t="s">
        <v>212</v>
      </c>
      <c r="B70" s="128">
        <f>IF(TRIM('HourGH-OCT'!Y11)="","      ",'HourGH-OCT'!Y11)</f>
        <v>0.99</v>
      </c>
      <c r="C70" s="128">
        <f>IF(TRIM('HourGH-OCT'!Y12)="","      ",'HourGH-OCT'!Y12)</f>
        <v>0.98</v>
      </c>
      <c r="D70" s="128">
        <f>IF(TRIM('HourGH-OCT'!Y13)="","      ",'HourGH-OCT'!Y13)</f>
        <v>0.99</v>
      </c>
      <c r="E70" s="128">
        <f>IF(TRIM('HourGH-OCT'!Y14)="","      ",'HourGH-OCT'!Y14)</f>
        <v>0.89</v>
      </c>
      <c r="F70" s="118">
        <f>IF(TRIM('HourGH-OCT'!Y15)="","      ",'HourGH-OCT'!Y15)</f>
        <v>0.93</v>
      </c>
      <c r="G70" s="118">
        <f>IF(TRIM('HourGH-OCT'!Y16)="","      ",'HourGH-OCT'!Y16)</f>
        <v>1</v>
      </c>
      <c r="H70" s="128">
        <f>IF(TRIM('HourGH-OCT'!Y17)="","      ",'HourGH-OCT'!Y17)</f>
        <v>0.84</v>
      </c>
      <c r="I70" s="128">
        <f>IF(TRIM('HourGH-OCT'!Y18)="","      ",'HourGH-OCT'!Y18)</f>
        <v>0.8</v>
      </c>
      <c r="J70" s="128">
        <f>IF(TRIM('HourGH-OCT'!Y19)="","      ",'HourGH-OCT'!Y19)</f>
        <v>0.72</v>
      </c>
      <c r="K70" s="128">
        <f>IF(TRIM('HourGH-OCT'!Y20)="","      ",'HourGH-OCT'!Y20)</f>
        <v>0.67</v>
      </c>
      <c r="N70" s="117">
        <f>F80</f>
        <v>338.20000000000005</v>
      </c>
      <c r="O70">
        <v>15</v>
      </c>
      <c r="P70" s="117" t="str">
        <f>F83</f>
        <v>1:00</v>
      </c>
      <c r="R70" s="117">
        <f>F86</f>
        <v>338.19</v>
      </c>
      <c r="S70">
        <v>15</v>
      </c>
      <c r="T70" s="117" t="str">
        <f>F89</f>
        <v>13:00</v>
      </c>
    </row>
    <row r="71" spans="1:20">
      <c r="A71" s="127" t="s">
        <v>213</v>
      </c>
      <c r="B71" s="128">
        <f>IF(TRIM('HourGH-OCT'!Y22)="","      ",'HourGH-OCT'!Y22)</f>
        <v>0.65</v>
      </c>
      <c r="C71" s="128">
        <f>IF(TRIM('HourGH-OCT'!Y23)="","      ",'HourGH-OCT'!Y23)</f>
        <v>0.64</v>
      </c>
      <c r="D71" s="128">
        <f>IF(TRIM('HourGH-OCT'!Y24)="","      ",'HourGH-OCT'!Y24)</f>
        <v>0.63</v>
      </c>
      <c r="E71" s="128">
        <f>IF(TRIM('HourGH-OCT'!Y25)="","      ",'HourGH-OCT'!Y25)</f>
        <v>0.61</v>
      </c>
      <c r="F71" s="118">
        <f>IF(TRIM('HourGH-OCT'!Y26)="","      ",'HourGH-OCT'!Y26)</f>
        <v>0.59</v>
      </c>
      <c r="G71" s="118">
        <f>IF(TRIM('HourGH-OCT'!Y27)="","      ",'HourGH-OCT'!Y27)</f>
        <v>0.57999999999999996</v>
      </c>
      <c r="H71" s="128">
        <f>IF(TRIM('HourGH-OCT'!Y28)="","      ",'HourGH-OCT'!Y28)</f>
        <v>0.61</v>
      </c>
      <c r="I71" s="128">
        <f>IF(TRIM('HourGH-OCT'!Y29)="","      ",'HourGH-OCT'!Y29)</f>
        <v>2.36</v>
      </c>
      <c r="J71" s="128">
        <f>IF(TRIM('HourGH-OCT'!Y30)="","      ",'HourGH-OCT'!Y30)</f>
        <v>2.41</v>
      </c>
      <c r="K71" s="128">
        <f>IF(TRIM('HourGH-OCT'!Y31)="","      ",'HourGH-OCT'!Y31)</f>
        <v>1.79</v>
      </c>
      <c r="N71" s="117">
        <f>G80</f>
        <v>338.18</v>
      </c>
      <c r="O71">
        <v>16</v>
      </c>
      <c r="P71" s="117" t="str">
        <f>G83</f>
        <v>1:00</v>
      </c>
      <c r="R71" s="117">
        <f>G86</f>
        <v>338.18</v>
      </c>
      <c r="S71">
        <v>16</v>
      </c>
      <c r="T71" s="117" t="str">
        <f>G89</f>
        <v>1:00</v>
      </c>
    </row>
    <row r="72" spans="1:20">
      <c r="A72" s="127" t="s">
        <v>214</v>
      </c>
      <c r="B72" s="128">
        <f>IF(TRIM('HourGH-OCT'!Y33)="","      ",'HourGH-OCT'!Y33)</f>
        <v>1.77</v>
      </c>
      <c r="C72" s="128">
        <f>IF(TRIM('HourGH-OCT'!Y34)="","      ",'HourGH-OCT'!Y34)</f>
        <v>2.12</v>
      </c>
      <c r="D72" s="128">
        <f>IF(TRIM('HourGH-OCT'!Y35)="","      ",'HourGH-OCT'!Y35)</f>
        <v>1.5</v>
      </c>
      <c r="E72" s="128">
        <f>IF(TRIM('HourGH-OCT'!Y36)="","      ",'HourGH-OCT'!Y36)</f>
        <v>1.65</v>
      </c>
      <c r="F72" s="118">
        <f>IF(TRIM('HourGH-OCT'!Y37)="","      ",'HourGH-OCT'!Y37)</f>
        <v>1.35</v>
      </c>
      <c r="G72" s="118">
        <f>IF(TRIM('HourGH-OCT'!Y38)="","      ",'HourGH-OCT'!Y38)</f>
        <v>1.21</v>
      </c>
      <c r="H72" s="128">
        <f>IF(TRIM('HourGH-OCT'!Y39)="","      ",'HourGH-OCT'!Y39)</f>
        <v>1.1499999999999999</v>
      </c>
      <c r="I72" s="128">
        <f>IF(TRIM('HourGH-OCT'!Y40)="","      ",'HourGH-OCT'!Y40)</f>
        <v>1.23</v>
      </c>
      <c r="J72" s="128">
        <f>IF(TRIM('HourGH-OCT'!Y41)="","      ",'HourGH-OCT'!Y41)</f>
        <v>1.36</v>
      </c>
      <c r="K72" s="128">
        <f>IF(TRIM('HourGH-OCT'!Y42)="","      ",'HourGH-OCT'!Y42)</f>
        <v>1.1000000000000001</v>
      </c>
      <c r="L72" s="118">
        <f>IF(TRIM('HourGH-OCT'!Y43)="","      ",'HourGH-OCT'!Y43)</f>
        <v>1.06</v>
      </c>
      <c r="N72" s="117">
        <f>H80</f>
        <v>338.22</v>
      </c>
      <c r="O72">
        <v>17</v>
      </c>
      <c r="P72" s="117" t="str">
        <f>H83</f>
        <v>24:00</v>
      </c>
      <c r="R72" s="117">
        <f>H86</f>
        <v>338.18</v>
      </c>
      <c r="S72">
        <v>17</v>
      </c>
      <c r="T72" s="117" t="str">
        <f>H89</f>
        <v>1:00</v>
      </c>
    </row>
    <row r="73" spans="1:20">
      <c r="A73" s="127" t="s">
        <v>215</v>
      </c>
      <c r="B73" s="128">
        <f>IF(TRIM('HourGH-OCT'!Z11)="","      ",'HourGH-OCT'!Z11)</f>
        <v>0.99</v>
      </c>
      <c r="C73" s="128">
        <f>IF(TRIM('HourGH-OCT'!Z12)="","      ",'HourGH-OCT'!Z12)</f>
        <v>0.98</v>
      </c>
      <c r="D73" s="128">
        <f>IF(TRIM('HourGH-OCT'!Z13)="","      ",'HourGH-OCT'!Z13)</f>
        <v>0.99</v>
      </c>
      <c r="E73" s="128">
        <f>IF(TRIM('HourGH-OCT'!Z14)="","      ",'HourGH-OCT'!Z14)</f>
        <v>0.89</v>
      </c>
      <c r="F73" s="118">
        <f>IF(TRIM('HourGH-OCT'!Z15)="","      ",'HourGH-OCT'!Z15)</f>
        <v>0.94</v>
      </c>
      <c r="G73" s="118">
        <f>IF(TRIM('HourGH-OCT'!Z16)="","      ",'HourGH-OCT'!Z16)</f>
        <v>0.99</v>
      </c>
      <c r="H73" s="128">
        <f>IF(TRIM('HourGH-OCT'!Z17)="","      ",'HourGH-OCT'!Z17)</f>
        <v>0.84</v>
      </c>
      <c r="I73" s="128">
        <f>IF(TRIM('HourGH-OCT'!Z18)="","      ",'HourGH-OCT'!Z18)</f>
        <v>0.79</v>
      </c>
      <c r="J73" s="128">
        <f>IF(TRIM('HourGH-OCT'!Z19)="","      ",'HourGH-OCT'!Z19)</f>
        <v>0.72</v>
      </c>
      <c r="K73" s="128">
        <f>IF(TRIM('HourGH-OCT'!Z20)="","      ",'HourGH-OCT'!Z20)</f>
        <v>0.67</v>
      </c>
      <c r="N73" s="117">
        <f>I80</f>
        <v>340.01000000000005</v>
      </c>
      <c r="O73">
        <v>18</v>
      </c>
      <c r="P73" s="117" t="str">
        <f>I83</f>
        <v>24:00</v>
      </c>
      <c r="R73" s="117">
        <f>I86</f>
        <v>338.23</v>
      </c>
      <c r="S73">
        <v>18</v>
      </c>
      <c r="T73" s="117" t="str">
        <f>I89</f>
        <v>1:00</v>
      </c>
    </row>
    <row r="74" spans="1:20">
      <c r="A74" s="127" t="s">
        <v>216</v>
      </c>
      <c r="B74" s="128">
        <f>IF(TRIM('HourGH-OCT'!Z22)="","      ",'HourGH-OCT'!Z22)</f>
        <v>0.65</v>
      </c>
      <c r="C74" s="128">
        <f>IF(TRIM('HourGH-OCT'!Z23)="","      ",'HourGH-OCT'!Z23)</f>
        <v>0.64</v>
      </c>
      <c r="D74" s="128">
        <f>IF(TRIM('HourGH-OCT'!Z24)="","      ",'HourGH-OCT'!Z24)</f>
        <v>0.63</v>
      </c>
      <c r="E74" s="128">
        <f>IF(TRIM('HourGH-OCT'!Z25)="","      ",'HourGH-OCT'!Z25)</f>
        <v>0.61</v>
      </c>
      <c r="F74" s="118">
        <f>IF(TRIM('HourGH-OCT'!Z26)="","      ",'HourGH-OCT'!Z26)</f>
        <v>0.59</v>
      </c>
      <c r="G74" s="118">
        <f>IF(TRIM('HourGH-OCT'!Z27)="","      ",'HourGH-OCT'!Z27)</f>
        <v>0.57999999999999996</v>
      </c>
      <c r="H74" s="128">
        <f>IF(TRIM('HourGH-OCT'!Z28)="","      ",'HourGH-OCT'!Z28)</f>
        <v>0.62</v>
      </c>
      <c r="I74" s="128">
        <f>IF(TRIM('HourGH-OCT'!Z29)="","      ",'HourGH-OCT'!Z29)</f>
        <v>2.41</v>
      </c>
      <c r="J74" s="128">
        <f>IF(TRIM('HourGH-OCT'!Z30)="","      ",'HourGH-OCT'!Z30)</f>
        <v>2.37</v>
      </c>
      <c r="K74" s="128">
        <f>IF(TRIM('HourGH-OCT'!Z31)="","      ",'HourGH-OCT'!Z31)</f>
        <v>1.78</v>
      </c>
      <c r="N74" s="117">
        <f>J80</f>
        <v>340.23</v>
      </c>
      <c r="O74">
        <v>19</v>
      </c>
      <c r="P74" s="117" t="str">
        <f>J83</f>
        <v>10:00</v>
      </c>
      <c r="R74" s="117">
        <f>J86</f>
        <v>339.97</v>
      </c>
      <c r="S74">
        <v>19</v>
      </c>
      <c r="T74" s="117" t="str">
        <f>J89</f>
        <v>24:00</v>
      </c>
    </row>
    <row r="75" spans="1:20">
      <c r="A75" s="127" t="s">
        <v>217</v>
      </c>
      <c r="B75" s="128">
        <f>IF(TRIM('HourGH-OCT'!Z33)="","      ",'HourGH-OCT'!Z33)</f>
        <v>1.78</v>
      </c>
      <c r="C75" s="128">
        <f>IF(TRIM('HourGH-OCT'!Z34)="","      ",'HourGH-OCT'!Z34)</f>
        <v>2.11</v>
      </c>
      <c r="D75" s="128">
        <f>IF(TRIM('HourGH-OCT'!Z35)="","      ",'HourGH-OCT'!Z35)</f>
        <v>1.5</v>
      </c>
      <c r="E75" s="128">
        <f>IF(TRIM('HourGH-OCT'!Z36)="","      ",'HourGH-OCT'!Z36)</f>
        <v>1.64</v>
      </c>
      <c r="F75" s="118">
        <f>IF(TRIM('HourGH-OCT'!Z37)="","      ",'HourGH-OCT'!Z37)</f>
        <v>1.35</v>
      </c>
      <c r="G75" s="118">
        <f>IF(TRIM('HourGH-OCT'!Z38)="","      ",'HourGH-OCT'!Z38)</f>
        <v>1.21</v>
      </c>
      <c r="H75" s="128">
        <f>IF(TRIM('HourGH-OCT'!Z39)="","      ",'HourGH-OCT'!Z39)</f>
        <v>1.1499999999999999</v>
      </c>
      <c r="I75" s="128">
        <f>IF(TRIM('HourGH-OCT'!Z40)="","      ",'HourGH-OCT'!Z40)</f>
        <v>1.25</v>
      </c>
      <c r="J75" s="128">
        <f>IF(TRIM('HourGH-OCT'!Z41)="","      ",'HourGH-OCT'!Z41)</f>
        <v>1.33</v>
      </c>
      <c r="K75" s="128">
        <f>IF(TRIM('HourGH-OCT'!Z42)="","      ",'HourGH-OCT'!Z42)</f>
        <v>1.1000000000000001</v>
      </c>
      <c r="L75" s="118">
        <f>IF(TRIM('HourGH-OCT'!Z43)="","      ",'HourGH-OCT'!Z43)</f>
        <v>1.05</v>
      </c>
      <c r="N75" s="117">
        <f>K80</f>
        <v>339.93</v>
      </c>
      <c r="O75">
        <v>20</v>
      </c>
      <c r="P75" s="117" t="str">
        <f>K83</f>
        <v>1:00</v>
      </c>
      <c r="R75" s="117">
        <f>K86</f>
        <v>339.38</v>
      </c>
      <c r="S75">
        <v>20</v>
      </c>
      <c r="T75" s="117" t="str">
        <f>K89</f>
        <v>24:00</v>
      </c>
    </row>
    <row r="76" spans="1:20">
      <c r="A76" t="s">
        <v>228</v>
      </c>
      <c r="B76" s="119">
        <f>IF(TRIM('HourGH-OCT'!AB11)="","",'HourGH-OCT'!AB11)</f>
        <v>338.60708333333338</v>
      </c>
      <c r="C76" s="119">
        <f>IF(TRIM('HourGH-OCT'!AB12)="","",'HourGH-OCT'!AB12)</f>
        <v>338.57458333333335</v>
      </c>
      <c r="D76" s="119">
        <f>IF(TRIM('HourGH-OCT'!AB13)="","",'HourGH-OCT'!AB13)</f>
        <v>338.59291666666667</v>
      </c>
      <c r="E76" s="119">
        <f>IF(TRIM('HourGH-OCT'!AB14)="","",'HourGH-OCT'!AB14)</f>
        <v>338.54875000000004</v>
      </c>
      <c r="F76" s="119">
        <f>IF(TRIM('HourGH-OCT'!AB15)="","",'HourGH-OCT'!AB15)</f>
        <v>338.49166666666667</v>
      </c>
      <c r="G76" s="119">
        <f>IF(TRIM('HourGH-OCT'!AB16)="","",'HourGH-OCT'!AB16)</f>
        <v>338.61041666666671</v>
      </c>
      <c r="H76" s="119">
        <f>IF(TRIM('HourGH-OCT'!AB17)="","",'HourGH-OCT'!AB17)</f>
        <v>338.49208333333337</v>
      </c>
      <c r="I76" s="119">
        <f>IF(TRIM('HourGH-OCT'!AB18)="","",'HourGH-OCT'!AB18)</f>
        <v>338.41833333333335</v>
      </c>
      <c r="J76" s="119">
        <f>IF(TRIM('HourGH-OCT'!AB19)="","",'HourGH-OCT'!AB19)</f>
        <v>338.34500000000003</v>
      </c>
      <c r="K76" s="119">
        <f>IF(TRIM('HourGH-OCT'!AB20)="","",'HourGH-OCT'!AB20)</f>
        <v>338.28875000000005</v>
      </c>
      <c r="N76" s="117">
        <f>B81</f>
        <v>339.38</v>
      </c>
      <c r="O76">
        <v>21</v>
      </c>
      <c r="P76" s="117" t="str">
        <f>B84</f>
        <v>24:00</v>
      </c>
      <c r="R76" s="117">
        <f>B87</f>
        <v>339.3</v>
      </c>
      <c r="S76">
        <v>21</v>
      </c>
      <c r="T76" s="117" t="str">
        <f>B90</f>
        <v>9:00</v>
      </c>
    </row>
    <row r="77" spans="1:20">
      <c r="A77" t="s">
        <v>229</v>
      </c>
      <c r="B77" s="119">
        <f>IF(TRIM('HourGH-OCT'!AB22)="","",'HourGH-OCT'!AB22)</f>
        <v>338.25208333333336</v>
      </c>
      <c r="C77" s="119">
        <f>IF(TRIM('HourGH-OCT'!AB23)="","",'HourGH-OCT'!AB23)</f>
        <v>338.24</v>
      </c>
      <c r="D77" s="119">
        <f>IF(TRIM('HourGH-OCT'!AB24)="","",'HourGH-OCT'!AB24)</f>
        <v>338.23500000000001</v>
      </c>
      <c r="E77" s="119">
        <f>IF(TRIM('HourGH-OCT'!AB25)="","",'HourGH-OCT'!AB25)</f>
        <v>338.21500000000003</v>
      </c>
      <c r="F77" s="119">
        <f>IF(TRIM('HourGH-OCT'!AB26)="","",'HourGH-OCT'!AB26)</f>
        <v>338.19500000000005</v>
      </c>
      <c r="G77" s="119">
        <f>IF(TRIM('HourGH-OCT'!AB27)="","",'HourGH-OCT'!AB27)</f>
        <v>338.18</v>
      </c>
      <c r="H77" s="119">
        <f>IF(TRIM('HourGH-OCT'!AB28)="","",'HourGH-OCT'!AB28)</f>
        <v>338.1854166666667</v>
      </c>
      <c r="I77" s="119">
        <f>IF(TRIM('HourGH-OCT'!AB29)="","",'HourGH-OCT'!AB29)</f>
        <v>338.96291666666667</v>
      </c>
      <c r="J77" s="119">
        <f>IF(TRIM('HourGH-OCT'!AB30)="","",'HourGH-OCT'!AB30)</f>
        <v>340.1541666666667</v>
      </c>
      <c r="K77" s="119">
        <f>IF(TRIM('HourGH-OCT'!AB31)="","",'HourGH-OCT'!AB31)</f>
        <v>339.5891666666667</v>
      </c>
      <c r="N77" s="117">
        <f>C81</f>
        <v>339.73</v>
      </c>
      <c r="O77">
        <v>22</v>
      </c>
      <c r="P77" s="117" t="str">
        <f>C84</f>
        <v>17:00</v>
      </c>
      <c r="R77" s="117">
        <f>C87</f>
        <v>339.40000000000003</v>
      </c>
      <c r="S77">
        <v>22</v>
      </c>
      <c r="T77" s="117" t="str">
        <f>C90</f>
        <v>1:00</v>
      </c>
    </row>
    <row r="78" spans="1:20">
      <c r="A78" t="s">
        <v>230</v>
      </c>
      <c r="B78" s="119">
        <f>IF(TRIM('HourGH-OCT'!AB33)="","",'HourGH-OCT'!AB33)</f>
        <v>339.32333333333338</v>
      </c>
      <c r="C78" s="119">
        <f>IF(TRIM('HourGH-OCT'!AB34)="","",'HourGH-OCT'!AB34)</f>
        <v>339.62583333333333</v>
      </c>
      <c r="D78" s="119">
        <f>IF(TRIM('HourGH-OCT'!AB35)="","",'HourGH-OCT'!AB35)</f>
        <v>339.36375000000004</v>
      </c>
      <c r="E78" s="119">
        <f>IF(TRIM('HourGH-OCT'!AB36)="","",'HourGH-OCT'!AB36)</f>
        <v>339.20958333333334</v>
      </c>
      <c r="F78" s="119">
        <f>IF(TRIM('HourGH-OCT'!AB37)="","",'HourGH-OCT'!AB37)</f>
        <v>339.04875000000004</v>
      </c>
      <c r="G78" s="119">
        <f>IF(TRIM('HourGH-OCT'!AB38)="","",'HourGH-OCT'!AB38)</f>
        <v>338.87666666666667</v>
      </c>
      <c r="H78" s="119">
        <f>IF(TRIM('HourGH-OCT'!AB39)="","",'HourGH-OCT'!AB39)</f>
        <v>338.78125</v>
      </c>
      <c r="I78" s="119">
        <f>IF(TRIM('HourGH-OCT'!AB40)="","",'HourGH-OCT'!AB40)</f>
        <v>338.76166666666671</v>
      </c>
      <c r="J78" s="119">
        <f>IF(TRIM('HourGH-OCT'!AB41)="","",'HourGH-OCT'!AB41)</f>
        <v>339.00833333333338</v>
      </c>
      <c r="K78" s="119">
        <f>IF(TRIM('HourGH-OCT'!AB42)="","",'HourGH-OCT'!AB42)</f>
        <v>338.74708333333336</v>
      </c>
      <c r="N78" s="117">
        <f>D81</f>
        <v>339.69</v>
      </c>
      <c r="O78">
        <v>23</v>
      </c>
      <c r="P78" s="117" t="str">
        <f>D84</f>
        <v>1:00</v>
      </c>
      <c r="R78" s="117">
        <f>D87</f>
        <v>339.1</v>
      </c>
      <c r="S78">
        <v>23</v>
      </c>
      <c r="T78" s="117" t="str">
        <f>D90</f>
        <v>23:00</v>
      </c>
    </row>
    <row r="79" spans="1:20">
      <c r="A79" t="s">
        <v>231</v>
      </c>
      <c r="B79" s="119">
        <f>IF(TRIM('HourGH-OCT'!AC11)="","",'HourGH-OCT'!AC11)</f>
        <v>338.64000000000004</v>
      </c>
      <c r="C79" s="119">
        <f>IF(TRIM('HourGH-OCT'!AC12)="","",'HourGH-OCT'!AC12)</f>
        <v>338.58000000000004</v>
      </c>
      <c r="D79" s="119">
        <f>IF(TRIM('HourGH-OCT'!AC13)="","",'HourGH-OCT'!AC13)</f>
        <v>338.6</v>
      </c>
      <c r="E79" s="119">
        <f>IF(TRIM('HourGH-OCT'!AC14)="","",'HourGH-OCT'!AC14)</f>
        <v>338.58000000000004</v>
      </c>
      <c r="F79" s="119">
        <f>IF(TRIM('HourGH-OCT'!AC15)="","",'HourGH-OCT'!AC15)</f>
        <v>338.54</v>
      </c>
      <c r="G79" s="119">
        <f>IF(TRIM('HourGH-OCT'!AC16)="","",'HourGH-OCT'!AC16)</f>
        <v>338.64000000000004</v>
      </c>
      <c r="H79" s="119">
        <f>IF(TRIM('HourGH-OCT'!AC17)="","",'HourGH-OCT'!AC17)</f>
        <v>338.57000000000005</v>
      </c>
      <c r="I79" s="119">
        <f>IF(TRIM('HourGH-OCT'!AC18)="","",'HourGH-OCT'!AC18)</f>
        <v>338.44</v>
      </c>
      <c r="J79" s="119">
        <f>IF(TRIM('HourGH-OCT'!AC19)="","",'HourGH-OCT'!AC19)</f>
        <v>338.39000000000004</v>
      </c>
      <c r="K79" s="119">
        <f>IF(TRIM('HourGH-OCT'!AC20)="","",'HourGH-OCT'!AC20)</f>
        <v>338.31</v>
      </c>
      <c r="N79" s="117">
        <f>E81</f>
        <v>339.28000000000003</v>
      </c>
      <c r="O79">
        <v>24</v>
      </c>
      <c r="P79" s="117" t="str">
        <f>E84</f>
        <v>17:00</v>
      </c>
      <c r="R79" s="117">
        <f>E87</f>
        <v>339.1</v>
      </c>
      <c r="S79">
        <v>24</v>
      </c>
      <c r="T79" s="117" t="str">
        <f>E90</f>
        <v>1:00</v>
      </c>
    </row>
    <row r="80" spans="1:20">
      <c r="A80" t="s">
        <v>232</v>
      </c>
      <c r="B80" s="119">
        <f>IF(TRIM('HourGH-OCT'!AC22)="","",'HourGH-OCT'!AC22)</f>
        <v>338.26000000000005</v>
      </c>
      <c r="C80" s="119">
        <f>IF(TRIM('HourGH-OCT'!AC23)="","",'HourGH-OCT'!AC23)</f>
        <v>338.24</v>
      </c>
      <c r="D80" s="119">
        <f>IF(TRIM('HourGH-OCT'!AC24)="","",'HourGH-OCT'!AC24)</f>
        <v>338.24</v>
      </c>
      <c r="E80" s="119">
        <f>IF(TRIM('HourGH-OCT'!AC25)="","",'HourGH-OCT'!AC25)</f>
        <v>338.22</v>
      </c>
      <c r="F80" s="119">
        <f>IF(TRIM('HourGH-OCT'!AC26)="","",'HourGH-OCT'!AC26)</f>
        <v>338.20000000000005</v>
      </c>
      <c r="G80" s="119">
        <f>IF(TRIM('HourGH-OCT'!AC27)="","",'HourGH-OCT'!AC27)</f>
        <v>338.18</v>
      </c>
      <c r="H80" s="119">
        <f>IF(TRIM('HourGH-OCT'!AC28)="","",'HourGH-OCT'!AC28)</f>
        <v>338.22</v>
      </c>
      <c r="I80" s="119">
        <f>IF(TRIM('HourGH-OCT'!AC29)="","",'HourGH-OCT'!AC29)</f>
        <v>340.01000000000005</v>
      </c>
      <c r="J80" s="119">
        <f>IF(TRIM('HourGH-OCT'!AC30)="","",'HourGH-OCT'!AC30)</f>
        <v>340.23</v>
      </c>
      <c r="K80" s="119">
        <f>IF(TRIM('HourGH-OCT'!AC31)="","",'HourGH-OCT'!AC31)</f>
        <v>339.93</v>
      </c>
      <c r="N80" s="117">
        <f>F81</f>
        <v>339.21000000000004</v>
      </c>
      <c r="O80">
        <v>25</v>
      </c>
      <c r="P80" s="117" t="str">
        <f>F84</f>
        <v>1:00</v>
      </c>
      <c r="R80" s="117">
        <f>F87</f>
        <v>338.95000000000005</v>
      </c>
      <c r="S80">
        <v>25</v>
      </c>
      <c r="T80" s="117" t="str">
        <f>F90</f>
        <v>23:00</v>
      </c>
    </row>
    <row r="81" spans="1:20">
      <c r="A81" t="s">
        <v>233</v>
      </c>
      <c r="B81" s="119">
        <f>IF(TRIM('HourGH-OCT'!AC33)="","",'HourGH-OCT'!AC33)</f>
        <v>339.38</v>
      </c>
      <c r="C81" s="119">
        <f>IF(TRIM('HourGH-OCT'!AC34)="","",'HourGH-OCT'!AC34)</f>
        <v>339.73</v>
      </c>
      <c r="D81" s="119">
        <f>IF(TRIM('HourGH-OCT'!AC35)="","",'HourGH-OCT'!AC35)</f>
        <v>339.69</v>
      </c>
      <c r="E81" s="119">
        <f>IF(TRIM('HourGH-OCT'!AC36)="","",'HourGH-OCT'!AC36)</f>
        <v>339.28000000000003</v>
      </c>
      <c r="F81" s="119">
        <f>IF(TRIM('HourGH-OCT'!AC37)="","",'HourGH-OCT'!AC37)</f>
        <v>339.21000000000004</v>
      </c>
      <c r="G81" s="119">
        <f>IF(TRIM('HourGH-OCT'!AC38)="","",'HourGH-OCT'!AC38)</f>
        <v>338.94</v>
      </c>
      <c r="H81" s="119">
        <f>IF(TRIM('HourGH-OCT'!AC39)="","",'HourGH-OCT'!AC39)</f>
        <v>338.81</v>
      </c>
      <c r="I81" s="119">
        <f>IF(TRIM('HourGH-OCT'!AC40)="","",'HourGH-OCT'!AC40)</f>
        <v>338.85</v>
      </c>
      <c r="J81" s="119">
        <f>IF(TRIM('HourGH-OCT'!AC41)="","",'HourGH-OCT'!AC41)</f>
        <v>339.08000000000004</v>
      </c>
      <c r="K81" s="119">
        <f>IF(TRIM('HourGH-OCT'!AC42)="","",'HourGH-OCT'!AC42)</f>
        <v>338.90000000000003</v>
      </c>
      <c r="N81" s="117">
        <f>G81</f>
        <v>338.94</v>
      </c>
      <c r="O81">
        <v>26</v>
      </c>
      <c r="P81" s="117" t="str">
        <f>G84</f>
        <v>1:00</v>
      </c>
      <c r="R81" s="117">
        <f>G87</f>
        <v>338.81</v>
      </c>
      <c r="S81">
        <v>26</v>
      </c>
      <c r="T81" s="117" t="str">
        <f>G90</f>
        <v>23:00</v>
      </c>
    </row>
    <row r="82" spans="1:20">
      <c r="A82" t="s">
        <v>219</v>
      </c>
      <c r="B82" s="119" t="str">
        <f>'HourGH-OCT'!AD11&amp;":00"</f>
        <v>1:00</v>
      </c>
      <c r="C82" s="119" t="str">
        <f>'HourGH-OCT'!AD12&amp;":00"</f>
        <v>1:00</v>
      </c>
      <c r="D82" s="119" t="str">
        <f>'HourGH-OCT'!AD13&amp;":00"</f>
        <v>13:00</v>
      </c>
      <c r="E82" s="119" t="str">
        <f>'HourGH-OCT'!AD14&amp;":00"</f>
        <v>1:00</v>
      </c>
      <c r="F82" s="119" t="str">
        <f>'HourGH-OCT'!AD15&amp;":00"</f>
        <v>24:00</v>
      </c>
      <c r="G82" s="119" t="str">
        <f>'HourGH-OCT'!AD16&amp;":00"</f>
        <v>12:00</v>
      </c>
      <c r="H82" s="119" t="str">
        <f>'HourGH-OCT'!AD17&amp;":00"</f>
        <v>1:00</v>
      </c>
      <c r="I82" s="119" t="str">
        <f>'HourGH-OCT'!AD18&amp;":00"</f>
        <v>1:00</v>
      </c>
      <c r="J82" s="119" t="str">
        <f>'HourGH-OCT'!AD19&amp;":00"</f>
        <v>1:00</v>
      </c>
      <c r="K82" s="119" t="str">
        <f>'HourGH-OCT'!AD20&amp;":00"</f>
        <v>1:00</v>
      </c>
      <c r="N82" s="117">
        <f>H81</f>
        <v>338.81</v>
      </c>
      <c r="O82">
        <v>27</v>
      </c>
      <c r="P82" s="117" t="str">
        <f>H84</f>
        <v>1:00</v>
      </c>
      <c r="R82" s="117">
        <f>H87</f>
        <v>338.75</v>
      </c>
      <c r="S82">
        <v>27</v>
      </c>
      <c r="T82" s="117" t="str">
        <f>H90</f>
        <v>23:00</v>
      </c>
    </row>
    <row r="83" spans="1:20">
      <c r="A83" t="s">
        <v>220</v>
      </c>
      <c r="B83" s="119" t="str">
        <f>'HourGH-OCT'!AD22&amp;":00"</f>
        <v>1:00</v>
      </c>
      <c r="C83" s="119" t="str">
        <f>'HourGH-OCT'!AD23&amp;":00"</f>
        <v>1:00</v>
      </c>
      <c r="D83" s="119" t="str">
        <f>'HourGH-OCT'!AD24&amp;":00"</f>
        <v>1:00</v>
      </c>
      <c r="E83" s="119" t="str">
        <f>'HourGH-OCT'!AD25&amp;":00"</f>
        <v>1:00</v>
      </c>
      <c r="F83" s="119" t="str">
        <f>'HourGH-OCT'!AD26&amp;":00"</f>
        <v>1:00</v>
      </c>
      <c r="G83" s="119" t="str">
        <f>'HourGH-OCT'!AD27&amp;":00"</f>
        <v>1:00</v>
      </c>
      <c r="H83" s="119" t="str">
        <f>'HourGH-OCT'!AD28&amp;":00"</f>
        <v>24:00</v>
      </c>
      <c r="I83" s="119" t="str">
        <f>'HourGH-OCT'!AD29&amp;":00"</f>
        <v>24:00</v>
      </c>
      <c r="J83" s="119" t="str">
        <f>'HourGH-OCT'!AD30&amp;":00"</f>
        <v>10:00</v>
      </c>
      <c r="K83" s="119" t="str">
        <f>'HourGH-OCT'!AD31&amp;":00"</f>
        <v>1:00</v>
      </c>
      <c r="N83" s="117">
        <f>I81</f>
        <v>338.85</v>
      </c>
      <c r="O83">
        <v>28</v>
      </c>
      <c r="P83" s="117" t="str">
        <f>I84</f>
        <v>24:00</v>
      </c>
      <c r="R83" s="117">
        <f>I87</f>
        <v>338.74</v>
      </c>
      <c r="S83">
        <v>28</v>
      </c>
      <c r="T83" s="117" t="str">
        <f>I90</f>
        <v>3:00</v>
      </c>
    </row>
    <row r="84" spans="1:20">
      <c r="A84" t="s">
        <v>221</v>
      </c>
      <c r="B84" s="119" t="str">
        <f>'HourGH-OCT'!AD33&amp;":00"</f>
        <v>24:00</v>
      </c>
      <c r="C84" s="119" t="str">
        <f>'HourGH-OCT'!AD34&amp;":00"</f>
        <v>17:00</v>
      </c>
      <c r="D84" s="119" t="str">
        <f>'HourGH-OCT'!AD35&amp;":00"</f>
        <v>1:00</v>
      </c>
      <c r="E84" s="119" t="str">
        <f>'HourGH-OCT'!AD36&amp;":00"</f>
        <v>17:00</v>
      </c>
      <c r="F84" s="119" t="str">
        <f>'HourGH-OCT'!AD37&amp;":00"</f>
        <v>1:00</v>
      </c>
      <c r="G84" s="119" t="str">
        <f>'HourGH-OCT'!AD38&amp;":00"</f>
        <v>1:00</v>
      </c>
      <c r="H84" s="119" t="str">
        <f>'HourGH-OCT'!AD39&amp;":00"</f>
        <v>1:00</v>
      </c>
      <c r="I84" s="119" t="str">
        <f>'HourGH-OCT'!AD40&amp;":00"</f>
        <v>24:00</v>
      </c>
      <c r="J84" s="119" t="str">
        <f>'HourGH-OCT'!AD41&amp;":00"</f>
        <v>13:00</v>
      </c>
      <c r="K84" s="119" t="str">
        <f>'HourGH-OCT'!AD42&amp;":00"</f>
        <v>1:00</v>
      </c>
      <c r="N84" s="117">
        <f>J81</f>
        <v>339.08000000000004</v>
      </c>
      <c r="O84">
        <v>29</v>
      </c>
      <c r="P84" s="117" t="str">
        <f>J84</f>
        <v>13:00</v>
      </c>
      <c r="R84" s="117">
        <f>J87</f>
        <v>338.87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'HourGH-OCT'!AE11</f>
        <v>338.59000000000003</v>
      </c>
      <c r="C85" s="129">
        <f>'HourGH-OCT'!AE12</f>
        <v>338.57000000000005</v>
      </c>
      <c r="D85" s="129">
        <f>'HourGH-OCT'!AE13</f>
        <v>338.59000000000003</v>
      </c>
      <c r="E85" s="129">
        <f>'HourGH-OCT'!AE14</f>
        <v>338.49</v>
      </c>
      <c r="F85" s="129">
        <f>'HourGH-OCT'!AE15</f>
        <v>338.47</v>
      </c>
      <c r="G85" s="129">
        <f>'HourGH-OCT'!AE16</f>
        <v>338.55</v>
      </c>
      <c r="H85" s="129">
        <f>'HourGH-OCT'!AE17</f>
        <v>338.44</v>
      </c>
      <c r="I85" s="129">
        <f>'HourGH-OCT'!AE18</f>
        <v>338.39000000000004</v>
      </c>
      <c r="J85" s="129">
        <f>'HourGH-OCT'!AE19</f>
        <v>338.32000000000005</v>
      </c>
      <c r="K85" s="129">
        <f>'HourGH-OCT'!AE20</f>
        <v>338.27000000000004</v>
      </c>
      <c r="N85" s="117">
        <f>K81</f>
        <v>338.90000000000003</v>
      </c>
      <c r="O85">
        <v>30</v>
      </c>
      <c r="P85" s="117" t="str">
        <f>K84</f>
        <v>1:00</v>
      </c>
      <c r="R85" s="117">
        <f>K87</f>
        <v>338.70000000000005</v>
      </c>
      <c r="S85">
        <v>30</v>
      </c>
      <c r="T85" s="117" t="str">
        <f>K90</f>
        <v>19:00</v>
      </c>
    </row>
    <row r="86" spans="1:20">
      <c r="A86" t="s">
        <v>235</v>
      </c>
      <c r="B86" s="129">
        <f>'HourGH-OCT'!AE22</f>
        <v>338.25</v>
      </c>
      <c r="C86" s="129">
        <f>'HourGH-OCT'!AE23</f>
        <v>338.24</v>
      </c>
      <c r="D86" s="129">
        <f>'HourGH-OCT'!AE24</f>
        <v>338.23</v>
      </c>
      <c r="E86" s="129">
        <f>'HourGH-OCT'!AE25</f>
        <v>338.21000000000004</v>
      </c>
      <c r="F86" s="129">
        <f>'HourGH-OCT'!AE26</f>
        <v>338.19</v>
      </c>
      <c r="G86" s="129">
        <f>'HourGH-OCT'!AE27</f>
        <v>338.18</v>
      </c>
      <c r="H86" s="129">
        <f>'HourGH-OCT'!AE28</f>
        <v>338.18</v>
      </c>
      <c r="I86" s="129">
        <f>'HourGH-OCT'!AE29</f>
        <v>338.23</v>
      </c>
      <c r="J86" s="129">
        <f>'HourGH-OCT'!AE30</f>
        <v>339.97</v>
      </c>
      <c r="K86" s="129">
        <f>'HourGH-OCT'!AE31</f>
        <v>339.38</v>
      </c>
    </row>
    <row r="87" spans="1:20">
      <c r="A87" t="s">
        <v>236</v>
      </c>
      <c r="B87" s="129">
        <f>'HourGH-OCT'!AE33</f>
        <v>339.3</v>
      </c>
      <c r="C87" s="129">
        <f>'HourGH-OCT'!AE34</f>
        <v>339.40000000000003</v>
      </c>
      <c r="D87" s="129">
        <f>'HourGH-OCT'!AE35</f>
        <v>339.1</v>
      </c>
      <c r="E87" s="129">
        <f>'HourGH-OCT'!AE36</f>
        <v>339.1</v>
      </c>
      <c r="F87" s="129">
        <f>'HourGH-OCT'!AE37</f>
        <v>338.95000000000005</v>
      </c>
      <c r="G87" s="129">
        <f>'HourGH-OCT'!AE38</f>
        <v>338.81</v>
      </c>
      <c r="H87" s="129">
        <f>'HourGH-OCT'!AE39</f>
        <v>338.75</v>
      </c>
      <c r="I87" s="129">
        <f>'HourGH-OCT'!AE40</f>
        <v>338.74</v>
      </c>
      <c r="J87" s="129">
        <f>'HourGH-OCT'!AE41</f>
        <v>338.87</v>
      </c>
      <c r="K87" s="129">
        <f>'HourGH-OCT'!AE42</f>
        <v>338.70000000000005</v>
      </c>
    </row>
    <row r="88" spans="1:20">
      <c r="A88" t="s">
        <v>222</v>
      </c>
      <c r="B88" s="119" t="str">
        <f>'HourGH-OCT'!AF11&amp;":00"</f>
        <v>19:00</v>
      </c>
      <c r="C88" s="119" t="str">
        <f>'HourGH-OCT'!AF12&amp;":00"</f>
        <v>6:00</v>
      </c>
      <c r="D88" s="119" t="str">
        <f>'HourGH-OCT'!AF13&amp;":00"</f>
        <v>1:00</v>
      </c>
      <c r="E88" s="119" t="str">
        <f>'HourGH-OCT'!AF14&amp;":00"</f>
        <v>23:00</v>
      </c>
      <c r="F88" s="119" t="str">
        <f>'HourGH-OCT'!AF15&amp;":00"</f>
        <v>6:00</v>
      </c>
      <c r="G88" s="119" t="str">
        <f>'HourGH-OCT'!AF16&amp;":00"</f>
        <v>1:00</v>
      </c>
      <c r="H88" s="119" t="str">
        <f>'HourGH-OCT'!AF17&amp;":00"</f>
        <v>23:00</v>
      </c>
      <c r="I88" s="119" t="str">
        <f>'HourGH-OCT'!AF18&amp;":00"</f>
        <v>24:00</v>
      </c>
      <c r="J88" s="119" t="str">
        <f>'HourGH-OCT'!AF19&amp;":00"</f>
        <v>19:00</v>
      </c>
      <c r="K88" s="119" t="str">
        <f>'HourGH-OCT'!AF20&amp;":00"</f>
        <v>18:00</v>
      </c>
      <c r="N88" s="118">
        <f>MATCH(N90,N56:N85,0)</f>
        <v>19</v>
      </c>
      <c r="P88">
        <f>MATCH(P89,R56:R85,0)</f>
        <v>16</v>
      </c>
    </row>
    <row r="89" spans="1:20">
      <c r="A89" t="s">
        <v>223</v>
      </c>
      <c r="B89" s="119" t="str">
        <f>'HourGH-OCT'!AF22&amp;":00"</f>
        <v>6:00</v>
      </c>
      <c r="C89" s="119" t="str">
        <f>'HourGH-OCT'!AF23&amp;":00"</f>
        <v>1:00</v>
      </c>
      <c r="D89" s="119" t="str">
        <f>'HourGH-OCT'!AF24&amp;":00"</f>
        <v>13:00</v>
      </c>
      <c r="E89" s="119" t="str">
        <f>'HourGH-OCT'!AF25&amp;":00"</f>
        <v>13:00</v>
      </c>
      <c r="F89" s="119" t="str">
        <f>'HourGH-OCT'!AF26&amp;":00"</f>
        <v>13:00</v>
      </c>
      <c r="G89" s="119" t="str">
        <f>'HourGH-OCT'!AF27&amp;":00"</f>
        <v>1:00</v>
      </c>
      <c r="H89" s="119" t="str">
        <f>'HourGH-OCT'!AF28&amp;":00"</f>
        <v>1:00</v>
      </c>
      <c r="I89" s="119" t="str">
        <f>'HourGH-OCT'!AF29&amp;":00"</f>
        <v>1:00</v>
      </c>
      <c r="J89" s="119" t="str">
        <f>'HourGH-OCT'!AF30&amp;":00"</f>
        <v>24:00</v>
      </c>
      <c r="K89" s="119" t="str">
        <f>'HourGH-OCT'!AF31&amp;":00"</f>
        <v>24:00</v>
      </c>
      <c r="O89" s="118" t="str">
        <f>INDEX(P56:P85,N88)</f>
        <v>10:00</v>
      </c>
      <c r="P89" s="129">
        <f>MIN(B85:K87)</f>
        <v>338.18</v>
      </c>
      <c r="R89" t="str">
        <f>INDEX(T56:T85,P88)</f>
        <v>1:00</v>
      </c>
    </row>
    <row r="90" spans="1:20">
      <c r="A90" t="s">
        <v>224</v>
      </c>
      <c r="B90" s="119" t="str">
        <f>'HourGH-OCT'!AF33&amp;":00"</f>
        <v>9:00</v>
      </c>
      <c r="C90" s="119" t="str">
        <f>'HourGH-OCT'!AF34&amp;":00"</f>
        <v>1:00</v>
      </c>
      <c r="D90" s="119" t="str">
        <f>'HourGH-OCT'!AF35&amp;":00"</f>
        <v>23:00</v>
      </c>
      <c r="E90" s="119" t="str">
        <f>'HourGH-OCT'!AF36&amp;":00"</f>
        <v>1:00</v>
      </c>
      <c r="F90" s="119" t="str">
        <f>'HourGH-OCT'!AF37&amp;":00"</f>
        <v>23:00</v>
      </c>
      <c r="G90" s="119" t="str">
        <f>'HourGH-OCT'!AF38&amp;":00"</f>
        <v>23:00</v>
      </c>
      <c r="H90" s="119" t="str">
        <f>'HourGH-OCT'!AF39&amp;":00"</f>
        <v>23:00</v>
      </c>
      <c r="I90" s="119" t="str">
        <f>'HourGH-OCT'!AF40&amp;":00"</f>
        <v>3:00</v>
      </c>
      <c r="J90" s="119" t="str">
        <f>'HourGH-OCT'!AF41&amp;":00"</f>
        <v>1:00</v>
      </c>
      <c r="K90" s="119" t="str">
        <f>'HourGH-OCT'!AF42&amp;":00"</f>
        <v>19:00</v>
      </c>
      <c r="N90" s="119">
        <f>MAX(B79:K81)</f>
        <v>340.23</v>
      </c>
      <c r="O90" s="118">
        <f>N88</f>
        <v>19</v>
      </c>
    </row>
    <row r="91" spans="1:20">
      <c r="A91" t="s">
        <v>218</v>
      </c>
      <c r="B91" s="119">
        <f>AVERAGE(B76:K78)</f>
        <v>338.73081944444453</v>
      </c>
      <c r="C91" s="311" t="str">
        <f>"MAX"&amp;" "&amp;N90&amp;" "&amp;"DATE"&amp;" " &amp;O90&amp;" "&amp;"TIME"&amp;" "&amp;O89&amp;" "&amp;"MIN"&amp;" "&amp;P89&amp;" "&amp;"DATE"&amp;" "&amp;P88&amp;" "&amp;"TIME"&amp;" "&amp;R89</f>
        <v>MAX 340.23 DATE 19 TIME 10:00 MIN 338.18 DATE 16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92"/>
  <sheetViews>
    <sheetView workbookViewId="0">
      <selection sqref="A1:K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242</v>
      </c>
      <c r="B2" s="118">
        <f>'HourGH-NOV'!W7</f>
        <v>337.6</v>
      </c>
      <c r="C2" s="118" t="str">
        <f>'HourGH-NOV'!Z7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IF(TRIM('HourGH-NOV'!C11)="","      ",'HourGH-NOV'!C11)</f>
        <v>1.05</v>
      </c>
      <c r="C4" s="128">
        <f>IF(TRIM('HourGH-NOV'!C12)="","      ",'HourGH-NOV'!C12)</f>
        <v>0.98</v>
      </c>
      <c r="D4" s="128">
        <f>IF(TRIM('HourGH-NOV'!C13)="","      ",'HourGH-NOV'!C13)</f>
        <v>0.91</v>
      </c>
      <c r="E4" s="128">
        <f>IF(TRIM('HourGH-NOV'!C14)="","      ",'HourGH-NOV'!C14)</f>
        <v>0.87</v>
      </c>
      <c r="F4" s="118">
        <f>IF(TRIM('HourGH-NOV'!C15)="","      ",'HourGH-NOV'!C15)</f>
        <v>0.82</v>
      </c>
      <c r="G4" s="118">
        <f>IF(TRIM('HourGH-NOV'!C16)="","      ",'HourGH-NOV'!C16)</f>
        <v>0.78</v>
      </c>
      <c r="H4" s="118">
        <f>IF(TRIM('HourGH-NOV'!C17)="","      ",'HourGH-NOV'!C17)</f>
        <v>0.74</v>
      </c>
      <c r="I4" s="118">
        <f>IF(TRIM('HourGH-NOV'!C18)="","      ",'HourGH-NOV'!C18)</f>
        <v>0.72</v>
      </c>
      <c r="J4" s="118">
        <f>IF(TRIM('HourGH-NOV'!C19)="","      ",'HourGH-NOV'!C19)</f>
        <v>0.7</v>
      </c>
      <c r="K4" s="118">
        <f>IF(TRIM('HourGH-NOV'!C20)="","      ",'HourGH-NOV'!C20)</f>
        <v>0.68</v>
      </c>
    </row>
    <row r="5" spans="1:15">
      <c r="A5" s="127" t="s">
        <v>147</v>
      </c>
      <c r="B5" s="118">
        <f>IF(TRIM('HourGH-NOV'!C22)="","      ",'HourGH-NOV'!C22)</f>
        <v>0.66</v>
      </c>
      <c r="C5" s="118">
        <f>IF(TRIM('HourGH-NOV'!C23)="","      ",'HourGH-NOV'!C23)</f>
        <v>0.66</v>
      </c>
      <c r="D5" s="118">
        <f>IF(TRIM('HourGH-NOV'!C24)="","      ",'HourGH-NOV'!C24)</f>
        <v>0.65</v>
      </c>
      <c r="E5" s="118">
        <f>IF(TRIM('HourGH-NOV'!C25)="","      ",'HourGH-NOV'!C25)</f>
        <v>0.62</v>
      </c>
      <c r="F5" s="118">
        <f>IF(TRIM('HourGH-NOV'!C26)="","      ",'HourGH-NOV'!C26)</f>
        <v>0.74</v>
      </c>
      <c r="G5" s="118">
        <f>IF(TRIM('HourGH-NOV'!C27)="","      ",'HourGH-NOV'!C27)</f>
        <v>0.72</v>
      </c>
      <c r="H5" s="118">
        <f>IF(TRIM('HourGH-NOV'!C28)="","      ",'HourGH-NOV'!C28)</f>
        <v>0.66</v>
      </c>
      <c r="I5" s="118">
        <f>IF(TRIM('HourGH-NOV'!C29)="","      ",'HourGH-NOV'!C29)</f>
        <v>0.65</v>
      </c>
      <c r="J5" s="118">
        <f>IF(TRIM('HourGH-NOV'!C30)="","      ",'HourGH-NOV'!C30)</f>
        <v>0.69</v>
      </c>
      <c r="K5" s="118">
        <f>IF(TRIM('HourGH-NOV'!C31)="","      ",'HourGH-NOV'!C31)</f>
        <v>0.82</v>
      </c>
    </row>
    <row r="6" spans="1:15">
      <c r="A6" s="127" t="s">
        <v>148</v>
      </c>
      <c r="B6" s="118">
        <f>IF(TRIM('HourGH-NOV'!C33)="","      ",'HourGH-NOV'!C33)</f>
        <v>0.81</v>
      </c>
      <c r="C6" s="118">
        <f>IF(TRIM('HourGH-NOV'!C34)="","      ",'HourGH-NOV'!C34)</f>
        <v>0.71</v>
      </c>
      <c r="D6" s="118">
        <f>IF(TRIM('HourGH-NOV'!C35)="","      ",'HourGH-NOV'!C35)</f>
        <v>0.64</v>
      </c>
      <c r="E6" s="118">
        <f>IF(TRIM('HourGH-NOV'!C36)="","      ",'HourGH-NOV'!C36)</f>
        <v>0.62</v>
      </c>
      <c r="F6" s="118">
        <f>IF(TRIM('HourGH-NOV'!C37)="","      ",'HourGH-NOV'!C37)</f>
        <v>0.6</v>
      </c>
      <c r="G6" s="118">
        <f>IF(TRIM('HourGH-NOV'!C38)="","      ",'HourGH-NOV'!C38)</f>
        <v>0.57999999999999996</v>
      </c>
      <c r="H6" s="118">
        <f>IF(TRIM('HourGH-NOV'!C39)="","      ",'HourGH-NOV'!C39)</f>
        <v>0.57999999999999996</v>
      </c>
      <c r="I6" s="118">
        <f>IF(TRIM('HourGH-NOV'!C40)="","      ",'HourGH-NOV'!C40)</f>
        <v>0.57999999999999996</v>
      </c>
      <c r="J6" s="118">
        <f>IF(TRIM('HourGH-NOV'!C41)="","      ",'HourGH-NOV'!C41)</f>
        <v>0.56999999999999995</v>
      </c>
      <c r="K6" s="118">
        <f>IF(TRIM('HourGH-NOV'!C42)="","      ",'HourGH-NOV'!C42)</f>
        <v>0.57999999999999996</v>
      </c>
    </row>
    <row r="7" spans="1:15">
      <c r="A7" s="127" t="s">
        <v>149</v>
      </c>
      <c r="B7" s="128">
        <f>IF(TRIM('HourGH-NOV'!D11)="","      ",'HourGH-NOV'!D11)</f>
        <v>1.05</v>
      </c>
      <c r="C7" s="128">
        <f>IF(TRIM('HourGH-NOV'!D12)="","      ",'HourGH-NOV'!D12)</f>
        <v>0.98</v>
      </c>
      <c r="D7" s="128">
        <f>IF(TRIM('HourGH-NOV'!D13)="","      ",'HourGH-NOV'!D13)</f>
        <v>0.91</v>
      </c>
      <c r="E7" s="128">
        <f>IF(TRIM('HourGH-NOV'!D14)="","      ",'HourGH-NOV'!D14)</f>
        <v>0.87</v>
      </c>
      <c r="F7" s="118">
        <f>IF(TRIM('HourGH-NOV'!D15)="","      ",'HourGH-NOV'!D15)</f>
        <v>0.82</v>
      </c>
      <c r="G7" s="118">
        <f>IF(TRIM('HourGH-NOV'!D16)="","      ",'HourGH-NOV'!D16)</f>
        <v>0.78</v>
      </c>
      <c r="H7" s="118">
        <f>IF(TRIM('HourGH-NOV'!D17)="","      ",'HourGH-NOV'!D17)</f>
        <v>0.74</v>
      </c>
      <c r="I7" s="118">
        <f>IF(TRIM('HourGH-NOV'!D18)="","      ",'HourGH-NOV'!D18)</f>
        <v>0.72</v>
      </c>
      <c r="J7" s="118">
        <f>IF(TRIM('HourGH-NOV'!D19)="","      ",'HourGH-NOV'!D19)</f>
        <v>0.7</v>
      </c>
      <c r="K7" s="118">
        <f>IF(TRIM('HourGH-NOV'!D20)="","      ",'HourGH-NOV'!D20)</f>
        <v>0.68</v>
      </c>
    </row>
    <row r="8" spans="1:15">
      <c r="A8" s="127" t="s">
        <v>150</v>
      </c>
      <c r="B8" s="118">
        <f>IF(TRIM('HourGH-NOV'!D22)="","      ",'HourGH-NOV'!D22)</f>
        <v>0.66</v>
      </c>
      <c r="C8" s="118">
        <f>IF(TRIM('HourGH-NOV'!D23)="","      ",'HourGH-NOV'!D23)</f>
        <v>0.66</v>
      </c>
      <c r="D8" s="118">
        <f>IF(TRIM('HourGH-NOV'!D24)="","      ",'HourGH-NOV'!D24)</f>
        <v>0.65</v>
      </c>
      <c r="E8" s="118">
        <f>IF(TRIM('HourGH-NOV'!D25)="","      ",'HourGH-NOV'!D25)</f>
        <v>0.62</v>
      </c>
      <c r="F8" s="118">
        <f>IF(TRIM('HourGH-NOV'!D26)="","      ",'HourGH-NOV'!D26)</f>
        <v>0.76</v>
      </c>
      <c r="G8" s="118">
        <f>IF(TRIM('HourGH-NOV'!D27)="","      ",'HourGH-NOV'!D27)</f>
        <v>0.71</v>
      </c>
      <c r="H8" s="118">
        <f>IF(TRIM('HourGH-NOV'!D28)="","      ",'HourGH-NOV'!D28)</f>
        <v>0.66</v>
      </c>
      <c r="I8" s="118">
        <f>IF(TRIM('HourGH-NOV'!D29)="","      ",'HourGH-NOV'!D29)</f>
        <v>0.65</v>
      </c>
      <c r="J8" s="118">
        <f>IF(TRIM('HourGH-NOV'!D30)="","      ",'HourGH-NOV'!D30)</f>
        <v>0.69</v>
      </c>
      <c r="K8" s="118">
        <f>IF(TRIM('HourGH-NOV'!D31)="","      ",'HourGH-NOV'!D31)</f>
        <v>0.83</v>
      </c>
    </row>
    <row r="9" spans="1:15">
      <c r="A9" s="127" t="s">
        <v>151</v>
      </c>
      <c r="B9" s="118">
        <f>IF(TRIM('HourGH-NOV'!D33)="","      ",'HourGH-NOV'!D33)</f>
        <v>0.8</v>
      </c>
      <c r="C9" s="118">
        <f>IF(TRIM('HourGH-NOV'!D34)="","      ",'HourGH-NOV'!D34)</f>
        <v>0.71</v>
      </c>
      <c r="D9" s="118">
        <f>IF(TRIM('HourGH-NOV'!D35)="","      ",'HourGH-NOV'!D35)</f>
        <v>0.64</v>
      </c>
      <c r="E9" s="118">
        <f>IF(TRIM('HourGH-NOV'!D36)="","      ",'HourGH-NOV'!D36)</f>
        <v>0.62</v>
      </c>
      <c r="F9" s="118">
        <f>IF(TRIM('HourGH-NOV'!D37)="","      ",'HourGH-NOV'!D37)</f>
        <v>0.6</v>
      </c>
      <c r="G9" s="118">
        <f>IF(TRIM('HourGH-NOV'!D38)="","      ",'HourGH-NOV'!D38)</f>
        <v>0.57999999999999996</v>
      </c>
      <c r="H9" s="118">
        <f>IF(TRIM('HourGH-NOV'!D39)="","      ",'HourGH-NOV'!D39)</f>
        <v>0.57999999999999996</v>
      </c>
      <c r="I9" s="118">
        <f>IF(TRIM('HourGH-NOV'!D40)="","      ",'HourGH-NOV'!D40)</f>
        <v>0.57999999999999996</v>
      </c>
      <c r="J9" s="118">
        <f>IF(TRIM('HourGH-NOV'!D41)="","      ",'HourGH-NOV'!D41)</f>
        <v>0.56999999999999995</v>
      </c>
      <c r="K9" s="118">
        <f>IF(TRIM('HourGH-NOV'!D42)="","      ",'HourGH-NOV'!D42)</f>
        <v>0.57999999999999996</v>
      </c>
    </row>
    <row r="10" spans="1:15">
      <c r="A10" s="127" t="s">
        <v>152</v>
      </c>
      <c r="B10" s="128">
        <f>IF(TRIM('HourGH-NOV'!E11)="","      ",'HourGH-NOV'!E11)</f>
        <v>1.05</v>
      </c>
      <c r="C10" s="128">
        <f>IF(TRIM('HourGH-NOV'!E12)="","      ",'HourGH-NOV'!E12)</f>
        <v>0.98</v>
      </c>
      <c r="D10" s="128">
        <f>IF(TRIM('HourGH-NOV'!E13)="","      ",'HourGH-NOV'!E13)</f>
        <v>0.91</v>
      </c>
      <c r="E10" s="128">
        <f>IF(TRIM('HourGH-NOV'!E14)="","      ",'HourGH-NOV'!E14)</f>
        <v>0.87</v>
      </c>
      <c r="F10" s="118">
        <f>IF(TRIM('HourGH-NOV'!E15)="","      ",'HourGH-NOV'!E15)</f>
        <v>0.82</v>
      </c>
      <c r="G10" s="118">
        <f>IF(TRIM('HourGH-NOV'!E16)="","      ",'HourGH-NOV'!E16)</f>
        <v>0.78</v>
      </c>
      <c r="H10" s="118">
        <f>IF(TRIM('HourGH-NOV'!E17)="","      ",'HourGH-NOV'!E17)</f>
        <v>0.74</v>
      </c>
      <c r="I10" s="118">
        <f>IF(TRIM('HourGH-NOV'!E18)="","      ",'HourGH-NOV'!E18)</f>
        <v>0.72</v>
      </c>
      <c r="J10" s="118">
        <f>IF(TRIM('HourGH-NOV'!E19)="","      ",'HourGH-NOV'!E19)</f>
        <v>0.7</v>
      </c>
      <c r="K10" s="118">
        <f>IF(TRIM('HourGH-NOV'!E20)="","      ",'HourGH-NOV'!E20)</f>
        <v>0.68</v>
      </c>
    </row>
    <row r="11" spans="1:15">
      <c r="A11" s="127" t="s">
        <v>153</v>
      </c>
      <c r="B11" s="118">
        <f>IF(TRIM('HourGH-NOV'!E22)="","      ",'HourGH-NOV'!E22)</f>
        <v>0.66</v>
      </c>
      <c r="C11" s="118">
        <f>IF(TRIM('HourGH-NOV'!E23)="","      ",'HourGH-NOV'!E23)</f>
        <v>0.66</v>
      </c>
      <c r="D11" s="118">
        <f>IF(TRIM('HourGH-NOV'!E24)="","      ",'HourGH-NOV'!E24)</f>
        <v>0.65</v>
      </c>
      <c r="E11" s="118">
        <f>IF(TRIM('HourGH-NOV'!E25)="","      ",'HourGH-NOV'!E25)</f>
        <v>0.62</v>
      </c>
      <c r="F11" s="118">
        <f>IF(TRIM('HourGH-NOV'!E26)="","      ",'HourGH-NOV'!E26)</f>
        <v>0.78</v>
      </c>
      <c r="G11" s="118">
        <f>IF(TRIM('HourGH-NOV'!E27)="","      ",'HourGH-NOV'!E27)</f>
        <v>0.7</v>
      </c>
      <c r="H11" s="118">
        <f>IF(TRIM('HourGH-NOV'!E28)="","      ",'HourGH-NOV'!E28)</f>
        <v>0.66</v>
      </c>
      <c r="I11" s="118">
        <f>IF(TRIM('HourGH-NOV'!E29)="","      ",'HourGH-NOV'!E29)</f>
        <v>0.65</v>
      </c>
      <c r="J11" s="118">
        <f>IF(TRIM('HourGH-NOV'!E30)="","      ",'HourGH-NOV'!E30)</f>
        <v>0.69</v>
      </c>
      <c r="K11" s="118">
        <f>IF(TRIM('HourGH-NOV'!E31)="","      ",'HourGH-NOV'!E31)</f>
        <v>0.84</v>
      </c>
    </row>
    <row r="12" spans="1:15">
      <c r="A12" s="127" t="s">
        <v>154</v>
      </c>
      <c r="B12" s="118">
        <f>IF(TRIM('HourGH-NOV'!E33)="","      ",'HourGH-NOV'!E33)</f>
        <v>0.79</v>
      </c>
      <c r="C12" s="118">
        <f>IF(TRIM('HourGH-NOV'!E34)="","      ",'HourGH-NOV'!E34)</f>
        <v>0.71</v>
      </c>
      <c r="D12" s="118">
        <f>IF(TRIM('HourGH-NOV'!E35)="","      ",'HourGH-NOV'!E35)</f>
        <v>0.64</v>
      </c>
      <c r="E12" s="118">
        <f>IF(TRIM('HourGH-NOV'!E36)="","      ",'HourGH-NOV'!E36)</f>
        <v>0.62</v>
      </c>
      <c r="F12" s="118">
        <f>IF(TRIM('HourGH-NOV'!E37)="","      ",'HourGH-NOV'!E37)</f>
        <v>0.6</v>
      </c>
      <c r="G12" s="118">
        <f>IF(TRIM('HourGH-NOV'!E38)="","      ",'HourGH-NOV'!E38)</f>
        <v>0.57999999999999996</v>
      </c>
      <c r="H12" s="118">
        <f>IF(TRIM('HourGH-NOV'!E39)="","      ",'HourGH-NOV'!E39)</f>
        <v>0.57999999999999996</v>
      </c>
      <c r="I12" s="118">
        <f>IF(TRIM('HourGH-NOV'!E40)="","      ",'HourGH-NOV'!E40)</f>
        <v>0.57999999999999996</v>
      </c>
      <c r="J12" s="118">
        <f>IF(TRIM('HourGH-NOV'!E41)="","      ",'HourGH-NOV'!E41)</f>
        <v>0.56999999999999995</v>
      </c>
      <c r="K12" s="118">
        <f>IF(TRIM('HourGH-NOV'!E42)="","      ",'HourGH-NOV'!E42)</f>
        <v>0.57999999999999996</v>
      </c>
    </row>
    <row r="13" spans="1:15">
      <c r="A13" s="127" t="s">
        <v>155</v>
      </c>
      <c r="B13" s="128">
        <f>IF(TRIM('HourGH-NOV'!F11)="","      ",'HourGH-NOV'!F11)</f>
        <v>1.04</v>
      </c>
      <c r="C13" s="128">
        <f>IF(TRIM('HourGH-NOV'!F12)="","      ",'HourGH-NOV'!F12)</f>
        <v>0.98</v>
      </c>
      <c r="D13" s="128">
        <f>IF(TRIM('HourGH-NOV'!F13)="","      ",'HourGH-NOV'!F13)</f>
        <v>0.91</v>
      </c>
      <c r="E13" s="128">
        <f>IF(TRIM('HourGH-NOV'!F14)="","      ",'HourGH-NOV'!F14)</f>
        <v>0.87</v>
      </c>
      <c r="F13" s="118">
        <f>IF(TRIM('HourGH-NOV'!F15)="","      ",'HourGH-NOV'!F15)</f>
        <v>0.82</v>
      </c>
      <c r="G13" s="118">
        <f>IF(TRIM('HourGH-NOV'!F16)="","      ",'HourGH-NOV'!F16)</f>
        <v>0.78</v>
      </c>
      <c r="H13" s="118">
        <f>IF(TRIM('HourGH-NOV'!F17)="","      ",'HourGH-NOV'!F17)</f>
        <v>0.74</v>
      </c>
      <c r="I13" s="118">
        <f>IF(TRIM('HourGH-NOV'!F18)="","      ",'HourGH-NOV'!F18)</f>
        <v>0.72</v>
      </c>
      <c r="J13" s="118">
        <f>IF(TRIM('HourGH-NOV'!F19)="","      ",'HourGH-NOV'!F19)</f>
        <v>0.7</v>
      </c>
      <c r="K13" s="118">
        <f>IF(TRIM('HourGH-NOV'!F20)="","      ",'HourGH-NOV'!F20)</f>
        <v>0.68</v>
      </c>
    </row>
    <row r="14" spans="1:15">
      <c r="A14" s="127" t="s">
        <v>156</v>
      </c>
      <c r="B14" s="118">
        <f>IF(TRIM('HourGH-NOV'!F22)="","      ",'HourGH-NOV'!F22)</f>
        <v>0.66</v>
      </c>
      <c r="C14" s="118">
        <f>IF(TRIM('HourGH-NOV'!F23)="","      ",'HourGH-NOV'!F23)</f>
        <v>0.66</v>
      </c>
      <c r="D14" s="118">
        <f>IF(TRIM('HourGH-NOV'!F24)="","      ",'HourGH-NOV'!F24)</f>
        <v>0.65</v>
      </c>
      <c r="E14" s="118">
        <f>IF(TRIM('HourGH-NOV'!F25)="","      ",'HourGH-NOV'!F25)</f>
        <v>0.62</v>
      </c>
      <c r="F14" s="118">
        <f>IF(TRIM('HourGH-NOV'!F26)="","      ",'HourGH-NOV'!F26)</f>
        <v>0.8</v>
      </c>
      <c r="G14" s="118">
        <f>IF(TRIM('HourGH-NOV'!F27)="","      ",'HourGH-NOV'!F27)</f>
        <v>0.69</v>
      </c>
      <c r="H14" s="118">
        <f>IF(TRIM('HourGH-NOV'!F28)="","      ",'HourGH-NOV'!F28)</f>
        <v>0.66</v>
      </c>
      <c r="I14" s="118">
        <f>IF(TRIM('HourGH-NOV'!F29)="","      ",'HourGH-NOV'!F29)</f>
        <v>0.65</v>
      </c>
      <c r="J14" s="118">
        <f>IF(TRIM('HourGH-NOV'!F30)="","      ",'HourGH-NOV'!F30)</f>
        <v>0.69</v>
      </c>
      <c r="K14" s="118">
        <f>IF(TRIM('HourGH-NOV'!F31)="","      ",'HourGH-NOV'!F31)</f>
        <v>0.85</v>
      </c>
    </row>
    <row r="15" spans="1:15">
      <c r="A15" s="127" t="s">
        <v>157</v>
      </c>
      <c r="B15" s="118">
        <f>IF(TRIM('HourGH-NOV'!F33)="","      ",'HourGH-NOV'!F33)</f>
        <v>0.78</v>
      </c>
      <c r="C15" s="118">
        <f>IF(TRIM('HourGH-NOV'!F34)="","      ",'HourGH-NOV'!F34)</f>
        <v>0.71</v>
      </c>
      <c r="D15" s="118">
        <f>IF(TRIM('HourGH-NOV'!F35)="","      ",'HourGH-NOV'!F35)</f>
        <v>0.64</v>
      </c>
      <c r="E15" s="118">
        <f>IF(TRIM('HourGH-NOV'!F36)="","      ",'HourGH-NOV'!F36)</f>
        <v>0.62</v>
      </c>
      <c r="F15" s="118">
        <f>IF(TRIM('HourGH-NOV'!F37)="","      ",'HourGH-NOV'!F37)</f>
        <v>0.6</v>
      </c>
      <c r="G15" s="118">
        <f>IF(TRIM('HourGH-NOV'!F38)="","      ",'HourGH-NOV'!F38)</f>
        <v>0.57999999999999996</v>
      </c>
      <c r="H15" s="118">
        <f>IF(TRIM('HourGH-NOV'!F39)="","      ",'HourGH-NOV'!F39)</f>
        <v>0.57999999999999996</v>
      </c>
      <c r="I15" s="118">
        <f>IF(TRIM('HourGH-NOV'!F40)="","      ",'HourGH-NOV'!F40)</f>
        <v>0.57999999999999996</v>
      </c>
      <c r="J15" s="118">
        <f>IF(TRIM('HourGH-NOV'!F41)="","      ",'HourGH-NOV'!F41)</f>
        <v>0.56999999999999995</v>
      </c>
      <c r="K15" s="118">
        <f>IF(TRIM('HourGH-NOV'!F42)="","      ",'HourGH-NOV'!F42)</f>
        <v>0.57999999999999996</v>
      </c>
    </row>
    <row r="16" spans="1:15">
      <c r="A16" s="127" t="s">
        <v>158</v>
      </c>
      <c r="B16" s="128">
        <f>IF(TRIM('HourGH-NOV'!G11)="","      ",'HourGH-NOV'!G11)</f>
        <v>1.04</v>
      </c>
      <c r="C16" s="128">
        <f>IF(TRIM('HourGH-NOV'!G12)="","      ",'HourGH-NOV'!G12)</f>
        <v>0.97</v>
      </c>
      <c r="D16" s="128">
        <f>IF(TRIM('HourGH-NOV'!G13)="","      ",'HourGH-NOV'!G13)</f>
        <v>0.91</v>
      </c>
      <c r="E16" s="128">
        <f>IF(TRIM('HourGH-NOV'!G14)="","      ",'HourGH-NOV'!G14)</f>
        <v>0.87</v>
      </c>
      <c r="F16" s="118">
        <f>IF(TRIM('HourGH-NOV'!G15)="","      ",'HourGH-NOV'!G15)</f>
        <v>0.82</v>
      </c>
      <c r="G16" s="118">
        <f>IF(TRIM('HourGH-NOV'!G16)="","      ",'HourGH-NOV'!G16)</f>
        <v>0.78</v>
      </c>
      <c r="H16" s="118">
        <f>IF(TRIM('HourGH-NOV'!G17)="","      ",'HourGH-NOV'!G17)</f>
        <v>0.74</v>
      </c>
      <c r="I16" s="118">
        <f>IF(TRIM('HourGH-NOV'!G18)="","      ",'HourGH-NOV'!G18)</f>
        <v>0.72</v>
      </c>
      <c r="J16" s="118">
        <f>IF(TRIM('HourGH-NOV'!G19)="","      ",'HourGH-NOV'!G19)</f>
        <v>0.7</v>
      </c>
      <c r="K16" s="118">
        <f>IF(TRIM('HourGH-NOV'!G20)="","      ",'HourGH-NOV'!G20)</f>
        <v>0.68</v>
      </c>
    </row>
    <row r="17" spans="1:11">
      <c r="A17" s="127" t="s">
        <v>159</v>
      </c>
      <c r="B17" s="118">
        <f>IF(TRIM('HourGH-NOV'!G22)="","      ",'HourGH-NOV'!G22)</f>
        <v>0.66</v>
      </c>
      <c r="C17" s="118">
        <f>IF(TRIM('HourGH-NOV'!G23)="","      ",'HourGH-NOV'!G23)</f>
        <v>0.66</v>
      </c>
      <c r="D17" s="118">
        <f>IF(TRIM('HourGH-NOV'!G24)="","      ",'HourGH-NOV'!G24)</f>
        <v>0.65</v>
      </c>
      <c r="E17" s="118">
        <f>IF(TRIM('HourGH-NOV'!G25)="","      ",'HourGH-NOV'!G25)</f>
        <v>0.62</v>
      </c>
      <c r="F17" s="118">
        <f>IF(TRIM('HourGH-NOV'!G26)="","      ",'HourGH-NOV'!G26)</f>
        <v>0.81</v>
      </c>
      <c r="G17" s="118">
        <f>IF(TRIM('HourGH-NOV'!G27)="","      ",'HourGH-NOV'!G27)</f>
        <v>0.69</v>
      </c>
      <c r="H17" s="118">
        <f>IF(TRIM('HourGH-NOV'!G28)="","      ",'HourGH-NOV'!G28)</f>
        <v>0.66</v>
      </c>
      <c r="I17" s="118">
        <f>IF(TRIM('HourGH-NOV'!G29)="","      ",'HourGH-NOV'!G29)</f>
        <v>0.65</v>
      </c>
      <c r="J17" s="118">
        <f>IF(TRIM('HourGH-NOV'!G30)="","      ",'HourGH-NOV'!G30)</f>
        <v>0.69</v>
      </c>
      <c r="K17" s="118">
        <f>IF(TRIM('HourGH-NOV'!G31)="","      ",'HourGH-NOV'!G31)</f>
        <v>0.85</v>
      </c>
    </row>
    <row r="18" spans="1:11">
      <c r="A18" s="127" t="s">
        <v>160</v>
      </c>
      <c r="B18" s="118">
        <f>IF(TRIM('HourGH-NOV'!G33)="","      ",'HourGH-NOV'!G33)</f>
        <v>0.77</v>
      </c>
      <c r="C18" s="118">
        <f>IF(TRIM('HourGH-NOV'!G34)="","      ",'HourGH-NOV'!G34)</f>
        <v>0.71</v>
      </c>
      <c r="D18" s="118">
        <f>IF(TRIM('HourGH-NOV'!G35)="","      ",'HourGH-NOV'!G35)</f>
        <v>0.64</v>
      </c>
      <c r="E18" s="118">
        <f>IF(TRIM('HourGH-NOV'!G36)="","      ",'HourGH-NOV'!G36)</f>
        <v>0.62</v>
      </c>
      <c r="F18" s="118">
        <f>IF(TRIM('HourGH-NOV'!G37)="","      ",'HourGH-NOV'!G37)</f>
        <v>0.6</v>
      </c>
      <c r="G18" s="118">
        <f>IF(TRIM('HourGH-NOV'!G38)="","      ",'HourGH-NOV'!G38)</f>
        <v>0.57999999999999996</v>
      </c>
      <c r="H18" s="118">
        <f>IF(TRIM('HourGH-NOV'!G39)="","      ",'HourGH-NOV'!G39)</f>
        <v>0.57999999999999996</v>
      </c>
      <c r="I18" s="118">
        <f>IF(TRIM('HourGH-NOV'!G40)="","      ",'HourGH-NOV'!G40)</f>
        <v>0.57999999999999996</v>
      </c>
      <c r="J18" s="118">
        <f>IF(TRIM('HourGH-NOV'!G41)="","      ",'HourGH-NOV'!G41)</f>
        <v>0.56999999999999995</v>
      </c>
      <c r="K18" s="118">
        <f>IF(TRIM('HourGH-NOV'!G42)="","      ",'HourGH-NOV'!G42)</f>
        <v>0.57999999999999996</v>
      </c>
    </row>
    <row r="19" spans="1:11">
      <c r="A19" s="127" t="s">
        <v>161</v>
      </c>
      <c r="B19" s="128">
        <f>IF(TRIM('HourGH-NOV'!H11)="","      ",'HourGH-NOV'!H11)</f>
        <v>1.04</v>
      </c>
      <c r="C19" s="128">
        <f>IF(TRIM('HourGH-NOV'!H12)="","      ",'HourGH-NOV'!H12)</f>
        <v>0.97</v>
      </c>
      <c r="D19" s="128">
        <f>IF(TRIM('HourGH-NOV'!H13)="","      ",'HourGH-NOV'!H13)</f>
        <v>0.9</v>
      </c>
      <c r="E19" s="128">
        <f>IF(TRIM('HourGH-NOV'!H14)="","      ",'HourGH-NOV'!H14)</f>
        <v>0.86</v>
      </c>
      <c r="F19" s="118">
        <f>IF(TRIM('HourGH-NOV'!H15)="","      ",'HourGH-NOV'!H15)</f>
        <v>0.81</v>
      </c>
      <c r="G19" s="118">
        <f>IF(TRIM('HourGH-NOV'!H16)="","      ",'HourGH-NOV'!H16)</f>
        <v>0.78</v>
      </c>
      <c r="H19" s="118">
        <f>IF(TRIM('HourGH-NOV'!H17)="","      ",'HourGH-NOV'!H17)</f>
        <v>0.74</v>
      </c>
      <c r="I19" s="118">
        <f>IF(TRIM('HourGH-NOV'!H18)="","      ",'HourGH-NOV'!H18)</f>
        <v>0.72</v>
      </c>
      <c r="J19" s="118">
        <f>IF(TRIM('HourGH-NOV'!H19)="","      ",'HourGH-NOV'!H19)</f>
        <v>0.7</v>
      </c>
      <c r="K19" s="118">
        <f>IF(TRIM('HourGH-NOV'!H20)="","      ",'HourGH-NOV'!H20)</f>
        <v>0.68</v>
      </c>
    </row>
    <row r="20" spans="1:11">
      <c r="A20" s="127" t="s">
        <v>162</v>
      </c>
      <c r="B20" s="118">
        <f>IF(TRIM('HourGH-NOV'!I22)="","      ",'HourGH-NOV'!I22)</f>
        <v>0.66</v>
      </c>
      <c r="C20" s="118">
        <f>IF(TRIM('HourGH-NOV'!I23)="","      ",'HourGH-NOV'!I23)</f>
        <v>0.66</v>
      </c>
      <c r="D20" s="118">
        <f>IF(TRIM('HourGH-NOV'!H24)="","      ",'HourGH-NOV'!H24)</f>
        <v>0.65</v>
      </c>
      <c r="E20" s="118">
        <f>IF(TRIM('HourGH-NOV'!H25)="","      ",'HourGH-NOV'!H25)</f>
        <v>0.62</v>
      </c>
      <c r="F20" s="118">
        <f>IF(TRIM('HourGH-NOV'!H26)="","      ",'HourGH-NOV'!H26)</f>
        <v>0.83</v>
      </c>
      <c r="G20" s="118">
        <f>IF(TRIM('HourGH-NOV'!H27)="","      ",'HourGH-NOV'!H27)</f>
        <v>0.68</v>
      </c>
      <c r="H20" s="118">
        <f>IF(TRIM('HourGH-NOV'!H28)="","      ",'HourGH-NOV'!H28)</f>
        <v>0.66</v>
      </c>
      <c r="I20" s="118">
        <f>IF(TRIM('HourGH-NOV'!H29)="","      ",'HourGH-NOV'!H29)</f>
        <v>0.65</v>
      </c>
      <c r="J20" s="118">
        <f>IF(TRIM('HourGH-NOV'!H30)="","      ",'HourGH-NOV'!H30)</f>
        <v>0.7</v>
      </c>
      <c r="K20" s="118">
        <f>IF(TRIM('HourGH-NOV'!H31)="","      ",'HourGH-NOV'!H31)</f>
        <v>0.86</v>
      </c>
    </row>
    <row r="21" spans="1:11">
      <c r="A21" s="127" t="s">
        <v>163</v>
      </c>
      <c r="B21" s="118">
        <f>IF(TRIM('HourGH-NOV'!H33)="","      ",'HourGH-NOV'!H33)</f>
        <v>0.77</v>
      </c>
      <c r="C21" s="118">
        <f>IF(TRIM('HourGH-NOV'!H34)="","      ",'HourGH-NOV'!H34)</f>
        <v>0.7</v>
      </c>
      <c r="D21" s="118">
        <f>IF(TRIM('HourGH-NOV'!H35)="","      ",'HourGH-NOV'!H35)</f>
        <v>0.63</v>
      </c>
      <c r="E21" s="118">
        <f>IF(TRIM('HourGH-NOV'!H36)="","      ",'HourGH-NOV'!H36)</f>
        <v>0.62</v>
      </c>
      <c r="F21" s="118">
        <f>IF(TRIM('HourGH-NOV'!H37)="","      ",'HourGH-NOV'!H37)</f>
        <v>0.6</v>
      </c>
      <c r="G21" s="118">
        <f>IF(TRIM('HourGH-NOV'!H38)="","      ",'HourGH-NOV'!H38)</f>
        <v>0.57999999999999996</v>
      </c>
      <c r="H21" s="118">
        <f>IF(TRIM('HourGH-NOV'!H39)="","      ",'HourGH-NOV'!H39)</f>
        <v>0.57999999999999996</v>
      </c>
      <c r="I21" s="118">
        <f>IF(TRIM('HourGH-NOV'!H40)="","      ",'HourGH-NOV'!H40)</f>
        <v>0.57999999999999996</v>
      </c>
      <c r="J21" s="118">
        <f>IF(TRIM('HourGH-NOV'!H41)="","      ",'HourGH-NOV'!H41)</f>
        <v>0.56999999999999995</v>
      </c>
      <c r="K21" s="118">
        <f>IF(TRIM('HourGH-NOV'!H42)="","      ",'HourGH-NOV'!H42)</f>
        <v>0.57999999999999996</v>
      </c>
    </row>
    <row r="22" spans="1:11">
      <c r="A22" s="127" t="s">
        <v>164</v>
      </c>
      <c r="B22" s="128">
        <f>IF(TRIM('HourGH-NOV'!I11)="","      ",'HourGH-NOV'!I11)</f>
        <v>1.03</v>
      </c>
      <c r="C22" s="128">
        <f>IF(TRIM('HourGH-NOV'!I12)="","      ",'HourGH-NOV'!I12)</f>
        <v>0.97</v>
      </c>
      <c r="D22" s="128">
        <f>IF(TRIM('HourGH-NOV'!I13)="","      ",'HourGH-NOV'!I13)</f>
        <v>0.9</v>
      </c>
      <c r="E22" s="128">
        <f>IF(TRIM('HourGH-NOV'!I14)="","      ",'HourGH-NOV'!I14)</f>
        <v>0.86</v>
      </c>
      <c r="F22" s="118">
        <f>IF(TRIM('HourGH-NOV'!I15)="","      ",'HourGH-NOV'!I15)</f>
        <v>0.81</v>
      </c>
      <c r="G22" s="118">
        <f>IF(TRIM('HourGH-NOV'!J16)="","      ",'HourGH-NOV'!J16)</f>
        <v>0.77</v>
      </c>
      <c r="H22" s="128">
        <f>IF(TRIM('HourGH-NOV'!I17)="","      ",'HourGH-NOV'!I17)</f>
        <v>0.74</v>
      </c>
      <c r="I22" s="128">
        <f>IF(TRIM('HourGH-NOV'!I18)="","      ",'HourGH-NOV'!I18)</f>
        <v>0.72</v>
      </c>
      <c r="J22" s="128">
        <f>IF(TRIM('HourGH-NOV'!I19)="","      ",'HourGH-NOV'!I19)</f>
        <v>0.7</v>
      </c>
      <c r="K22" s="128">
        <f>IF(TRIM('HourGH-NOV'!I20)="","      ",'HourGH-NOV'!I20)</f>
        <v>0.68</v>
      </c>
    </row>
    <row r="23" spans="1:11">
      <c r="A23" s="127" t="s">
        <v>165</v>
      </c>
      <c r="B23" s="128" t="e">
        <f>IF(TRIM('HourGH-NOV'!#REF!)="","      ",'HourGH-NOV'!#REF!)</f>
        <v>#REF!</v>
      </c>
      <c r="C23" s="128" t="e">
        <f>IF(TRIM('HourGH-NOV'!#REF!)="","      ",'HourGH-NOV'!#REF!)</f>
        <v>#REF!</v>
      </c>
      <c r="D23" s="128">
        <f>IF(TRIM('HourGH-NOV'!I24)="","      ",'HourGH-NOV'!I24)</f>
        <v>0.65</v>
      </c>
      <c r="E23" s="128">
        <f>IF(TRIM('HourGH-NOV'!I25)="","      ",'HourGH-NOV'!I25)</f>
        <v>0.62</v>
      </c>
      <c r="F23" s="118">
        <f>IF(TRIM('HourGH-NOV'!I26)="","      ",'HourGH-NOV'!I26)</f>
        <v>0.85</v>
      </c>
      <c r="G23" s="118">
        <f>IF(TRIM('HourGH-NOV'!I27)="","      ",'HourGH-NOV'!I27)</f>
        <v>0.68</v>
      </c>
      <c r="H23" s="118">
        <f>IF(TRIM('HourGH-NOV'!I28)="","      ",'HourGH-NOV'!I28)</f>
        <v>0.66</v>
      </c>
      <c r="I23" s="118">
        <f>IF(TRIM('HourGH-NOV'!I29)="","      ",'HourGH-NOV'!I29)</f>
        <v>0.66</v>
      </c>
      <c r="J23" s="118">
        <f>IF(TRIM('HourGH-NOV'!I30)="","      ",'HourGH-NOV'!I30)</f>
        <v>0.71</v>
      </c>
      <c r="K23" s="118">
        <f>IF(TRIM('HourGH-NOV'!I31)="","      ",'HourGH-NOV'!I31)</f>
        <v>0.87</v>
      </c>
    </row>
    <row r="24" spans="1:11">
      <c r="A24" s="127" t="s">
        <v>166</v>
      </c>
      <c r="B24" s="128">
        <f>IF(TRIM('HourGH-NOV'!I33)="","      ",'HourGH-NOV'!I33)</f>
        <v>0.76</v>
      </c>
      <c r="C24" s="128">
        <f>IF(TRIM('HourGH-NOV'!I34)="","      ",'HourGH-NOV'!I34)</f>
        <v>0.7</v>
      </c>
      <c r="D24" s="128">
        <f>IF(TRIM('HourGH-NOV'!I35)="","      ",'HourGH-NOV'!I35)</f>
        <v>0.63</v>
      </c>
      <c r="E24" s="128">
        <f>IF(TRIM('HourGH-NOV'!I36)="","      ",'HourGH-NOV'!I36)</f>
        <v>0.62</v>
      </c>
      <c r="F24" s="118">
        <f>IF(TRIM('HourGH-NOV'!I37)="","      ",'HourGH-NOV'!I37)</f>
        <v>0.6</v>
      </c>
      <c r="G24" s="118">
        <f>IF(TRIM('HourGH-NOV'!I38)="","      ",'HourGH-NOV'!I38)</f>
        <v>0.57999999999999996</v>
      </c>
      <c r="H24" s="118">
        <f>IF(TRIM('HourGH-NOV'!I39)="","      ",'HourGH-NOV'!I39)</f>
        <v>0.57999999999999996</v>
      </c>
      <c r="I24" s="118">
        <f>IF(TRIM('HourGH-NOV'!I40)="","      ",'HourGH-NOV'!I40)</f>
        <v>0.57999999999999996</v>
      </c>
      <c r="J24" s="118">
        <f>IF(TRIM('HourGH-NOV'!I41)="","      ",'HourGH-NOV'!I41)</f>
        <v>0.56999999999999995</v>
      </c>
      <c r="K24" s="118">
        <f>IF(TRIM('HourGH-NOV'!I42)="","      ",'HourGH-NOV'!I42)</f>
        <v>0.57999999999999996</v>
      </c>
    </row>
    <row r="25" spans="1:11">
      <c r="A25" s="127" t="s">
        <v>167</v>
      </c>
      <c r="B25" s="128">
        <f>IF(TRIM('HourGH-NOV'!J11)="","      ",'HourGH-NOV'!J11)</f>
        <v>1.03</v>
      </c>
      <c r="C25" s="128">
        <f>IF(TRIM('HourGH-NOV'!J12)="","      ",'HourGH-NOV'!J12)</f>
        <v>0.97</v>
      </c>
      <c r="D25" s="128">
        <f>IF(TRIM('HourGH-NOV'!J13)="","      ",'HourGH-NOV'!J13)</f>
        <v>0.9</v>
      </c>
      <c r="E25" s="128">
        <f>IF(TRIM('HourGH-NOV'!J14)="","      ",'HourGH-NOV'!J14)</f>
        <v>0.86</v>
      </c>
      <c r="F25" s="118">
        <f>IF(TRIM('HourGH-NOV'!J15)="","      ",'HourGH-NOV'!J15)</f>
        <v>0.81</v>
      </c>
      <c r="G25" s="118" t="e">
        <f>IF(TRIM('HourGH-NOV'!#REF!)="","      ",'HourGH-NOV'!#REF!)</f>
        <v>#REF!</v>
      </c>
      <c r="H25" s="128">
        <f>IF(TRIM('HourGH-NOV'!J17)="","      ",'HourGH-NOV'!J17)</f>
        <v>0.74</v>
      </c>
      <c r="I25" s="128">
        <f>IF(TRIM('HourGH-NOV'!J18)="","      ",'HourGH-NOV'!J18)</f>
        <v>0.72</v>
      </c>
      <c r="J25" s="128">
        <f>IF(TRIM('HourGH-NOV'!J19)="","      ",'HourGH-NOV'!J19)</f>
        <v>0.7</v>
      </c>
      <c r="K25" s="128">
        <f>IF(TRIM('HourGH-NOV'!J20)="","      ",'HourGH-NOV'!J20)</f>
        <v>0.68</v>
      </c>
    </row>
    <row r="26" spans="1:11">
      <c r="A26" s="127" t="s">
        <v>168</v>
      </c>
      <c r="B26" s="128">
        <f>IF(TRIM('HourGH-NOV'!J22)="","      ",'HourGH-NOV'!J22)</f>
        <v>0.66</v>
      </c>
      <c r="C26" s="128">
        <f>IF(TRIM('HourGH-NOV'!J23)="","      ",'HourGH-NOV'!J23)</f>
        <v>0.66</v>
      </c>
      <c r="D26" s="128">
        <f>IF(TRIM('HourGH-NOV'!J24)="","      ",'HourGH-NOV'!J24)</f>
        <v>0.65</v>
      </c>
      <c r="E26" s="128">
        <f>IF(TRIM('HourGH-NOV'!J25)="","      ",'HourGH-NOV'!J25)</f>
        <v>0.62</v>
      </c>
      <c r="F26" s="118">
        <f>IF(TRIM('HourGH-NOV'!J26)="","      ",'HourGH-NOV'!J26)</f>
        <v>0.87</v>
      </c>
      <c r="G26" s="118">
        <f>IF(TRIM('HourGH-NOV'!J27)="","      ",'HourGH-NOV'!J27)</f>
        <v>0.68</v>
      </c>
      <c r="H26" s="128">
        <f>IF(TRIM('HourGH-NOV'!J28)="","      ",'HourGH-NOV'!J28)</f>
        <v>0.66</v>
      </c>
      <c r="I26" s="128">
        <f>IF(TRIM('HourGH-NOV'!J29)="","      ",'HourGH-NOV'!J29)</f>
        <v>0.66</v>
      </c>
      <c r="J26" s="128">
        <f>IF(TRIM('HourGH-NOV'!J30)="","      ",'HourGH-NOV'!J30)</f>
        <v>0.71</v>
      </c>
      <c r="K26" s="128">
        <f>IF(TRIM('HourGH-NOV'!J31)="","      ",'HourGH-NOV'!J31)</f>
        <v>0.88</v>
      </c>
    </row>
    <row r="27" spans="1:11">
      <c r="A27" s="127" t="s">
        <v>169</v>
      </c>
      <c r="B27" s="128">
        <f>IF(TRIM('HourGH-NOV'!J33)="","      ",'HourGH-NOV'!J33)</f>
        <v>0.76</v>
      </c>
      <c r="C27" s="128">
        <f>IF(TRIM('HourGH-NOV'!J34)="","      ",'HourGH-NOV'!J34)</f>
        <v>0.7</v>
      </c>
      <c r="D27" s="128">
        <f>IF(TRIM('HourGH-NOV'!J35)="","      ",'HourGH-NOV'!J35)</f>
        <v>0.63</v>
      </c>
      <c r="E27" s="128">
        <f>IF(TRIM('HourGH-NOV'!J36)="","      ",'HourGH-NOV'!J36)</f>
        <v>0.62</v>
      </c>
      <c r="F27" s="118">
        <f>IF(TRIM('HourGH-NOV'!J37)="","      ",'HourGH-NOV'!J37)</f>
        <v>0.6</v>
      </c>
      <c r="G27" s="118">
        <f>IF(TRIM('HourGH-NOV'!J38)="","      ",'HourGH-NOV'!J38)</f>
        <v>0.57999999999999996</v>
      </c>
      <c r="H27" s="128">
        <f>IF(TRIM('HourGH-NOV'!J39)="","      ",'HourGH-NOV'!J39)</f>
        <v>0.57999999999999996</v>
      </c>
      <c r="I27" s="128">
        <f>IF(TRIM('HourGH-NOV'!J40)="","      ",'HourGH-NOV'!J40)</f>
        <v>0.57999999999999996</v>
      </c>
      <c r="J27" s="128">
        <f>IF(TRIM('HourGH-NOV'!J41)="","      ",'HourGH-NOV'!J41)</f>
        <v>0.56999999999999995</v>
      </c>
      <c r="K27" s="128">
        <f>IF(TRIM('HourGH-NOV'!J42)="","      ",'HourGH-NOV'!J42)</f>
        <v>0.57999999999999996</v>
      </c>
    </row>
    <row r="28" spans="1:11">
      <c r="A28" s="127" t="s">
        <v>170</v>
      </c>
      <c r="B28" s="128">
        <f>IF(TRIM('HourGH-NOV'!K11)="","      ",'HourGH-NOV'!K11)</f>
        <v>1.03</v>
      </c>
      <c r="C28" s="128">
        <f>IF(TRIM('HourGH-NOV'!K12)="","      ",'HourGH-NOV'!K12)</f>
        <v>0.96</v>
      </c>
      <c r="D28" s="128">
        <f>IF(TRIM('HourGH-NOV'!K13)="","      ",'HourGH-NOV'!K13)</f>
        <v>0.9</v>
      </c>
      <c r="E28" s="128">
        <f>IF(TRIM('HourGH-NOV'!K14)="","      ",'HourGH-NOV'!K14)</f>
        <v>0.86</v>
      </c>
      <c r="F28" s="118">
        <f>IF(TRIM('HourGH-NOV'!K15)="","      ",'HourGH-NOV'!K15)</f>
        <v>0.81</v>
      </c>
      <c r="G28" s="118">
        <f>IF(TRIM('HourGH-NOV'!K16)="","      ",'HourGH-NOV'!K16)</f>
        <v>0.77</v>
      </c>
      <c r="H28" s="128">
        <f>IF(TRIM('HourGH-NOV'!K17)="","      ",'HourGH-NOV'!K17)</f>
        <v>0.74</v>
      </c>
      <c r="I28" s="128">
        <f>IF(TRIM('HourGH-NOV'!K18)="","      ",'HourGH-NOV'!K18)</f>
        <v>0.72</v>
      </c>
      <c r="J28" s="128">
        <f>IF(TRIM('HourGH-NOV'!K19)="","      ",'HourGH-NOV'!K19)</f>
        <v>0.7</v>
      </c>
      <c r="K28" s="128">
        <f>IF(TRIM('HourGH-NOV'!K20)="","      ",'HourGH-NOV'!K20)</f>
        <v>0.68</v>
      </c>
    </row>
    <row r="29" spans="1:11">
      <c r="A29" s="127" t="s">
        <v>171</v>
      </c>
      <c r="B29" s="128">
        <f>IF(TRIM('HourGH-NOV'!K22)="","      ",'HourGH-NOV'!K22)</f>
        <v>0.66</v>
      </c>
      <c r="C29" s="128">
        <f>IF(TRIM('HourGH-NOV'!K23)="","      ",'HourGH-NOV'!K23)</f>
        <v>0.66</v>
      </c>
      <c r="D29" s="128">
        <f>IF(TRIM('HourGH-NOV'!K24)="","      ",'HourGH-NOV'!K24)</f>
        <v>0.65</v>
      </c>
      <c r="E29" s="128">
        <f>IF(TRIM('HourGH-NOV'!K25)="","      ",'HourGH-NOV'!K25)</f>
        <v>0.62</v>
      </c>
      <c r="F29" s="118">
        <f>IF(TRIM('HourGH-NOV'!K26)="","      ",'HourGH-NOV'!K26)</f>
        <v>0.88</v>
      </c>
      <c r="G29" s="118">
        <f>IF(TRIM('HourGH-NOV'!K27)="","      ",'HourGH-NOV'!K27)</f>
        <v>0.68</v>
      </c>
      <c r="H29" s="128">
        <f>IF(TRIM('HourGH-NOV'!K28)="","      ",'HourGH-NOV'!K28)</f>
        <v>0.66</v>
      </c>
      <c r="I29" s="128">
        <f>IF(TRIM('HourGH-NOV'!K29)="","      ",'HourGH-NOV'!K29)</f>
        <v>0.66</v>
      </c>
      <c r="J29" s="128">
        <f>IF(TRIM('HourGH-NOV'!K30)="","      ",'HourGH-NOV'!K30)</f>
        <v>0.72</v>
      </c>
      <c r="K29" s="128">
        <f>IF(TRIM('HourGH-NOV'!K31)="","      ",'HourGH-NOV'!K31)</f>
        <v>0.88</v>
      </c>
    </row>
    <row r="30" spans="1:11">
      <c r="A30" s="127" t="s">
        <v>172</v>
      </c>
      <c r="B30" s="128">
        <f>IF(TRIM('HourGH-NOV'!K33)="","      ",'HourGH-NOV'!K33)</f>
        <v>0.75</v>
      </c>
      <c r="C30" s="128">
        <f>IF(TRIM('HourGH-NOV'!K34)="","      ",'HourGH-NOV'!K34)</f>
        <v>0.7</v>
      </c>
      <c r="D30" s="128">
        <f>IF(TRIM('HourGH-NOV'!K35)="","      ",'HourGH-NOV'!K35)</f>
        <v>0.63</v>
      </c>
      <c r="E30" s="128">
        <f>IF(TRIM('HourGH-NOV'!K36)="","      ",'HourGH-NOV'!K36)</f>
        <v>0.62</v>
      </c>
      <c r="F30" s="118">
        <f>IF(TRIM('HourGH-NOV'!K37)="","      ",'HourGH-NOV'!K37)</f>
        <v>0.6</v>
      </c>
      <c r="G30" s="118">
        <f>IF(TRIM('HourGH-NOV'!K38)="","      ",'HourGH-NOV'!K38)</f>
        <v>0.57999999999999996</v>
      </c>
      <c r="H30" s="128">
        <f>IF(TRIM('HourGH-NOV'!K39)="","      ",'HourGH-NOV'!K39)</f>
        <v>0.57999999999999996</v>
      </c>
      <c r="I30" s="128">
        <f>IF(TRIM('HourGH-NOV'!K40)="","      ",'HourGH-NOV'!K40)</f>
        <v>0.57999999999999996</v>
      </c>
      <c r="J30" s="128">
        <f>IF(TRIM('HourGH-NOV'!K41)="","      ",'HourGH-NOV'!K41)</f>
        <v>0.56999999999999995</v>
      </c>
      <c r="K30" s="128">
        <f>IF(TRIM('HourGH-NOV'!K42)="","      ",'HourGH-NOV'!K42)</f>
        <v>0.57999999999999996</v>
      </c>
    </row>
    <row r="31" spans="1:11">
      <c r="A31" s="127" t="s">
        <v>173</v>
      </c>
      <c r="B31" s="128">
        <f>IF(TRIM('HourGH-NOV'!L11)="","      ",'HourGH-NOV'!L11)</f>
        <v>1.02</v>
      </c>
      <c r="C31" s="128">
        <f>IF(TRIM('HourGH-NOV'!L12)="","      ",'HourGH-NOV'!L12)</f>
        <v>0.96</v>
      </c>
      <c r="D31" s="128">
        <f>IF(TRIM('HourGH-NOV'!L13)="","      ",'HourGH-NOV'!L13)</f>
        <v>0.9</v>
      </c>
      <c r="E31" s="128">
        <f>IF(TRIM('HourGH-NOV'!L14)="","      ",'HourGH-NOV'!L14)</f>
        <v>0.86</v>
      </c>
      <c r="F31" s="118">
        <f>IF(TRIM('HourGH-NOV'!L15)="","      ",'HourGH-NOV'!L15)</f>
        <v>0.81</v>
      </c>
      <c r="G31" s="118">
        <f>IF(TRIM('HourGH-NOV'!L16)="","      ",'HourGH-NOV'!L16)</f>
        <v>0.77</v>
      </c>
      <c r="H31" s="128">
        <f>IF(TRIM('HourGH-NOV'!L17)="","      ",'HourGH-NOV'!L17)</f>
        <v>0.74</v>
      </c>
      <c r="I31" s="128">
        <f>IF(TRIM('HourGH-NOV'!L18)="","      ",'HourGH-NOV'!L18)</f>
        <v>0.72</v>
      </c>
      <c r="J31" s="128">
        <f>IF(TRIM('HourGH-NOV'!L19)="","      ",'HourGH-NOV'!L19)</f>
        <v>0.7</v>
      </c>
      <c r="K31" s="128">
        <f>IF(TRIM('HourGH-NOV'!L20)="","      ",'HourGH-NOV'!L20)</f>
        <v>0.68</v>
      </c>
    </row>
    <row r="32" spans="1:11">
      <c r="A32" s="127" t="s">
        <v>174</v>
      </c>
      <c r="B32" s="128">
        <f>IF(TRIM('HourGH-NOV'!L22)="","      ",'HourGH-NOV'!L22)</f>
        <v>0.66</v>
      </c>
      <c r="C32" s="128">
        <f>IF(TRIM('HourGH-NOV'!L23)="","      ",'HourGH-NOV'!L23)</f>
        <v>0.66</v>
      </c>
      <c r="D32" s="128">
        <f>IF(TRIM('HourGH-NOV'!L24)="","      ",'HourGH-NOV'!L24)</f>
        <v>0.65</v>
      </c>
      <c r="E32" s="128">
        <f>IF(TRIM('HourGH-NOV'!L25)="","      ",'HourGH-NOV'!L25)</f>
        <v>0.63</v>
      </c>
      <c r="F32" s="118">
        <f>IF(TRIM('HourGH-NOV'!L26)="","      ",'HourGH-NOV'!L26)</f>
        <v>0.89</v>
      </c>
      <c r="G32" s="118">
        <f>IF(TRIM('HourGH-NOV'!L27)="","      ",'HourGH-NOV'!L27)</f>
        <v>0.68</v>
      </c>
      <c r="H32" s="128">
        <f>IF(TRIM('HourGH-NOV'!L28)="","      ",'HourGH-NOV'!L28)</f>
        <v>0.66</v>
      </c>
      <c r="I32" s="128">
        <f>IF(TRIM('HourGH-NOV'!L29)="","      ",'HourGH-NOV'!L29)</f>
        <v>0.66</v>
      </c>
      <c r="J32" s="128">
        <f>IF(TRIM('HourGH-NOV'!L30)="","      ",'HourGH-NOV'!L30)</f>
        <v>0.72</v>
      </c>
      <c r="K32" s="128">
        <f>IF(TRIM('HourGH-NOV'!L31)="","      ",'HourGH-NOV'!L31)</f>
        <v>0.89</v>
      </c>
    </row>
    <row r="33" spans="1:11">
      <c r="A33" s="127" t="s">
        <v>175</v>
      </c>
      <c r="B33" s="128">
        <f>IF(TRIM('HourGH-NOV'!L33)="","      ",'HourGH-NOV'!L33)</f>
        <v>0.75</v>
      </c>
      <c r="C33" s="128">
        <f>IF(TRIM('HourGH-NOV'!L34)="","      ",'HourGH-NOV'!L34)</f>
        <v>0.69</v>
      </c>
      <c r="D33" s="128">
        <f>IF(TRIM('HourGH-NOV'!L35)="","      ",'HourGH-NOV'!L35)</f>
        <v>0.63</v>
      </c>
      <c r="E33" s="128">
        <f>IF(TRIM('HourGH-NOV'!L36)="","      ",'HourGH-NOV'!L36)</f>
        <v>0.62</v>
      </c>
      <c r="F33" s="118">
        <f>IF(TRIM('HourGH-NOV'!L37)="","      ",'HourGH-NOV'!L37)</f>
        <v>0.6</v>
      </c>
      <c r="G33" s="118">
        <f>IF(TRIM('HourGH-NOV'!L38)="","      ",'HourGH-NOV'!L38)</f>
        <v>0.57999999999999996</v>
      </c>
      <c r="H33" s="128">
        <f>IF(TRIM('HourGH-NOV'!L39)="","      ",'HourGH-NOV'!L39)</f>
        <v>0.57999999999999996</v>
      </c>
      <c r="I33" s="128">
        <f>IF(TRIM('HourGH-NOV'!L40)="","      ",'HourGH-NOV'!L40)</f>
        <v>0.57999999999999996</v>
      </c>
      <c r="J33" s="128">
        <f>IF(TRIM('HourGH-NOV'!L41)="","      ",'HourGH-NOV'!L41)</f>
        <v>0.56999999999999995</v>
      </c>
      <c r="K33" s="128">
        <f>IF(TRIM('HourGH-NOV'!L42)="","      ",'HourGH-NOV'!L42)</f>
        <v>0.57999999999999996</v>
      </c>
    </row>
    <row r="34" spans="1:11">
      <c r="A34" s="127" t="s">
        <v>176</v>
      </c>
      <c r="B34" s="128">
        <f>IF(TRIM('HourGH-NOV'!M11)="","      ",'HourGH-NOV'!M11)</f>
        <v>1.02</v>
      </c>
      <c r="C34" s="128">
        <f>IF(TRIM('HourGH-NOV'!M12)="","      ",'HourGH-NOV'!M12)</f>
        <v>0.96</v>
      </c>
      <c r="D34" s="128">
        <f>IF(TRIM('HourGH-NOV'!M13)="","      ",'HourGH-NOV'!M13)</f>
        <v>0.9</v>
      </c>
      <c r="E34" s="128">
        <f>IF(TRIM('HourGH-NOV'!M14)="","      ",'HourGH-NOV'!M14)</f>
        <v>0.86</v>
      </c>
      <c r="F34" s="118">
        <f>IF(TRIM('HourGH-NOV'!M15)="","      ",'HourGH-NOV'!M15)</f>
        <v>0.81</v>
      </c>
      <c r="G34" s="118">
        <f>IF(TRIM('HourGH-NOV'!M16)="","      ",'HourGH-NOV'!M16)</f>
        <v>0.77</v>
      </c>
      <c r="H34" s="128">
        <f>IF(TRIM('HourGH-NOV'!M17)="","      ",'HourGH-NOV'!M17)</f>
        <v>0.74</v>
      </c>
      <c r="I34" s="128">
        <f>IF(TRIM('HourGH-NOV'!M18)="","      ",'HourGH-NOV'!M18)</f>
        <v>0.72</v>
      </c>
      <c r="J34" s="128">
        <f>IF(TRIM('HourGH-NOV'!M19)="","      ",'HourGH-NOV'!M19)</f>
        <v>0.7</v>
      </c>
      <c r="K34" s="128">
        <f>IF(TRIM('HourGH-NOV'!M20)="","      ",'HourGH-NOV'!M20)</f>
        <v>0.68</v>
      </c>
    </row>
    <row r="35" spans="1:11">
      <c r="A35" s="127" t="s">
        <v>177</v>
      </c>
      <c r="B35" s="128">
        <f>IF(TRIM('HourGH-NOV'!M22)="","      ",'HourGH-NOV'!M22)</f>
        <v>0.66</v>
      </c>
      <c r="C35" s="128">
        <f>IF(TRIM('HourGH-NOV'!M23)="","      ",'HourGH-NOV'!M23)</f>
        <v>0.66</v>
      </c>
      <c r="D35" s="128">
        <f>IF(TRIM('HourGH-NOV'!M24)="","      ",'HourGH-NOV'!M24)</f>
        <v>0.65</v>
      </c>
      <c r="E35" s="128">
        <f>IF(TRIM('HourGH-NOV'!M25)="","      ",'HourGH-NOV'!M25)</f>
        <v>0.63</v>
      </c>
      <c r="F35" s="118">
        <f>IF(TRIM('HourGH-NOV'!M26)="","      ",'HourGH-NOV'!M26)</f>
        <v>0.9</v>
      </c>
      <c r="G35" s="118">
        <f>IF(TRIM('HourGH-NOV'!M27)="","      ",'HourGH-NOV'!M27)</f>
        <v>0.68</v>
      </c>
      <c r="H35" s="128">
        <f>IF(TRIM('HourGH-NOV'!M28)="","      ",'HourGH-NOV'!M28)</f>
        <v>0.66</v>
      </c>
      <c r="I35" s="128">
        <f>IF(TRIM('HourGH-NOV'!M29)="","      ",'HourGH-NOV'!M29)</f>
        <v>0.66</v>
      </c>
      <c r="J35" s="128">
        <f>IF(TRIM('HourGH-NOV'!M30)="","      ",'HourGH-NOV'!M30)</f>
        <v>0.73</v>
      </c>
      <c r="K35" s="128">
        <f>IF(TRIM('HourGH-NOV'!M31)="","      ",'HourGH-NOV'!M31)</f>
        <v>0.89</v>
      </c>
    </row>
    <row r="36" spans="1:11">
      <c r="A36" s="127" t="s">
        <v>178</v>
      </c>
      <c r="B36" s="128">
        <f>IF(TRIM('HourGH-NOV'!M33)="","      ",'HourGH-NOV'!M33)</f>
        <v>0.74</v>
      </c>
      <c r="C36" s="128">
        <f>IF(TRIM('HourGH-NOV'!M34)="","      ",'HourGH-NOV'!M34)</f>
        <v>0.69</v>
      </c>
      <c r="D36" s="128">
        <f>IF(TRIM('HourGH-NOV'!M35)="","      ",'HourGH-NOV'!M35)</f>
        <v>0.63</v>
      </c>
      <c r="E36" s="128">
        <f>IF(TRIM('HourGH-NOV'!M36)="","      ",'HourGH-NOV'!M36)</f>
        <v>0.62</v>
      </c>
      <c r="F36" s="118">
        <f>IF(TRIM('HourGH-NOV'!M37)="","      ",'HourGH-NOV'!M37)</f>
        <v>0.6</v>
      </c>
      <c r="G36" s="118">
        <f>IF(TRIM('HourGH-NOV'!M38)="","      ",'HourGH-NOV'!M38)</f>
        <v>0.57999999999999996</v>
      </c>
      <c r="H36" s="128">
        <f>IF(TRIM('HourGH-NOV'!M39)="","      ",'HourGH-NOV'!M39)</f>
        <v>0.57999999999999996</v>
      </c>
      <c r="I36" s="128">
        <f>IF(TRIM('HourGH-NOV'!M40)="","      ",'HourGH-NOV'!M40)</f>
        <v>0.57999999999999996</v>
      </c>
      <c r="J36" s="128">
        <f>IF(TRIM('HourGH-NOV'!M41)="","      ",'HourGH-NOV'!M41)</f>
        <v>0.56999999999999995</v>
      </c>
      <c r="K36" s="128">
        <f>IF(TRIM('HourGH-NOV'!M42)="","      ",'HourGH-NOV'!M42)</f>
        <v>0.57999999999999996</v>
      </c>
    </row>
    <row r="37" spans="1:11">
      <c r="A37" s="127" t="s">
        <v>179</v>
      </c>
      <c r="B37" s="128">
        <f>IF(TRIM('HourGH-NOV'!N11)="","      ",'HourGH-NOV'!N11)</f>
        <v>1.02</v>
      </c>
      <c r="C37" s="128">
        <f>IF(TRIM('HourGH-NOV'!N12)="","      ",'HourGH-NOV'!N12)</f>
        <v>0.96</v>
      </c>
      <c r="D37" s="128">
        <f>IF(TRIM('HourGH-NOV'!N13)="","      ",'HourGH-NOV'!N13)</f>
        <v>0.9</v>
      </c>
      <c r="E37" s="128">
        <f>IF(TRIM('HourGH-NOV'!N14)="","      ",'HourGH-NOV'!N14)</f>
        <v>0.85</v>
      </c>
      <c r="F37" s="118">
        <f>IF(TRIM('HourGH-NOV'!N15)="","      ",'HourGH-NOV'!N15)</f>
        <v>0.81</v>
      </c>
      <c r="G37" s="118">
        <f>IF(TRIM('HourGH-NOV'!N16)="","      ",'HourGH-NOV'!N16)</f>
        <v>0.77</v>
      </c>
      <c r="H37" s="128">
        <f>IF(TRIM('HourGH-NOV'!N17)="","      ",'HourGH-NOV'!N17)</f>
        <v>0.74</v>
      </c>
      <c r="I37" s="128">
        <f>IF(TRIM('HourGH-NOV'!N18)="","      ",'HourGH-NOV'!N18)</f>
        <v>0.72</v>
      </c>
      <c r="J37" s="128">
        <f>IF(TRIM('HourGH-NOV'!N19)="","      ",'HourGH-NOV'!N19)</f>
        <v>0.7</v>
      </c>
      <c r="K37" s="128">
        <f>IF(TRIM('HourGH-NOV'!N20)="","      ",'HourGH-NOV'!N20)</f>
        <v>0.68</v>
      </c>
    </row>
    <row r="38" spans="1:11">
      <c r="A38" s="127" t="s">
        <v>180</v>
      </c>
      <c r="B38" s="128">
        <f>IF(TRIM('HourGH-NOV'!N22)="","      ",'HourGH-NOV'!N22)</f>
        <v>0.66</v>
      </c>
      <c r="C38" s="128">
        <f>IF(TRIM('HourGH-NOV'!N23)="","      ",'HourGH-NOV'!N23)</f>
        <v>0.66</v>
      </c>
      <c r="D38" s="128">
        <f>IF(TRIM('HourGH-NOV'!N24)="","      ",'HourGH-NOV'!N24)</f>
        <v>0.65</v>
      </c>
      <c r="E38" s="128">
        <f>IF(TRIM('HourGH-NOV'!N25)="","      ",'HourGH-NOV'!N25)</f>
        <v>0.64</v>
      </c>
      <c r="F38" s="118">
        <f>IF(TRIM('HourGH-NOV'!N26)="","      ",'HourGH-NOV'!N26)</f>
        <v>0.9</v>
      </c>
      <c r="G38" s="118">
        <f>IF(TRIM('HourGH-NOV'!N27)="","      ",'HourGH-NOV'!N27)</f>
        <v>0.68</v>
      </c>
      <c r="H38" s="128">
        <f>IF(TRIM('HourGH-NOV'!N28)="","      ",'HourGH-NOV'!N28)</f>
        <v>0.66</v>
      </c>
      <c r="I38" s="128">
        <f>IF(TRIM('HourGH-NOV'!N29)="","      ",'HourGH-NOV'!N29)</f>
        <v>0.66</v>
      </c>
      <c r="J38" s="128">
        <f>IF(TRIM('HourGH-NOV'!N30)="","      ",'HourGH-NOV'!N30)</f>
        <v>0.73</v>
      </c>
      <c r="K38" s="128">
        <f>IF(TRIM('HourGH-NOV'!N31)="","      ",'HourGH-NOV'!N31)</f>
        <v>0.89</v>
      </c>
    </row>
    <row r="39" spans="1:11">
      <c r="A39" s="127" t="s">
        <v>181</v>
      </c>
      <c r="B39" s="128">
        <f>IF(TRIM('HourGH-NOV'!N33)="","      ",'HourGH-NOV'!N33)</f>
        <v>0.74</v>
      </c>
      <c r="C39" s="128">
        <f>IF(TRIM('HourGH-NOV'!N34)="","      ",'HourGH-NOV'!N34)</f>
        <v>0.69</v>
      </c>
      <c r="D39" s="128">
        <f>IF(TRIM('HourGH-NOV'!N35)="","      ",'HourGH-NOV'!N35)</f>
        <v>0.63</v>
      </c>
      <c r="E39" s="128">
        <f>IF(TRIM('HourGH-NOV'!N36)="","      ",'HourGH-NOV'!N36)</f>
        <v>0.62</v>
      </c>
      <c r="F39" s="118">
        <f>IF(TRIM('HourGH-NOV'!N37)="","      ",'HourGH-NOV'!N37)</f>
        <v>0.6</v>
      </c>
      <c r="G39" s="118">
        <f>IF(TRIM('HourGH-NOV'!N38)="","      ",'HourGH-NOV'!N38)</f>
        <v>0.57999999999999996</v>
      </c>
      <c r="H39" s="128">
        <f>IF(TRIM('HourGH-NOV'!N39)="","      ",'HourGH-NOV'!N39)</f>
        <v>0.57999999999999996</v>
      </c>
      <c r="I39" s="128">
        <f>IF(TRIM('HourGH-NOV'!N40)="","      ",'HourGH-NOV'!N40)</f>
        <v>0.57999999999999996</v>
      </c>
      <c r="J39" s="128">
        <f>IF(TRIM('HourGH-NOV'!N41)="","      ",'HourGH-NOV'!N41)</f>
        <v>0.56999999999999995</v>
      </c>
      <c r="K39" s="128">
        <f>IF(TRIM('HourGH-NOV'!N42)="","      ",'HourGH-NOV'!N42)</f>
        <v>0.57999999999999996</v>
      </c>
    </row>
    <row r="40" spans="1:11">
      <c r="A40" s="127" t="s">
        <v>182</v>
      </c>
      <c r="B40" s="128">
        <f>IF(TRIM('HourGH-NOV'!O11)="","      ",'HourGH-NOV'!O11)</f>
        <v>1.01</v>
      </c>
      <c r="C40" s="128">
        <f>IF(TRIM('HourGH-NOV'!O12)="","      ",'HourGH-NOV'!O12)</f>
        <v>0.95</v>
      </c>
      <c r="D40" s="128">
        <f>IF(TRIM('HourGH-NOV'!O13)="","      ",'HourGH-NOV'!O13)</f>
        <v>0.89</v>
      </c>
      <c r="E40" s="128">
        <f>IF(TRIM('HourGH-NOV'!O14)="","      ",'HourGH-NOV'!O14)</f>
        <v>0.85</v>
      </c>
      <c r="F40" s="118">
        <f>IF(TRIM('HourGH-NOV'!O15)="","      ",'HourGH-NOV'!O15)</f>
        <v>0.8</v>
      </c>
      <c r="G40" s="118">
        <f>IF(TRIM('HourGH-NOV'!O16)="","      ",'HourGH-NOV'!O16)</f>
        <v>0.76</v>
      </c>
      <c r="H40" s="128">
        <f>IF(TRIM('HourGH-NOV'!O17)="","      ",'HourGH-NOV'!O17)</f>
        <v>0.73</v>
      </c>
      <c r="I40" s="128">
        <f>IF(TRIM('HourGH-NOV'!O18)="","      ",'HourGH-NOV'!O18)</f>
        <v>0.71</v>
      </c>
      <c r="J40" s="128">
        <f>IF(TRIM('HourGH-NOV'!O19)="","      ",'HourGH-NOV'!O19)</f>
        <v>0.69</v>
      </c>
      <c r="K40" s="128">
        <f>IF(TRIM('HourGH-NOV'!O20)="","      ",'HourGH-NOV'!O20)</f>
        <v>0.67</v>
      </c>
    </row>
    <row r="41" spans="1:11">
      <c r="A41" s="127" t="s">
        <v>183</v>
      </c>
      <c r="B41" s="128">
        <f>IF(TRIM('HourGH-NOV'!O22)="","      ",'HourGH-NOV'!O22)</f>
        <v>0.66</v>
      </c>
      <c r="C41" s="128">
        <f>IF(TRIM('HourGH-NOV'!O23)="","      ",'HourGH-NOV'!O23)</f>
        <v>0.66</v>
      </c>
      <c r="D41" s="128">
        <f>IF(TRIM('HourGH-NOV'!O24)="","      ",'HourGH-NOV'!O24)</f>
        <v>0.64</v>
      </c>
      <c r="E41" s="128">
        <f>IF(TRIM('HourGH-NOV'!O25)="","      ",'HourGH-NOV'!O25)</f>
        <v>0.65</v>
      </c>
      <c r="F41" s="118">
        <f>IF(TRIM('HourGH-NOV'!O26)="","      ",'HourGH-NOV'!O26)</f>
        <v>0.9</v>
      </c>
      <c r="G41" s="118">
        <f>IF(TRIM('HourGH-NOV'!P27)="","      ",'HourGH-NOV'!P27)</f>
        <v>0.67</v>
      </c>
      <c r="H41" s="128">
        <f>IF(TRIM('HourGH-NOV'!O28)="","      ",'HourGH-NOV'!O28)</f>
        <v>0.66</v>
      </c>
      <c r="I41" s="128">
        <f>IF(TRIM('HourGH-NOV'!O29)="","      ",'HourGH-NOV'!O29)</f>
        <v>0.67</v>
      </c>
      <c r="J41" s="128">
        <f>IF(TRIM('HourGH-NOV'!O30)="","      ",'HourGH-NOV'!O30)</f>
        <v>0.74</v>
      </c>
      <c r="K41" s="128">
        <f>IF(TRIM('HourGH-NOV'!O31)="","      ",'HourGH-NOV'!O31)</f>
        <v>0.89</v>
      </c>
    </row>
    <row r="42" spans="1:11">
      <c r="A42" s="127" t="s">
        <v>184</v>
      </c>
      <c r="B42" s="128">
        <f>IF(TRIM('HourGH-NOV'!O33)="","      ",'HourGH-NOV'!O33)</f>
        <v>0.73</v>
      </c>
      <c r="C42" s="128">
        <f>IF(TRIM('HourGH-NOV'!O34)="","      ",'HourGH-NOV'!O34)</f>
        <v>0.68</v>
      </c>
      <c r="D42" s="128">
        <f>IF(TRIM('HourGH-NOV'!O35)="","      ",'HourGH-NOV'!O35)</f>
        <v>0.63</v>
      </c>
      <c r="E42" s="128">
        <f>IF(TRIM('HourGH-NOV'!O36)="","      ",'HourGH-NOV'!O36)</f>
        <v>0.61</v>
      </c>
      <c r="F42" s="118">
        <f>IF(TRIM('HourGH-NOV'!O37)="","      ",'HourGH-NOV'!O37)</f>
        <v>0.59</v>
      </c>
      <c r="G42" s="118">
        <f>IF(TRIM('HourGH-NOV'!O38)="","      ",'HourGH-NOV'!O38)</f>
        <v>0.57999999999999996</v>
      </c>
      <c r="H42" s="128">
        <f>IF(TRIM('HourGH-NOV'!O39)="","      ",'HourGH-NOV'!O39)</f>
        <v>0.57999999999999996</v>
      </c>
      <c r="I42" s="128">
        <f>IF(TRIM('HourGH-NOV'!O40)="","      ",'HourGH-NOV'!O40)</f>
        <v>0.57999999999999996</v>
      </c>
      <c r="J42" s="128">
        <f>IF(TRIM('HourGH-NOV'!O41)="","      ",'HourGH-NOV'!O41)</f>
        <v>0.56999999999999995</v>
      </c>
      <c r="K42" s="128">
        <f>IF(TRIM('HourGH-NOV'!O42)="","      ",'HourGH-NOV'!O42)</f>
        <v>0.56999999999999995</v>
      </c>
    </row>
    <row r="43" spans="1:11">
      <c r="A43" s="127" t="s">
        <v>185</v>
      </c>
      <c r="B43" s="128">
        <f>IF(TRIM('HourGH-NOV'!P11)="","      ",'HourGH-NOV'!P11)</f>
        <v>1.01</v>
      </c>
      <c r="C43" s="128">
        <f>IF(TRIM('HourGH-NOV'!P12)="","      ",'HourGH-NOV'!P12)</f>
        <v>0.95</v>
      </c>
      <c r="D43" s="128">
        <f>IF(TRIM('HourGH-NOV'!P13)="","      ",'HourGH-NOV'!P13)</f>
        <v>0.89</v>
      </c>
      <c r="E43" s="128">
        <f>IF(TRIM('HourGH-NOV'!P14)="","      ",'HourGH-NOV'!P14)</f>
        <v>0.85</v>
      </c>
      <c r="F43" s="118">
        <f>IF(TRIM('HourGH-NOV'!P15)="","      ",'HourGH-NOV'!P15)</f>
        <v>0.8</v>
      </c>
      <c r="G43" s="118">
        <f>IF(TRIM('HourGH-NOV'!P16)="","      ",'HourGH-NOV'!P16)</f>
        <v>0.76</v>
      </c>
      <c r="H43" s="128">
        <f>IF(TRIM('HourGH-NOV'!P17)="","      ",'HourGH-NOV'!P17)</f>
        <v>0.73</v>
      </c>
      <c r="I43" s="128">
        <f>IF(TRIM('HourGH-NOV'!P18)="","      ",'HourGH-NOV'!P18)</f>
        <v>0.71</v>
      </c>
      <c r="J43" s="128">
        <f>IF(TRIM('HourGH-NOV'!P19)="","      ",'HourGH-NOV'!P19)</f>
        <v>0.69</v>
      </c>
      <c r="K43" s="128">
        <f>IF(TRIM('HourGH-NOV'!P20)="","      ",'HourGH-NOV'!P20)</f>
        <v>0.67</v>
      </c>
    </row>
    <row r="44" spans="1:11">
      <c r="A44" s="127" t="s">
        <v>186</v>
      </c>
      <c r="B44" s="128">
        <f>IF(TRIM('HourGH-NOV'!P22)="","      ",'HourGH-NOV'!P22)</f>
        <v>0.66</v>
      </c>
      <c r="C44" s="128">
        <f>IF(TRIM('HourGH-NOV'!P23)="","      ",'HourGH-NOV'!P23)</f>
        <v>0.66</v>
      </c>
      <c r="D44" s="128">
        <f>IF(TRIM('HourGH-NOV'!P24)="","      ",'HourGH-NOV'!P24)</f>
        <v>0.64</v>
      </c>
      <c r="E44" s="128">
        <f>IF(TRIM('HourGH-NOV'!P25)="","      ",'HourGH-NOV'!P25)</f>
        <v>0.65</v>
      </c>
      <c r="F44" s="118">
        <f>IF(TRIM('HourGH-NOV'!P26)="","      ",'HourGH-NOV'!P26)</f>
        <v>0.89</v>
      </c>
      <c r="G44" s="118" t="e">
        <f>IF(TRIM('HourGH-NOV'!#REF!)="","      ",'HourGH-NOV'!#REF!)</f>
        <v>#REF!</v>
      </c>
      <c r="H44" s="128">
        <f>IF(TRIM('HourGH-NOV'!P28)="","      ",'HourGH-NOV'!P28)</f>
        <v>0.66</v>
      </c>
      <c r="I44" s="128">
        <f>IF(TRIM('HourGH-NOV'!P29)="","      ",'HourGH-NOV'!P29)</f>
        <v>0.67</v>
      </c>
      <c r="J44" s="128">
        <f>IF(TRIM('HourGH-NOV'!P30)="","      ",'HourGH-NOV'!P30)</f>
        <v>0.74</v>
      </c>
      <c r="K44" s="128">
        <f>IF(TRIM('HourGH-NOV'!P31)="","      ",'HourGH-NOV'!P31)</f>
        <v>0.88</v>
      </c>
    </row>
    <row r="45" spans="1:11">
      <c r="A45" s="127" t="s">
        <v>187</v>
      </c>
      <c r="B45" s="128">
        <f>IF(TRIM('HourGH-NOV'!P33)="","      ",'HourGH-NOV'!P33)</f>
        <v>0.73</v>
      </c>
      <c r="C45" s="128">
        <f>IF(TRIM('HourGH-NOV'!P34)="","      ",'HourGH-NOV'!P34)</f>
        <v>0.68</v>
      </c>
      <c r="D45" s="128">
        <f>IF(TRIM('HourGH-NOV'!P35)="","      ",'HourGH-NOV'!P35)</f>
        <v>0.63</v>
      </c>
      <c r="E45" s="128">
        <f>IF(TRIM('HourGH-NOV'!P36)="","      ",'HourGH-NOV'!P36)</f>
        <v>0.61</v>
      </c>
      <c r="F45" s="118">
        <f>IF(TRIM('HourGH-NOV'!P37)="","      ",'HourGH-NOV'!P37)</f>
        <v>0.59</v>
      </c>
      <c r="G45" s="118">
        <f>IF(TRIM('HourGH-NOV'!P38)="","      ",'HourGH-NOV'!P38)</f>
        <v>0.57999999999999996</v>
      </c>
      <c r="H45" s="128">
        <f>IF(TRIM('HourGH-NOV'!P39)="","      ",'HourGH-NOV'!P39)</f>
        <v>0.57999999999999996</v>
      </c>
      <c r="I45" s="128">
        <f>IF(TRIM('HourGH-NOV'!P40)="","      ",'HourGH-NOV'!P40)</f>
        <v>0.57999999999999996</v>
      </c>
      <c r="J45" s="128">
        <f>IF(TRIM('HourGH-NOV'!P41)="","      ",'HourGH-NOV'!P41)</f>
        <v>0.56999999999999995</v>
      </c>
      <c r="K45" s="128">
        <f>IF(TRIM('HourGH-NOV'!P42)="","      ",'HourGH-NOV'!P42)</f>
        <v>0.56999999999999995</v>
      </c>
    </row>
    <row r="46" spans="1:11">
      <c r="A46" s="127" t="s">
        <v>188</v>
      </c>
      <c r="B46" s="128">
        <f>IF(TRIM('HourGH-NOV'!Q11)="","      ",'HourGH-NOV'!Q11)</f>
        <v>1.01</v>
      </c>
      <c r="C46" s="128">
        <f>IF(TRIM('HourGH-NOV'!Q12)="","      ",'HourGH-NOV'!Q12)</f>
        <v>0.94</v>
      </c>
      <c r="D46" s="128">
        <f>IF(TRIM('HourGH-NOV'!Q13)="","      ",'HourGH-NOV'!Q13)</f>
        <v>0.89</v>
      </c>
      <c r="E46" s="128">
        <f>IF(TRIM('HourGH-NOV'!Q14)="","      ",'HourGH-NOV'!Q14)</f>
        <v>0.85</v>
      </c>
      <c r="F46" s="118">
        <f>IF(TRIM('HourGH-NOV'!Q15)="","      ",'HourGH-NOV'!Q15)</f>
        <v>0.8</v>
      </c>
      <c r="G46" s="118">
        <f>IF(TRIM('HourGH-NOV'!Q16)="","      ",'HourGH-NOV'!Q16)</f>
        <v>0.76</v>
      </c>
      <c r="H46" s="128">
        <f>IF(TRIM('HourGH-NOV'!Q17)="","      ",'HourGH-NOV'!Q17)</f>
        <v>0.73</v>
      </c>
      <c r="I46" s="128">
        <f>IF(TRIM('HourGH-NOV'!Q18)="","      ",'HourGH-NOV'!Q18)</f>
        <v>0.71</v>
      </c>
      <c r="J46" s="128">
        <f>IF(TRIM('HourGH-NOV'!Q19)="","      ",'HourGH-NOV'!Q19)</f>
        <v>0.69</v>
      </c>
      <c r="K46" s="128">
        <f>IF(TRIM('HourGH-NOV'!Q20)="","      ",'HourGH-NOV'!Q20)</f>
        <v>0.67</v>
      </c>
    </row>
    <row r="47" spans="1:11">
      <c r="A47" s="127" t="s">
        <v>189</v>
      </c>
      <c r="B47" s="128">
        <f>IF(TRIM('HourGH-NOV'!Q22)="","      ",'HourGH-NOV'!Q22)</f>
        <v>0.66</v>
      </c>
      <c r="C47" s="128">
        <f>IF(TRIM('HourGH-NOV'!Q23)="","      ",'HourGH-NOV'!Q23)</f>
        <v>0.66</v>
      </c>
      <c r="D47" s="128">
        <f>IF(TRIM('HourGH-NOV'!Q24)="","      ",'HourGH-NOV'!Q24)</f>
        <v>0.64</v>
      </c>
      <c r="E47" s="128">
        <f>IF(TRIM('HourGH-NOV'!Q25)="","      ",'HourGH-NOV'!Q25)</f>
        <v>0.66</v>
      </c>
      <c r="F47" s="118">
        <f>IF(TRIM('HourGH-NOV'!Q26)="","      ",'HourGH-NOV'!Q26)</f>
        <v>0.89</v>
      </c>
      <c r="G47" s="118">
        <f>IF(TRIM('HourGH-NOV'!Q27)="","      ",'HourGH-NOV'!Q27)</f>
        <v>0.67</v>
      </c>
      <c r="H47" s="128">
        <f>IF(TRIM('HourGH-NOV'!Q28)="","      ",'HourGH-NOV'!Q28)</f>
        <v>0.66</v>
      </c>
      <c r="I47" s="128">
        <f>IF(TRIM('HourGH-NOV'!Q29)="","      ",'HourGH-NOV'!Q29)</f>
        <v>0.67</v>
      </c>
      <c r="J47" s="128">
        <f>IF(TRIM('HourGH-NOV'!Q30)="","      ",'HourGH-NOV'!Q30)</f>
        <v>0.75</v>
      </c>
      <c r="K47" s="128">
        <f>IF(TRIM('HourGH-NOV'!Q31)="","      ",'HourGH-NOV'!Q31)</f>
        <v>0.88</v>
      </c>
    </row>
    <row r="48" spans="1:11">
      <c r="A48" s="127" t="s">
        <v>190</v>
      </c>
      <c r="B48" s="128">
        <f>IF(TRIM('HourGH-NOV'!Q33)="","      ",'HourGH-NOV'!Q33)</f>
        <v>0.73</v>
      </c>
      <c r="C48" s="128">
        <f>IF(TRIM('HourGH-NOV'!Q34)="","      ",'HourGH-NOV'!Q34)</f>
        <v>0.68</v>
      </c>
      <c r="D48" s="128">
        <f>IF(TRIM('HourGH-NOV'!Q35)="","      ",'HourGH-NOV'!Q35)</f>
        <v>0.63</v>
      </c>
      <c r="E48" s="128">
        <f>IF(TRIM('HourGH-NOV'!Q36)="","      ",'HourGH-NOV'!Q36)</f>
        <v>0.61</v>
      </c>
      <c r="F48" s="118">
        <f>IF(TRIM('HourGH-NOV'!Q37)="","      ",'HourGH-NOV'!Q37)</f>
        <v>0.59</v>
      </c>
      <c r="G48" s="118">
        <f>IF(TRIM('HourGH-NOV'!Q38)="","      ",'HourGH-NOV'!Q38)</f>
        <v>0.57999999999999996</v>
      </c>
      <c r="H48" s="128">
        <f>IF(TRIM('HourGH-NOV'!Q39)="","      ",'HourGH-NOV'!Q39)</f>
        <v>0.57999999999999996</v>
      </c>
      <c r="I48" s="128">
        <f>IF(TRIM('HourGH-NOV'!Q40)="","      ",'HourGH-NOV'!Q40)</f>
        <v>0.57999999999999996</v>
      </c>
      <c r="J48" s="128">
        <f>IF(TRIM('HourGH-NOV'!Q41)="","      ",'HourGH-NOV'!Q41)</f>
        <v>0.56999999999999995</v>
      </c>
      <c r="K48" s="128">
        <f>IF(TRIM('HourGH-NOV'!Q42)="","      ",'HourGH-NOV'!Q42)</f>
        <v>0.56999999999999995</v>
      </c>
    </row>
    <row r="49" spans="1:20">
      <c r="A49" s="127" t="s">
        <v>191</v>
      </c>
      <c r="B49" s="128">
        <f>IF(TRIM('HourGH-NOV'!R11)="","      ",'HourGH-NOV'!R11)</f>
        <v>1</v>
      </c>
      <c r="C49" s="128">
        <f>IF(TRIM('HourGH-NOV'!R12)="","      ",'HourGH-NOV'!R12)</f>
        <v>0.94</v>
      </c>
      <c r="D49" s="128">
        <f>IF(TRIM('HourGH-NOV'!R13)="","      ",'HourGH-NOV'!R13)</f>
        <v>0.89</v>
      </c>
      <c r="E49" s="128">
        <f>IF(TRIM('HourGH-NOV'!R14)="","      ",'HourGH-NOV'!R14)</f>
        <v>0.85</v>
      </c>
      <c r="F49" s="118">
        <f>IF(TRIM('HourGH-NOV'!R15)="","      ",'HourGH-NOV'!R15)</f>
        <v>0.8</v>
      </c>
      <c r="G49" s="118">
        <f>IF(TRIM('HourGH-NOV'!R16)="","      ",'HourGH-NOV'!R16)</f>
        <v>0.76</v>
      </c>
      <c r="H49" s="128">
        <f>IF(TRIM('HourGH-NOV'!R17)="","      ",'HourGH-NOV'!R17)</f>
        <v>0.73</v>
      </c>
      <c r="I49" s="128">
        <f>IF(TRIM('HourGH-NOV'!R18)="","      ",'HourGH-NOV'!R18)</f>
        <v>0.71</v>
      </c>
      <c r="J49" s="128">
        <f>IF(TRIM('HourGH-NOV'!R19)="","      ",'HourGH-NOV'!R19)</f>
        <v>0.69</v>
      </c>
      <c r="K49" s="128">
        <f>IF(TRIM('HourGH-NOV'!R20)="","      ",'HourGH-NOV'!R20)</f>
        <v>0.67</v>
      </c>
    </row>
    <row r="50" spans="1:20">
      <c r="A50" s="127" t="s">
        <v>192</v>
      </c>
      <c r="B50" s="128">
        <f>IF(TRIM('HourGH-NOV'!R22)="","      ",'HourGH-NOV'!R22)</f>
        <v>0.66</v>
      </c>
      <c r="C50" s="128">
        <f>IF(TRIM('HourGH-NOV'!R23)="","      ",'HourGH-NOV'!R23)</f>
        <v>0.66</v>
      </c>
      <c r="D50" s="128">
        <f>IF(TRIM('HourGH-NOV'!R24)="","      ",'HourGH-NOV'!R24)</f>
        <v>0.64</v>
      </c>
      <c r="E50" s="128">
        <f>IF(TRIM('HourGH-NOV'!R25)="","      ",'HourGH-NOV'!R25)</f>
        <v>0.67</v>
      </c>
      <c r="F50" s="118">
        <f>IF(TRIM('HourGH-NOV'!R26)="","      ",'HourGH-NOV'!R26)</f>
        <v>0.88</v>
      </c>
      <c r="G50" s="118">
        <f>IF(TRIM('HourGH-NOV'!R27)="","      ",'HourGH-NOV'!R27)</f>
        <v>0.67</v>
      </c>
      <c r="H50" s="128">
        <f>IF(TRIM('HourGH-NOV'!R28)="","      ",'HourGH-NOV'!R28)</f>
        <v>0.66</v>
      </c>
      <c r="I50" s="128">
        <f>IF(TRIM('HourGH-NOV'!R29)="","      ",'HourGH-NOV'!R29)</f>
        <v>0.67</v>
      </c>
      <c r="J50" s="128">
        <f>IF(TRIM('HourGH-NOV'!R30)="","      ",'HourGH-NOV'!R30)</f>
        <v>0.75</v>
      </c>
      <c r="K50" s="128">
        <f>IF(TRIM('HourGH-NOV'!R31)="","      ",'HourGH-NOV'!R31)</f>
        <v>0.87</v>
      </c>
    </row>
    <row r="51" spans="1:20">
      <c r="A51" s="127" t="s">
        <v>193</v>
      </c>
      <c r="B51" s="128">
        <f>IF(TRIM('HourGH-NOV'!R33)="","      ",'HourGH-NOV'!R33)</f>
        <v>0.73</v>
      </c>
      <c r="C51" s="128">
        <f>IF(TRIM('HourGH-NOV'!R34)="","      ",'HourGH-NOV'!R34)</f>
        <v>0.67</v>
      </c>
      <c r="D51" s="128">
        <f>IF(TRIM('HourGH-NOV'!R35)="","      ",'HourGH-NOV'!R35)</f>
        <v>0.63</v>
      </c>
      <c r="E51" s="128">
        <f>IF(TRIM('HourGH-NOV'!R36)="","      ",'HourGH-NOV'!R36)</f>
        <v>0.61</v>
      </c>
      <c r="F51" s="118">
        <f>IF(TRIM('HourGH-NOV'!R37)="","      ",'HourGH-NOV'!R37)</f>
        <v>0.59</v>
      </c>
      <c r="G51" s="118">
        <f>IF(TRIM('HourGH-NOV'!R38)="","      ",'HourGH-NOV'!R38)</f>
        <v>0.57999999999999996</v>
      </c>
      <c r="H51" s="128">
        <f>IF(TRIM('HourGH-NOV'!R39)="","      ",'HourGH-NOV'!R39)</f>
        <v>0.57999999999999996</v>
      </c>
      <c r="I51" s="128">
        <f>IF(TRIM('HourGH-NOV'!R40)="","      ",'HourGH-NOV'!R40)</f>
        <v>0.57999999999999996</v>
      </c>
      <c r="J51" s="128">
        <f>IF(TRIM('HourGH-NOV'!R41)="","      ",'HourGH-NOV'!R41)</f>
        <v>0.56999999999999995</v>
      </c>
      <c r="K51" s="128">
        <f>IF(TRIM('HourGH-NOV'!R42)="","      ",'HourGH-NOV'!R42)</f>
        <v>0.56999999999999995</v>
      </c>
    </row>
    <row r="52" spans="1:20">
      <c r="A52" s="127" t="s">
        <v>194</v>
      </c>
      <c r="B52" s="128">
        <f>IF(TRIM('HourGH-NOV'!S11)="","      ",'HourGH-NOV'!S11)</f>
        <v>1</v>
      </c>
      <c r="C52" s="128">
        <f>IF(TRIM('HourGH-NOV'!S12)="","      ",'HourGH-NOV'!S12)</f>
        <v>0.94</v>
      </c>
      <c r="D52" s="128">
        <f>IF(TRIM('HourGH-NOV'!S13)="","      ",'HourGH-NOV'!S13)</f>
        <v>0.89</v>
      </c>
      <c r="E52" s="128">
        <f>IF(TRIM('HourGH-NOV'!S14)="","      ",'HourGH-NOV'!S14)</f>
        <v>0.84</v>
      </c>
      <c r="F52" s="118">
        <f>IF(TRIM('HourGH-NOV'!S15)="","      ",'HourGH-NOV'!S15)</f>
        <v>0.8</v>
      </c>
      <c r="G52" s="118">
        <f>IF(TRIM('HourGH-NOV'!S16)="","      ",'HourGH-NOV'!S16)</f>
        <v>0.76</v>
      </c>
      <c r="H52" s="128">
        <f>IF(TRIM('HourGH-NOV'!S17)="","      ",'HourGH-NOV'!S17)</f>
        <v>0.73</v>
      </c>
      <c r="I52" s="128">
        <f>IF(TRIM('HourGH-NOV'!S18)="","      ",'HourGH-NOV'!S18)</f>
        <v>0.71</v>
      </c>
      <c r="J52" s="128">
        <f>IF(TRIM('HourGH-NOV'!S19)="","      ",'HourGH-NOV'!S19)</f>
        <v>0.69</v>
      </c>
      <c r="K52" s="128">
        <f>IF(TRIM('HourGH-NOV'!S20)="","      ",'HourGH-NOV'!S20)</f>
        <v>0.67</v>
      </c>
    </row>
    <row r="53" spans="1:20">
      <c r="A53" s="127" t="s">
        <v>195</v>
      </c>
      <c r="B53" s="128">
        <f>IF(TRIM('HourGH-NOV'!S22)="","      ",'HourGH-NOV'!S22)</f>
        <v>0.66</v>
      </c>
      <c r="C53" s="128">
        <f>IF(TRIM('HourGH-NOV'!S23)="","      ",'HourGH-NOV'!S23)</f>
        <v>0.66</v>
      </c>
      <c r="D53" s="128">
        <f>IF(TRIM('HourGH-NOV'!S24)="","      ",'HourGH-NOV'!S24)</f>
        <v>0.64</v>
      </c>
      <c r="E53" s="128">
        <f>IF(TRIM('HourGH-NOV'!S25)="","      ",'HourGH-NOV'!S25)</f>
        <v>0.67</v>
      </c>
      <c r="F53" s="118">
        <f>IF(TRIM('HourGH-NOV'!S26)="","      ",'HourGH-NOV'!S26)</f>
        <v>0.87</v>
      </c>
      <c r="G53" s="118">
        <f>IF(TRIM('HourGH-NOV'!S27)="","      ",'HourGH-NOV'!S27)</f>
        <v>0.67</v>
      </c>
      <c r="H53" s="128">
        <f>IF(TRIM('HourGH-NOV'!S28)="","      ",'HourGH-NOV'!S28)</f>
        <v>0.66</v>
      </c>
      <c r="I53" s="128">
        <f>IF(TRIM('HourGH-NOV'!S29)="","      ",'HourGH-NOV'!S29)</f>
        <v>0.67</v>
      </c>
      <c r="J53" s="128">
        <f>IF(TRIM('HourGH-NOV'!S30)="","      ",'HourGH-NOV'!S30)</f>
        <v>0.76</v>
      </c>
      <c r="K53" s="128">
        <f>IF(TRIM('HourGH-NOV'!S31)="","      ",'HourGH-NOV'!S31)</f>
        <v>0.87</v>
      </c>
    </row>
    <row r="54" spans="1:20">
      <c r="A54" s="127" t="s">
        <v>196</v>
      </c>
      <c r="B54" s="128">
        <f>IF(TRIM('HourGH-NOV'!S33)="","      ",'HourGH-NOV'!S33)</f>
        <v>0.73</v>
      </c>
      <c r="C54" s="128">
        <f>IF(TRIM('HourGH-NOV'!S34)="","      ",'HourGH-NOV'!S34)</f>
        <v>0.67</v>
      </c>
      <c r="D54" s="128">
        <f>IF(TRIM('HourGH-NOV'!S35)="","      ",'HourGH-NOV'!S35)</f>
        <v>0.63</v>
      </c>
      <c r="E54" s="128">
        <f>IF(TRIM('HourGH-NOV'!S36)="","      ",'HourGH-NOV'!S36)</f>
        <v>0.61</v>
      </c>
      <c r="F54" s="118">
        <f>IF(TRIM('HourGH-NOV'!S37)="","      ",'HourGH-NOV'!S37)</f>
        <v>0.59</v>
      </c>
      <c r="G54" s="118">
        <f>IF(TRIM('HourGH-NOV'!S38)="","      ",'HourGH-NOV'!S38)</f>
        <v>0.57999999999999996</v>
      </c>
      <c r="H54" s="128">
        <f>IF(TRIM('HourGH-NOV'!S39)="","      ",'HourGH-NOV'!S39)</f>
        <v>0.57999999999999996</v>
      </c>
      <c r="I54" s="128">
        <f>IF(TRIM('HourGH-NOV'!S40)="","      ",'HourGH-NOV'!S40)</f>
        <v>0.57999999999999996</v>
      </c>
      <c r="J54" s="128">
        <f>IF(TRIM('HourGH-NOV'!S41)="","      ",'HourGH-NOV'!S41)</f>
        <v>0.56999999999999995</v>
      </c>
      <c r="K54" s="128">
        <f>IF(TRIM('HourGH-NOV'!S42)="","      ",'HourGH-NOV'!S42)</f>
        <v>0.56999999999999995</v>
      </c>
    </row>
    <row r="55" spans="1:20">
      <c r="A55" s="127" t="s">
        <v>197</v>
      </c>
      <c r="B55" s="128">
        <f>IF(TRIM('HourGH-NOV'!T11)="","      ",'HourGH-NOV'!T11)</f>
        <v>1</v>
      </c>
      <c r="C55" s="128">
        <f>IF(TRIM('HourGH-NOV'!T12)="","      ",'HourGH-NOV'!T12)</f>
        <v>0.93</v>
      </c>
      <c r="D55" s="128">
        <f>IF(TRIM('HourGH-NOV'!T13)="","      ",'HourGH-NOV'!T13)</f>
        <v>0.89</v>
      </c>
      <c r="E55" s="128">
        <f>IF(TRIM('HourGH-NOV'!T14)="","      ",'HourGH-NOV'!T14)</f>
        <v>0.84</v>
      </c>
      <c r="F55" s="118">
        <f>IF(TRIM('HourGH-NOV'!T15)="","      ",'HourGH-NOV'!T15)</f>
        <v>0.8</v>
      </c>
      <c r="G55" s="118">
        <f>IF(TRIM('HourGH-NOV'!T16)="","      ",'HourGH-NOV'!T16)</f>
        <v>0.76</v>
      </c>
      <c r="H55" s="128">
        <f>IF(TRIM('HourGH-NOV'!T17)="","      ",'HourGH-NOV'!T17)</f>
        <v>0.73</v>
      </c>
      <c r="I55" s="128">
        <f>IF(TRIM('HourGH-NOV'!T18)="","      ",'HourGH-NOV'!T18)</f>
        <v>0.71</v>
      </c>
      <c r="J55" s="128">
        <f>IF(TRIM('HourGH-NOV'!T19)="","      ",'HourGH-NOV'!T19)</f>
        <v>0.69</v>
      </c>
      <c r="K55" s="128">
        <f>IF(TRIM('HourGH-NOV'!T20)="","      ",'HourGH-NOV'!T20)</f>
        <v>0.67</v>
      </c>
    </row>
    <row r="56" spans="1:20">
      <c r="A56" s="127" t="s">
        <v>198</v>
      </c>
      <c r="B56" s="128">
        <f>IF(TRIM('HourGH-NOV'!T22)="","      ",'HourGH-NOV'!T22)</f>
        <v>0.66</v>
      </c>
      <c r="C56" s="128">
        <f>IF(TRIM('HourGH-NOV'!T23)="","      ",'HourGH-NOV'!T23)</f>
        <v>0.66</v>
      </c>
      <c r="D56" s="128">
        <f>IF(TRIM('HourGH-NOV'!T24)="","      ",'HourGH-NOV'!T24)</f>
        <v>0.64</v>
      </c>
      <c r="E56" s="128">
        <f>IF(TRIM('HourGH-NOV'!T25)="","      ",'HourGH-NOV'!T25)</f>
        <v>0.68</v>
      </c>
      <c r="F56" s="118">
        <f>IF(TRIM('HourGH-NOV'!T26)="","      ",'HourGH-NOV'!T26)</f>
        <v>0.85</v>
      </c>
      <c r="G56" s="118">
        <f>IF(TRIM('HourGH-NOV'!T27)="","      ",'HourGH-NOV'!T27)</f>
        <v>0.67</v>
      </c>
      <c r="H56" s="128">
        <f>IF(TRIM('HourGH-NOV'!T28)="","      ",'HourGH-NOV'!T28)</f>
        <v>0.66</v>
      </c>
      <c r="I56" s="128">
        <f>IF(TRIM('HourGH-NOV'!T29)="","      ",'HourGH-NOV'!T29)</f>
        <v>0.67</v>
      </c>
      <c r="J56" s="128">
        <f>IF(TRIM('HourGH-NOV'!T30)="","      ",'HourGH-NOV'!T30)</f>
        <v>0.76</v>
      </c>
      <c r="K56" s="128">
        <f>IF(TRIM('HourGH-NOV'!T31)="","      ",'HourGH-NOV'!T31)</f>
        <v>0.86</v>
      </c>
      <c r="N56" s="117">
        <f>B79</f>
        <v>338.65000000000003</v>
      </c>
      <c r="O56">
        <v>1</v>
      </c>
      <c r="P56" s="117" t="str">
        <f>B82</f>
        <v>1:00</v>
      </c>
      <c r="R56" s="117">
        <f>B85</f>
        <v>338.59000000000003</v>
      </c>
      <c r="S56">
        <v>1</v>
      </c>
      <c r="T56" s="117" t="str">
        <f>B88</f>
        <v>20:00</v>
      </c>
    </row>
    <row r="57" spans="1:20">
      <c r="A57" s="127" t="s">
        <v>199</v>
      </c>
      <c r="B57" s="128">
        <f>IF(TRIM('HourGH-NOV'!T33)="","      ",'HourGH-NOV'!T33)</f>
        <v>0.73</v>
      </c>
      <c r="C57" s="128">
        <f>IF(TRIM('HourGH-NOV'!T34)="","      ",'HourGH-NOV'!T34)</f>
        <v>0.67</v>
      </c>
      <c r="D57" s="128">
        <f>IF(TRIM('HourGH-NOV'!T35)="","      ",'HourGH-NOV'!T35)</f>
        <v>0.63</v>
      </c>
      <c r="E57" s="128">
        <f>IF(TRIM('HourGH-NOV'!T36)="","      ",'HourGH-NOV'!T36)</f>
        <v>0.61</v>
      </c>
      <c r="F57" s="118">
        <f>IF(TRIM('HourGH-NOV'!T37)="","      ",'HourGH-NOV'!T37)</f>
        <v>0.59</v>
      </c>
      <c r="G57" s="118">
        <f>IF(TRIM('HourGH-NOV'!T38)="","      ",'HourGH-NOV'!T38)</f>
        <v>0.57999999999999996</v>
      </c>
      <c r="H57" s="128">
        <f>IF(TRIM('HourGH-NOV'!T39)="","      ",'HourGH-NOV'!T39)</f>
        <v>0.57999999999999996</v>
      </c>
      <c r="I57" s="128">
        <f>IF(TRIM('HourGH-NOV'!T40)="","      ",'HourGH-NOV'!T40)</f>
        <v>0.57999999999999996</v>
      </c>
      <c r="J57" s="128">
        <f>IF(TRIM('HourGH-NOV'!T41)="","      ",'HourGH-NOV'!T41)</f>
        <v>0.56999999999999995</v>
      </c>
      <c r="K57" s="128">
        <f>IF(TRIM('HourGH-NOV'!T42)="","      ",'HourGH-NOV'!T42)</f>
        <v>0.56999999999999995</v>
      </c>
      <c r="N57" s="117">
        <f>C79</f>
        <v>338.58000000000004</v>
      </c>
      <c r="O57">
        <v>2</v>
      </c>
      <c r="P57" s="117" t="str">
        <f>C82</f>
        <v>1:00</v>
      </c>
      <c r="R57" s="117">
        <f>C85</f>
        <v>338.52000000000004</v>
      </c>
      <c r="S57">
        <v>2</v>
      </c>
      <c r="T57" s="117" t="str">
        <f>C88</f>
        <v>21:00</v>
      </c>
    </row>
    <row r="58" spans="1:20">
      <c r="A58" s="127" t="s">
        <v>200</v>
      </c>
      <c r="B58" s="128">
        <f>IF(TRIM('HourGH-NOV'!U11)="","      ",'HourGH-NOV'!U11)</f>
        <v>1</v>
      </c>
      <c r="C58" s="128">
        <f>IF(TRIM('HourGH-NOV'!U12)="","      ",'HourGH-NOV'!U12)</f>
        <v>0.93</v>
      </c>
      <c r="D58" s="128">
        <f>IF(TRIM('HourGH-NOV'!U13)="","      ",'HourGH-NOV'!U13)</f>
        <v>0.88</v>
      </c>
      <c r="E58" s="128">
        <f>IF(TRIM('HourGH-NOV'!U14)="","      ",'HourGH-NOV'!U14)</f>
        <v>0.84</v>
      </c>
      <c r="F58" s="118">
        <f>IF(TRIM('HourGH-NOV'!U15)="","      ",'HourGH-NOV'!U15)</f>
        <v>0.79</v>
      </c>
      <c r="G58" s="118">
        <f>IF(TRIM('HourGH-NOV'!U16)="","      ",'HourGH-NOV'!U16)</f>
        <v>0.75</v>
      </c>
      <c r="H58" s="128">
        <f>IF(TRIM('HourGH-NOV'!U17)="","      ",'HourGH-NOV'!U17)</f>
        <v>0.73</v>
      </c>
      <c r="I58" s="128">
        <f>IF(TRIM('HourGH-NOV'!U18)="","      ",'HourGH-NOV'!U18)</f>
        <v>0.71</v>
      </c>
      <c r="J58" s="128">
        <f>IF(TRIM('HourGH-NOV'!U19)="","      ",'HourGH-NOV'!U19)</f>
        <v>0.69</v>
      </c>
      <c r="K58" s="128">
        <f>IF(TRIM('HourGH-NOV'!U20)="","      ",'HourGH-NOV'!U20)</f>
        <v>0.67</v>
      </c>
      <c r="N58" s="117">
        <f>D79</f>
        <v>338.51000000000005</v>
      </c>
      <c r="O58">
        <v>3</v>
      </c>
      <c r="P58" s="117" t="str">
        <f>D82</f>
        <v>1:00</v>
      </c>
      <c r="R58" s="117">
        <f>D85</f>
        <v>338.48</v>
      </c>
      <c r="S58">
        <v>3</v>
      </c>
      <c r="T58" s="117" t="str">
        <f>D88</f>
        <v>19:00</v>
      </c>
    </row>
    <row r="59" spans="1:20">
      <c r="A59" s="127" t="s">
        <v>201</v>
      </c>
      <c r="B59" s="128">
        <f>IF(TRIM('HourGH-NOV'!U22)="","      ",'HourGH-NOV'!U22)</f>
        <v>0.66</v>
      </c>
      <c r="C59" s="128">
        <f>IF(TRIM('HourGH-NOV'!U23)="","      ",'HourGH-NOV'!U23)</f>
        <v>0.66</v>
      </c>
      <c r="D59" s="128">
        <f>IF(TRIM('HourGH-NOV'!U24)="","      ",'HourGH-NOV'!U24)</f>
        <v>0.63</v>
      </c>
      <c r="E59" s="128">
        <f>IF(TRIM('HourGH-NOV'!U25)="","      ",'HourGH-NOV'!U25)</f>
        <v>0.69</v>
      </c>
      <c r="F59" s="118">
        <f>IF(TRIM('HourGH-NOV'!U26)="","      ",'HourGH-NOV'!U26)</f>
        <v>0.83</v>
      </c>
      <c r="G59" s="118">
        <f>IF(TRIM('HourGH-NOV'!U27)="","      ",'HourGH-NOV'!U27)</f>
        <v>0.67</v>
      </c>
      <c r="H59" s="128">
        <f>IF(TRIM('HourGH-NOV'!U28)="","      ",'HourGH-NOV'!U28)</f>
        <v>0.66</v>
      </c>
      <c r="I59" s="128">
        <f>IF(TRIM('HourGH-NOV'!U29)="","      ",'HourGH-NOV'!U29)</f>
        <v>0.68</v>
      </c>
      <c r="J59" s="128">
        <f>IF(TRIM('HourGH-NOV'!U30)="","      ",'HourGH-NOV'!U30)</f>
        <v>0.77</v>
      </c>
      <c r="K59" s="128">
        <f>IF(TRIM('HourGH-NOV'!U31)="","      ",'HourGH-NOV'!U31)</f>
        <v>0.86</v>
      </c>
      <c r="N59" s="117">
        <f>E79</f>
        <v>338.47</v>
      </c>
      <c r="O59">
        <v>4</v>
      </c>
      <c r="P59" s="117" t="str">
        <f>E82</f>
        <v>1:00</v>
      </c>
      <c r="R59" s="117">
        <f>E85</f>
        <v>338.43</v>
      </c>
      <c r="S59">
        <v>4</v>
      </c>
      <c r="T59" s="117" t="str">
        <f>E88</f>
        <v>21:00</v>
      </c>
    </row>
    <row r="60" spans="1:20">
      <c r="A60" s="127" t="s">
        <v>202</v>
      </c>
      <c r="B60" s="128">
        <f>IF(TRIM('HourGH-NOV'!U33)="","      ",'HourGH-NOV'!U33)</f>
        <v>0.72</v>
      </c>
      <c r="C60" s="128">
        <f>IF(TRIM('HourGH-NOV'!U34)="","      ",'HourGH-NOV'!U34)</f>
        <v>0.66</v>
      </c>
      <c r="D60" s="128">
        <f>IF(TRIM('HourGH-NOV'!U35)="","      ",'HourGH-NOV'!U35)</f>
        <v>0.63</v>
      </c>
      <c r="E60" s="128">
        <f>IF(TRIM('HourGH-NOV'!U36)="","      ",'HourGH-NOV'!U36)</f>
        <v>0.61</v>
      </c>
      <c r="F60" s="118">
        <f>IF(TRIM('HourGH-NOV'!U37)="","      ",'HourGH-NOV'!U37)</f>
        <v>0.59</v>
      </c>
      <c r="G60" s="118">
        <f>IF(TRIM('HourGH-NOV'!U38)="","      ",'HourGH-NOV'!U38)</f>
        <v>0.57999999999999996</v>
      </c>
      <c r="H60" s="128">
        <f>IF(TRIM('HourGH-NOV'!U39)="","      ",'HourGH-NOV'!U39)</f>
        <v>0.57999999999999996</v>
      </c>
      <c r="I60" s="128">
        <f>IF(TRIM('HourGH-NOV'!U40)="","      ",'HourGH-NOV'!U40)</f>
        <v>0.57999999999999996</v>
      </c>
      <c r="J60" s="128">
        <f>IF(TRIM('HourGH-NOV'!U41)="","      ",'HourGH-NOV'!U41)</f>
        <v>0.56999999999999995</v>
      </c>
      <c r="K60" s="128">
        <f>IF(TRIM('HourGH-NOV'!U42)="","      ",'HourGH-NOV'!U42)</f>
        <v>0.56999999999999995</v>
      </c>
      <c r="N60" s="117">
        <f>F79</f>
        <v>338.42</v>
      </c>
      <c r="O60">
        <v>5</v>
      </c>
      <c r="P60" s="117" t="str">
        <f>F82</f>
        <v>1:00</v>
      </c>
      <c r="R60" s="117">
        <f>F85</f>
        <v>338.39000000000004</v>
      </c>
      <c r="S60">
        <v>5</v>
      </c>
      <c r="T60" s="117" t="str">
        <f>F88</f>
        <v>19:00</v>
      </c>
    </row>
    <row r="61" spans="1:20">
      <c r="A61" s="127" t="s">
        <v>203</v>
      </c>
      <c r="B61" s="128">
        <f>IF(TRIM('HourGH-NOV'!V11)="","      ",'HourGH-NOV'!V11)</f>
        <v>0.99</v>
      </c>
      <c r="C61" s="128">
        <f>IF(TRIM('HourGH-NOV'!V12)="","      ",'HourGH-NOV'!V12)</f>
        <v>0.93</v>
      </c>
      <c r="D61" s="128">
        <f>IF(TRIM('HourGH-NOV'!V13)="","      ",'HourGH-NOV'!V13)</f>
        <v>0.88</v>
      </c>
      <c r="E61" s="128">
        <f>IF(TRIM('HourGH-NOV'!V14)="","      ",'HourGH-NOV'!V14)</f>
        <v>0.84</v>
      </c>
      <c r="F61" s="118">
        <f>IF(TRIM('HourGH-NOV'!V15)="","      ",'HourGH-NOV'!V15)</f>
        <v>0.79</v>
      </c>
      <c r="G61" s="118">
        <f>IF(TRIM('HourGH-NOV'!V16)="","      ",'HourGH-NOV'!V16)</f>
        <v>0.75</v>
      </c>
      <c r="H61" s="128">
        <f>IF(TRIM('HourGH-NOV'!V17)="","      ",'HourGH-NOV'!V17)</f>
        <v>0.73</v>
      </c>
      <c r="I61" s="128">
        <f>IF(TRIM('HourGH-NOV'!V18)="","      ",'HourGH-NOV'!V18)</f>
        <v>0.71</v>
      </c>
      <c r="J61" s="128">
        <f>IF(TRIM('HourGH-NOV'!V19)="","      ",'HourGH-NOV'!V19)</f>
        <v>0.69</v>
      </c>
      <c r="K61" s="128">
        <f>IF(TRIM('HourGH-NOV'!V20)="","      ",'HourGH-NOV'!V20)</f>
        <v>0.67</v>
      </c>
      <c r="N61" s="117">
        <f>G79</f>
        <v>338.38</v>
      </c>
      <c r="O61">
        <v>6</v>
      </c>
      <c r="P61" s="117" t="str">
        <f>G82</f>
        <v>1:00</v>
      </c>
      <c r="R61" s="117">
        <f>G85</f>
        <v>338.35</v>
      </c>
      <c r="S61">
        <v>6</v>
      </c>
      <c r="T61" s="117" t="str">
        <f>G88</f>
        <v>19:00</v>
      </c>
    </row>
    <row r="62" spans="1:20">
      <c r="A62" s="127" t="s">
        <v>204</v>
      </c>
      <c r="B62" s="128">
        <f>IF(TRIM('HourGH-NOV'!V22)="","      ",'HourGH-NOV'!V22)</f>
        <v>0.66</v>
      </c>
      <c r="C62" s="128">
        <f>IF(TRIM('HourGH-NOV'!V23)="","      ",'HourGH-NOV'!V23)</f>
        <v>0.66</v>
      </c>
      <c r="D62" s="128">
        <f>IF(TRIM('HourGH-NOV'!V24)="","      ",'HourGH-NOV'!V24)</f>
        <v>0.63</v>
      </c>
      <c r="E62" s="128">
        <f>IF(TRIM('HourGH-NOV'!V25)="","      ",'HourGH-NOV'!V25)</f>
        <v>0.7</v>
      </c>
      <c r="F62" s="118">
        <f>IF(TRIM('HourGH-NOV'!V26)="","      ",'HourGH-NOV'!V26)</f>
        <v>0.81</v>
      </c>
      <c r="G62" s="118">
        <f>IF(TRIM('HourGH-NOV'!V27)="","      ",'HourGH-NOV'!V27)</f>
        <v>0.67</v>
      </c>
      <c r="H62" s="128">
        <f>IF(TRIM('HourGH-NOV'!V28)="","      ",'HourGH-NOV'!V28)</f>
        <v>0.66</v>
      </c>
      <c r="I62" s="128">
        <f>IF(TRIM('HourGH-NOV'!V29)="","      ",'HourGH-NOV'!V29)</f>
        <v>0.68</v>
      </c>
      <c r="J62" s="128">
        <f>IF(TRIM('HourGH-NOV'!V30)="","      ",'HourGH-NOV'!V30)</f>
        <v>0.77</v>
      </c>
      <c r="K62" s="128">
        <f>IF(TRIM('HourGH-NOV'!V31)="","      ",'HourGH-NOV'!V31)</f>
        <v>0.85</v>
      </c>
      <c r="N62" s="117">
        <f>H79</f>
        <v>338.34000000000003</v>
      </c>
      <c r="O62">
        <v>7</v>
      </c>
      <c r="P62" s="117" t="str">
        <f>H82</f>
        <v>1:00</v>
      </c>
      <c r="R62" s="117">
        <f>H85</f>
        <v>338.33000000000004</v>
      </c>
      <c r="S62">
        <v>7</v>
      </c>
      <c r="T62" s="117" t="str">
        <f>H88</f>
        <v>13:00</v>
      </c>
    </row>
    <row r="63" spans="1:20">
      <c r="A63" s="127" t="s">
        <v>205</v>
      </c>
      <c r="B63" s="128">
        <f>IF(TRIM('HourGH-NOV'!V33)="","      ",'HourGH-NOV'!V33)</f>
        <v>0.72</v>
      </c>
      <c r="C63" s="128">
        <f>IF(TRIM('HourGH-NOV'!V34)="","      ",'HourGH-NOV'!V34)</f>
        <v>0.66</v>
      </c>
      <c r="D63" s="128">
        <f>IF(TRIM('HourGH-NOV'!V35)="","      ",'HourGH-NOV'!V35)</f>
        <v>0.63</v>
      </c>
      <c r="E63" s="128">
        <f>IF(TRIM('HourGH-NOV'!V36)="","      ",'HourGH-NOV'!V36)</f>
        <v>0.61</v>
      </c>
      <c r="F63" s="118">
        <f>IF(TRIM('HourGH-NOV'!V37)="","      ",'HourGH-NOV'!V37)</f>
        <v>0.59</v>
      </c>
      <c r="G63" s="118">
        <f>IF(TRIM('HourGH-NOV'!V38)="","      ",'HourGH-NOV'!V38)</f>
        <v>0.57999999999999996</v>
      </c>
      <c r="H63" s="128">
        <f>IF(TRIM('HourGH-NOV'!V39)="","      ",'HourGH-NOV'!V39)</f>
        <v>0.57999999999999996</v>
      </c>
      <c r="I63" s="128">
        <f>IF(TRIM('HourGH-NOV'!V40)="","      ",'HourGH-NOV'!V40)</f>
        <v>0.57999999999999996</v>
      </c>
      <c r="J63" s="128">
        <f>IF(TRIM('HourGH-NOV'!V41)="","      ",'HourGH-NOV'!V41)</f>
        <v>0.56999999999999995</v>
      </c>
      <c r="K63" s="128">
        <f>IF(TRIM('HourGH-NOV'!V42)="","      ",'HourGH-NOV'!V42)</f>
        <v>0.56999999999999995</v>
      </c>
      <c r="N63" s="117">
        <f>I79</f>
        <v>338.32000000000005</v>
      </c>
      <c r="O63">
        <v>8</v>
      </c>
      <c r="P63" s="117" t="str">
        <f>I82</f>
        <v>1:00</v>
      </c>
      <c r="R63" s="117">
        <f>I85</f>
        <v>338.31</v>
      </c>
      <c r="S63">
        <v>8</v>
      </c>
      <c r="T63" s="117" t="str">
        <f>I88</f>
        <v>13:00</v>
      </c>
    </row>
    <row r="64" spans="1:20">
      <c r="A64" s="127" t="s">
        <v>206</v>
      </c>
      <c r="B64" s="128">
        <f>IF(TRIM('HourGH-NOV'!W11)="","      ",'HourGH-NOV'!W11)</f>
        <v>0.99</v>
      </c>
      <c r="C64" s="128">
        <f>IF(TRIM('HourGH-NOV'!W12)="","      ",'HourGH-NOV'!W12)</f>
        <v>0.92</v>
      </c>
      <c r="D64" s="128">
        <f>IF(TRIM('HourGH-NOV'!W13)="","      ",'HourGH-NOV'!W13)</f>
        <v>0.88</v>
      </c>
      <c r="E64" s="128">
        <f>IF(TRIM('HourGH-NOV'!W14)="","      ",'HourGH-NOV'!W14)</f>
        <v>0.83</v>
      </c>
      <c r="F64" s="118">
        <f>IF(TRIM('HourGH-NOV'!W15)="","      ",'HourGH-NOV'!W15)</f>
        <v>0.79</v>
      </c>
      <c r="G64" s="118">
        <f>IF(TRIM('HourGH-NOV'!W16)="","      ",'HourGH-NOV'!W16)</f>
        <v>0.75</v>
      </c>
      <c r="H64" s="128">
        <f>IF(TRIM('HourGH-NOV'!W17)="","      ",'HourGH-NOV'!W17)</f>
        <v>0.73</v>
      </c>
      <c r="I64" s="128">
        <f>IF(TRIM('HourGH-NOV'!W18)="","      ",'HourGH-NOV'!W18)</f>
        <v>0.71</v>
      </c>
      <c r="J64" s="128">
        <f>IF(TRIM('HourGH-NOV'!W19)="","      ",'HourGH-NOV'!W19)</f>
        <v>0.69</v>
      </c>
      <c r="K64" s="128">
        <f>IF(TRIM('HourGH-NOV'!W20)="","      ",'HourGH-NOV'!W20)</f>
        <v>0.67</v>
      </c>
      <c r="N64" s="117">
        <f>J79</f>
        <v>338.3</v>
      </c>
      <c r="O64">
        <v>9</v>
      </c>
      <c r="P64" s="117" t="str">
        <f>J82</f>
        <v>1:00</v>
      </c>
      <c r="R64" s="117">
        <f>J85</f>
        <v>338.29</v>
      </c>
      <c r="S64">
        <v>9</v>
      </c>
      <c r="T64" s="117" t="str">
        <f>J88</f>
        <v>13:00</v>
      </c>
    </row>
    <row r="65" spans="1:20">
      <c r="A65" s="127" t="s">
        <v>207</v>
      </c>
      <c r="B65" s="128">
        <f>IF(TRIM('HourGH-NOV'!W22)="","      ",'HourGH-NOV'!W22)</f>
        <v>0.66</v>
      </c>
      <c r="C65" s="128">
        <f>IF(TRIM('HourGH-NOV'!W23)="","      ",'HourGH-NOV'!W23)</f>
        <v>0.66</v>
      </c>
      <c r="D65" s="128">
        <f>IF(TRIM('HourGH-NOV'!W24)="","      ",'HourGH-NOV'!W24)</f>
        <v>0.63</v>
      </c>
      <c r="E65" s="128">
        <f>IF(TRIM('HourGH-NOV'!W25)="","      ",'HourGH-NOV'!W25)</f>
        <v>0.71</v>
      </c>
      <c r="F65" s="118">
        <f>IF(TRIM('HourGH-NOV'!W26)="","      ",'HourGH-NOV'!W26)</f>
        <v>0.78</v>
      </c>
      <c r="G65" s="118">
        <f>IF(TRIM('HourGH-NOV'!W27)="","      ",'HourGH-NOV'!W27)</f>
        <v>0.67</v>
      </c>
      <c r="H65" s="128">
        <f>IF(TRIM('HourGH-NOV'!W28)="","      ",'HourGH-NOV'!W28)</f>
        <v>0.66</v>
      </c>
      <c r="I65" s="128">
        <f>IF(TRIM('HourGH-NOV'!W29)="","      ",'HourGH-NOV'!W29)</f>
        <v>0.68</v>
      </c>
      <c r="J65" s="128">
        <f>IF(TRIM('HourGH-NOV'!W30)="","      ",'HourGH-NOV'!W30)</f>
        <v>0.78</v>
      </c>
      <c r="K65" s="128">
        <f>IF(TRIM('HourGH-NOV'!W31)="","      ",'HourGH-NOV'!W31)</f>
        <v>0.85</v>
      </c>
      <c r="N65" s="117">
        <f>K79</f>
        <v>338.28000000000003</v>
      </c>
      <c r="O65">
        <v>10</v>
      </c>
      <c r="P65" s="117" t="str">
        <f>K82</f>
        <v>1:00</v>
      </c>
      <c r="R65" s="117">
        <f>K85</f>
        <v>338.27000000000004</v>
      </c>
      <c r="S65">
        <v>10</v>
      </c>
      <c r="T65" s="117" t="str">
        <f>K88</f>
        <v>13:00</v>
      </c>
    </row>
    <row r="66" spans="1:20">
      <c r="A66" s="127" t="s">
        <v>208</v>
      </c>
      <c r="B66" s="128">
        <f>IF(TRIM('HourGH-NOV'!W33)="","      ",'HourGH-NOV'!W33)</f>
        <v>0.72</v>
      </c>
      <c r="C66" s="128">
        <f>IF(TRIM('HourGH-NOV'!W34)="","      ",'HourGH-NOV'!W34)</f>
        <v>0.66</v>
      </c>
      <c r="D66" s="128">
        <f>IF(TRIM('HourGH-NOV'!W35)="","      ",'HourGH-NOV'!W35)</f>
        <v>0.63</v>
      </c>
      <c r="E66" s="128">
        <f>IF(TRIM('HourGH-NOV'!W36)="","      ",'HourGH-NOV'!W36)</f>
        <v>0.61</v>
      </c>
      <c r="F66" s="118">
        <f>IF(TRIM('HourGH-NOV'!W37)="","      ",'HourGH-NOV'!W37)</f>
        <v>0.59</v>
      </c>
      <c r="G66" s="118">
        <f>IF(TRIM('HourGH-NOV'!W38)="","      ",'HourGH-NOV'!W38)</f>
        <v>0.57999999999999996</v>
      </c>
      <c r="H66" s="128">
        <f>IF(TRIM('HourGH-NOV'!W39)="","      ",'HourGH-NOV'!W39)</f>
        <v>0.57999999999999996</v>
      </c>
      <c r="I66" s="128">
        <f>IF(TRIM('HourGH-NOV'!W40)="","      ",'HourGH-NOV'!W40)</f>
        <v>0.57999999999999996</v>
      </c>
      <c r="J66" s="128">
        <f>IF(TRIM('HourGH-NOV'!W41)="","      ",'HourGH-NOV'!W41)</f>
        <v>0.56999999999999995</v>
      </c>
      <c r="K66" s="128">
        <f>IF(TRIM('HourGH-NOV'!W42)="","      ",'HourGH-NOV'!W42)</f>
        <v>0.56999999999999995</v>
      </c>
      <c r="N66" s="117">
        <f>B80</f>
        <v>338.26000000000005</v>
      </c>
      <c r="O66">
        <v>11</v>
      </c>
      <c r="P66" s="117" t="str">
        <f>B83</f>
        <v>1:00</v>
      </c>
      <c r="R66" s="117">
        <f>B86</f>
        <v>338.26000000000005</v>
      </c>
      <c r="S66">
        <v>11</v>
      </c>
      <c r="T66" s="117" t="str">
        <f>B89</f>
        <v>1:00</v>
      </c>
    </row>
    <row r="67" spans="1:20">
      <c r="A67" s="127" t="s">
        <v>209</v>
      </c>
      <c r="B67" s="128">
        <f>IF(TRIM('HourGH-NOV'!X11)="","      ",'HourGH-NOV'!X11)</f>
        <v>0.99</v>
      </c>
      <c r="C67" s="128">
        <f>IF(TRIM('HourGH-NOV'!X12)="","      ",'HourGH-NOV'!X12)</f>
        <v>0.92</v>
      </c>
      <c r="D67" s="128">
        <f>IF(TRIM('HourGH-NOV'!X13)="","      ",'HourGH-NOV'!X13)</f>
        <v>0.88</v>
      </c>
      <c r="E67" s="128">
        <f>IF(TRIM('HourGH-NOV'!X14)="","      ",'HourGH-NOV'!X14)</f>
        <v>0.83</v>
      </c>
      <c r="F67" s="118">
        <f>IF(TRIM('HourGH-NOV'!X15)="","      ",'HourGH-NOV'!X15)</f>
        <v>0.79</v>
      </c>
      <c r="G67" s="118">
        <f>IF(TRIM('HourGH-NOV'!X16)="","      ",'HourGH-NOV'!X16)</f>
        <v>0.75</v>
      </c>
      <c r="H67" s="128">
        <f>IF(TRIM('HourGH-NOV'!X17)="","      ",'HourGH-NOV'!X17)</f>
        <v>0.73</v>
      </c>
      <c r="I67" s="128">
        <f>IF(TRIM('HourGH-NOV'!X18)="","      ",'HourGH-NOV'!X18)</f>
        <v>0.71</v>
      </c>
      <c r="J67" s="128">
        <f>IF(TRIM('HourGH-NOV'!X19)="","      ",'HourGH-NOV'!X19)</f>
        <v>0.69</v>
      </c>
      <c r="K67" s="128">
        <f>IF(TRIM('HourGH-NOV'!X20)="","      ",'HourGH-NOV'!X20)</f>
        <v>0.67</v>
      </c>
      <c r="N67" s="117">
        <f>C80</f>
        <v>338.26000000000005</v>
      </c>
      <c r="O67">
        <v>12</v>
      </c>
      <c r="P67" s="117" t="str">
        <f>C83</f>
        <v>1:00</v>
      </c>
      <c r="R67" s="117">
        <f>C86</f>
        <v>338.26000000000005</v>
      </c>
      <c r="S67">
        <v>12</v>
      </c>
      <c r="T67" s="117" t="str">
        <f>C89</f>
        <v>1:00</v>
      </c>
    </row>
    <row r="68" spans="1:20">
      <c r="A68" s="127" t="s">
        <v>210</v>
      </c>
      <c r="B68" s="128">
        <f>IF(TRIM('HourGH-NOV'!X22)="","      ",'HourGH-NOV'!X22)</f>
        <v>0.66</v>
      </c>
      <c r="C68" s="128">
        <f>IF(TRIM('HourGH-NOV'!X23)="","      ",'HourGH-NOV'!X23)</f>
        <v>0.66</v>
      </c>
      <c r="D68" s="128">
        <f>IF(TRIM('HourGH-NOV'!X24)="","      ",'HourGH-NOV'!X24)</f>
        <v>0.63</v>
      </c>
      <c r="E68" s="128">
        <f>IF(TRIM('HourGH-NOV'!X25)="","      ",'HourGH-NOV'!X25)</f>
        <v>0.72</v>
      </c>
      <c r="F68" s="118">
        <f>IF(TRIM('HourGH-NOV'!X26)="","      ",'HourGH-NOV'!X26)</f>
        <v>0.76</v>
      </c>
      <c r="G68" s="118">
        <f>IF(TRIM('HourGH-NOV'!X27)="","      ",'HourGH-NOV'!X27)</f>
        <v>0.67</v>
      </c>
      <c r="H68" s="128">
        <f>IF(TRIM('HourGH-NOV'!X28)="","      ",'HourGH-NOV'!X28)</f>
        <v>0.66</v>
      </c>
      <c r="I68" s="128">
        <f>IF(TRIM('HourGH-NOV'!X29)="","      ",'HourGH-NOV'!X29)</f>
        <v>0.68</v>
      </c>
      <c r="J68" s="128">
        <f>IF(TRIM('HourGH-NOV'!X30)="","      ",'HourGH-NOV'!X30)</f>
        <v>0.79</v>
      </c>
      <c r="K68" s="128">
        <f>IF(TRIM('HourGH-NOV'!X31)="","      ",'HourGH-NOV'!X31)</f>
        <v>0.84</v>
      </c>
      <c r="N68" s="117">
        <f>D80</f>
        <v>338.25</v>
      </c>
      <c r="O68">
        <v>13</v>
      </c>
      <c r="P68" s="117" t="str">
        <f>D83</f>
        <v>1:00</v>
      </c>
      <c r="R68" s="117">
        <f>D86</f>
        <v>338.23</v>
      </c>
      <c r="S68">
        <v>13</v>
      </c>
      <c r="T68" s="117" t="str">
        <f>D89</f>
        <v>19:00</v>
      </c>
    </row>
    <row r="69" spans="1:20">
      <c r="A69" s="127" t="s">
        <v>211</v>
      </c>
      <c r="B69" s="128">
        <f>IF(TRIM('HourGH-NOV'!X33)="","      ",'HourGH-NOV'!X33)</f>
        <v>0.72</v>
      </c>
      <c r="C69" s="128">
        <f>IF(TRIM('HourGH-NOV'!X34)="","      ",'HourGH-NOV'!X34)</f>
        <v>0.65</v>
      </c>
      <c r="D69" s="128">
        <f>IF(TRIM('HourGH-NOV'!X35)="","      ",'HourGH-NOV'!X35)</f>
        <v>0.63</v>
      </c>
      <c r="E69" s="128">
        <f>IF(TRIM('HourGH-NOV'!X36)="","      ",'HourGH-NOV'!X36)</f>
        <v>0.61</v>
      </c>
      <c r="F69" s="118">
        <f>IF(TRIM('HourGH-NOV'!X37)="","      ",'HourGH-NOV'!X37)</f>
        <v>0.59</v>
      </c>
      <c r="G69" s="118">
        <f>IF(TRIM('HourGH-NOV'!X38)="","      ",'HourGH-NOV'!X38)</f>
        <v>0.57999999999999996</v>
      </c>
      <c r="H69" s="128">
        <f>IF(TRIM('HourGH-NOV'!X39)="","      ",'HourGH-NOV'!X39)</f>
        <v>0.57999999999999996</v>
      </c>
      <c r="I69" s="128">
        <f>IF(TRIM('HourGH-NOV'!X40)="","      ",'HourGH-NOV'!X40)</f>
        <v>0.57999999999999996</v>
      </c>
      <c r="J69" s="128">
        <f>IF(TRIM('HourGH-NOV'!X41)="","      ",'HourGH-NOV'!X41)</f>
        <v>0.56999999999999995</v>
      </c>
      <c r="K69" s="128">
        <f>IF(TRIM('HourGH-NOV'!X42)="","      ",'HourGH-NOV'!X42)</f>
        <v>0.56999999999999995</v>
      </c>
      <c r="N69" s="117">
        <f>E80</f>
        <v>338.33000000000004</v>
      </c>
      <c r="O69">
        <v>14</v>
      </c>
      <c r="P69" s="117" t="str">
        <f>E83</f>
        <v>24:00</v>
      </c>
      <c r="R69" s="117">
        <f>E86</f>
        <v>338.22</v>
      </c>
      <c r="S69">
        <v>14</v>
      </c>
      <c r="T69" s="117" t="str">
        <f>E89</f>
        <v>1:00</v>
      </c>
    </row>
    <row r="70" spans="1:20">
      <c r="A70" s="127" t="s">
        <v>212</v>
      </c>
      <c r="B70" s="128">
        <f>IF(TRIM('HourGH-NOV'!Y11)="","      ",'HourGH-NOV'!Y11)</f>
        <v>0.99</v>
      </c>
      <c r="C70" s="128">
        <f>IF(TRIM('HourGH-NOV'!Y12)="","      ",'HourGH-NOV'!Y12)</f>
        <v>0.92</v>
      </c>
      <c r="D70" s="128">
        <f>IF(TRIM('HourGH-NOV'!Y13)="","      ",'HourGH-NOV'!Y13)</f>
        <v>0.88</v>
      </c>
      <c r="E70" s="128">
        <f>IF(TRIM('HourGH-NOV'!Y14)="","      ",'HourGH-NOV'!Y14)</f>
        <v>0.83</v>
      </c>
      <c r="F70" s="118">
        <f>IF(TRIM('HourGH-NOV'!Y15)="","      ",'HourGH-NOV'!Y15)</f>
        <v>0.79</v>
      </c>
      <c r="G70" s="118">
        <f>IF(TRIM('HourGH-NOV'!Y16)="","      ",'HourGH-NOV'!Y16)</f>
        <v>0.75</v>
      </c>
      <c r="H70" s="128">
        <f>IF(TRIM('HourGH-NOV'!Y17)="","      ",'HourGH-NOV'!Y17)</f>
        <v>0.73</v>
      </c>
      <c r="I70" s="128">
        <f>IF(TRIM('HourGH-NOV'!Y18)="","      ",'HourGH-NOV'!Y18)</f>
        <v>0.71</v>
      </c>
      <c r="J70" s="128">
        <f>IF(TRIM('HourGH-NOV'!Y19)="","      ",'HourGH-NOV'!Y19)</f>
        <v>0.69</v>
      </c>
      <c r="K70" s="128">
        <f>IF(TRIM('HourGH-NOV'!Y20)="","      ",'HourGH-NOV'!Y20)</f>
        <v>0.67</v>
      </c>
      <c r="N70" s="117">
        <f>F80</f>
        <v>338.5</v>
      </c>
      <c r="O70">
        <v>15</v>
      </c>
      <c r="P70" s="117" t="str">
        <f>F83</f>
        <v>11:00</v>
      </c>
      <c r="R70" s="117">
        <f>F86</f>
        <v>338.33000000000004</v>
      </c>
      <c r="S70">
        <v>15</v>
      </c>
      <c r="T70" s="117" t="str">
        <f>F89</f>
        <v>24:00</v>
      </c>
    </row>
    <row r="71" spans="1:20">
      <c r="A71" s="127" t="s">
        <v>213</v>
      </c>
      <c r="B71" s="128">
        <f>IF(TRIM('HourGH-NOV'!Y22)="","      ",'HourGH-NOV'!Y22)</f>
        <v>0.66</v>
      </c>
      <c r="C71" s="128">
        <f>IF(TRIM('HourGH-NOV'!Y23)="","      ",'HourGH-NOV'!Y23)</f>
        <v>0.66</v>
      </c>
      <c r="D71" s="128">
        <f>IF(TRIM('HourGH-NOV'!Y24)="","      ",'HourGH-NOV'!Y24)</f>
        <v>0.63</v>
      </c>
      <c r="E71" s="128">
        <f>IF(TRIM('HourGH-NOV'!Y25)="","      ",'HourGH-NOV'!Y25)</f>
        <v>0.72</v>
      </c>
      <c r="F71" s="118">
        <f>IF(TRIM('HourGH-NOV'!Y26)="","      ",'HourGH-NOV'!Y26)</f>
        <v>0.74</v>
      </c>
      <c r="G71" s="118">
        <f>IF(TRIM('HourGH-NOV'!Y27)="","      ",'HourGH-NOV'!Y27)</f>
        <v>0.67</v>
      </c>
      <c r="H71" s="128">
        <f>IF(TRIM('HourGH-NOV'!Y28)="","      ",'HourGH-NOV'!Y28)</f>
        <v>0.66</v>
      </c>
      <c r="I71" s="128">
        <f>IF(TRIM('HourGH-NOV'!Y29)="","      ",'HourGH-NOV'!Y29)</f>
        <v>0.68</v>
      </c>
      <c r="J71" s="128">
        <f>IF(TRIM('HourGH-NOV'!Y30)="","      ",'HourGH-NOV'!Y30)</f>
        <v>0.8</v>
      </c>
      <c r="K71" s="128">
        <f>IF(TRIM('HourGH-NOV'!Y31)="","      ",'HourGH-NOV'!Y31)</f>
        <v>0.83</v>
      </c>
      <c r="N71" s="117">
        <f>G80</f>
        <v>338.32000000000005</v>
      </c>
      <c r="O71">
        <v>16</v>
      </c>
      <c r="P71" s="117" t="str">
        <f>G83</f>
        <v>1:00</v>
      </c>
      <c r="R71" s="117">
        <f>G86</f>
        <v>338.27000000000004</v>
      </c>
      <c r="S71">
        <v>16</v>
      </c>
      <c r="T71" s="117" t="str">
        <f>G89</f>
        <v>13:00</v>
      </c>
    </row>
    <row r="72" spans="1:20">
      <c r="A72" s="127" t="s">
        <v>214</v>
      </c>
      <c r="B72" s="128">
        <f>IF(TRIM('HourGH-NOV'!Y33)="","      ",'HourGH-NOV'!Y33)</f>
        <v>0.72</v>
      </c>
      <c r="C72" s="128">
        <f>IF(TRIM('HourGH-NOV'!Y34)="","      ",'HourGH-NOV'!Y34)</f>
        <v>0.65</v>
      </c>
      <c r="D72" s="128">
        <f>IF(TRIM('HourGH-NOV'!Y35)="","      ",'HourGH-NOV'!Y35)</f>
        <v>0.63</v>
      </c>
      <c r="E72" s="128">
        <f>IF(TRIM('HourGH-NOV'!Y36)="","      ",'HourGH-NOV'!Y36)</f>
        <v>0.61</v>
      </c>
      <c r="F72" s="118">
        <f>IF(TRIM('HourGH-NOV'!Y37)="","      ",'HourGH-NOV'!Y37)</f>
        <v>0.59</v>
      </c>
      <c r="G72" s="118">
        <f>IF(TRIM('HourGH-NOV'!Y38)="","      ",'HourGH-NOV'!Y38)</f>
        <v>0.57999999999999996</v>
      </c>
      <c r="H72" s="128">
        <f>IF(TRIM('HourGH-NOV'!Y39)="","      ",'HourGH-NOV'!Y39)</f>
        <v>0.57999999999999996</v>
      </c>
      <c r="I72" s="128">
        <f>IF(TRIM('HourGH-NOV'!Y40)="","      ",'HourGH-NOV'!Y40)</f>
        <v>0.57999999999999996</v>
      </c>
      <c r="J72" s="128">
        <f>IF(TRIM('HourGH-NOV'!Y41)="","      ",'HourGH-NOV'!Y41)</f>
        <v>0.56999999999999995</v>
      </c>
      <c r="K72" s="128">
        <f>IF(TRIM('HourGH-NOV'!Y42)="","      ",'HourGH-NOV'!Y42)</f>
        <v>0.56999999999999995</v>
      </c>
      <c r="N72" s="117">
        <f>H80</f>
        <v>338.26000000000005</v>
      </c>
      <c r="O72">
        <v>17</v>
      </c>
      <c r="P72" s="117" t="str">
        <f>H83</f>
        <v>1:00</v>
      </c>
      <c r="R72" s="117">
        <f>H86</f>
        <v>338.26000000000005</v>
      </c>
      <c r="S72">
        <v>17</v>
      </c>
      <c r="T72" s="117" t="str">
        <f>H89</f>
        <v>1:00</v>
      </c>
    </row>
    <row r="73" spans="1:20">
      <c r="A73" s="127" t="s">
        <v>215</v>
      </c>
      <c r="B73" s="128">
        <f>IF(TRIM('HourGH-NOV'!Z11)="","      ",'HourGH-NOV'!Z11)</f>
        <v>0.99</v>
      </c>
      <c r="C73" s="128">
        <f>IF(TRIM('HourGH-NOV'!Z12)="","      ",'HourGH-NOV'!Z12)</f>
        <v>0.92</v>
      </c>
      <c r="D73" s="128">
        <f>IF(TRIM('HourGH-NOV'!Z13)="","      ",'HourGH-NOV'!Z13)</f>
        <v>0.88</v>
      </c>
      <c r="E73" s="128">
        <f>IF(TRIM('HourGH-NOV'!Z14)="","      ",'HourGH-NOV'!Z14)</f>
        <v>0.83</v>
      </c>
      <c r="F73" s="118">
        <f>IF(TRIM('HourGH-NOV'!Z15)="","      ",'HourGH-NOV'!Z15)</f>
        <v>0.79</v>
      </c>
      <c r="G73" s="118">
        <f>IF(TRIM('HourGH-NOV'!Z16)="","      ",'HourGH-NOV'!Z16)</f>
        <v>0.75</v>
      </c>
      <c r="H73" s="128">
        <f>IF(TRIM('HourGH-NOV'!Z17)="","      ",'HourGH-NOV'!Z17)</f>
        <v>0.73</v>
      </c>
      <c r="I73" s="128">
        <f>IF(TRIM('HourGH-NOV'!Z18)="","      ",'HourGH-NOV'!Z18)</f>
        <v>0.71</v>
      </c>
      <c r="J73" s="128">
        <f>IF(TRIM('HourGH-NOV'!Z19)="","      ",'HourGH-NOV'!Z19)</f>
        <v>0.69</v>
      </c>
      <c r="K73" s="128">
        <f>IF(TRIM('HourGH-NOV'!Z20)="","      ",'HourGH-NOV'!Z20)</f>
        <v>0.67</v>
      </c>
      <c r="N73" s="117">
        <f>I80</f>
        <v>338.28000000000003</v>
      </c>
      <c r="O73">
        <v>18</v>
      </c>
      <c r="P73" s="117" t="str">
        <f>I83</f>
        <v>19:00</v>
      </c>
      <c r="R73" s="117">
        <f>I86</f>
        <v>338.25</v>
      </c>
      <c r="S73">
        <v>18</v>
      </c>
      <c r="T73" s="117" t="str">
        <f>I89</f>
        <v>1:00</v>
      </c>
    </row>
    <row r="74" spans="1:20">
      <c r="A74" s="127" t="s">
        <v>216</v>
      </c>
      <c r="B74" s="128">
        <f>IF(TRIM('HourGH-NOV'!Z22)="","      ",'HourGH-NOV'!Z22)</f>
        <v>0.66</v>
      </c>
      <c r="C74" s="128">
        <f>IF(TRIM('HourGH-NOV'!Z23)="","      ",'HourGH-NOV'!Z23)</f>
        <v>0.66</v>
      </c>
      <c r="D74" s="128">
        <f>IF(TRIM('HourGH-NOV'!Z24)="","      ",'HourGH-NOV'!Z24)</f>
        <v>0.63</v>
      </c>
      <c r="E74" s="128">
        <f>IF(TRIM('HourGH-NOV'!Z25)="","      ",'HourGH-NOV'!Z25)</f>
        <v>0.73</v>
      </c>
      <c r="F74" s="118">
        <f>IF(TRIM('HourGH-NOV'!Z26)="","      ",'HourGH-NOV'!Z26)</f>
        <v>0.73</v>
      </c>
      <c r="G74" s="118">
        <f>IF(TRIM('HourGH-NOV'!Z27)="","      ",'HourGH-NOV'!Z27)</f>
        <v>0.67</v>
      </c>
      <c r="H74" s="128">
        <f>IF(TRIM('HourGH-NOV'!Z28)="","      ",'HourGH-NOV'!Z28)</f>
        <v>0.66</v>
      </c>
      <c r="I74" s="128">
        <f>IF(TRIM('HourGH-NOV'!Z29)="","      ",'HourGH-NOV'!Z29)</f>
        <v>0.68</v>
      </c>
      <c r="J74" s="128">
        <f>IF(TRIM('HourGH-NOV'!Z30)="","      ",'HourGH-NOV'!Z30)</f>
        <v>0.81</v>
      </c>
      <c r="K74" s="128">
        <f>IF(TRIM('HourGH-NOV'!Z31)="","      ",'HourGH-NOV'!Z31)</f>
        <v>0.82</v>
      </c>
      <c r="N74" s="117">
        <f>J80</f>
        <v>338.41</v>
      </c>
      <c r="O74">
        <v>19</v>
      </c>
      <c r="P74" s="117" t="str">
        <f>J83</f>
        <v>24:00</v>
      </c>
      <c r="R74" s="117">
        <f>J86</f>
        <v>338.29</v>
      </c>
      <c r="S74">
        <v>19</v>
      </c>
      <c r="T74" s="117" t="str">
        <f>J89</f>
        <v>1:00</v>
      </c>
    </row>
    <row r="75" spans="1:20">
      <c r="A75" s="127" t="s">
        <v>217</v>
      </c>
      <c r="B75" s="128">
        <f>IF(TRIM('HourGH-NOV'!Z33)="","      ",'HourGH-NOV'!Z33)</f>
        <v>0.72</v>
      </c>
      <c r="C75" s="128">
        <f>IF(TRIM('HourGH-NOV'!Z34)="","      ",'HourGH-NOV'!Z34)</f>
        <v>0.65</v>
      </c>
      <c r="D75" s="128">
        <f>IF(TRIM('HourGH-NOV'!Z35)="","      ",'HourGH-NOV'!Z35)</f>
        <v>0.63</v>
      </c>
      <c r="E75" s="128">
        <f>IF(TRIM('HourGH-NOV'!Z36)="","      ",'HourGH-NOV'!Z36)</f>
        <v>0.61</v>
      </c>
      <c r="F75" s="118">
        <f>IF(TRIM('HourGH-NOV'!Z37)="","      ",'HourGH-NOV'!Z37)</f>
        <v>0.59</v>
      </c>
      <c r="G75" s="118">
        <f>IF(TRIM('HourGH-NOV'!Z38)="","      ",'HourGH-NOV'!Z38)</f>
        <v>0.57999999999999996</v>
      </c>
      <c r="H75" s="128">
        <f>IF(TRIM('HourGH-NOV'!Z39)="","      ",'HourGH-NOV'!Z39)</f>
        <v>0.57999999999999996</v>
      </c>
      <c r="I75" s="128">
        <f>IF(TRIM('HourGH-NOV'!Z40)="","      ",'HourGH-NOV'!Z40)</f>
        <v>0.57999999999999996</v>
      </c>
      <c r="J75" s="128">
        <f>IF(TRIM('HourGH-NOV'!Z41)="","      ",'HourGH-NOV'!Z41)</f>
        <v>0.56999999999999995</v>
      </c>
      <c r="K75" s="128">
        <f>IF(TRIM('HourGH-NOV'!Z42)="","      ",'HourGH-NOV'!Z42)</f>
        <v>0.56999999999999995</v>
      </c>
      <c r="N75" s="117">
        <f>K80</f>
        <v>338.49</v>
      </c>
      <c r="O75">
        <v>20</v>
      </c>
      <c r="P75" s="117" t="str">
        <f>K83</f>
        <v>10:00</v>
      </c>
      <c r="R75" s="117">
        <f>K86</f>
        <v>338.42</v>
      </c>
      <c r="S75">
        <v>20</v>
      </c>
      <c r="T75" s="117" t="str">
        <f>K89</f>
        <v>1:00</v>
      </c>
    </row>
    <row r="76" spans="1:20">
      <c r="A76" t="s">
        <v>228</v>
      </c>
      <c r="B76" s="119">
        <f>IF(TRIM('HourGH-NOV'!AB11)="","",'HourGH-NOV'!AB11)</f>
        <v>338.61666666666667</v>
      </c>
      <c r="C76" s="119">
        <f>IF(TRIM('HourGH-NOV'!AB12)="","",'HourGH-NOV'!AB12)</f>
        <v>338.55125000000004</v>
      </c>
      <c r="D76" s="119">
        <f>IF(TRIM('HourGH-NOV'!AB13)="","",'HourGH-NOV'!AB13)</f>
        <v>338.49458333333337</v>
      </c>
      <c r="E76" s="119">
        <f>IF(TRIM('HourGH-NOV'!AB14)="","",'HourGH-NOV'!AB14)</f>
        <v>338.45166666666671</v>
      </c>
      <c r="F76" s="119">
        <f>IF(TRIM('HourGH-NOV'!AB15)="","",'HourGH-NOV'!AB15)</f>
        <v>338.40458333333333</v>
      </c>
      <c r="G76" s="119">
        <f>IF(TRIM('HourGH-NOV'!AB16)="","",'HourGH-NOV'!AB16)</f>
        <v>338.36500000000001</v>
      </c>
      <c r="H76" s="119">
        <f>IF(TRIM('HourGH-NOV'!AB17)="","",'HourGH-NOV'!AB17)</f>
        <v>338.33500000000004</v>
      </c>
      <c r="I76" s="119">
        <f>IF(TRIM('HourGH-NOV'!AB18)="","",'HourGH-NOV'!AB18)</f>
        <v>338.315</v>
      </c>
      <c r="J76" s="119">
        <f>IF(TRIM('HourGH-NOV'!AB19)="","",'HourGH-NOV'!AB19)</f>
        <v>338.29500000000002</v>
      </c>
      <c r="K76" s="119">
        <f>IF(TRIM('HourGH-NOV'!AB20)="","",'HourGH-NOV'!AB20)</f>
        <v>338.27500000000003</v>
      </c>
      <c r="N76" s="117">
        <f>B81</f>
        <v>338.41</v>
      </c>
      <c r="O76">
        <v>21</v>
      </c>
      <c r="P76" s="117" t="str">
        <f>B84</f>
        <v>1:00</v>
      </c>
      <c r="R76" s="117">
        <f>B87</f>
        <v>338.32000000000005</v>
      </c>
      <c r="S76">
        <v>21</v>
      </c>
      <c r="T76" s="117" t="str">
        <f>B90</f>
        <v>19:00</v>
      </c>
    </row>
    <row r="77" spans="1:20">
      <c r="A77" t="s">
        <v>229</v>
      </c>
      <c r="B77" s="119">
        <f>IF(TRIM('HourGH-NOV'!AB22)="","",'HourGH-NOV'!AB22)</f>
        <v>338.26000000000005</v>
      </c>
      <c r="C77" s="119">
        <f>IF(TRIM('HourGH-NOV'!AB23)="","",'HourGH-NOV'!AB23)</f>
        <v>338.26000000000005</v>
      </c>
      <c r="D77" s="119">
        <f>IF(TRIM('HourGH-NOV'!AB24)="","",'HourGH-NOV'!AB24)</f>
        <v>338.24250000000001</v>
      </c>
      <c r="E77" s="119">
        <f>IF(TRIM('HourGH-NOV'!AB25)="","",'HourGH-NOV'!AB25)</f>
        <v>338.25541666666669</v>
      </c>
      <c r="F77" s="119">
        <f>IF(TRIM('HourGH-NOV'!AB26)="","",'HourGH-NOV'!AB26)</f>
        <v>338.43083333333334</v>
      </c>
      <c r="G77" s="119">
        <f>IF(TRIM('HourGH-NOV'!AB27)="","",'HourGH-NOV'!AB27)</f>
        <v>338.27958333333333</v>
      </c>
      <c r="H77" s="119">
        <f>IF(TRIM('HourGH-NOV'!AB28)="","",'HourGH-NOV'!AB28)</f>
        <v>338.26000000000005</v>
      </c>
      <c r="I77" s="119">
        <f>IF(TRIM('HourGH-NOV'!AB29)="","",'HourGH-NOV'!AB29)</f>
        <v>338.26500000000004</v>
      </c>
      <c r="J77" s="119">
        <f>IF(TRIM('HourGH-NOV'!AB30)="","",'HourGH-NOV'!AB30)</f>
        <v>338.33708333333334</v>
      </c>
      <c r="K77" s="119">
        <f>IF(TRIM('HourGH-NOV'!AB31)="","",'HourGH-NOV'!AB31)</f>
        <v>338.46041666666667</v>
      </c>
      <c r="N77" s="117">
        <f>C81</f>
        <v>338.31</v>
      </c>
      <c r="O77">
        <v>22</v>
      </c>
      <c r="P77" s="117" t="str">
        <f>C84</f>
        <v>1:00</v>
      </c>
      <c r="R77" s="117">
        <f>C87</f>
        <v>338.25</v>
      </c>
      <c r="S77">
        <v>22</v>
      </c>
      <c r="T77" s="117" t="str">
        <f>C90</f>
        <v>22:00</v>
      </c>
    </row>
    <row r="78" spans="1:20">
      <c r="A78" t="s">
        <v>230</v>
      </c>
      <c r="B78" s="119">
        <f>IF(TRIM('HourGH-NOV'!AB33)="","",'HourGH-NOV'!AB33)</f>
        <v>338.34666666666669</v>
      </c>
      <c r="C78" s="119">
        <f>IF(TRIM('HourGH-NOV'!AB34)="","",'HourGH-NOV'!AB34)</f>
        <v>338.28333333333336</v>
      </c>
      <c r="D78" s="119">
        <f>IF(TRIM('HourGH-NOV'!AB35)="","",'HourGH-NOV'!AB35)</f>
        <v>338.23208333333338</v>
      </c>
      <c r="E78" s="119">
        <f>IF(TRIM('HourGH-NOV'!AB36)="","",'HourGH-NOV'!AB36)</f>
        <v>338.21500000000003</v>
      </c>
      <c r="F78" s="119">
        <f>IF(TRIM('HourGH-NOV'!AB37)="","",'HourGH-NOV'!AB37)</f>
        <v>338.19500000000005</v>
      </c>
      <c r="G78" s="119">
        <f>IF(TRIM('HourGH-NOV'!AB38)="","",'HourGH-NOV'!AB38)</f>
        <v>338.18</v>
      </c>
      <c r="H78" s="119">
        <f>IF(TRIM('HourGH-NOV'!AB39)="","",'HourGH-NOV'!AB39)</f>
        <v>338.18</v>
      </c>
      <c r="I78" s="119">
        <f>IF(TRIM('HourGH-NOV'!AB40)="","",'HourGH-NOV'!AB40)</f>
        <v>338.18</v>
      </c>
      <c r="J78" s="119">
        <f>IF(TRIM('HourGH-NOV'!AB41)="","",'HourGH-NOV'!AB41)</f>
        <v>338.17</v>
      </c>
      <c r="K78" s="119">
        <f>IF(TRIM('HourGH-NOV'!AB42)="","",'HourGH-NOV'!AB42)</f>
        <v>338.17500000000001</v>
      </c>
      <c r="N78" s="117">
        <f>D81</f>
        <v>338.24</v>
      </c>
      <c r="O78">
        <v>23</v>
      </c>
      <c r="P78" s="117" t="str">
        <f>D84</f>
        <v>1:00</v>
      </c>
      <c r="R78" s="117">
        <f>D87</f>
        <v>338.23</v>
      </c>
      <c r="S78">
        <v>23</v>
      </c>
      <c r="T78" s="117" t="str">
        <f>D90</f>
        <v>6:00</v>
      </c>
    </row>
    <row r="79" spans="1:20">
      <c r="A79" t="s">
        <v>231</v>
      </c>
      <c r="B79" s="119">
        <f>IF(TRIM('HourGH-NOV'!AC11)="","",'HourGH-NOV'!AC11)</f>
        <v>338.65000000000003</v>
      </c>
      <c r="C79" s="119">
        <f>IF(TRIM('HourGH-NOV'!AC12)="","",'HourGH-NOV'!AC12)</f>
        <v>338.58000000000004</v>
      </c>
      <c r="D79" s="119">
        <f>IF(TRIM('HourGH-NOV'!AC13)="","",'HourGH-NOV'!AC13)</f>
        <v>338.51000000000005</v>
      </c>
      <c r="E79" s="119">
        <f>IF(TRIM('HourGH-NOV'!AC14)="","",'HourGH-NOV'!AC14)</f>
        <v>338.47</v>
      </c>
      <c r="F79" s="119">
        <f>IF(TRIM('HourGH-NOV'!AC15)="","",'HourGH-NOV'!AC15)</f>
        <v>338.42</v>
      </c>
      <c r="G79" s="119">
        <f>IF(TRIM('HourGH-NOV'!AC16)="","",'HourGH-NOV'!AC16)</f>
        <v>338.38</v>
      </c>
      <c r="H79" s="119">
        <f>IF(TRIM('HourGH-NOV'!AC17)="","",'HourGH-NOV'!AC17)</f>
        <v>338.34000000000003</v>
      </c>
      <c r="I79" s="119">
        <f>IF(TRIM('HourGH-NOV'!AC18)="","",'HourGH-NOV'!AC18)</f>
        <v>338.32000000000005</v>
      </c>
      <c r="J79" s="119">
        <f>IF(TRIM('HourGH-NOV'!AC19)="","",'HourGH-NOV'!AC19)</f>
        <v>338.3</v>
      </c>
      <c r="K79" s="119">
        <f>IF(TRIM('HourGH-NOV'!AC20)="","",'HourGH-NOV'!AC20)</f>
        <v>338.28000000000003</v>
      </c>
      <c r="N79" s="117">
        <f>E81</f>
        <v>338.22</v>
      </c>
      <c r="O79">
        <v>24</v>
      </c>
      <c r="P79" s="117" t="str">
        <f>E84</f>
        <v>1:00</v>
      </c>
      <c r="R79" s="117">
        <f>E87</f>
        <v>338.21000000000004</v>
      </c>
      <c r="S79">
        <v>24</v>
      </c>
      <c r="T79" s="117" t="str">
        <f>E90</f>
        <v>13:00</v>
      </c>
    </row>
    <row r="80" spans="1:20">
      <c r="A80" t="s">
        <v>232</v>
      </c>
      <c r="B80" s="119">
        <f>IF(TRIM('HourGH-NOV'!AC22)="","",'HourGH-NOV'!AC22)</f>
        <v>338.26000000000005</v>
      </c>
      <c r="C80" s="119">
        <f>IF(TRIM('HourGH-NOV'!AC23)="","",'HourGH-NOV'!AC23)</f>
        <v>338.26000000000005</v>
      </c>
      <c r="D80" s="119">
        <f>IF(TRIM('HourGH-NOV'!AC24)="","",'HourGH-NOV'!AC24)</f>
        <v>338.25</v>
      </c>
      <c r="E80" s="119">
        <f>IF(TRIM('HourGH-NOV'!AC25)="","",'HourGH-NOV'!AC25)</f>
        <v>338.33000000000004</v>
      </c>
      <c r="F80" s="119">
        <f>IF(TRIM('HourGH-NOV'!AC26)="","",'HourGH-NOV'!AC26)</f>
        <v>338.5</v>
      </c>
      <c r="G80" s="119">
        <f>IF(TRIM('HourGH-NOV'!AC27)="","",'HourGH-NOV'!AC27)</f>
        <v>338.32000000000005</v>
      </c>
      <c r="H80" s="119">
        <f>IF(TRIM('HourGH-NOV'!AC28)="","",'HourGH-NOV'!AC28)</f>
        <v>338.26000000000005</v>
      </c>
      <c r="I80" s="119">
        <f>IF(TRIM('HourGH-NOV'!AC29)="","",'HourGH-NOV'!AC29)</f>
        <v>338.28000000000003</v>
      </c>
      <c r="J80" s="119">
        <f>IF(TRIM('HourGH-NOV'!AC30)="","",'HourGH-NOV'!AC30)</f>
        <v>338.41</v>
      </c>
      <c r="K80" s="119">
        <f>IF(TRIM('HourGH-NOV'!AC31)="","",'HourGH-NOV'!AC31)</f>
        <v>338.49</v>
      </c>
      <c r="N80" s="117">
        <f>F81</f>
        <v>338.20000000000005</v>
      </c>
      <c r="O80">
        <v>25</v>
      </c>
      <c r="P80" s="117" t="str">
        <f>F84</f>
        <v>1:00</v>
      </c>
      <c r="R80" s="117">
        <f>F87</f>
        <v>338.19</v>
      </c>
      <c r="S80">
        <v>25</v>
      </c>
      <c r="T80" s="117" t="str">
        <f>F90</f>
        <v>13:00</v>
      </c>
    </row>
    <row r="81" spans="1:20">
      <c r="A81" t="s">
        <v>233</v>
      </c>
      <c r="B81" s="119">
        <f>IF(TRIM('HourGH-NOV'!AC33)="","",'HourGH-NOV'!AC33)</f>
        <v>338.41</v>
      </c>
      <c r="C81" s="119">
        <f>IF(TRIM('HourGH-NOV'!AC34)="","",'HourGH-NOV'!AC34)</f>
        <v>338.31</v>
      </c>
      <c r="D81" s="119">
        <f>IF(TRIM('HourGH-NOV'!AC35)="","",'HourGH-NOV'!AC35)</f>
        <v>338.24</v>
      </c>
      <c r="E81" s="119">
        <f>IF(TRIM('HourGH-NOV'!AC36)="","",'HourGH-NOV'!AC36)</f>
        <v>338.22</v>
      </c>
      <c r="F81" s="119">
        <f>IF(TRIM('HourGH-NOV'!AC37)="","",'HourGH-NOV'!AC37)</f>
        <v>338.20000000000005</v>
      </c>
      <c r="G81" s="119">
        <f>IF(TRIM('HourGH-NOV'!AC38)="","",'HourGH-NOV'!AC38)</f>
        <v>338.18</v>
      </c>
      <c r="H81" s="119">
        <f>IF(TRIM('HourGH-NOV'!AC39)="","",'HourGH-NOV'!AC39)</f>
        <v>338.18</v>
      </c>
      <c r="I81" s="119">
        <f>IF(TRIM('HourGH-NOV'!AC40)="","",'HourGH-NOV'!AC40)</f>
        <v>338.18</v>
      </c>
      <c r="J81" s="119">
        <f>IF(TRIM('HourGH-NOV'!AC41)="","",'HourGH-NOV'!AC41)</f>
        <v>338.17</v>
      </c>
      <c r="K81" s="119">
        <f>IF(TRIM('HourGH-NOV'!AC42)="","",'HourGH-NOV'!AC42)</f>
        <v>338.18</v>
      </c>
      <c r="N81" s="117">
        <f>G81</f>
        <v>338.18</v>
      </c>
      <c r="O81">
        <v>26</v>
      </c>
      <c r="P81" s="117" t="str">
        <f>G84</f>
        <v>1:00</v>
      </c>
      <c r="R81" s="117">
        <f>G87</f>
        <v>338.18</v>
      </c>
      <c r="S81">
        <v>26</v>
      </c>
      <c r="T81" s="117" t="str">
        <f>G90</f>
        <v>1:00</v>
      </c>
    </row>
    <row r="82" spans="1:20">
      <c r="A82" t="s">
        <v>219</v>
      </c>
      <c r="B82" s="119" t="str">
        <f>'HourGH-NOV'!AD11&amp;":00"</f>
        <v>1:00</v>
      </c>
      <c r="C82" s="119" t="str">
        <f>'HourGH-NOV'!AD12&amp;":00"</f>
        <v>1:00</v>
      </c>
      <c r="D82" s="119" t="str">
        <f>'HourGH-NOV'!AD13&amp;":00"</f>
        <v>1:00</v>
      </c>
      <c r="E82" s="119" t="str">
        <f>'HourGH-NOV'!AD14&amp;":00"</f>
        <v>1:00</v>
      </c>
      <c r="F82" s="119" t="str">
        <f>'HourGH-NOV'!AD15&amp;":00"</f>
        <v>1:00</v>
      </c>
      <c r="G82" s="119" t="str">
        <f>'HourGH-NOV'!AD16&amp;":00"</f>
        <v>1:00</v>
      </c>
      <c r="H82" s="119" t="str">
        <f>'HourGH-NOV'!AD17&amp;":00"</f>
        <v>1:00</v>
      </c>
      <c r="I82" s="119" t="str">
        <f>'HourGH-NOV'!AD18&amp;":00"</f>
        <v>1:00</v>
      </c>
      <c r="J82" s="119" t="str">
        <f>'HourGH-NOV'!AD19&amp;":00"</f>
        <v>1:00</v>
      </c>
      <c r="K82" s="119" t="str">
        <f>'HourGH-NOV'!AD20&amp;":00"</f>
        <v>1:00</v>
      </c>
      <c r="N82" s="117">
        <f>H81</f>
        <v>338.18</v>
      </c>
      <c r="O82">
        <v>27</v>
      </c>
      <c r="P82" s="117" t="str">
        <f>H84</f>
        <v>1:00</v>
      </c>
      <c r="R82" s="117">
        <f>H87</f>
        <v>338.18</v>
      </c>
      <c r="S82">
        <v>27</v>
      </c>
      <c r="T82" s="117" t="str">
        <f>H90</f>
        <v>1:00</v>
      </c>
    </row>
    <row r="83" spans="1:20">
      <c r="A83" t="s">
        <v>220</v>
      </c>
      <c r="B83" s="119" t="str">
        <f>'HourGH-NOV'!AD22&amp;":00"</f>
        <v>1:00</v>
      </c>
      <c r="C83" s="119" t="str">
        <f>'HourGH-NOV'!AD23&amp;":00"</f>
        <v>1:00</v>
      </c>
      <c r="D83" s="119" t="str">
        <f>'HourGH-NOV'!AD24&amp;":00"</f>
        <v>1:00</v>
      </c>
      <c r="E83" s="119" t="str">
        <f>'HourGH-NOV'!AD25&amp;":00"</f>
        <v>24:00</v>
      </c>
      <c r="F83" s="119" t="str">
        <f>'HourGH-NOV'!AD26&amp;":00"</f>
        <v>11:00</v>
      </c>
      <c r="G83" s="119" t="str">
        <f>'HourGH-NOV'!AD27&amp;":00"</f>
        <v>1:00</v>
      </c>
      <c r="H83" s="119" t="str">
        <f>'HourGH-NOV'!AD28&amp;":00"</f>
        <v>1:00</v>
      </c>
      <c r="I83" s="119" t="str">
        <f>'HourGH-NOV'!AD29&amp;":00"</f>
        <v>19:00</v>
      </c>
      <c r="J83" s="119" t="str">
        <f>'HourGH-NOV'!AD30&amp;":00"</f>
        <v>24:00</v>
      </c>
      <c r="K83" s="119" t="str">
        <f>'HourGH-NOV'!AD31&amp;":00"</f>
        <v>10:00</v>
      </c>
      <c r="N83" s="117">
        <f>I81</f>
        <v>338.18</v>
      </c>
      <c r="O83">
        <v>28</v>
      </c>
      <c r="P83" s="117" t="str">
        <f>I84</f>
        <v>1:00</v>
      </c>
      <c r="R83" s="117">
        <f>I87</f>
        <v>338.18</v>
      </c>
      <c r="S83">
        <v>28</v>
      </c>
      <c r="T83" s="117" t="str">
        <f>I90</f>
        <v>1:00</v>
      </c>
    </row>
    <row r="84" spans="1:20">
      <c r="A84" t="s">
        <v>221</v>
      </c>
      <c r="B84" s="119" t="str">
        <f>'HourGH-NOV'!AD33&amp;":00"</f>
        <v>1:00</v>
      </c>
      <c r="C84" s="119" t="str">
        <f>'HourGH-NOV'!AD34&amp;":00"</f>
        <v>1:00</v>
      </c>
      <c r="D84" s="119" t="str">
        <f>'HourGH-NOV'!AD35&amp;":00"</f>
        <v>1:00</v>
      </c>
      <c r="E84" s="119" t="str">
        <f>'HourGH-NOV'!AD36&amp;":00"</f>
        <v>1:00</v>
      </c>
      <c r="F84" s="119" t="str">
        <f>'HourGH-NOV'!AD37&amp;":00"</f>
        <v>1:00</v>
      </c>
      <c r="G84" s="119" t="str">
        <f>'HourGH-NOV'!AD38&amp;":00"</f>
        <v>1:00</v>
      </c>
      <c r="H84" s="119" t="str">
        <f>'HourGH-NOV'!AD39&amp;":00"</f>
        <v>1:00</v>
      </c>
      <c r="I84" s="119" t="str">
        <f>'HourGH-NOV'!AD40&amp;":00"</f>
        <v>1:00</v>
      </c>
      <c r="J84" s="119" t="str">
        <f>'HourGH-NOV'!AD41&amp;":00"</f>
        <v>1:00</v>
      </c>
      <c r="K84" s="119" t="str">
        <f>'HourGH-NOV'!AD42&amp;":00"</f>
        <v>1:00</v>
      </c>
      <c r="N84" s="117">
        <f>J81</f>
        <v>338.17</v>
      </c>
      <c r="O84">
        <v>29</v>
      </c>
      <c r="P84" s="117" t="str">
        <f>J84</f>
        <v>1:00</v>
      </c>
      <c r="R84" s="117">
        <f>J87</f>
        <v>338.17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'HourGH-NOV'!AE11</f>
        <v>338.59000000000003</v>
      </c>
      <c r="C85" s="129">
        <f>'HourGH-NOV'!AE12</f>
        <v>338.52000000000004</v>
      </c>
      <c r="D85" s="129">
        <f>'HourGH-NOV'!AE13</f>
        <v>338.48</v>
      </c>
      <c r="E85" s="129">
        <f>'HourGH-NOV'!AE14</f>
        <v>338.43</v>
      </c>
      <c r="F85" s="129">
        <f>'HourGH-NOV'!AE15</f>
        <v>338.39000000000004</v>
      </c>
      <c r="G85" s="129">
        <f>'HourGH-NOV'!AE16</f>
        <v>338.35</v>
      </c>
      <c r="H85" s="129">
        <f>'HourGH-NOV'!AE17</f>
        <v>338.33000000000004</v>
      </c>
      <c r="I85" s="129">
        <f>'HourGH-NOV'!AE18</f>
        <v>338.31</v>
      </c>
      <c r="J85" s="129">
        <f>'HourGH-NOV'!AE19</f>
        <v>338.29</v>
      </c>
      <c r="K85" s="129">
        <f>'HourGH-NOV'!AE20</f>
        <v>338.27000000000004</v>
      </c>
      <c r="N85" s="117">
        <f>K81</f>
        <v>338.18</v>
      </c>
      <c r="O85">
        <v>30</v>
      </c>
      <c r="P85" s="117" t="str">
        <f>K84</f>
        <v>1:00</v>
      </c>
      <c r="R85" s="117">
        <f>K87</f>
        <v>338.17</v>
      </c>
      <c r="S85">
        <v>30</v>
      </c>
      <c r="T85" s="117" t="str">
        <f>K90</f>
        <v>13:00</v>
      </c>
    </row>
    <row r="86" spans="1:20">
      <c r="A86" t="s">
        <v>235</v>
      </c>
      <c r="B86" s="129">
        <f>'HourGH-NOV'!AE22</f>
        <v>338.26000000000005</v>
      </c>
      <c r="C86" s="129">
        <f>'HourGH-NOV'!AE23</f>
        <v>338.26000000000005</v>
      </c>
      <c r="D86" s="129">
        <f>'HourGH-NOV'!AE24</f>
        <v>338.23</v>
      </c>
      <c r="E86" s="129">
        <f>'HourGH-NOV'!AE25</f>
        <v>338.22</v>
      </c>
      <c r="F86" s="129">
        <f>'HourGH-NOV'!AE26</f>
        <v>338.33000000000004</v>
      </c>
      <c r="G86" s="129">
        <f>'HourGH-NOV'!AE27</f>
        <v>338.27000000000004</v>
      </c>
      <c r="H86" s="129">
        <f>'HourGH-NOV'!AE28</f>
        <v>338.26000000000005</v>
      </c>
      <c r="I86" s="129">
        <f>'HourGH-NOV'!AE29</f>
        <v>338.25</v>
      </c>
      <c r="J86" s="129">
        <f>'HourGH-NOV'!AE30</f>
        <v>338.29</v>
      </c>
      <c r="K86" s="129">
        <f>'HourGH-NOV'!AE31</f>
        <v>338.42</v>
      </c>
    </row>
    <row r="87" spans="1:20">
      <c r="A87" t="s">
        <v>236</v>
      </c>
      <c r="B87" s="129">
        <f>'HourGH-NOV'!AE33</f>
        <v>338.32000000000005</v>
      </c>
      <c r="C87" s="129">
        <f>'HourGH-NOV'!AE34</f>
        <v>338.25</v>
      </c>
      <c r="D87" s="129">
        <f>'HourGH-NOV'!AE35</f>
        <v>338.23</v>
      </c>
      <c r="E87" s="129">
        <f>'HourGH-NOV'!AE36</f>
        <v>338.21000000000004</v>
      </c>
      <c r="F87" s="129">
        <f>'HourGH-NOV'!AE37</f>
        <v>338.19</v>
      </c>
      <c r="G87" s="129">
        <f>'HourGH-NOV'!AE38</f>
        <v>338.18</v>
      </c>
      <c r="H87" s="129">
        <f>'HourGH-NOV'!AE39</f>
        <v>338.18</v>
      </c>
      <c r="I87" s="129">
        <f>'HourGH-NOV'!AE40</f>
        <v>338.18</v>
      </c>
      <c r="J87" s="129">
        <f>'HourGH-NOV'!AE41</f>
        <v>338.17</v>
      </c>
      <c r="K87" s="129">
        <f>'HourGH-NOV'!AE42</f>
        <v>338.17</v>
      </c>
    </row>
    <row r="88" spans="1:20">
      <c r="A88" t="s">
        <v>222</v>
      </c>
      <c r="B88" s="119" t="str">
        <f>'HourGH-NOV'!AF11&amp;":00"</f>
        <v>20:00</v>
      </c>
      <c r="C88" s="119" t="str">
        <f>'HourGH-NOV'!AF12&amp;":00"</f>
        <v>21:00</v>
      </c>
      <c r="D88" s="119" t="str">
        <f>'HourGH-NOV'!AF13&amp;":00"</f>
        <v>19:00</v>
      </c>
      <c r="E88" s="119" t="str">
        <f>'HourGH-NOV'!AF14&amp;":00"</f>
        <v>21:00</v>
      </c>
      <c r="F88" s="119" t="str">
        <f>'HourGH-NOV'!AF15&amp;":00"</f>
        <v>19:00</v>
      </c>
      <c r="G88" s="119" t="str">
        <f>'HourGH-NOV'!AF16&amp;":00"</f>
        <v>19:00</v>
      </c>
      <c r="H88" s="119" t="str">
        <f>'HourGH-NOV'!AF17&amp;":00"</f>
        <v>13:00</v>
      </c>
      <c r="I88" s="119" t="str">
        <f>'HourGH-NOV'!AF18&amp;":00"</f>
        <v>13:00</v>
      </c>
      <c r="J88" s="119" t="str">
        <f>'HourGH-NOV'!AF19&amp;":00"</f>
        <v>13:00</v>
      </c>
      <c r="K88" s="119" t="str">
        <f>'HourGH-NOV'!AF20&amp;":00"</f>
        <v>13:00</v>
      </c>
      <c r="N88" s="118">
        <f>MATCH(N90,N56:N85,0)</f>
        <v>1</v>
      </c>
      <c r="P88">
        <f>MATCH(P89,R56:R85,0)</f>
        <v>29</v>
      </c>
    </row>
    <row r="89" spans="1:20">
      <c r="A89" t="s">
        <v>223</v>
      </c>
      <c r="B89" s="119" t="str">
        <f>'HourGH-NOV'!AF22&amp;":00"</f>
        <v>1:00</v>
      </c>
      <c r="C89" s="119" t="str">
        <f>'HourGH-NOV'!AF23&amp;":00"</f>
        <v>1:00</v>
      </c>
      <c r="D89" s="119" t="str">
        <f>'HourGH-NOV'!AF24&amp;":00"</f>
        <v>19:00</v>
      </c>
      <c r="E89" s="119" t="str">
        <f>'HourGH-NOV'!AF25&amp;":00"</f>
        <v>1:00</v>
      </c>
      <c r="F89" s="119" t="str">
        <f>'HourGH-NOV'!AF26&amp;":00"</f>
        <v>24:00</v>
      </c>
      <c r="G89" s="119" t="str">
        <f>'HourGH-NOV'!AF27&amp;":00"</f>
        <v>13:00</v>
      </c>
      <c r="H89" s="119" t="str">
        <f>'HourGH-NOV'!AF28&amp;":00"</f>
        <v>1:00</v>
      </c>
      <c r="I89" s="119" t="str">
        <f>'HourGH-NOV'!AF29&amp;":00"</f>
        <v>1:00</v>
      </c>
      <c r="J89" s="119" t="str">
        <f>'HourGH-NOV'!AF30&amp;":00"</f>
        <v>1:00</v>
      </c>
      <c r="K89" s="119" t="str">
        <f>'HourGH-NOV'!AF31&amp;":00"</f>
        <v>1:00</v>
      </c>
      <c r="O89" s="118" t="str">
        <f>INDEX(P56:P85,N88)</f>
        <v>1:00</v>
      </c>
      <c r="P89" s="129">
        <f>MIN(B85:K87)</f>
        <v>338.17</v>
      </c>
      <c r="R89" t="str">
        <f>INDEX(T56:T85,P88)</f>
        <v>1:00</v>
      </c>
    </row>
    <row r="90" spans="1:20">
      <c r="A90" t="s">
        <v>224</v>
      </c>
      <c r="B90" s="119" t="str">
        <f>'HourGH-NOV'!AF33&amp;":00"</f>
        <v>19:00</v>
      </c>
      <c r="C90" s="119" t="str">
        <f>'HourGH-NOV'!AF34&amp;":00"</f>
        <v>22:00</v>
      </c>
      <c r="D90" s="119" t="str">
        <f>'HourGH-NOV'!AF35&amp;":00"</f>
        <v>6:00</v>
      </c>
      <c r="E90" s="119" t="str">
        <f>'HourGH-NOV'!AF36&amp;":00"</f>
        <v>13:00</v>
      </c>
      <c r="F90" s="119" t="str">
        <f>'HourGH-NOV'!AF37&amp;":00"</f>
        <v>13:00</v>
      </c>
      <c r="G90" s="119" t="str">
        <f>'HourGH-NOV'!AF38&amp;":00"</f>
        <v>1:00</v>
      </c>
      <c r="H90" s="119" t="str">
        <f>'HourGH-NOV'!AF39&amp;":00"</f>
        <v>1:00</v>
      </c>
      <c r="I90" s="119" t="str">
        <f>'HourGH-NOV'!AF40&amp;":00"</f>
        <v>1:00</v>
      </c>
      <c r="J90" s="119" t="str">
        <f>'HourGH-NOV'!AF41&amp;":00"</f>
        <v>1:00</v>
      </c>
      <c r="K90" s="119" t="str">
        <f>'HourGH-NOV'!AF42&amp;":00"</f>
        <v>13:00</v>
      </c>
      <c r="N90" s="119">
        <f>MAX(B79:K81)</f>
        <v>338.65000000000003</v>
      </c>
      <c r="O90" s="118">
        <f>N88</f>
        <v>1</v>
      </c>
    </row>
    <row r="91" spans="1:20">
      <c r="A91" t="s">
        <v>218</v>
      </c>
      <c r="B91" s="119">
        <f>AVERAGE(B76:K78)</f>
        <v>338.31038888888895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338.65 DATE 1 TIME 1:00 MIN 338.17 DATE 29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T92"/>
  <sheetViews>
    <sheetView workbookViewId="0">
      <selection sqref="A1:L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243</v>
      </c>
      <c r="B2" s="118">
        <f>'HourGH-DEC'!W7</f>
        <v>337.6</v>
      </c>
      <c r="C2" s="118" t="str">
        <f>'HourGH-DEC'!Z7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IF(TRIM('HourGH-DEC'!C11)="","      ",'HourGH-DEC'!C11)</f>
        <v>0.56000000000000005</v>
      </c>
      <c r="C4" s="128">
        <f>IF(TRIM('HourGH-DEC'!C12)="","      ",'HourGH-DEC'!C12)</f>
        <v>0.54</v>
      </c>
      <c r="D4" s="128">
        <f>IF(TRIM('HourGH-DEC'!C13)="","      ",'HourGH-DEC'!C13)</f>
        <v>0.54</v>
      </c>
      <c r="E4" s="128">
        <f>IF(TRIM('HourGH-DEC'!C14)="","      ",'HourGH-DEC'!C14)</f>
        <v>0.53</v>
      </c>
      <c r="F4" s="118">
        <f>IF(TRIM('HourGH-DEC'!C15)="","      ",'HourGH-DEC'!C15)</f>
        <v>0.52</v>
      </c>
      <c r="G4" s="118">
        <f>IF(TRIM('HourGH-DEC'!C16)="","      ",'HourGH-DEC'!C16)</f>
        <v>0.51</v>
      </c>
      <c r="H4" s="118">
        <f>IF(TRIM('HourGH-DEC'!C17)="","      ",'HourGH-DEC'!C17)</f>
        <v>0.5</v>
      </c>
      <c r="I4" s="118">
        <f>IF(TRIM('HourGH-DEC'!C18)="","      ",'HourGH-DEC'!C18)</f>
        <v>0.5</v>
      </c>
      <c r="J4" s="118">
        <f>IF(TRIM('HourGH-DEC'!C19)="","      ",'HourGH-DEC'!C19)</f>
        <v>0.49</v>
      </c>
      <c r="K4" s="118">
        <f>IF(TRIM('HourGH-DEC'!C20)="","      ",'HourGH-DEC'!C20)</f>
        <v>0.48</v>
      </c>
    </row>
    <row r="5" spans="1:15">
      <c r="A5" s="127" t="s">
        <v>147</v>
      </c>
      <c r="B5" s="118">
        <f>IF(TRIM('HourGH-DEC'!C22)="","      ",'HourGH-DEC'!C22)</f>
        <v>0.48</v>
      </c>
      <c r="C5" s="118">
        <f>IF(TRIM('HourGH-DEC'!C23)="","      ",'HourGH-DEC'!C23)</f>
        <v>0.49</v>
      </c>
      <c r="D5" s="118">
        <f>IF(TRIM('HourGH-DEC'!C24)="","      ",'HourGH-DEC'!C24)</f>
        <v>0.49</v>
      </c>
      <c r="E5" s="118">
        <f>IF(TRIM('HourGH-DEC'!C25)="","      ",'HourGH-DEC'!C25)</f>
        <v>0.62</v>
      </c>
      <c r="F5" s="118">
        <f>IF(TRIM('HourGH-DEC'!C26)="","      ",'HourGH-DEC'!C26)</f>
        <v>0.84</v>
      </c>
      <c r="G5" s="118">
        <f>IF(TRIM('HourGH-DEC'!C27)="","      ",'HourGH-DEC'!C27)</f>
        <v>1.05</v>
      </c>
      <c r="H5" s="118">
        <f>IF(TRIM('HourGH-DEC'!C28)="","      ",'HourGH-DEC'!C28)</f>
        <v>0.76</v>
      </c>
      <c r="I5" s="118">
        <f>IF(TRIM('HourGH-DEC'!C29)="","      ",'HourGH-DEC'!C29)</f>
        <v>0.62</v>
      </c>
      <c r="J5" s="118">
        <f>IF(TRIM('HourGH-DEC'!C30)="","      ",'HourGH-DEC'!C30)</f>
        <v>0.56999999999999995</v>
      </c>
      <c r="K5" s="118">
        <f>IF(TRIM('HourGH-DEC'!C31)="","      ",'HourGH-DEC'!C31)</f>
        <v>0.55000000000000004</v>
      </c>
    </row>
    <row r="6" spans="1:15">
      <c r="A6" s="127" t="s">
        <v>148</v>
      </c>
      <c r="B6" s="118">
        <f>IF(TRIM('HourGH-DEC'!C33)="","      ",'HourGH-DEC'!C33)</f>
        <v>0.51</v>
      </c>
      <c r="C6" s="118">
        <f>IF(TRIM('HourGH-DEC'!C34)="","      ",'HourGH-DEC'!C34)</f>
        <v>0.48</v>
      </c>
      <c r="D6" s="118">
        <f>IF(TRIM('HourGH-DEC'!C35)="","      ",'HourGH-DEC'!C35)</f>
        <v>0.47</v>
      </c>
      <c r="E6" s="118">
        <f>IF(TRIM('HourGH-DEC'!C36)="","      ",'HourGH-DEC'!C36)</f>
        <v>0.45</v>
      </c>
      <c r="F6" s="118">
        <f>IF(TRIM('HourGH-DEC'!C37)="","      ",'HourGH-DEC'!C37)</f>
        <v>0.45</v>
      </c>
      <c r="G6" s="118">
        <f>IF(TRIM('HourGH-DEC'!C38)="","      ",'HourGH-DEC'!C38)</f>
        <v>0.51</v>
      </c>
      <c r="H6" s="118">
        <f>IF(TRIM('HourGH-DEC'!C39)="","      ",'HourGH-DEC'!C39)</f>
        <v>0.43</v>
      </c>
      <c r="I6" s="118">
        <f>IF(TRIM('HourGH-DEC'!C40)="","      ",'HourGH-DEC'!C40)</f>
        <v>0.42</v>
      </c>
      <c r="J6" s="118">
        <f>IF(TRIM('HourGH-DEC'!C41)="","      ",'HourGH-DEC'!C41)</f>
        <v>0.44</v>
      </c>
      <c r="K6" s="118">
        <f>IF(TRIM('HourGH-DEC'!C42)="","      ",'HourGH-DEC'!C42)</f>
        <v>0.44</v>
      </c>
      <c r="L6" s="118">
        <f>IF(TRIM('HourGH-DEC'!C43)="","      ",'HourGH-DEC'!C43)</f>
        <v>0.44</v>
      </c>
    </row>
    <row r="7" spans="1:15">
      <c r="A7" s="127" t="s">
        <v>149</v>
      </c>
      <c r="B7" s="128">
        <f>IF(TRIM('HourGH-DEC'!D11)="","      ",'HourGH-DEC'!D11)</f>
        <v>0.56000000000000005</v>
      </c>
      <c r="C7" s="128">
        <f>IF(TRIM('HourGH-DEC'!D12)="","      ",'HourGH-DEC'!D12)</f>
        <v>0.54</v>
      </c>
      <c r="D7" s="128">
        <f>IF(TRIM('HourGH-DEC'!D13)="","      ",'HourGH-DEC'!D13)</f>
        <v>0.54</v>
      </c>
      <c r="E7" s="128">
        <f>IF(TRIM('HourGH-DEC'!D14)="","      ",'HourGH-DEC'!D14)</f>
        <v>0.53</v>
      </c>
      <c r="F7" s="118">
        <f>IF(TRIM('HourGH-DEC'!D15)="","      ",'HourGH-DEC'!D15)</f>
        <v>0.52</v>
      </c>
      <c r="G7" s="118">
        <f>IF(TRIM('HourGH-DEC'!D16)="","      ",'HourGH-DEC'!D16)</f>
        <v>0.51</v>
      </c>
      <c r="H7" s="118">
        <f>IF(TRIM('HourGH-DEC'!D17)="","      ",'HourGH-DEC'!D17)</f>
        <v>0.5</v>
      </c>
      <c r="I7" s="118">
        <f>IF(TRIM('HourGH-DEC'!D18)="","      ",'HourGH-DEC'!D18)</f>
        <v>0.5</v>
      </c>
      <c r="J7" s="118">
        <f>IF(TRIM('HourGH-DEC'!D19)="","      ",'HourGH-DEC'!D19)</f>
        <v>0.49</v>
      </c>
      <c r="K7" s="118">
        <f>IF(TRIM('HourGH-DEC'!D20)="","      ",'HourGH-DEC'!D20)</f>
        <v>0.48</v>
      </c>
    </row>
    <row r="8" spans="1:15">
      <c r="A8" s="127" t="s">
        <v>150</v>
      </c>
      <c r="B8" s="118">
        <f>IF(TRIM('HourGH-DEC'!D22)="","      ",'HourGH-DEC'!D22)</f>
        <v>0.48</v>
      </c>
      <c r="C8" s="118">
        <f>IF(TRIM('HourGH-DEC'!D23)="","      ",'HourGH-DEC'!D23)</f>
        <v>0.49</v>
      </c>
      <c r="D8" s="118">
        <f>IF(TRIM('HourGH-DEC'!D24)="","      ",'HourGH-DEC'!D24)</f>
        <v>0.49</v>
      </c>
      <c r="E8" s="118">
        <f>IF(TRIM('HourGH-DEC'!D25)="","      ",'HourGH-DEC'!D25)</f>
        <v>0.63</v>
      </c>
      <c r="F8" s="118">
        <f>IF(TRIM('HourGH-DEC'!D26)="","      ",'HourGH-DEC'!D26)</f>
        <v>0.84</v>
      </c>
      <c r="G8" s="118">
        <f>IF(TRIM('HourGH-DEC'!D27)="","      ",'HourGH-DEC'!D27)</f>
        <v>1.04</v>
      </c>
      <c r="H8" s="118">
        <f>IF(TRIM('HourGH-DEC'!D28)="","      ",'HourGH-DEC'!D28)</f>
        <v>0.75</v>
      </c>
      <c r="I8" s="118">
        <f>IF(TRIM('HourGH-DEC'!D29)="","      ",'HourGH-DEC'!D29)</f>
        <v>0.61</v>
      </c>
      <c r="J8" s="118">
        <f>IF(TRIM('HourGH-DEC'!D30)="","      ",'HourGH-DEC'!D30)</f>
        <v>0.56999999999999995</v>
      </c>
      <c r="K8" s="118">
        <f>IF(TRIM('HourGH-DEC'!D31)="","      ",'HourGH-DEC'!D31)</f>
        <v>0.55000000000000004</v>
      </c>
    </row>
    <row r="9" spans="1:15">
      <c r="A9" s="127" t="s">
        <v>151</v>
      </c>
      <c r="B9" s="118">
        <f>IF(TRIM('HourGH-DEC'!D33)="","      ",'HourGH-DEC'!D33)</f>
        <v>0.51</v>
      </c>
      <c r="C9" s="118">
        <f>IF(TRIM('HourGH-DEC'!D34)="","      ",'HourGH-DEC'!D34)</f>
        <v>0.48</v>
      </c>
      <c r="D9" s="118">
        <f>IF(TRIM('HourGH-DEC'!D35)="","      ",'HourGH-DEC'!D35)</f>
        <v>0.47</v>
      </c>
      <c r="E9" s="118">
        <f>IF(TRIM('HourGH-DEC'!D36)="","      ",'HourGH-DEC'!D36)</f>
        <v>0.45</v>
      </c>
      <c r="F9" s="118">
        <f>IF(TRIM('HourGH-DEC'!D37)="","      ",'HourGH-DEC'!D37)</f>
        <v>0.45</v>
      </c>
      <c r="G9" s="118">
        <f>IF(TRIM('HourGH-DEC'!D38)="","      ",'HourGH-DEC'!D38)</f>
        <v>0.49</v>
      </c>
      <c r="H9" s="118">
        <f>IF(TRIM('HourGH-DEC'!D39)="","      ",'HourGH-DEC'!D39)</f>
        <v>0.43</v>
      </c>
      <c r="I9" s="118">
        <f>IF(TRIM('HourGH-DEC'!D40)="","      ",'HourGH-DEC'!D40)</f>
        <v>0.42</v>
      </c>
      <c r="J9" s="118">
        <f>IF(TRIM('HourGH-DEC'!D41)="","      ",'HourGH-DEC'!D41)</f>
        <v>0.44</v>
      </c>
      <c r="K9" s="118">
        <f>IF(TRIM('HourGH-DEC'!D42)="","      ",'HourGH-DEC'!D42)</f>
        <v>0.44</v>
      </c>
      <c r="L9" s="118">
        <f>IF(TRIM('HourGH-DEC'!D43)="","      ",'HourGH-DEC'!D43)</f>
        <v>0.44</v>
      </c>
    </row>
    <row r="10" spans="1:15">
      <c r="A10" s="127" t="s">
        <v>152</v>
      </c>
      <c r="B10" s="128">
        <f>IF(TRIM('HourGH-DEC'!E11)="","      ",'HourGH-DEC'!E11)</f>
        <v>0.56000000000000005</v>
      </c>
      <c r="C10" s="128">
        <f>IF(TRIM('HourGH-DEC'!E12)="","      ",'HourGH-DEC'!E12)</f>
        <v>0.54</v>
      </c>
      <c r="D10" s="128">
        <f>IF(TRIM('HourGH-DEC'!E13)="","      ",'HourGH-DEC'!E13)</f>
        <v>0.54</v>
      </c>
      <c r="E10" s="128">
        <f>IF(TRIM('HourGH-DEC'!E14)="","      ",'HourGH-DEC'!E14)</f>
        <v>0.53</v>
      </c>
      <c r="F10" s="118">
        <f>IF(TRIM('HourGH-DEC'!E15)="","      ",'HourGH-DEC'!E15)</f>
        <v>0.52</v>
      </c>
      <c r="G10" s="118">
        <f>IF(TRIM('HourGH-DEC'!E16)="","      ",'HourGH-DEC'!E16)</f>
        <v>0.51</v>
      </c>
      <c r="H10" s="118">
        <f>IF(TRIM('HourGH-DEC'!E17)="","      ",'HourGH-DEC'!E17)</f>
        <v>0.5</v>
      </c>
      <c r="I10" s="118">
        <f>IF(TRIM('HourGH-DEC'!E18)="","      ",'HourGH-DEC'!E18)</f>
        <v>0.5</v>
      </c>
      <c r="J10" s="118">
        <f>IF(TRIM('HourGH-DEC'!E19)="","      ",'HourGH-DEC'!E19)</f>
        <v>0.49</v>
      </c>
      <c r="K10" s="118">
        <f>IF(TRIM('HourGH-DEC'!E20)="","      ",'HourGH-DEC'!E20)</f>
        <v>0.48</v>
      </c>
    </row>
    <row r="11" spans="1:15">
      <c r="A11" s="127" t="s">
        <v>153</v>
      </c>
      <c r="B11" s="118">
        <f>IF(TRIM('HourGH-DEC'!E22)="","      ",'HourGH-DEC'!E22)</f>
        <v>0.48</v>
      </c>
      <c r="C11" s="118">
        <f>IF(TRIM('HourGH-DEC'!E23)="","      ",'HourGH-DEC'!E23)</f>
        <v>0.49</v>
      </c>
      <c r="D11" s="118">
        <f>IF(TRIM('HourGH-DEC'!E24)="","      ",'HourGH-DEC'!E24)</f>
        <v>0.49</v>
      </c>
      <c r="E11" s="118">
        <f>IF(TRIM('HourGH-DEC'!E25)="","      ",'HourGH-DEC'!E25)</f>
        <v>0.64</v>
      </c>
      <c r="F11" s="118">
        <f>IF(TRIM('HourGH-DEC'!E26)="","      ",'HourGH-DEC'!E26)</f>
        <v>0.85</v>
      </c>
      <c r="G11" s="118">
        <f>IF(TRIM('HourGH-DEC'!E27)="","      ",'HourGH-DEC'!E27)</f>
        <v>1.03</v>
      </c>
      <c r="H11" s="118">
        <f>IF(TRIM('HourGH-DEC'!E28)="","      ",'HourGH-DEC'!E28)</f>
        <v>0.74</v>
      </c>
      <c r="I11" s="118">
        <f>IF(TRIM('HourGH-DEC'!E29)="","      ",'HourGH-DEC'!E29)</f>
        <v>0.61</v>
      </c>
      <c r="J11" s="118">
        <f>IF(TRIM('HourGH-DEC'!E30)="","      ",'HourGH-DEC'!E30)</f>
        <v>0.56999999999999995</v>
      </c>
      <c r="K11" s="118">
        <f>IF(TRIM('HourGH-DEC'!E31)="","      ",'HourGH-DEC'!E31)</f>
        <v>0.55000000000000004</v>
      </c>
    </row>
    <row r="12" spans="1:15">
      <c r="A12" s="127" t="s">
        <v>154</v>
      </c>
      <c r="B12" s="118">
        <f>IF(TRIM('HourGH-DEC'!E33)="","      ",'HourGH-DEC'!E33)</f>
        <v>0.51</v>
      </c>
      <c r="C12" s="118">
        <f>IF(TRIM('HourGH-DEC'!E34)="","      ",'HourGH-DEC'!E34)</f>
        <v>0.48</v>
      </c>
      <c r="D12" s="118">
        <f>IF(TRIM('HourGH-DEC'!E35)="","      ",'HourGH-DEC'!E35)</f>
        <v>0.47</v>
      </c>
      <c r="E12" s="118">
        <f>IF(TRIM('HourGH-DEC'!E36)="","      ",'HourGH-DEC'!E36)</f>
        <v>0.45</v>
      </c>
      <c r="F12" s="118">
        <f>IF(TRIM('HourGH-DEC'!E37)="","      ",'HourGH-DEC'!E37)</f>
        <v>0.45</v>
      </c>
      <c r="G12" s="118">
        <f>IF(TRIM('HourGH-DEC'!E38)="","      ",'HourGH-DEC'!E38)</f>
        <v>0.47</v>
      </c>
      <c r="H12" s="118">
        <f>IF(TRIM('HourGH-DEC'!E39)="","      ",'HourGH-DEC'!E39)</f>
        <v>0.43</v>
      </c>
      <c r="I12" s="118">
        <f>IF(TRIM('HourGH-DEC'!E40)="","      ",'HourGH-DEC'!E40)</f>
        <v>0.42</v>
      </c>
      <c r="J12" s="118">
        <f>IF(TRIM('HourGH-DEC'!E41)="","      ",'HourGH-DEC'!E41)</f>
        <v>0.44</v>
      </c>
      <c r="K12" s="118">
        <f>IF(TRIM('HourGH-DEC'!E42)="","      ",'HourGH-DEC'!E42)</f>
        <v>0.44</v>
      </c>
      <c r="L12" s="118">
        <f>IF(TRIM('HourGH-DEC'!E43)="","      ",'HourGH-DEC'!E43)</f>
        <v>0.44</v>
      </c>
    </row>
    <row r="13" spans="1:15">
      <c r="A13" s="127" t="s">
        <v>155</v>
      </c>
      <c r="B13" s="128">
        <f>IF(TRIM('HourGH-DEC'!F11)="","      ",'HourGH-DEC'!F11)</f>
        <v>0.56000000000000005</v>
      </c>
      <c r="C13" s="128">
        <f>IF(TRIM('HourGH-DEC'!F12)="","      ",'HourGH-DEC'!F12)</f>
        <v>0.54</v>
      </c>
      <c r="D13" s="128">
        <f>IF(TRIM('HourGH-DEC'!F13)="","      ",'HourGH-DEC'!F13)</f>
        <v>0.54</v>
      </c>
      <c r="E13" s="128">
        <f>IF(TRIM('HourGH-DEC'!F14)="","      ",'HourGH-DEC'!F14)</f>
        <v>0.53</v>
      </c>
      <c r="F13" s="118">
        <f>IF(TRIM('HourGH-DEC'!F15)="","      ",'HourGH-DEC'!F15)</f>
        <v>0.52</v>
      </c>
      <c r="G13" s="118">
        <f>IF(TRIM('HourGH-DEC'!F16)="","      ",'HourGH-DEC'!F16)</f>
        <v>0.51</v>
      </c>
      <c r="H13" s="118">
        <f>IF(TRIM('HourGH-DEC'!F17)="","      ",'HourGH-DEC'!F17)</f>
        <v>0.5</v>
      </c>
      <c r="I13" s="118">
        <f>IF(TRIM('HourGH-DEC'!F18)="","      ",'HourGH-DEC'!F18)</f>
        <v>0.5</v>
      </c>
      <c r="J13" s="118">
        <f>IF(TRIM('HourGH-DEC'!F19)="","      ",'HourGH-DEC'!F19)</f>
        <v>0.49</v>
      </c>
      <c r="K13" s="118">
        <f>IF(TRIM('HourGH-DEC'!F20)="","      ",'HourGH-DEC'!F20)</f>
        <v>0.48</v>
      </c>
    </row>
    <row r="14" spans="1:15">
      <c r="A14" s="127" t="s">
        <v>156</v>
      </c>
      <c r="B14" s="118">
        <f>IF(TRIM('HourGH-DEC'!F22)="","      ",'HourGH-DEC'!F22)</f>
        <v>0.48</v>
      </c>
      <c r="C14" s="118">
        <f>IF(TRIM('HourGH-DEC'!F23)="","      ",'HourGH-DEC'!F23)</f>
        <v>0.49</v>
      </c>
      <c r="D14" s="118">
        <f>IF(TRIM('HourGH-DEC'!F24)="","      ",'HourGH-DEC'!F24)</f>
        <v>0.49</v>
      </c>
      <c r="E14" s="118">
        <f>IF(TRIM('HourGH-DEC'!F25)="","      ",'HourGH-DEC'!F25)</f>
        <v>0.65</v>
      </c>
      <c r="F14" s="118">
        <f>IF(TRIM('HourGH-DEC'!F26)="","      ",'HourGH-DEC'!F26)</f>
        <v>0.85</v>
      </c>
      <c r="G14" s="118">
        <f>IF(TRIM('HourGH-DEC'!F27)="","      ",'HourGH-DEC'!F27)</f>
        <v>1.02</v>
      </c>
      <c r="H14" s="118">
        <f>IF(TRIM('HourGH-DEC'!F28)="","      ",'HourGH-DEC'!F28)</f>
        <v>0.72</v>
      </c>
      <c r="I14" s="118">
        <f>IF(TRIM('HourGH-DEC'!F29)="","      ",'HourGH-DEC'!F29)</f>
        <v>0.61</v>
      </c>
      <c r="J14" s="118">
        <f>IF(TRIM('HourGH-DEC'!F30)="","      ",'HourGH-DEC'!F30)</f>
        <v>0.56999999999999995</v>
      </c>
      <c r="K14" s="118">
        <f>IF(TRIM('HourGH-DEC'!F31)="","      ",'HourGH-DEC'!F31)</f>
        <v>0.55000000000000004</v>
      </c>
    </row>
    <row r="15" spans="1:15">
      <c r="A15" s="127" t="s">
        <v>157</v>
      </c>
      <c r="B15" s="118">
        <f>IF(TRIM('HourGH-DEC'!F33)="","      ",'HourGH-DEC'!F33)</f>
        <v>0.51</v>
      </c>
      <c r="C15" s="118">
        <f>IF(TRIM('HourGH-DEC'!F34)="","      ",'HourGH-DEC'!F34)</f>
        <v>0.48</v>
      </c>
      <c r="D15" s="118">
        <f>IF(TRIM('HourGH-DEC'!F35)="","      ",'HourGH-DEC'!F35)</f>
        <v>0.47</v>
      </c>
      <c r="E15" s="118">
        <f>IF(TRIM('HourGH-DEC'!F36)="","      ",'HourGH-DEC'!F36)</f>
        <v>0.45</v>
      </c>
      <c r="F15" s="118">
        <f>IF(TRIM('HourGH-DEC'!F37)="","      ",'HourGH-DEC'!F37)</f>
        <v>0.45</v>
      </c>
      <c r="G15" s="118">
        <f>IF(TRIM('HourGH-DEC'!F38)="","      ",'HourGH-DEC'!F38)</f>
        <v>0.46</v>
      </c>
      <c r="H15" s="118">
        <f>IF(TRIM('HourGH-DEC'!F39)="","      ",'HourGH-DEC'!F39)</f>
        <v>0.43</v>
      </c>
      <c r="I15" s="118">
        <f>IF(TRIM('HourGH-DEC'!F40)="","      ",'HourGH-DEC'!F40)</f>
        <v>0.42</v>
      </c>
      <c r="J15" s="118">
        <f>IF(TRIM('HourGH-DEC'!F41)="","      ",'HourGH-DEC'!F41)</f>
        <v>0.44</v>
      </c>
      <c r="K15" s="118">
        <f>IF(TRIM('HourGH-DEC'!F42)="","      ",'HourGH-DEC'!F42)</f>
        <v>0.44</v>
      </c>
      <c r="L15" s="118">
        <f>IF(TRIM('HourGH-DEC'!F43)="","      ",'HourGH-DEC'!F43)</f>
        <v>0.44</v>
      </c>
    </row>
    <row r="16" spans="1:15">
      <c r="A16" s="127" t="s">
        <v>158</v>
      </c>
      <c r="B16" s="128">
        <f>IF(TRIM('HourGH-DEC'!G11)="","      ",'HourGH-DEC'!G11)</f>
        <v>0.56000000000000005</v>
      </c>
      <c r="C16" s="128">
        <f>IF(TRIM('HourGH-DEC'!G12)="","      ",'HourGH-DEC'!G12)</f>
        <v>0.54</v>
      </c>
      <c r="D16" s="128">
        <f>IF(TRIM('HourGH-DEC'!G13)="","      ",'HourGH-DEC'!G13)</f>
        <v>0.54</v>
      </c>
      <c r="E16" s="128">
        <f>IF(TRIM('HourGH-DEC'!G14)="","      ",'HourGH-DEC'!G14)</f>
        <v>0.53</v>
      </c>
      <c r="F16" s="118">
        <f>IF(TRIM('HourGH-DEC'!G15)="","      ",'HourGH-DEC'!G15)</f>
        <v>0.52</v>
      </c>
      <c r="G16" s="118">
        <f>IF(TRIM('HourGH-DEC'!G16)="","      ",'HourGH-DEC'!G16)</f>
        <v>0.51</v>
      </c>
      <c r="H16" s="118">
        <f>IF(TRIM('HourGH-DEC'!G17)="","      ",'HourGH-DEC'!G17)</f>
        <v>0.5</v>
      </c>
      <c r="I16" s="118">
        <f>IF(TRIM('HourGH-DEC'!G18)="","      ",'HourGH-DEC'!G18)</f>
        <v>0.5</v>
      </c>
      <c r="J16" s="118">
        <f>IF(TRIM('HourGH-DEC'!G19)="","      ",'HourGH-DEC'!G19)</f>
        <v>0.49</v>
      </c>
      <c r="K16" s="118">
        <f>IF(TRIM('HourGH-DEC'!G20)="","      ",'HourGH-DEC'!G20)</f>
        <v>0.48</v>
      </c>
    </row>
    <row r="17" spans="1:12">
      <c r="A17" s="127" t="s">
        <v>159</v>
      </c>
      <c r="B17" s="118">
        <f>IF(TRIM('HourGH-DEC'!G22)="","      ",'HourGH-DEC'!G22)</f>
        <v>0.48</v>
      </c>
      <c r="C17" s="118">
        <f>IF(TRIM('HourGH-DEC'!G23)="","      ",'HourGH-DEC'!G23)</f>
        <v>0.49</v>
      </c>
      <c r="D17" s="118">
        <f>IF(TRIM('HourGH-DEC'!G24)="","      ",'HourGH-DEC'!G24)</f>
        <v>0.49</v>
      </c>
      <c r="E17" s="118">
        <f>IF(TRIM('HourGH-DEC'!G25)="","      ",'HourGH-DEC'!G25)</f>
        <v>0.66</v>
      </c>
      <c r="F17" s="118">
        <f>IF(TRIM('HourGH-DEC'!G26)="","      ",'HourGH-DEC'!G26)</f>
        <v>0.86</v>
      </c>
      <c r="G17" s="118">
        <f>IF(TRIM('HourGH-DEC'!G27)="","      ",'HourGH-DEC'!G27)</f>
        <v>1.01</v>
      </c>
      <c r="H17" s="118">
        <f>IF(TRIM('HourGH-DEC'!G28)="","      ",'HourGH-DEC'!G28)</f>
        <v>0.71</v>
      </c>
      <c r="I17" s="118">
        <f>IF(TRIM('HourGH-DEC'!G29)="","      ",'HourGH-DEC'!G29)</f>
        <v>0.62</v>
      </c>
      <c r="J17" s="118">
        <f>IF(TRIM('HourGH-DEC'!G30)="","      ",'HourGH-DEC'!G30)</f>
        <v>0.56999999999999995</v>
      </c>
      <c r="K17" s="118">
        <f>IF(TRIM('HourGH-DEC'!G31)="","      ",'HourGH-DEC'!G31)</f>
        <v>0.55000000000000004</v>
      </c>
    </row>
    <row r="18" spans="1:12">
      <c r="A18" s="127" t="s">
        <v>160</v>
      </c>
      <c r="B18" s="118">
        <f>IF(TRIM('HourGH-DEC'!G33)="","      ",'HourGH-DEC'!G33)</f>
        <v>0.51</v>
      </c>
      <c r="C18" s="118">
        <f>IF(TRIM('HourGH-DEC'!G34)="","      ",'HourGH-DEC'!G34)</f>
        <v>0.48</v>
      </c>
      <c r="D18" s="118">
        <f>IF(TRIM('HourGH-DEC'!G35)="","      ",'HourGH-DEC'!G35)</f>
        <v>0.47</v>
      </c>
      <c r="E18" s="118">
        <f>IF(TRIM('HourGH-DEC'!G36)="","      ",'HourGH-DEC'!G36)</f>
        <v>0.45</v>
      </c>
      <c r="F18" s="118">
        <f>IF(TRIM('HourGH-DEC'!G37)="","      ",'HourGH-DEC'!G37)</f>
        <v>0.45</v>
      </c>
      <c r="G18" s="118">
        <f>IF(TRIM('HourGH-DEC'!G38)="","      ",'HourGH-DEC'!G38)</f>
        <v>0.45</v>
      </c>
      <c r="H18" s="118">
        <f>IF(TRIM('HourGH-DEC'!G39)="","      ",'HourGH-DEC'!G39)</f>
        <v>0.43</v>
      </c>
      <c r="I18" s="118">
        <f>IF(TRIM('HourGH-DEC'!G40)="","      ",'HourGH-DEC'!G40)</f>
        <v>0.42</v>
      </c>
      <c r="J18" s="118">
        <f>IF(TRIM('HourGH-DEC'!G41)="","      ",'HourGH-DEC'!G41)</f>
        <v>0.44</v>
      </c>
      <c r="K18" s="118">
        <f>IF(TRIM('HourGH-DEC'!G42)="","      ",'HourGH-DEC'!G42)</f>
        <v>0.44</v>
      </c>
      <c r="L18" s="118">
        <f>IF(TRIM('HourGH-DEC'!G43)="","      ",'HourGH-DEC'!G43)</f>
        <v>0.44</v>
      </c>
    </row>
    <row r="19" spans="1:12">
      <c r="A19" s="127" t="s">
        <v>161</v>
      </c>
      <c r="B19" s="128">
        <f>IF(TRIM('HourGH-DEC'!H11)="","      ",'HourGH-DEC'!H11)</f>
        <v>0.56000000000000005</v>
      </c>
      <c r="C19" s="128">
        <f>IF(TRIM('HourGH-DEC'!H12)="","      ",'HourGH-DEC'!H12)</f>
        <v>0.54</v>
      </c>
      <c r="D19" s="128">
        <f>IF(TRIM('HourGH-DEC'!H13)="","      ",'HourGH-DEC'!H13)</f>
        <v>0.54</v>
      </c>
      <c r="E19" s="128">
        <f>IF(TRIM('HourGH-DEC'!H14)="","      ",'HourGH-DEC'!H14)</f>
        <v>0.53</v>
      </c>
      <c r="F19" s="118">
        <f>IF(TRIM('HourGH-DEC'!H15)="","      ",'HourGH-DEC'!H15)</f>
        <v>0.52</v>
      </c>
      <c r="G19" s="118">
        <f>IF(TRIM('HourGH-DEC'!H16)="","      ",'HourGH-DEC'!H16)</f>
        <v>0.51</v>
      </c>
      <c r="H19" s="118">
        <f>IF(TRIM('HourGH-DEC'!H17)="","      ",'HourGH-DEC'!H17)</f>
        <v>0.5</v>
      </c>
      <c r="I19" s="118">
        <f>IF(TRIM('HourGH-DEC'!H18)="","      ",'HourGH-DEC'!H18)</f>
        <v>0.5</v>
      </c>
      <c r="J19" s="118">
        <f>IF(TRIM('HourGH-DEC'!H19)="","      ",'HourGH-DEC'!H19)</f>
        <v>0.49</v>
      </c>
      <c r="K19" s="118">
        <f>IF(TRIM('HourGH-DEC'!H20)="","      ",'HourGH-DEC'!H20)</f>
        <v>0.48</v>
      </c>
    </row>
    <row r="20" spans="1:12">
      <c r="A20" s="127" t="s">
        <v>162</v>
      </c>
      <c r="B20" s="118">
        <f>IF(TRIM('HourGH-DEC'!H22)="","      ",'HourGH-DEC'!H22)</f>
        <v>0.48</v>
      </c>
      <c r="C20" s="118">
        <f>IF(TRIM('HourGH-DEC'!H23)="","      ",'HourGH-DEC'!H23)</f>
        <v>0.49</v>
      </c>
      <c r="D20" s="118">
        <f>IF(TRIM('HourGH-DEC'!H24)="","      ",'HourGH-DEC'!H24)</f>
        <v>0.49</v>
      </c>
      <c r="E20" s="118">
        <f>IF(TRIM('HourGH-DEC'!H25)="","      ",'HourGH-DEC'!H25)</f>
        <v>0.67</v>
      </c>
      <c r="F20" s="118">
        <f>IF(TRIM('HourGH-DEC'!H26)="","      ",'HourGH-DEC'!H26)</f>
        <v>0.87</v>
      </c>
      <c r="G20" s="118">
        <f>IF(TRIM('HourGH-DEC'!H27)="","      ",'HourGH-DEC'!H27)</f>
        <v>1</v>
      </c>
      <c r="H20" s="118">
        <f>IF(TRIM('HourGH-DEC'!H28)="","      ",'HourGH-DEC'!H28)</f>
        <v>0.7</v>
      </c>
      <c r="I20" s="118">
        <f>IF(TRIM('HourGH-DEC'!H29)="","      ",'HourGH-DEC'!H29)</f>
        <v>0.6</v>
      </c>
      <c r="J20" s="118">
        <f>IF(TRIM('HourGH-DEC'!H30)="","      ",'HourGH-DEC'!H30)</f>
        <v>0.56999999999999995</v>
      </c>
      <c r="K20" s="118">
        <f>IF(TRIM('HourGH-DEC'!H31)="","      ",'HourGH-DEC'!H31)</f>
        <v>0.54</v>
      </c>
    </row>
    <row r="21" spans="1:12">
      <c r="A21" s="127" t="s">
        <v>163</v>
      </c>
      <c r="B21" s="118">
        <f>IF(TRIM('HourGH-DEC'!H33)="","      ",'HourGH-DEC'!H33)</f>
        <v>0.51</v>
      </c>
      <c r="C21" s="118">
        <f>IF(TRIM('HourGH-DEC'!H34)="","      ",'HourGH-DEC'!H34)</f>
        <v>0.48</v>
      </c>
      <c r="D21" s="118">
        <f>IF(TRIM('HourGH-DEC'!H35)="","      ",'HourGH-DEC'!H35)</f>
        <v>0.47</v>
      </c>
      <c r="E21" s="118">
        <f>IF(TRIM('HourGH-DEC'!H36)="","      ",'HourGH-DEC'!H36)</f>
        <v>0.45</v>
      </c>
      <c r="F21" s="118">
        <f>IF(TRIM('HourGH-DEC'!H37)="","      ",'HourGH-DEC'!H37)</f>
        <v>0.45</v>
      </c>
      <c r="G21" s="118">
        <f>IF(TRIM('HourGH-DEC'!H38)="","      ",'HourGH-DEC'!H38)</f>
        <v>0.44</v>
      </c>
      <c r="H21" s="118">
        <f>IF(TRIM('HourGH-DEC'!H39)="","      ",'HourGH-DEC'!H39)</f>
        <v>0.43</v>
      </c>
      <c r="I21" s="118">
        <f>IF(TRIM('HourGH-DEC'!H40)="","      ",'HourGH-DEC'!H40)</f>
        <v>0.42</v>
      </c>
      <c r="J21" s="118">
        <f>IF(TRIM('HourGH-DEC'!H41)="","      ",'HourGH-DEC'!H41)</f>
        <v>0.44</v>
      </c>
      <c r="K21" s="118">
        <f>IF(TRIM('HourGH-DEC'!H42)="","      ",'HourGH-DEC'!H42)</f>
        <v>0.44</v>
      </c>
      <c r="L21" s="118">
        <f>IF(TRIM('HourGH-DEC'!H43)="","      ",'HourGH-DEC'!H43)</f>
        <v>0.44</v>
      </c>
    </row>
    <row r="22" spans="1:12">
      <c r="A22" s="127" t="s">
        <v>164</v>
      </c>
      <c r="B22" s="128">
        <f>IF(TRIM('HourGH-DEC'!I11)="","      ",'HourGH-DEC'!I11)</f>
        <v>0.56000000000000005</v>
      </c>
      <c r="C22" s="128">
        <f>IF(TRIM('HourGH-DEC'!I12)="","      ",'HourGH-DEC'!I12)</f>
        <v>0.54</v>
      </c>
      <c r="D22" s="128">
        <f>IF(TRIM('HourGH-DEC'!I13)="","      ",'HourGH-DEC'!I13)</f>
        <v>0.54</v>
      </c>
      <c r="E22" s="128">
        <f>IF(TRIM('HourGH-DEC'!I14)="","      ",'HourGH-DEC'!I14)</f>
        <v>0.53</v>
      </c>
      <c r="F22" s="118">
        <f>IF(TRIM('HourGH-DEC'!I15)="","      ",'HourGH-DEC'!I15)</f>
        <v>0.52</v>
      </c>
      <c r="G22" s="118">
        <f>IF(TRIM('HourGH-DEC'!I16)="","      ",'HourGH-DEC'!I16)</f>
        <v>0.51</v>
      </c>
      <c r="H22" s="128">
        <f>IF(TRIM('HourGH-DEC'!I17)="","      ",'HourGH-DEC'!I17)</f>
        <v>0.5</v>
      </c>
      <c r="I22" s="128">
        <f>IF(TRIM('HourGH-DEC'!I18)="","      ",'HourGH-DEC'!I18)</f>
        <v>0.5</v>
      </c>
      <c r="J22" s="128">
        <f>IF(TRIM('HourGH-DEC'!I19)="","      ",'HourGH-DEC'!I19)</f>
        <v>0.49</v>
      </c>
      <c r="K22" s="128">
        <f>IF(TRIM('HourGH-DEC'!I20)="","      ",'HourGH-DEC'!I20)</f>
        <v>0.48</v>
      </c>
    </row>
    <row r="23" spans="1:12">
      <c r="A23" s="127" t="s">
        <v>165</v>
      </c>
      <c r="B23" s="128">
        <f>IF(TRIM('HourGH-DEC'!I22)="","      ",'HourGH-DEC'!I22)</f>
        <v>0.48</v>
      </c>
      <c r="C23" s="128">
        <f>IF(TRIM('HourGH-DEC'!I23)="","      ",'HourGH-DEC'!I23)</f>
        <v>0.49</v>
      </c>
      <c r="D23" s="128">
        <f>IF(TRIM('HourGH-DEC'!I24)="","      ",'HourGH-DEC'!I24)</f>
        <v>0.49</v>
      </c>
      <c r="E23" s="128">
        <f>IF(TRIM('HourGH-DEC'!I25)="","      ",'HourGH-DEC'!I25)</f>
        <v>0.69</v>
      </c>
      <c r="F23" s="118">
        <f>IF(TRIM('HourGH-DEC'!I26)="","      ",'HourGH-DEC'!I26)</f>
        <v>0.88</v>
      </c>
      <c r="G23" s="118">
        <f>IF(TRIM('HourGH-DEC'!I27)="","      ",'HourGH-DEC'!I27)</f>
        <v>0.98</v>
      </c>
      <c r="H23" s="118">
        <f>IF(TRIM('HourGH-DEC'!I28)="","      ",'HourGH-DEC'!I28)</f>
        <v>0.69</v>
      </c>
      <c r="I23" s="118">
        <f>IF(TRIM('HourGH-DEC'!I29)="","      ",'HourGH-DEC'!I29)</f>
        <v>0.6</v>
      </c>
      <c r="J23" s="118">
        <f>IF(TRIM('HourGH-DEC'!I30)="","      ",'HourGH-DEC'!I30)</f>
        <v>0.56999999999999995</v>
      </c>
      <c r="K23" s="118">
        <f>IF(TRIM('HourGH-DEC'!I31)="","      ",'HourGH-DEC'!I31)</f>
        <v>0.54</v>
      </c>
    </row>
    <row r="24" spans="1:12">
      <c r="A24" s="127" t="s">
        <v>166</v>
      </c>
      <c r="B24" s="128">
        <f>IF(TRIM('HourGH-DEC'!I33)="","      ",'HourGH-DEC'!I33)</f>
        <v>0.5</v>
      </c>
      <c r="C24" s="128">
        <f>IF(TRIM('HourGH-DEC'!I34)="","      ",'HourGH-DEC'!I34)</f>
        <v>0.48</v>
      </c>
      <c r="D24" s="128">
        <f>IF(TRIM('HourGH-DEC'!I35)="","      ",'HourGH-DEC'!I35)</f>
        <v>0.47</v>
      </c>
      <c r="E24" s="128">
        <f>IF(TRIM('HourGH-DEC'!I36)="","      ",'HourGH-DEC'!I36)</f>
        <v>0.45</v>
      </c>
      <c r="F24" s="118">
        <f>IF(TRIM('HourGH-DEC'!I37)="","      ",'HourGH-DEC'!I37)</f>
        <v>0.47</v>
      </c>
      <c r="G24" s="118">
        <f>IF(TRIM('HourGH-DEC'!I38)="","      ",'HourGH-DEC'!I38)</f>
        <v>0.44</v>
      </c>
      <c r="H24" s="118">
        <f>IF(TRIM('HourGH-DEC'!I39)="","      ",'HourGH-DEC'!I39)</f>
        <v>0.43</v>
      </c>
      <c r="I24" s="118">
        <f>IF(TRIM('HourGH-DEC'!I40)="","      ",'HourGH-DEC'!I40)</f>
        <v>0.42</v>
      </c>
      <c r="J24" s="118">
        <f>IF(TRIM('HourGH-DEC'!I41)="","      ",'HourGH-DEC'!I41)</f>
        <v>0.44</v>
      </c>
      <c r="K24" s="118">
        <f>IF(TRIM('HourGH-DEC'!I42)="","      ",'HourGH-DEC'!I42)</f>
        <v>0.44</v>
      </c>
      <c r="L24" s="118">
        <f>IF(TRIM('HourGH-DEC'!I43)="","      ",'HourGH-DEC'!I43)</f>
        <v>0.44</v>
      </c>
    </row>
    <row r="25" spans="1:12">
      <c r="A25" s="127" t="s">
        <v>167</v>
      </c>
      <c r="B25" s="128">
        <f>IF(TRIM('HourGH-DEC'!J11)="","      ",'HourGH-DEC'!J11)</f>
        <v>0.56000000000000005</v>
      </c>
      <c r="C25" s="128">
        <f>IF(TRIM('HourGH-DEC'!J12)="","      ",'HourGH-DEC'!J12)</f>
        <v>0.54</v>
      </c>
      <c r="D25" s="128">
        <f>IF(TRIM('HourGH-DEC'!J13)="","      ",'HourGH-DEC'!J13)</f>
        <v>0.54</v>
      </c>
      <c r="E25" s="128">
        <f>IF(TRIM('HourGH-DEC'!J14)="","      ",'HourGH-DEC'!J14)</f>
        <v>0.53</v>
      </c>
      <c r="F25" s="118">
        <f>IF(TRIM('HourGH-DEC'!J15)="","      ",'HourGH-DEC'!J15)</f>
        <v>0.52</v>
      </c>
      <c r="G25" s="118">
        <f>IF(TRIM('HourGH-DEC'!J16)="","      ",'HourGH-DEC'!J16)</f>
        <v>0.51</v>
      </c>
      <c r="H25" s="128">
        <f>IF(TRIM('HourGH-DEC'!J17)="","      ",'HourGH-DEC'!J17)</f>
        <v>0.5</v>
      </c>
      <c r="I25" s="128">
        <f>IF(TRIM('HourGH-DEC'!J18)="","      ",'HourGH-DEC'!J18)</f>
        <v>0.5</v>
      </c>
      <c r="J25" s="128">
        <f>IF(TRIM('HourGH-DEC'!J19)="","      ",'HourGH-DEC'!J19)</f>
        <v>0.49</v>
      </c>
      <c r="K25" s="128">
        <f>IF(TRIM('HourGH-DEC'!J20)="","      ",'HourGH-DEC'!J20)</f>
        <v>0.48</v>
      </c>
    </row>
    <row r="26" spans="1:12">
      <c r="A26" s="127" t="s">
        <v>168</v>
      </c>
      <c r="B26" s="128">
        <f>IF(TRIM('HourGH-DEC'!J22)="","      ",'HourGH-DEC'!J22)</f>
        <v>0.48</v>
      </c>
      <c r="C26" s="128">
        <f>IF(TRIM('HourGH-DEC'!J23)="","      ",'HourGH-DEC'!J23)</f>
        <v>0.49</v>
      </c>
      <c r="D26" s="128">
        <f>IF(TRIM('HourGH-DEC'!J24)="","      ",'HourGH-DEC'!J24)</f>
        <v>0.5</v>
      </c>
      <c r="E26" s="128">
        <f>IF(TRIM('HourGH-DEC'!J25)="","      ",'HourGH-DEC'!J25)</f>
        <v>0.7</v>
      </c>
      <c r="F26" s="118">
        <f>IF(TRIM('HourGH-DEC'!J26)="","      ",'HourGH-DEC'!J26)</f>
        <v>0.89</v>
      </c>
      <c r="G26" s="118">
        <f>IF(TRIM('HourGH-DEC'!J27)="","      ",'HourGH-DEC'!J27)</f>
        <v>0.97</v>
      </c>
      <c r="H26" s="128">
        <f>IF(TRIM('HourGH-DEC'!J28)="","      ",'HourGH-DEC'!J28)</f>
        <v>0.68</v>
      </c>
      <c r="I26" s="128">
        <f>IF(TRIM('HourGH-DEC'!J29)="","      ",'HourGH-DEC'!J29)</f>
        <v>0.6</v>
      </c>
      <c r="J26" s="128">
        <f>IF(TRIM('HourGH-DEC'!J30)="","      ",'HourGH-DEC'!J30)</f>
        <v>0.56999999999999995</v>
      </c>
      <c r="K26" s="128">
        <f>IF(TRIM('HourGH-DEC'!J31)="","      ",'HourGH-DEC'!J31)</f>
        <v>0.54</v>
      </c>
    </row>
    <row r="27" spans="1:12">
      <c r="A27" s="127" t="s">
        <v>169</v>
      </c>
      <c r="B27" s="128">
        <f>IF(TRIM('HourGH-DEC'!J33)="","      ",'HourGH-DEC'!J33)</f>
        <v>0.5</v>
      </c>
      <c r="C27" s="128">
        <f>IF(TRIM('HourGH-DEC'!J34)="","      ",'HourGH-DEC'!J34)</f>
        <v>0.48</v>
      </c>
      <c r="D27" s="128">
        <f>IF(TRIM('HourGH-DEC'!J35)="","      ",'HourGH-DEC'!J35)</f>
        <v>0.47</v>
      </c>
      <c r="E27" s="128">
        <f>IF(TRIM('HourGH-DEC'!J36)="","      ",'HourGH-DEC'!J36)</f>
        <v>0.45</v>
      </c>
      <c r="F27" s="118">
        <f>IF(TRIM('HourGH-DEC'!J37)="","      ",'HourGH-DEC'!J37)</f>
        <v>0.49</v>
      </c>
      <c r="G27" s="118">
        <f>IF(TRIM('HourGH-DEC'!J38)="","      ",'HourGH-DEC'!J38)</f>
        <v>0.44</v>
      </c>
      <c r="H27" s="128">
        <f>IF(TRIM('HourGH-DEC'!J39)="","      ",'HourGH-DEC'!J39)</f>
        <v>0.43</v>
      </c>
      <c r="I27" s="128">
        <f>IF(TRIM('HourGH-DEC'!J40)="","      ",'HourGH-DEC'!J40)</f>
        <v>0.42</v>
      </c>
      <c r="J27" s="128">
        <f>IF(TRIM('HourGH-DEC'!J41)="","      ",'HourGH-DEC'!J41)</f>
        <v>0.44</v>
      </c>
      <c r="K27" s="128">
        <f>IF(TRIM('HourGH-DEC'!J42)="","      ",'HourGH-DEC'!J42)</f>
        <v>0.44</v>
      </c>
      <c r="L27" s="118">
        <f>IF(TRIM('HourGH-DEC'!J43)="","      ",'HourGH-DEC'!J43)</f>
        <v>0.44</v>
      </c>
    </row>
    <row r="28" spans="1:12">
      <c r="A28" s="127" t="s">
        <v>170</v>
      </c>
      <c r="B28" s="128">
        <f>IF(TRIM('HourGH-DEC'!K11)="","      ",'HourGH-DEC'!K11)</f>
        <v>0.56000000000000005</v>
      </c>
      <c r="C28" s="128">
        <f>IF(TRIM('HourGH-DEC'!K12)="","      ",'HourGH-DEC'!K12)</f>
        <v>0.54</v>
      </c>
      <c r="D28" s="128">
        <f>IF(TRIM('HourGH-DEC'!K13)="","      ",'HourGH-DEC'!K13)</f>
        <v>0.54</v>
      </c>
      <c r="E28" s="128">
        <f>IF(TRIM('HourGH-DEC'!K14)="","      ",'HourGH-DEC'!K14)</f>
        <v>0.53</v>
      </c>
      <c r="F28" s="118">
        <f>IF(TRIM('HourGH-DEC'!K15)="","      ",'HourGH-DEC'!K15)</f>
        <v>0.52</v>
      </c>
      <c r="G28" s="118">
        <f>IF(TRIM('HourGH-DEC'!K16)="","      ",'HourGH-DEC'!K16)</f>
        <v>0.51</v>
      </c>
      <c r="H28" s="128">
        <f>IF(TRIM('HourGH-DEC'!K17)="","      ",'HourGH-DEC'!K17)</f>
        <v>0.5</v>
      </c>
      <c r="I28" s="128">
        <f>IF(TRIM('HourGH-DEC'!K18)="","      ",'HourGH-DEC'!K18)</f>
        <v>0.5</v>
      </c>
      <c r="J28" s="128">
        <f>IF(TRIM('HourGH-DEC'!K19)="","      ",'HourGH-DEC'!K19)</f>
        <v>0.49</v>
      </c>
      <c r="K28" s="128">
        <f>IF(TRIM('HourGH-DEC'!K20)="","      ",'HourGH-DEC'!K20)</f>
        <v>0.48</v>
      </c>
    </row>
    <row r="29" spans="1:12">
      <c r="A29" s="127" t="s">
        <v>171</v>
      </c>
      <c r="B29" s="128">
        <f>IF(TRIM('HourGH-DEC'!K22)="","      ",'HourGH-DEC'!K22)</f>
        <v>0.48</v>
      </c>
      <c r="C29" s="128">
        <f>IF(TRIM('HourGH-DEC'!K23)="","      ",'HourGH-DEC'!K23)</f>
        <v>0.49</v>
      </c>
      <c r="D29" s="128">
        <f>IF(TRIM('HourGH-DEC'!K24)="","      ",'HourGH-DEC'!K24)</f>
        <v>0.5</v>
      </c>
      <c r="E29" s="128">
        <f>IF(TRIM('HourGH-DEC'!K25)="","      ",'HourGH-DEC'!K25)</f>
        <v>0.71</v>
      </c>
      <c r="F29" s="118">
        <f>IF(TRIM('HourGH-DEC'!K26)="","      ",'HourGH-DEC'!K26)</f>
        <v>0.9</v>
      </c>
      <c r="G29" s="118">
        <f>IF(TRIM('HourGH-DEC'!K27)="","      ",'HourGH-DEC'!K27)</f>
        <v>0.96</v>
      </c>
      <c r="H29" s="128">
        <f>IF(TRIM('HourGH-DEC'!K28)="","      ",'HourGH-DEC'!K28)</f>
        <v>0.67</v>
      </c>
      <c r="I29" s="128">
        <f>IF(TRIM('HourGH-DEC'!K29)="","      ",'HourGH-DEC'!K29)</f>
        <v>0.6</v>
      </c>
      <c r="J29" s="128">
        <f>IF(TRIM('HourGH-DEC'!K30)="","      ",'HourGH-DEC'!K30)</f>
        <v>0.56999999999999995</v>
      </c>
      <c r="K29" s="128">
        <f>IF(TRIM('HourGH-DEC'!K31)="","      ",'HourGH-DEC'!K31)</f>
        <v>0.54</v>
      </c>
    </row>
    <row r="30" spans="1:12">
      <c r="A30" s="127" t="s">
        <v>172</v>
      </c>
      <c r="B30" s="128">
        <f>IF(TRIM('HourGH-DEC'!K33)="","      ",'HourGH-DEC'!K33)</f>
        <v>0.5</v>
      </c>
      <c r="C30" s="128">
        <f>IF(TRIM('HourGH-DEC'!K34)="","      ",'HourGH-DEC'!K34)</f>
        <v>0.48</v>
      </c>
      <c r="D30" s="128">
        <f>IF(TRIM('HourGH-DEC'!K35)="","      ",'HourGH-DEC'!K35)</f>
        <v>0.47</v>
      </c>
      <c r="E30" s="128">
        <f>IF(TRIM('HourGH-DEC'!K36)="","      ",'HourGH-DEC'!K36)</f>
        <v>0.45</v>
      </c>
      <c r="F30" s="118">
        <f>IF(TRIM('HourGH-DEC'!K37)="","      ",'HourGH-DEC'!K37)</f>
        <v>0.51</v>
      </c>
      <c r="G30" s="118">
        <f>IF(TRIM('HourGH-DEC'!K38)="","      ",'HourGH-DEC'!K38)</f>
        <v>0.44</v>
      </c>
      <c r="H30" s="128">
        <f>IF(TRIM('HourGH-DEC'!K39)="","      ",'HourGH-DEC'!K39)</f>
        <v>0.43</v>
      </c>
      <c r="I30" s="128">
        <f>IF(TRIM('HourGH-DEC'!K40)="","      ",'HourGH-DEC'!K40)</f>
        <v>0.42</v>
      </c>
      <c r="J30" s="128">
        <f>IF(TRIM('HourGH-DEC'!K41)="","      ",'HourGH-DEC'!K41)</f>
        <v>0.44</v>
      </c>
      <c r="K30" s="128">
        <f>IF(TRIM('HourGH-DEC'!K42)="","      ",'HourGH-DEC'!K42)</f>
        <v>0.44</v>
      </c>
      <c r="L30" s="118">
        <f>IF(TRIM('HourGH-DEC'!K43)="","      ",'HourGH-DEC'!K43)</f>
        <v>0.44</v>
      </c>
    </row>
    <row r="31" spans="1:12">
      <c r="A31" s="127" t="s">
        <v>173</v>
      </c>
      <c r="B31" s="128">
        <f>IF(TRIM('HourGH-DEC'!L11)="","      ",'HourGH-DEC'!L11)</f>
        <v>0.56000000000000005</v>
      </c>
      <c r="C31" s="128">
        <f>IF(TRIM('HourGH-DEC'!L12)="","      ",'HourGH-DEC'!L12)</f>
        <v>0.54</v>
      </c>
      <c r="D31" s="128">
        <f>IF(TRIM('HourGH-DEC'!L13)="","      ",'HourGH-DEC'!L13)</f>
        <v>0.54</v>
      </c>
      <c r="E31" s="128">
        <f>IF(TRIM('HourGH-DEC'!U14)="","      ",'HourGH-DEC'!U14)</f>
        <v>0.53</v>
      </c>
      <c r="F31" s="118">
        <f>IF(TRIM('HourGH-DEC'!L15)="","      ",'HourGH-DEC'!L15)</f>
        <v>0.52</v>
      </c>
      <c r="G31" s="118">
        <f>IF(TRIM('HourGH-DEC'!L16)="","      ",'HourGH-DEC'!L16)</f>
        <v>0.51</v>
      </c>
      <c r="H31" s="128">
        <f>IF(TRIM('HourGH-DEC'!L17)="","      ",'HourGH-DEC'!L17)</f>
        <v>0.5</v>
      </c>
      <c r="I31" s="128">
        <f>IF(TRIM('HourGH-DEC'!L18)="","      ",'HourGH-DEC'!L18)</f>
        <v>0.5</v>
      </c>
      <c r="J31" s="128">
        <f>IF(TRIM('HourGH-DEC'!L19)="","      ",'HourGH-DEC'!L19)</f>
        <v>0.49</v>
      </c>
      <c r="K31" s="128">
        <f>IF(TRIM('HourGH-DEC'!L20)="","      ",'HourGH-DEC'!L20)</f>
        <v>0.48</v>
      </c>
    </row>
    <row r="32" spans="1:12">
      <c r="A32" s="127" t="s">
        <v>174</v>
      </c>
      <c r="B32" s="128">
        <f>IF(TRIM('HourGH-DEC'!L22)="","      ",'HourGH-DEC'!L22)</f>
        <v>0.48</v>
      </c>
      <c r="C32" s="128">
        <f>IF(TRIM('HourGH-DEC'!L23)="","      ",'HourGH-DEC'!L23)</f>
        <v>0.49</v>
      </c>
      <c r="D32" s="128">
        <f>IF(TRIM('HourGH-DEC'!L24)="","      ",'HourGH-DEC'!L24)</f>
        <v>0.5</v>
      </c>
      <c r="E32" s="128">
        <f>IF(TRIM('HourGH-DEC'!L25)="","      ",'HourGH-DEC'!L25)</f>
        <v>0.72</v>
      </c>
      <c r="F32" s="118">
        <f>IF(TRIM('HourGH-DEC'!L26)="","      ",'HourGH-DEC'!L26)</f>
        <v>0.91</v>
      </c>
      <c r="G32" s="118">
        <f>IF(TRIM('HourGH-DEC'!L27)="","      ",'HourGH-DEC'!L27)</f>
        <v>0.94</v>
      </c>
      <c r="H32" s="128">
        <f>IF(TRIM('HourGH-DEC'!L28)="","      ",'HourGH-DEC'!L28)</f>
        <v>0.67</v>
      </c>
      <c r="I32" s="128">
        <f>IF(TRIM('HourGH-DEC'!L29)="","      ",'HourGH-DEC'!L29)</f>
        <v>0.6</v>
      </c>
      <c r="J32" s="128">
        <f>IF(TRIM('HourGH-DEC'!L30)="","      ",'HourGH-DEC'!L30)</f>
        <v>0.56999999999999995</v>
      </c>
      <c r="K32" s="128">
        <f>IF(TRIM('HourGH-DEC'!L31)="","      ",'HourGH-DEC'!L31)</f>
        <v>0.54</v>
      </c>
    </row>
    <row r="33" spans="1:12">
      <c r="A33" s="127" t="s">
        <v>175</v>
      </c>
      <c r="B33" s="128">
        <f>IF(TRIM('HourGH-DEC'!L33)="","      ",'HourGH-DEC'!L33)</f>
        <v>0.5</v>
      </c>
      <c r="C33" s="128">
        <f>IF(TRIM('HourGH-DEC'!L34)="","      ",'HourGH-DEC'!L34)</f>
        <v>0.48</v>
      </c>
      <c r="D33" s="128">
        <f>IF(TRIM('HourGH-DEC'!L35)="","      ",'HourGH-DEC'!L35)</f>
        <v>0.47</v>
      </c>
      <c r="E33" s="128">
        <f>IF(TRIM('HourGH-DEC'!L36)="","      ",'HourGH-DEC'!L36)</f>
        <v>0.45</v>
      </c>
      <c r="F33" s="118">
        <f>IF(TRIM('HourGH-DEC'!L37)="","      ",'HourGH-DEC'!L37)</f>
        <v>0.53</v>
      </c>
      <c r="G33" s="118">
        <f>IF(TRIM('HourGH-DEC'!L38)="","      ",'HourGH-DEC'!L38)</f>
        <v>0.44</v>
      </c>
      <c r="H33" s="128">
        <f>IF(TRIM('HourGH-DEC'!L39)="","      ",'HourGH-DEC'!L39)</f>
        <v>0.43</v>
      </c>
      <c r="I33" s="128">
        <f>IF(TRIM('HourGH-DEC'!L40)="","      ",'HourGH-DEC'!L40)</f>
        <v>0.42</v>
      </c>
      <c r="J33" s="128">
        <f>IF(TRIM('HourGH-DEC'!L41)="","      ",'HourGH-DEC'!L41)</f>
        <v>0.44</v>
      </c>
      <c r="K33" s="128">
        <f>IF(TRIM('HourGH-DEC'!L42)="","      ",'HourGH-DEC'!L42)</f>
        <v>0.44</v>
      </c>
      <c r="L33" s="118">
        <f>IF(TRIM('HourGH-DEC'!L43)="","      ",'HourGH-DEC'!L43)</f>
        <v>0.44</v>
      </c>
    </row>
    <row r="34" spans="1:12">
      <c r="A34" s="127" t="s">
        <v>176</v>
      </c>
      <c r="B34" s="128">
        <f>IF(TRIM('HourGH-DEC'!M11)="","      ",'HourGH-DEC'!M11)</f>
        <v>0.56000000000000005</v>
      </c>
      <c r="C34" s="128">
        <f>IF(TRIM('HourGH-DEC'!M12)="","      ",'HourGH-DEC'!M12)</f>
        <v>0.54</v>
      </c>
      <c r="D34" s="128">
        <f>IF(TRIM('HourGH-DEC'!M13)="","      ",'HourGH-DEC'!M13)</f>
        <v>0.54</v>
      </c>
      <c r="E34" s="128">
        <f>IF(TRIM('HourGH-DEC'!M14)="","      ",'HourGH-DEC'!M14)</f>
        <v>0.53</v>
      </c>
      <c r="F34" s="118">
        <f>IF(TRIM('HourGH-DEC'!M15)="","      ",'HourGH-DEC'!M15)</f>
        <v>0.52</v>
      </c>
      <c r="G34" s="118">
        <f>IF(TRIM('HourGH-DEC'!M16)="","      ",'HourGH-DEC'!M16)</f>
        <v>0.51</v>
      </c>
      <c r="H34" s="128">
        <f>IF(TRIM('HourGH-DEC'!M17)="","      ",'HourGH-DEC'!M17)</f>
        <v>0.5</v>
      </c>
      <c r="I34" s="128">
        <f>IF(TRIM('HourGH-DEC'!M18)="","      ",'HourGH-DEC'!M18)</f>
        <v>0.5</v>
      </c>
      <c r="J34" s="128">
        <f>IF(TRIM('HourGH-DEC'!M19)="","      ",'HourGH-DEC'!M19)</f>
        <v>0.49</v>
      </c>
      <c r="K34" s="128">
        <f>IF(TRIM('HourGH-DEC'!M20)="","      ",'HourGH-DEC'!M20)</f>
        <v>0.48</v>
      </c>
    </row>
    <row r="35" spans="1:12">
      <c r="A35" s="127" t="s">
        <v>177</v>
      </c>
      <c r="B35" s="128">
        <f>IF(TRIM('HourGH-DEC'!M22)="","      ",'HourGH-DEC'!M22)</f>
        <v>0.48</v>
      </c>
      <c r="C35" s="128">
        <f>IF(TRIM('HourGH-DEC'!M23)="","      ",'HourGH-DEC'!M23)</f>
        <v>0.49</v>
      </c>
      <c r="D35" s="128">
        <f>IF(TRIM('HourGH-DEC'!M24)="","      ",'HourGH-DEC'!M24)</f>
        <v>0.51</v>
      </c>
      <c r="E35" s="128">
        <f>IF(TRIM('HourGH-DEC'!M25)="","      ",'HourGH-DEC'!M25)</f>
        <v>0.73</v>
      </c>
      <c r="F35" s="118">
        <f>IF(TRIM('HourGH-DEC'!M26)="","      ",'HourGH-DEC'!M26)</f>
        <v>0.92</v>
      </c>
      <c r="G35" s="118">
        <f>IF(TRIM('HourGH-DEC'!M27)="","      ",'HourGH-DEC'!M27)</f>
        <v>0.93</v>
      </c>
      <c r="H35" s="128">
        <f>IF(TRIM('HourGH-DEC'!M28)="","      ",'HourGH-DEC'!M28)</f>
        <v>0.66</v>
      </c>
      <c r="I35" s="128">
        <f>IF(TRIM('HourGH-DEC'!M29)="","      ",'HourGH-DEC'!M29)</f>
        <v>0.6</v>
      </c>
      <c r="J35" s="128">
        <f>IF(TRIM('HourGH-DEC'!M30)="","      ",'HourGH-DEC'!M30)</f>
        <v>0.56999999999999995</v>
      </c>
      <c r="K35" s="128">
        <f>IF(TRIM('HourGH-DEC'!M31)="","      ",'HourGH-DEC'!M31)</f>
        <v>0.54</v>
      </c>
    </row>
    <row r="36" spans="1:12">
      <c r="A36" s="127" t="s">
        <v>178</v>
      </c>
      <c r="B36" s="128">
        <f>IF(TRIM('HourGH-DEC'!M33)="","      ",'HourGH-DEC'!M33)</f>
        <v>0.5</v>
      </c>
      <c r="C36" s="128">
        <f>IF(TRIM('HourGH-DEC'!M34)="","      ",'HourGH-DEC'!M34)</f>
        <v>0.48</v>
      </c>
      <c r="D36" s="128">
        <f>IF(TRIM('HourGH-DEC'!M35)="","      ",'HourGH-DEC'!M35)</f>
        <v>0.47</v>
      </c>
      <c r="E36" s="128">
        <f>IF(TRIM('HourGH-DEC'!M36)="","      ",'HourGH-DEC'!M36)</f>
        <v>0.45</v>
      </c>
      <c r="F36" s="118">
        <f>IF(TRIM('HourGH-DEC'!M37)="","      ",'HourGH-DEC'!M37)</f>
        <v>0.55000000000000004</v>
      </c>
      <c r="G36" s="118">
        <f>IF(TRIM('HourGH-DEC'!M38)="","      ",'HourGH-DEC'!M38)</f>
        <v>0.44</v>
      </c>
      <c r="H36" s="128">
        <f>IF(TRIM('HourGH-DEC'!M39)="","      ",'HourGH-DEC'!M39)</f>
        <v>0.43</v>
      </c>
      <c r="I36" s="128">
        <f>IF(TRIM('HourGH-DEC'!M40)="","      ",'HourGH-DEC'!M40)</f>
        <v>0.42</v>
      </c>
      <c r="J36" s="128">
        <f>IF(TRIM('HourGH-DEC'!M41)="","      ",'HourGH-DEC'!M41)</f>
        <v>0.44</v>
      </c>
      <c r="K36" s="128">
        <f>IF(TRIM('HourGH-DEC'!M42)="","      ",'HourGH-DEC'!M42)</f>
        <v>0.44</v>
      </c>
      <c r="L36" s="118">
        <f>IF(TRIM('HourGH-DEC'!M43)="","      ",'HourGH-DEC'!M43)</f>
        <v>0.44</v>
      </c>
    </row>
    <row r="37" spans="1:12">
      <c r="A37" s="127" t="s">
        <v>179</v>
      </c>
      <c r="B37" s="128">
        <f>IF(TRIM('HourGH-DEC'!N11)="","      ",'HourGH-DEC'!N11)</f>
        <v>0.56000000000000005</v>
      </c>
      <c r="C37" s="128">
        <f>IF(TRIM('HourGH-DEC'!N12)="","      ",'HourGH-DEC'!N12)</f>
        <v>0.54</v>
      </c>
      <c r="D37" s="128">
        <f>IF(TRIM('HourGH-DEC'!N13)="","      ",'HourGH-DEC'!N13)</f>
        <v>0.54</v>
      </c>
      <c r="E37" s="128">
        <f>IF(TRIM('HourGH-DEC'!N14)="","      ",'HourGH-DEC'!N14)</f>
        <v>0.54</v>
      </c>
      <c r="F37" s="118">
        <f>IF(TRIM('HourGH-DEC'!N15)="","      ",'HourGH-DEC'!N15)</f>
        <v>0.52</v>
      </c>
      <c r="G37" s="118">
        <f>IF(TRIM('HourGH-DEC'!N16)="","      ",'HourGH-DEC'!N16)</f>
        <v>0.51</v>
      </c>
      <c r="H37" s="128">
        <f>IF(TRIM('HourGH-DEC'!N17)="","      ",'HourGH-DEC'!N17)</f>
        <v>0.5</v>
      </c>
      <c r="I37" s="128">
        <f>IF(TRIM('HourGH-DEC'!N18)="","      ",'HourGH-DEC'!N18)</f>
        <v>0.5</v>
      </c>
      <c r="J37" s="128">
        <f>IF(TRIM('HourGH-DEC'!N19)="","      ",'HourGH-DEC'!N19)</f>
        <v>0.49</v>
      </c>
      <c r="K37" s="128">
        <f>IF(TRIM('HourGH-DEC'!N20)="","      ",'HourGH-DEC'!N20)</f>
        <v>0.48</v>
      </c>
    </row>
    <row r="38" spans="1:12">
      <c r="A38" s="127" t="s">
        <v>180</v>
      </c>
      <c r="B38" s="128">
        <f>IF(TRIM('HourGH-DEC'!N22)="","      ",'HourGH-DEC'!N22)</f>
        <v>0.48</v>
      </c>
      <c r="C38" s="128">
        <f>IF(TRIM('HourGH-DEC'!N23)="","      ",'HourGH-DEC'!N23)</f>
        <v>0.49</v>
      </c>
      <c r="D38" s="128">
        <f>IF(TRIM('HourGH-DEC'!N24)="","      ",'HourGH-DEC'!N24)</f>
        <v>0.51</v>
      </c>
      <c r="E38" s="128">
        <f>IF(TRIM('HourGH-DEC'!N25)="","      ",'HourGH-DEC'!N25)</f>
        <v>0.74</v>
      </c>
      <c r="F38" s="118">
        <f>IF(TRIM('HourGH-DEC'!N26)="","      ",'HourGH-DEC'!N26)</f>
        <v>0.93</v>
      </c>
      <c r="G38" s="118">
        <f>IF(TRIM('HourGH-DEC'!N27)="","      ",'HourGH-DEC'!N27)</f>
        <v>0.91</v>
      </c>
      <c r="H38" s="128">
        <f>IF(TRIM('HourGH-DEC'!N28)="","      ",'HourGH-DEC'!N28)</f>
        <v>0.66</v>
      </c>
      <c r="I38" s="128">
        <f>IF(TRIM('HourGH-DEC'!N29)="","      ",'HourGH-DEC'!N29)</f>
        <v>0.6</v>
      </c>
      <c r="J38" s="128">
        <f>IF(TRIM('HourGH-DEC'!N30)="","      ",'HourGH-DEC'!N30)</f>
        <v>0.56999999999999995</v>
      </c>
      <c r="K38" s="128">
        <f>IF(TRIM('HourGH-DEC'!N31)="","      ",'HourGH-DEC'!N31)</f>
        <v>0.54</v>
      </c>
    </row>
    <row r="39" spans="1:12">
      <c r="A39" s="127" t="s">
        <v>181</v>
      </c>
      <c r="B39" s="128">
        <f>IF(TRIM('HourGH-DEC'!N33)="","      ",'HourGH-DEC'!N33)</f>
        <v>0.5</v>
      </c>
      <c r="C39" s="128">
        <f>IF(TRIM('HourGH-DEC'!N34)="","      ",'HourGH-DEC'!N34)</f>
        <v>0.48</v>
      </c>
      <c r="D39" s="128">
        <f>IF(TRIM('HourGH-DEC'!N35)="","      ",'HourGH-DEC'!N35)</f>
        <v>0.47</v>
      </c>
      <c r="E39" s="128">
        <f>IF(TRIM('HourGH-DEC'!N36)="","      ",'HourGH-DEC'!N36)</f>
        <v>0.45</v>
      </c>
      <c r="F39" s="118">
        <f>IF(TRIM('HourGH-DEC'!N37)="","      ",'HourGH-DEC'!N37)</f>
        <v>0.56999999999999995</v>
      </c>
      <c r="G39" s="118">
        <f>IF(TRIM('HourGH-DEC'!N38)="","      ",'HourGH-DEC'!N38)</f>
        <v>0.44</v>
      </c>
      <c r="H39" s="128">
        <f>IF(TRIM('HourGH-DEC'!N39)="","      ",'HourGH-DEC'!N39)</f>
        <v>0.43</v>
      </c>
      <c r="I39" s="128">
        <f>IF(TRIM('HourGH-DEC'!N40)="","      ",'HourGH-DEC'!N40)</f>
        <v>0.42</v>
      </c>
      <c r="J39" s="128">
        <f>IF(TRIM('HourGH-DEC'!N41)="","      ",'HourGH-DEC'!N41)</f>
        <v>0.44</v>
      </c>
      <c r="K39" s="128">
        <f>IF(TRIM('HourGH-DEC'!N42)="","      ",'HourGH-DEC'!N42)</f>
        <v>0.44</v>
      </c>
      <c r="L39" s="118">
        <f>IF(TRIM('HourGH-DEC'!N43)="","      ",'HourGH-DEC'!N43)</f>
        <v>0.44</v>
      </c>
    </row>
    <row r="40" spans="1:12">
      <c r="A40" s="127" t="s">
        <v>182</v>
      </c>
      <c r="B40" s="128">
        <f>IF(TRIM('HourGH-DEC'!O11)="","      ",'HourGH-DEC'!O11)</f>
        <v>0.56000000000000005</v>
      </c>
      <c r="C40" s="128">
        <f>IF(TRIM('HourGH-DEC'!O12)="","      ",'HourGH-DEC'!O12)</f>
        <v>0.54</v>
      </c>
      <c r="D40" s="128">
        <f>IF(TRIM('HourGH-DEC'!O13)="","      ",'HourGH-DEC'!O13)</f>
        <v>0.54</v>
      </c>
      <c r="E40" s="128">
        <f>IF(TRIM('HourGH-DEC'!O14)="","      ",'HourGH-DEC'!O14)</f>
        <v>0.54</v>
      </c>
      <c r="F40" s="118">
        <f>IF(TRIM('HourGH-DEC'!O15)="","      ",'HourGH-DEC'!O15)</f>
        <v>0.52</v>
      </c>
      <c r="G40" s="118">
        <f>IF(TRIM('HourGH-DEC'!O16)="","      ",'HourGH-DEC'!O16)</f>
        <v>0.51</v>
      </c>
      <c r="H40" s="128">
        <f>IF(TRIM('HourGH-DEC'!O17)="","      ",'HourGH-DEC'!O17)</f>
        <v>0.5</v>
      </c>
      <c r="I40" s="128">
        <f>IF(TRIM('HourGH-DEC'!O18)="","      ",'HourGH-DEC'!O18)</f>
        <v>0.5</v>
      </c>
      <c r="J40" s="128">
        <f>IF(TRIM('HourGH-DEC'!O19)="","      ",'HourGH-DEC'!O19)</f>
        <v>0.49</v>
      </c>
      <c r="K40" s="128">
        <f>IF(TRIM('HourGH-DEC'!O20)="","      ",'HourGH-DEC'!O20)</f>
        <v>0.48</v>
      </c>
    </row>
    <row r="41" spans="1:12">
      <c r="A41" s="127" t="s">
        <v>183</v>
      </c>
      <c r="B41" s="128">
        <f>IF(TRIM('HourGH-DEC'!O22)="","      ",'HourGH-DEC'!O22)</f>
        <v>0.48</v>
      </c>
      <c r="C41" s="128">
        <f>IF(TRIM('HourGH-DEC'!O23)="","      ",'HourGH-DEC'!O23)</f>
        <v>0.49</v>
      </c>
      <c r="D41" s="128">
        <f>IF(TRIM('HourGH-DEC'!O24)="","      ",'HourGH-DEC'!O24)</f>
        <v>0.51</v>
      </c>
      <c r="E41" s="128">
        <f>IF(TRIM('HourGH-DEC'!O25)="","      ",'HourGH-DEC'!O25)</f>
        <v>0.75</v>
      </c>
      <c r="F41" s="118">
        <f>IF(TRIM('HourGH-DEC'!O26)="","      ",'HourGH-DEC'!O26)</f>
        <v>0.94</v>
      </c>
      <c r="G41" s="118">
        <f>IF(TRIM('HourGH-DEC'!O27)="","      ",'HourGH-DEC'!O27)</f>
        <v>0.9</v>
      </c>
      <c r="H41" s="128">
        <f>IF(TRIM('HourGH-DEC'!O28)="","      ",'HourGH-DEC'!O28)</f>
        <v>0.65</v>
      </c>
      <c r="I41" s="128">
        <f>IF(TRIM('HourGH-DEC'!O29)="","      ",'HourGH-DEC'!O29)</f>
        <v>0.59</v>
      </c>
      <c r="J41" s="128">
        <f>IF(TRIM('HourGH-DEC'!O30)="","      ",'HourGH-DEC'!O30)</f>
        <v>0.56999999999999995</v>
      </c>
      <c r="K41" s="128">
        <f>IF(TRIM('HourGH-DEC'!O31)="","      ",'HourGH-DEC'!O31)</f>
        <v>0.53</v>
      </c>
    </row>
    <row r="42" spans="1:12">
      <c r="A42" s="127" t="s">
        <v>184</v>
      </c>
      <c r="B42" s="128">
        <f>IF(TRIM('HourGH-DEC'!O33)="","      ",'HourGH-DEC'!O33)</f>
        <v>0.49</v>
      </c>
      <c r="C42" s="128">
        <f>IF(TRIM('HourGH-DEC'!O34)="","      ",'HourGH-DEC'!O34)</f>
        <v>0.48</v>
      </c>
      <c r="D42" s="128">
        <f>IF(TRIM('HourGH-DEC'!O35)="","      ",'HourGH-DEC'!O35)</f>
        <v>0.46</v>
      </c>
      <c r="E42" s="128">
        <f>IF(TRIM('HourGH-DEC'!O36)="","      ",'HourGH-DEC'!O36)</f>
        <v>0.45</v>
      </c>
      <c r="F42" s="118">
        <f>IF(TRIM('HourGH-DEC'!O37)="","      ",'HourGH-DEC'!O37)</f>
        <v>0.59</v>
      </c>
      <c r="G42" s="118">
        <f>IF(TRIM('HourGH-DEC'!O38)="","      ",'HourGH-DEC'!O38)</f>
        <v>0.44</v>
      </c>
      <c r="H42" s="128">
        <f>IF(TRIM('HourGH-DEC'!O39)="","      ",'HourGH-DEC'!O39)</f>
        <v>0.43</v>
      </c>
      <c r="I42" s="128">
        <f>IF(TRIM('HourGH-DEC'!O40)="","      ",'HourGH-DEC'!O40)</f>
        <v>0.43</v>
      </c>
      <c r="J42" s="128">
        <f>IF(TRIM('HourGH-DEC'!O41)="","      ",'HourGH-DEC'!O41)</f>
        <v>0.44</v>
      </c>
      <c r="K42" s="128">
        <f>IF(TRIM('HourGH-DEC'!O42)="","      ",'HourGH-DEC'!O42)</f>
        <v>0.44</v>
      </c>
      <c r="L42" s="118">
        <f>IF(TRIM('HourGH-DEC'!O43)="","      ",'HourGH-DEC'!O43)</f>
        <v>0.44</v>
      </c>
    </row>
    <row r="43" spans="1:12">
      <c r="A43" s="127" t="s">
        <v>185</v>
      </c>
      <c r="B43" s="128">
        <f>IF(TRIM('HourGH-DEC'!P11)="","      ",'HourGH-DEC'!P11)</f>
        <v>0.56000000000000005</v>
      </c>
      <c r="C43" s="128">
        <f>IF(TRIM('HourGH-DEC'!P12)="","      ",'HourGH-DEC'!P12)</f>
        <v>0.54</v>
      </c>
      <c r="D43" s="128">
        <f>IF(TRIM('HourGH-DEC'!P13)="","      ",'HourGH-DEC'!P13)</f>
        <v>0.54</v>
      </c>
      <c r="E43" s="128">
        <f>IF(TRIM('HourGH-DEC'!P14)="","      ",'HourGH-DEC'!P14)</f>
        <v>0.54</v>
      </c>
      <c r="F43" s="118">
        <f>IF(TRIM('HourGH-DEC'!P15)="","      ",'HourGH-DEC'!P15)</f>
        <v>0.52</v>
      </c>
      <c r="G43" s="118">
        <f>IF(TRIM('HourGH-DEC'!P16)="","      ",'HourGH-DEC'!P16)</f>
        <v>0.51</v>
      </c>
      <c r="H43" s="128">
        <f>IF(TRIM('HourGH-DEC'!P17)="","      ",'HourGH-DEC'!P17)</f>
        <v>0.5</v>
      </c>
      <c r="I43" s="128">
        <f>IF(TRIM('HourGH-DEC'!P18)="","      ",'HourGH-DEC'!P18)</f>
        <v>0.5</v>
      </c>
      <c r="J43" s="128">
        <f>IF(TRIM('HourGH-DEC'!P19)="","      ",'HourGH-DEC'!P19)</f>
        <v>0.49</v>
      </c>
      <c r="K43" s="128">
        <f>IF(TRIM('HourGH-DEC'!P20)="","      ",'HourGH-DEC'!P20)</f>
        <v>0.48</v>
      </c>
    </row>
    <row r="44" spans="1:12">
      <c r="A44" s="127" t="s">
        <v>186</v>
      </c>
      <c r="B44" s="128">
        <f>IF(TRIM('HourGH-DEC'!P22)="","      ",'HourGH-DEC'!P22)</f>
        <v>0.48</v>
      </c>
      <c r="C44" s="128">
        <f>IF(TRIM('HourGH-DEC'!P23)="","      ",'HourGH-DEC'!P23)</f>
        <v>0.49</v>
      </c>
      <c r="D44" s="128">
        <f>IF(TRIM('HourGH-DEC'!P24)="","      ",'HourGH-DEC'!P24)</f>
        <v>0.52</v>
      </c>
      <c r="E44" s="128">
        <f>IF(TRIM('HourGH-DEC'!P25)="","      ",'HourGH-DEC'!P25)</f>
        <v>0.76</v>
      </c>
      <c r="F44" s="118">
        <f>IF(TRIM('HourGH-DEC'!P26)="","      ",'HourGH-DEC'!P26)</f>
        <v>0.95</v>
      </c>
      <c r="G44" s="118">
        <f>IF(TRIM('HourGH-DEC'!P27)="","      ",'HourGH-DEC'!P27)</f>
        <v>0.89</v>
      </c>
      <c r="H44" s="128">
        <f>IF(TRIM('HourGH-DEC'!P28)="","      ",'HourGH-DEC'!P28)</f>
        <v>0.65</v>
      </c>
      <c r="I44" s="128">
        <f>IF(TRIM('HourGH-DEC'!P29)="","      ",'HourGH-DEC'!P29)</f>
        <v>0.59</v>
      </c>
      <c r="J44" s="128">
        <f>IF(TRIM('HourGH-DEC'!P30)="","      ",'HourGH-DEC'!P30)</f>
        <v>0.56999999999999995</v>
      </c>
      <c r="K44" s="128">
        <f>IF(TRIM('HourGH-DEC'!P31)="","      ",'HourGH-DEC'!P31)</f>
        <v>0.53</v>
      </c>
    </row>
    <row r="45" spans="1:12">
      <c r="A45" s="127" t="s">
        <v>187</v>
      </c>
      <c r="B45" s="128">
        <f>IF(TRIM('HourGH-DEC'!P33)="","      ",'HourGH-DEC'!P33)</f>
        <v>0.49</v>
      </c>
      <c r="C45" s="128">
        <f>IF(TRIM('HourGH-DEC'!P34)="","      ",'HourGH-DEC'!P34)</f>
        <v>0.48</v>
      </c>
      <c r="D45" s="128">
        <f>IF(TRIM('HourGH-DEC'!P35)="","      ",'HourGH-DEC'!P35)</f>
        <v>0.46</v>
      </c>
      <c r="E45" s="128">
        <f>IF(TRIM('HourGH-DEC'!P36)="","      ",'HourGH-DEC'!P36)</f>
        <v>0.45</v>
      </c>
      <c r="F45" s="118">
        <f>IF(TRIM('HourGH-DEC'!P37)="","      ",'HourGH-DEC'!P37)</f>
        <v>0.61</v>
      </c>
      <c r="G45" s="118">
        <f>IF(TRIM('HourGH-DEC'!P38)="","      ",'HourGH-DEC'!P38)</f>
        <v>0.44</v>
      </c>
      <c r="H45" s="128">
        <f>IF(TRIM('HourGH-DEC'!P39)="","      ",'HourGH-DEC'!P39)</f>
        <v>0.43</v>
      </c>
      <c r="I45" s="128">
        <f>IF(TRIM('HourGH-DEC'!P40)="","      ",'HourGH-DEC'!P40)</f>
        <v>0.43</v>
      </c>
      <c r="J45" s="128">
        <f>IF(TRIM('HourGH-DEC'!P41)="","      ",'HourGH-DEC'!P41)</f>
        <v>0.44</v>
      </c>
      <c r="K45" s="128">
        <f>IF(TRIM('HourGH-DEC'!P42)="","      ",'HourGH-DEC'!P42)</f>
        <v>0.44</v>
      </c>
      <c r="L45" s="118">
        <f>IF(TRIM('HourGH-DEC'!P43)="","      ",'HourGH-DEC'!P43)</f>
        <v>0.44</v>
      </c>
    </row>
    <row r="46" spans="1:12">
      <c r="A46" s="127" t="s">
        <v>188</v>
      </c>
      <c r="B46" s="128">
        <f>IF(TRIM('HourGH-DEC'!Q11)="","      ",'HourGH-DEC'!Q11)</f>
        <v>0.56000000000000005</v>
      </c>
      <c r="C46" s="128">
        <f>IF(TRIM('HourGH-DEC'!Q12)="","      ",'HourGH-DEC'!Q12)</f>
        <v>0.54</v>
      </c>
      <c r="D46" s="128">
        <f>IF(TRIM('HourGH-DEC'!Q13)="","      ",'HourGH-DEC'!Q13)</f>
        <v>0.54</v>
      </c>
      <c r="E46" s="128">
        <f>IF(TRIM('HourGH-DEC'!Q14)="","      ",'HourGH-DEC'!Q14)</f>
        <v>0.54</v>
      </c>
      <c r="F46" s="118">
        <f>IF(TRIM('HourGH-DEC'!Q15)="","      ",'HourGH-DEC'!Q15)</f>
        <v>0.52</v>
      </c>
      <c r="G46" s="118">
        <f>IF(TRIM('HourGH-DEC'!Q16)="","      ",'HourGH-DEC'!Q16)</f>
        <v>0.51</v>
      </c>
      <c r="H46" s="128">
        <f>IF(TRIM('HourGH-DEC'!Q17)="","      ",'HourGH-DEC'!Q17)</f>
        <v>0.5</v>
      </c>
      <c r="I46" s="128">
        <f>IF(TRIM('HourGH-DEC'!Q18)="","      ",'HourGH-DEC'!Q18)</f>
        <v>0.5</v>
      </c>
      <c r="J46" s="128">
        <f>IF(TRIM('HourGH-DEC'!Q19)="","      ",'HourGH-DEC'!Q19)</f>
        <v>0.49</v>
      </c>
      <c r="K46" s="128">
        <f>IF(TRIM('HourGH-DEC'!Q20)="","      ",'HourGH-DEC'!Q20)</f>
        <v>0.48</v>
      </c>
    </row>
    <row r="47" spans="1:12">
      <c r="A47" s="127" t="s">
        <v>189</v>
      </c>
      <c r="B47" s="128">
        <f>IF(TRIM('HourGH-DEC'!Q22)="","      ",'HourGH-DEC'!Q22)</f>
        <v>0.48</v>
      </c>
      <c r="C47" s="128">
        <f>IF(TRIM('HourGH-DEC'!Q23)="","      ",'HourGH-DEC'!Q23)</f>
        <v>0.49</v>
      </c>
      <c r="D47" s="128">
        <f>IF(TRIM('HourGH-DEC'!Q24)="","      ",'HourGH-DEC'!Q24)</f>
        <v>0.52</v>
      </c>
      <c r="E47" s="128">
        <f>IF(TRIM('HourGH-DEC'!Q25)="","      ",'HourGH-DEC'!Q25)</f>
        <v>0.77</v>
      </c>
      <c r="F47" s="118">
        <f>IF(TRIM('HourGH-DEC'!Q26)="","      ",'HourGH-DEC'!Q26)</f>
        <v>0.96</v>
      </c>
      <c r="G47" s="118">
        <f>IF(TRIM('HourGH-DEC'!Q27)="","      ",'HourGH-DEC'!Q27)</f>
        <v>0.87</v>
      </c>
      <c r="H47" s="128">
        <f>IF(TRIM('HourGH-DEC'!Q28)="","      ",'HourGH-DEC'!Q28)</f>
        <v>0.64</v>
      </c>
      <c r="I47" s="128">
        <f>IF(TRIM('HourGH-DEC'!Q29)="","      ",'HourGH-DEC'!Q29)</f>
        <v>0.59</v>
      </c>
      <c r="J47" s="128">
        <f>IF(TRIM('HourGH-DEC'!Q30)="","      ",'HourGH-DEC'!Q30)</f>
        <v>0.56999999999999995</v>
      </c>
      <c r="K47" s="128">
        <f>IF(TRIM('HourGH-DEC'!Q31)="","      ",'HourGH-DEC'!Q31)</f>
        <v>0.53</v>
      </c>
    </row>
    <row r="48" spans="1:12">
      <c r="A48" s="127" t="s">
        <v>190</v>
      </c>
      <c r="B48" s="128">
        <f>IF(TRIM('HourGH-DEC'!Q33)="","      ",'HourGH-DEC'!Q33)</f>
        <v>0.49</v>
      </c>
      <c r="C48" s="128">
        <f>IF(TRIM('HourGH-DEC'!Q34)="","      ",'HourGH-DEC'!Q34)</f>
        <v>0.48</v>
      </c>
      <c r="D48" s="128">
        <f>IF(TRIM('HourGH-DEC'!Q35)="","      ",'HourGH-DEC'!Q35)</f>
        <v>0.46</v>
      </c>
      <c r="E48" s="128">
        <f>IF(TRIM('HourGH-DEC'!Q36)="","      ",'HourGH-DEC'!Q36)</f>
        <v>0.45</v>
      </c>
      <c r="F48" s="118">
        <f>IF(TRIM('HourGH-DEC'!Q37)="","      ",'HourGH-DEC'!Q37)</f>
        <v>0.62</v>
      </c>
      <c r="G48" s="118">
        <f>IF(TRIM('HourGH-DEC'!Q38)="","      ",'HourGH-DEC'!Q38)</f>
        <v>0.44</v>
      </c>
      <c r="H48" s="128">
        <f>IF(TRIM('HourGH-DEC'!Q39)="","      ",'HourGH-DEC'!Q39)</f>
        <v>0.43</v>
      </c>
      <c r="I48" s="128">
        <f>IF(TRIM('HourGH-DEC'!Q40)="","      ",'HourGH-DEC'!Q40)</f>
        <v>0.43</v>
      </c>
      <c r="J48" s="128">
        <f>IF(TRIM('HourGH-DEC'!Q41)="","      ",'HourGH-DEC'!Q41)</f>
        <v>0.44</v>
      </c>
      <c r="K48" s="128">
        <f>IF(TRIM('HourGH-DEC'!Q42)="","      ",'HourGH-DEC'!Q42)</f>
        <v>0.44</v>
      </c>
      <c r="L48" s="118">
        <f>IF(TRIM('HourGH-DEC'!Q43)="","      ",'HourGH-DEC'!Q43)</f>
        <v>0.44</v>
      </c>
    </row>
    <row r="49" spans="1:20">
      <c r="A49" s="127" t="s">
        <v>191</v>
      </c>
      <c r="B49" s="128">
        <f>IF(TRIM('HourGH-DEC'!R11)="","      ",'HourGH-DEC'!R11)</f>
        <v>0.56000000000000005</v>
      </c>
      <c r="C49" s="128">
        <f>IF(TRIM('HourGH-DEC'!R12)="","      ",'HourGH-DEC'!R12)</f>
        <v>0.54</v>
      </c>
      <c r="D49" s="128">
        <f>IF(TRIM('HourGH-DEC'!R13)="","      ",'HourGH-DEC'!R13)</f>
        <v>0.54</v>
      </c>
      <c r="E49" s="128">
        <f>IF(TRIM('HourGH-DEC'!R14)="","      ",'HourGH-DEC'!R14)</f>
        <v>0.54</v>
      </c>
      <c r="F49" s="118">
        <f>IF(TRIM('HourGH-DEC'!R15)="","      ",'HourGH-DEC'!R15)</f>
        <v>0.52</v>
      </c>
      <c r="G49" s="118">
        <f>IF(TRIM('HourGH-DEC'!R16)="","      ",'HourGH-DEC'!R16)</f>
        <v>0.51</v>
      </c>
      <c r="H49" s="128">
        <f>IF(TRIM('HourGH-DEC'!R17)="","      ",'HourGH-DEC'!R17)</f>
        <v>0.5</v>
      </c>
      <c r="I49" s="128">
        <f>IF(TRIM('HourGH-DEC'!R18)="","      ",'HourGH-DEC'!R18)</f>
        <v>0.5</v>
      </c>
      <c r="J49" s="128">
        <f>IF(TRIM('HourGH-DEC'!R19)="","      ",'HourGH-DEC'!R19)</f>
        <v>0.49</v>
      </c>
      <c r="K49" s="128">
        <f>IF(TRIM('HourGH-DEC'!R20)="","      ",'HourGH-DEC'!R20)</f>
        <v>0.48</v>
      </c>
    </row>
    <row r="50" spans="1:20">
      <c r="A50" s="127" t="s">
        <v>192</v>
      </c>
      <c r="B50" s="128">
        <f>IF(TRIM('HourGH-DEC'!R22)="","      ",'HourGH-DEC'!R22)</f>
        <v>0.48</v>
      </c>
      <c r="C50" s="128">
        <f>IF(TRIM('HourGH-DEC'!R23)="","      ",'HourGH-DEC'!R23)</f>
        <v>0.49</v>
      </c>
      <c r="D50" s="128">
        <f>IF(TRIM('HourGH-DEC'!R24)="","      ",'HourGH-DEC'!R24)</f>
        <v>0.53</v>
      </c>
      <c r="E50" s="128">
        <f>IF(TRIM('HourGH-DEC'!R25)="","      ",'HourGH-DEC'!R25)</f>
        <v>0.78</v>
      </c>
      <c r="F50" s="118">
        <f>IF(TRIM('HourGH-DEC'!R26)="","      ",'HourGH-DEC'!R26)</f>
        <v>0.98</v>
      </c>
      <c r="G50" s="118">
        <f>IF(TRIM('HourGH-DEC'!R27)="","      ",'HourGH-DEC'!R27)</f>
        <v>0.85</v>
      </c>
      <c r="H50" s="128">
        <f>IF(TRIM('HourGH-DEC'!R28)="","      ",'HourGH-DEC'!R28)</f>
        <v>0.64</v>
      </c>
      <c r="I50" s="128">
        <f>IF(TRIM('HourGH-DEC'!R29)="","      ",'HourGH-DEC'!R29)</f>
        <v>0.59</v>
      </c>
      <c r="J50" s="128">
        <f>IF(TRIM('HourGH-DEC'!R30)="","      ",'HourGH-DEC'!R30)</f>
        <v>0.56999999999999995</v>
      </c>
      <c r="K50" s="128">
        <f>IF(TRIM('HourGH-DEC'!R31)="","      ",'HourGH-DEC'!R31)</f>
        <v>0.53</v>
      </c>
    </row>
    <row r="51" spans="1:20">
      <c r="A51" s="127" t="s">
        <v>193</v>
      </c>
      <c r="B51" s="128">
        <f>IF(TRIM('HourGH-DEC'!R33)="","      ",'HourGH-DEC'!R33)</f>
        <v>0.49</v>
      </c>
      <c r="C51" s="128">
        <f>IF(TRIM('HourGH-DEC'!R34)="","      ",'HourGH-DEC'!R34)</f>
        <v>0.48</v>
      </c>
      <c r="D51" s="128">
        <f>IF(TRIM('HourGH-DEC'!R35)="","      ",'HourGH-DEC'!R35)</f>
        <v>0.46</v>
      </c>
      <c r="E51" s="128">
        <f>IF(TRIM('HourGH-DEC'!R36)="","      ",'HourGH-DEC'!R36)</f>
        <v>0.45</v>
      </c>
      <c r="F51" s="118">
        <f>IF(TRIM('HourGH-DEC'!R37)="","      ",'HourGH-DEC'!R37)</f>
        <v>0.63</v>
      </c>
      <c r="G51" s="118">
        <f>IF(TRIM('HourGH-DEC'!R38)="","      ",'HourGH-DEC'!R38)</f>
        <v>0.44</v>
      </c>
      <c r="H51" s="128">
        <f>IF(TRIM('HourGH-DEC'!R39)="","      ",'HourGH-DEC'!R39)</f>
        <v>0.43</v>
      </c>
      <c r="I51" s="128">
        <f>IF(TRIM('HourGH-DEC'!R40)="","      ",'HourGH-DEC'!R40)</f>
        <v>0.43</v>
      </c>
      <c r="J51" s="128">
        <f>IF(TRIM('HourGH-DEC'!R41)="","      ",'HourGH-DEC'!R41)</f>
        <v>0.44</v>
      </c>
      <c r="K51" s="128">
        <f>IF(TRIM('HourGH-DEC'!R42)="","      ",'HourGH-DEC'!R42)</f>
        <v>0.44</v>
      </c>
      <c r="L51" s="118">
        <f>IF(TRIM('HourGH-DEC'!R43)="","      ",'HourGH-DEC'!R43)</f>
        <v>0.44</v>
      </c>
    </row>
    <row r="52" spans="1:20">
      <c r="A52" s="127" t="s">
        <v>194</v>
      </c>
      <c r="B52" s="128">
        <f>IF(TRIM('HourGH-DEC'!S11)="","      ",'HourGH-DEC'!S11)</f>
        <v>0.56000000000000005</v>
      </c>
      <c r="C52" s="128">
        <f>IF(TRIM('HourGH-DEC'!S12)="","      ",'HourGH-DEC'!S12)</f>
        <v>0.54</v>
      </c>
      <c r="D52" s="128">
        <f>IF(TRIM('HourGH-DEC'!S13)="","      ",'HourGH-DEC'!S13)</f>
        <v>0.54</v>
      </c>
      <c r="E52" s="128">
        <f>IF(TRIM('HourGH-DEC'!S14)="","      ",'HourGH-DEC'!S14)</f>
        <v>0.54</v>
      </c>
      <c r="F52" s="118">
        <f>IF(TRIM('HourGH-DEC'!S15)="","      ",'HourGH-DEC'!S15)</f>
        <v>0.52</v>
      </c>
      <c r="G52" s="118">
        <f>IF(TRIM('HourGH-DEC'!S16)="","      ",'HourGH-DEC'!S16)</f>
        <v>0.51</v>
      </c>
      <c r="H52" s="128">
        <f>IF(TRIM('HourGH-DEC'!S17)="","      ",'HourGH-DEC'!S17)</f>
        <v>0.5</v>
      </c>
      <c r="I52" s="128">
        <f>IF(TRIM('HourGH-DEC'!S18)="","      ",'HourGH-DEC'!S18)</f>
        <v>0.5</v>
      </c>
      <c r="J52" s="128">
        <f>IF(TRIM('HourGH-DEC'!S19)="","      ",'HourGH-DEC'!S19)</f>
        <v>0.49</v>
      </c>
      <c r="K52" s="128">
        <f>IF(TRIM('HourGH-DEC'!S20)="","      ",'HourGH-DEC'!S20)</f>
        <v>0.48</v>
      </c>
    </row>
    <row r="53" spans="1:20">
      <c r="A53" s="127" t="s">
        <v>195</v>
      </c>
      <c r="B53" s="128">
        <f>IF(TRIM('HourGH-DEC'!S22)="","      ",'HourGH-DEC'!S22)</f>
        <v>0.48</v>
      </c>
      <c r="C53" s="128">
        <f>IF(TRIM('HourGH-DEC'!S23)="","      ",'HourGH-DEC'!S23)</f>
        <v>0.49</v>
      </c>
      <c r="D53" s="128">
        <f>IF(TRIM('HourGH-DEC'!S24)="","      ",'HourGH-DEC'!S24)</f>
        <v>0.53</v>
      </c>
      <c r="E53" s="128">
        <f>IF(TRIM('HourGH-DEC'!S25)="","      ",'HourGH-DEC'!S25)</f>
        <v>0.79</v>
      </c>
      <c r="F53" s="118">
        <f>IF(TRIM('HourGH-DEC'!S26)="","      ",'HourGH-DEC'!S26)</f>
        <v>1</v>
      </c>
      <c r="G53" s="118">
        <f>IF(TRIM('HourGH-DEC'!S27)="","      ",'HourGH-DEC'!S27)</f>
        <v>0.84</v>
      </c>
      <c r="H53" s="128">
        <f>IF(TRIM('HourGH-DEC'!S28)="","      ",'HourGH-DEC'!S28)</f>
        <v>0.64</v>
      </c>
      <c r="I53" s="128">
        <f>IF(TRIM('HourGH-DEC'!S29)="","      ",'HourGH-DEC'!S29)</f>
        <v>0.59</v>
      </c>
      <c r="J53" s="128">
        <f>IF(TRIM('HourGH-DEC'!S30)="","      ",'HourGH-DEC'!S30)</f>
        <v>0.56999999999999995</v>
      </c>
      <c r="K53" s="128">
        <f>IF(TRIM('HourGH-DEC'!S31)="","      ",'HourGH-DEC'!S31)</f>
        <v>0.53</v>
      </c>
    </row>
    <row r="54" spans="1:20">
      <c r="A54" s="127" t="s">
        <v>196</v>
      </c>
      <c r="B54" s="128">
        <f>IF(TRIM('HourGH-DEC'!S33)="","      ",'HourGH-DEC'!S33)</f>
        <v>0.49</v>
      </c>
      <c r="C54" s="128">
        <f>IF(TRIM('HourGH-DEC'!S34)="","      ",'HourGH-DEC'!S34)</f>
        <v>0.48</v>
      </c>
      <c r="D54" s="128">
        <f>IF(TRIM('HourGH-DEC'!S35)="","      ",'HourGH-DEC'!S35)</f>
        <v>0.46</v>
      </c>
      <c r="E54" s="128">
        <f>IF(TRIM('HourGH-DEC'!S36)="","      ",'HourGH-DEC'!S36)</f>
        <v>0.45</v>
      </c>
      <c r="F54" s="118">
        <f>IF(TRIM('HourGH-DEC'!S37)="","      ",'HourGH-DEC'!S37)</f>
        <v>0.63</v>
      </c>
      <c r="G54" s="118">
        <f>IF(TRIM('HourGH-DEC'!S38)="","      ",'HourGH-DEC'!S38)</f>
        <v>0.44</v>
      </c>
      <c r="H54" s="128">
        <f>IF(TRIM('HourGH-DEC'!S39)="","      ",'HourGH-DEC'!S39)</f>
        <v>0.43</v>
      </c>
      <c r="I54" s="128">
        <f>IF(TRIM('HourGH-DEC'!S40)="","      ",'HourGH-DEC'!S40)</f>
        <v>0.43</v>
      </c>
      <c r="J54" s="128">
        <f>IF(TRIM('HourGH-DEC'!S41)="","      ",'HourGH-DEC'!S41)</f>
        <v>0.44</v>
      </c>
      <c r="K54" s="128">
        <f>IF(TRIM('HourGH-DEC'!S42)="","      ",'HourGH-DEC'!S42)</f>
        <v>0.44</v>
      </c>
      <c r="L54" s="118">
        <f>IF(TRIM('HourGH-DEC'!S43)="","      ",'HourGH-DEC'!S43)</f>
        <v>0.44</v>
      </c>
    </row>
    <row r="55" spans="1:20">
      <c r="A55" s="127" t="s">
        <v>197</v>
      </c>
      <c r="B55" s="128">
        <f>IF(TRIM('HourGH-DEC'!T11)="","      ",'HourGH-DEC'!T11)</f>
        <v>0.56000000000000005</v>
      </c>
      <c r="C55" s="128">
        <f>IF(TRIM('HourGH-DEC'!T12)="","      ",'HourGH-DEC'!T12)</f>
        <v>0.54</v>
      </c>
      <c r="D55" s="128">
        <f>IF(TRIM('HourGH-DEC'!T13)="","      ",'HourGH-DEC'!T13)</f>
        <v>0.54</v>
      </c>
      <c r="E55" s="128">
        <f>IF(TRIM('HourGH-DEC'!T14)="","      ",'HourGH-DEC'!T14)</f>
        <v>0.54</v>
      </c>
      <c r="F55" s="118">
        <f>IF(TRIM('HourGH-DEC'!T15)="","      ",'HourGH-DEC'!T15)</f>
        <v>0.52</v>
      </c>
      <c r="G55" s="118">
        <f>IF(TRIM('HourGH-DEC'!T16)="","      ",'HourGH-DEC'!T16)</f>
        <v>0.51</v>
      </c>
      <c r="H55" s="128">
        <f>IF(TRIM('HourGH-DEC'!T17)="","      ",'HourGH-DEC'!T17)</f>
        <v>0.5</v>
      </c>
      <c r="I55" s="128">
        <f>IF(TRIM('HourGH-DEC'!T18)="","      ",'HourGH-DEC'!T18)</f>
        <v>0.5</v>
      </c>
      <c r="J55" s="128">
        <f>IF(TRIM('HourGH-DEC'!T19)="","      ",'HourGH-DEC'!T19)</f>
        <v>0.49</v>
      </c>
      <c r="K55" s="128">
        <f>IF(TRIM('HourGH-DEC'!T20)="","      ",'HourGH-DEC'!T20)</f>
        <v>0.48</v>
      </c>
    </row>
    <row r="56" spans="1:20">
      <c r="A56" s="127" t="s">
        <v>198</v>
      </c>
      <c r="B56" s="128">
        <f>IF(TRIM('HourGH-DEC'!T22)="","      ",'HourGH-DEC'!T22)</f>
        <v>0.48</v>
      </c>
      <c r="C56" s="128">
        <f>IF(TRIM('HourGH-DEC'!T23)="","      ",'HourGH-DEC'!T23)</f>
        <v>0.49</v>
      </c>
      <c r="D56" s="128">
        <f>IF(TRIM('HourGH-DEC'!T24)="","      ",'HourGH-DEC'!T24)</f>
        <v>0.54</v>
      </c>
      <c r="E56" s="128">
        <f>IF(TRIM('HourGH-DEC'!T25)="","      ",'HourGH-DEC'!T25)</f>
        <v>0.8</v>
      </c>
      <c r="F56" s="118">
        <f>IF(TRIM('HourGH-DEC'!T26)="","      ",'HourGH-DEC'!T26)</f>
        <v>1.01</v>
      </c>
      <c r="G56" s="118">
        <f>IF(TRIM('HourGH-DEC'!T27)="","      ",'HourGH-DEC'!T27)</f>
        <v>0.83</v>
      </c>
      <c r="H56" s="128">
        <f>IF(TRIM('HourGH-DEC'!T28)="","      ",'HourGH-DEC'!T28)</f>
        <v>0.64</v>
      </c>
      <c r="I56" s="128">
        <f>IF(TRIM('HourGH-DEC'!T29)="","      ",'HourGH-DEC'!T29)</f>
        <v>0.59</v>
      </c>
      <c r="J56" s="128">
        <f>IF(TRIM('HourGH-DEC'!T30)="","      ",'HourGH-DEC'!T30)</f>
        <v>0.56999999999999995</v>
      </c>
      <c r="K56" s="128">
        <f>IF(TRIM('HourGH-DEC'!T31)="","      ",'HourGH-DEC'!T31)</f>
        <v>0.53</v>
      </c>
      <c r="N56" s="117">
        <f>B79</f>
        <v>338.16</v>
      </c>
      <c r="O56">
        <v>1</v>
      </c>
      <c r="P56" s="117" t="str">
        <f>B82</f>
        <v>1:00</v>
      </c>
      <c r="R56" s="117">
        <f>B85</f>
        <v>338.16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IF(TRIM('HourGH-DEC'!T33)="","      ",'HourGH-DEC'!T33)</f>
        <v>0.49</v>
      </c>
      <c r="C57" s="128">
        <f>IF(TRIM('HourGH-DEC'!T34)="","      ",'HourGH-DEC'!T34)</f>
        <v>0.48</v>
      </c>
      <c r="D57" s="128">
        <f>IF(TRIM('HourGH-DEC'!T35)="","      ",'HourGH-DEC'!T35)</f>
        <v>0.46</v>
      </c>
      <c r="E57" s="128">
        <f>IF(TRIM('HourGH-DEC'!T36)="","      ",'HourGH-DEC'!T36)</f>
        <v>0.45</v>
      </c>
      <c r="F57" s="118">
        <f>IF(TRIM('HourGH-DEC'!T37)="","      ",'HourGH-DEC'!T37)</f>
        <v>0.63</v>
      </c>
      <c r="G57" s="118">
        <f>IF(TRIM('HourGH-DEC'!T38)="","      ",'HourGH-DEC'!T38)</f>
        <v>0.44</v>
      </c>
      <c r="H57" s="128">
        <f>IF(TRIM('HourGH-DEC'!T39)="","      ",'HourGH-DEC'!T39)</f>
        <v>0.43</v>
      </c>
      <c r="I57" s="128">
        <f>IF(TRIM('HourGH-DEC'!T40)="","      ",'HourGH-DEC'!T40)</f>
        <v>0.43</v>
      </c>
      <c r="J57" s="128">
        <f>IF(TRIM('HourGH-DEC'!T41)="","      ",'HourGH-DEC'!T41)</f>
        <v>0.44</v>
      </c>
      <c r="K57" s="128">
        <f>IF(TRIM('HourGH-DEC'!T42)="","      ",'HourGH-DEC'!T42)</f>
        <v>0.44</v>
      </c>
      <c r="L57" s="118">
        <f>IF(TRIM('HourGH-DEC'!T43)="","      ",'HourGH-DEC'!T43)</f>
        <v>0.44</v>
      </c>
      <c r="N57" s="117">
        <f>C79</f>
        <v>338.14000000000004</v>
      </c>
      <c r="O57">
        <v>2</v>
      </c>
      <c r="P57" s="117" t="str">
        <f>C82</f>
        <v>1:00</v>
      </c>
      <c r="R57" s="117">
        <f>C85</f>
        <v>338.14000000000004</v>
      </c>
      <c r="S57">
        <v>2</v>
      </c>
      <c r="T57" s="117" t="str">
        <f>C88</f>
        <v>1:00</v>
      </c>
    </row>
    <row r="58" spans="1:20">
      <c r="A58" s="127" t="s">
        <v>200</v>
      </c>
      <c r="B58" s="128">
        <f>IF(TRIM('HourGH-DEC'!U11)="","      ",'HourGH-DEC'!U11)</f>
        <v>0.56000000000000005</v>
      </c>
      <c r="C58" s="128">
        <f>IF(TRIM('HourGH-DEC'!U12)="","      ",'HourGH-DEC'!U12)</f>
        <v>0.54</v>
      </c>
      <c r="D58" s="128">
        <f>IF(TRIM('HourGH-DEC'!U13)="","      ",'HourGH-DEC'!U13)</f>
        <v>0.54</v>
      </c>
      <c r="E58" s="128" t="e">
        <f>IF(TRIM('HourGH-DEC'!#REF!)="","      ",'HourGH-DEC'!#REF!)</f>
        <v>#REF!</v>
      </c>
      <c r="F58" s="118">
        <f>IF(TRIM('HourGH-DEC'!U15)="","      ",'HourGH-DEC'!U15)</f>
        <v>0.52</v>
      </c>
      <c r="G58" s="118">
        <f>IF(TRIM('HourGH-DEC'!U16)="","      ",'HourGH-DEC'!U16)</f>
        <v>0.51</v>
      </c>
      <c r="H58" s="128">
        <f>IF(TRIM('HourGH-DEC'!U17)="","      ",'HourGH-DEC'!U17)</f>
        <v>0.5</v>
      </c>
      <c r="I58" s="128">
        <f>IF(TRIM('HourGH-DEC'!U18)="","      ",'HourGH-DEC'!U18)</f>
        <v>0.5</v>
      </c>
      <c r="J58" s="128">
        <f>IF(TRIM('HourGH-DEC'!U19)="","      ",'HourGH-DEC'!U19)</f>
        <v>0.49</v>
      </c>
      <c r="K58" s="128">
        <f>IF(TRIM('HourGH-DEC'!U20)="","      ",'HourGH-DEC'!U20)</f>
        <v>0.48</v>
      </c>
      <c r="N58" s="117">
        <f>D79</f>
        <v>338.14000000000004</v>
      </c>
      <c r="O58">
        <v>3</v>
      </c>
      <c r="P58" s="117" t="str">
        <f>D82</f>
        <v>1:00</v>
      </c>
      <c r="R58" s="117">
        <f>D85</f>
        <v>338.14000000000004</v>
      </c>
      <c r="S58">
        <v>3</v>
      </c>
      <c r="T58" s="117" t="str">
        <f>D88</f>
        <v>1:00</v>
      </c>
    </row>
    <row r="59" spans="1:20">
      <c r="A59" s="127" t="s">
        <v>201</v>
      </c>
      <c r="B59" s="128">
        <f>IF(TRIM('HourGH-DEC'!U22)="","      ",'HourGH-DEC'!U22)</f>
        <v>0.48</v>
      </c>
      <c r="C59" s="128">
        <f>IF(TRIM('HourGH-DEC'!U23)="","      ",'HourGH-DEC'!U23)</f>
        <v>0.49</v>
      </c>
      <c r="D59" s="128">
        <f>IF(TRIM('HourGH-DEC'!U24)="","      ",'HourGH-DEC'!U24)</f>
        <v>0.55000000000000004</v>
      </c>
      <c r="E59" s="128">
        <f>IF(TRIM('HourGH-DEC'!U25)="","      ",'HourGH-DEC'!U25)</f>
        <v>0.81</v>
      </c>
      <c r="F59" s="118">
        <f>IF(TRIM('HourGH-DEC'!U26)="","      ",'HourGH-DEC'!U26)</f>
        <v>1.02</v>
      </c>
      <c r="G59" s="118">
        <f>IF(TRIM('HourGH-DEC'!U27)="","      ",'HourGH-DEC'!U27)</f>
        <v>0.82</v>
      </c>
      <c r="H59" s="128">
        <f>IF(TRIM('HourGH-DEC'!U28)="","      ",'HourGH-DEC'!U28)</f>
        <v>0.63</v>
      </c>
      <c r="I59" s="128">
        <f>IF(TRIM('HourGH-DEC'!U29)="","      ",'HourGH-DEC'!U29)</f>
        <v>0.57999999999999996</v>
      </c>
      <c r="J59" s="128">
        <f>IF(TRIM('HourGH-DEC'!U30)="","      ",'HourGH-DEC'!U30)</f>
        <v>0.56000000000000005</v>
      </c>
      <c r="K59" s="128">
        <f>IF(TRIM('HourGH-DEC'!U31)="","      ",'HourGH-DEC'!U31)</f>
        <v>0.52</v>
      </c>
      <c r="N59" s="117">
        <f>E79</f>
        <v>338.14000000000004</v>
      </c>
      <c r="O59">
        <v>4</v>
      </c>
      <c r="P59" s="117" t="str">
        <f>E82</f>
        <v>12:00</v>
      </c>
      <c r="R59" s="117">
        <f>E85</f>
        <v>338.13</v>
      </c>
      <c r="S59">
        <v>4</v>
      </c>
      <c r="T59" s="117" t="str">
        <f>E88</f>
        <v>1:00</v>
      </c>
    </row>
    <row r="60" spans="1:20">
      <c r="A60" s="127" t="s">
        <v>202</v>
      </c>
      <c r="B60" s="128">
        <f>IF(TRIM('HourGH-DEC'!U33)="","      ",'HourGH-DEC'!U33)</f>
        <v>0.49</v>
      </c>
      <c r="C60" s="128">
        <f>IF(TRIM('HourGH-DEC'!U34)="","      ",'HourGH-DEC'!U34)</f>
        <v>0.48</v>
      </c>
      <c r="D60" s="128">
        <f>IF(TRIM('HourGH-DEC'!U35)="","      ",'HourGH-DEC'!U35)</f>
        <v>0.46</v>
      </c>
      <c r="E60" s="128">
        <f>IF(TRIM('HourGH-DEC'!U36)="","      ",'HourGH-DEC'!U36)</f>
        <v>0.45</v>
      </c>
      <c r="F60" s="118">
        <f>IF(TRIM('HourGH-DEC'!U37)="","      ",'HourGH-DEC'!U37)</f>
        <v>0.62</v>
      </c>
      <c r="G60" s="118">
        <f>IF(TRIM('HourGH-DEC'!U38)="","      ",'HourGH-DEC'!U38)</f>
        <v>0.44</v>
      </c>
      <c r="H60" s="128">
        <f>IF(TRIM('HourGH-DEC'!U39)="","      ",'HourGH-DEC'!U39)</f>
        <v>0.43</v>
      </c>
      <c r="I60" s="128">
        <f>IF(TRIM('HourGH-DEC'!U40)="","      ",'HourGH-DEC'!U40)</f>
        <v>0.43</v>
      </c>
      <c r="J60" s="128">
        <f>IF(TRIM('HourGH-DEC'!U41)="","      ",'HourGH-DEC'!U41)</f>
        <v>0.44</v>
      </c>
      <c r="K60" s="128">
        <f>IF(TRIM('HourGH-DEC'!U42)="","      ",'HourGH-DEC'!U42)</f>
        <v>0.44</v>
      </c>
      <c r="L60" s="118">
        <f>IF(TRIM('HourGH-DEC'!U43)="","      ",'HourGH-DEC'!U43)</f>
        <v>0.44</v>
      </c>
      <c r="N60" s="117">
        <f>F79</f>
        <v>338.12</v>
      </c>
      <c r="O60">
        <v>5</v>
      </c>
      <c r="P60" s="117" t="str">
        <f>F82</f>
        <v>1:00</v>
      </c>
      <c r="R60" s="117">
        <f>F85</f>
        <v>338.12</v>
      </c>
      <c r="S60">
        <v>5</v>
      </c>
      <c r="T60" s="117" t="str">
        <f>F88</f>
        <v>1:00</v>
      </c>
    </row>
    <row r="61" spans="1:20">
      <c r="A61" s="127" t="s">
        <v>203</v>
      </c>
      <c r="B61" s="128">
        <f>IF(TRIM('HourGH-DEC'!V11)="","      ",'HourGH-DEC'!V11)</f>
        <v>0.56000000000000005</v>
      </c>
      <c r="C61" s="128">
        <f>IF(TRIM('HourGH-DEC'!V12)="","      ",'HourGH-DEC'!V12)</f>
        <v>0.54</v>
      </c>
      <c r="D61" s="128">
        <f>IF(TRIM('HourGH-DEC'!V13)="","      ",'HourGH-DEC'!V13)</f>
        <v>0.54</v>
      </c>
      <c r="E61" s="128">
        <f>IF(TRIM('HourGH-DEC'!V14)="","      ",'HourGH-DEC'!V14)</f>
        <v>0.53</v>
      </c>
      <c r="F61" s="118">
        <f>IF(TRIM('HourGH-DEC'!V15)="","      ",'HourGH-DEC'!V15)</f>
        <v>0.52</v>
      </c>
      <c r="G61" s="118">
        <f>IF(TRIM('HourGH-DEC'!V16)="","      ",'HourGH-DEC'!V16)</f>
        <v>0.51</v>
      </c>
      <c r="H61" s="128">
        <f>IF(TRIM('HourGH-DEC'!V17)="","      ",'HourGH-DEC'!V17)</f>
        <v>0.5</v>
      </c>
      <c r="I61" s="128">
        <f>IF(TRIM('HourGH-DEC'!V18)="","      ",'HourGH-DEC'!V18)</f>
        <v>0.5</v>
      </c>
      <c r="J61" s="128">
        <f>IF(TRIM('HourGH-DEC'!V19)="","      ",'HourGH-DEC'!V19)</f>
        <v>0.49</v>
      </c>
      <c r="K61" s="128">
        <f>IF(TRIM('HourGH-DEC'!V20)="","      ",'HourGH-DEC'!V20)</f>
        <v>0.48</v>
      </c>
      <c r="N61" s="117">
        <f>G79</f>
        <v>338.11</v>
      </c>
      <c r="O61">
        <v>6</v>
      </c>
      <c r="P61" s="117" t="str">
        <f>G82</f>
        <v>1:00</v>
      </c>
      <c r="R61" s="117">
        <f>G85</f>
        <v>338.11</v>
      </c>
      <c r="S61">
        <v>6</v>
      </c>
      <c r="T61" s="117" t="str">
        <f>G88</f>
        <v>1:00</v>
      </c>
    </row>
    <row r="62" spans="1:20">
      <c r="A62" s="127" t="s">
        <v>204</v>
      </c>
      <c r="B62" s="128">
        <f>IF(TRIM('HourGH-DEC'!V22)="","      ",'HourGH-DEC'!V22)</f>
        <v>0.48</v>
      </c>
      <c r="C62" s="128">
        <f>IF(TRIM('HourGH-DEC'!V23)="","      ",'HourGH-DEC'!V23)</f>
        <v>0.49</v>
      </c>
      <c r="D62" s="128">
        <f>IF(TRIM('HourGH-DEC'!V24)="","      ",'HourGH-DEC'!V24)</f>
        <v>0.56000000000000005</v>
      </c>
      <c r="E62" s="128">
        <f>IF(TRIM('HourGH-DEC'!V25)="","      ",'HourGH-DEC'!V25)</f>
        <v>0.81</v>
      </c>
      <c r="F62" s="118">
        <f>IF(TRIM('HourGH-DEC'!V26)="","      ",'HourGH-DEC'!V26)</f>
        <v>1.03</v>
      </c>
      <c r="G62" s="118">
        <f>IF(TRIM('HourGH-DEC'!V27)="","      ",'HourGH-DEC'!V27)</f>
        <v>0.81</v>
      </c>
      <c r="H62" s="128">
        <f>IF(TRIM('HourGH-DEC'!V28)="","      ",'HourGH-DEC'!V28)</f>
        <v>0.63</v>
      </c>
      <c r="I62" s="128">
        <f>IF(TRIM('HourGH-DEC'!V29)="","      ",'HourGH-DEC'!V29)</f>
        <v>0.57999999999999996</v>
      </c>
      <c r="J62" s="128">
        <f>IF(TRIM('HourGH-DEC'!V30)="","      ",'HourGH-DEC'!V30)</f>
        <v>0.56000000000000005</v>
      </c>
      <c r="K62" s="128">
        <f>IF(TRIM('HourGH-DEC'!V31)="","      ",'HourGH-DEC'!V31)</f>
        <v>0.52</v>
      </c>
      <c r="N62" s="117">
        <f>H79</f>
        <v>338.1</v>
      </c>
      <c r="O62">
        <v>7</v>
      </c>
      <c r="P62" s="117" t="str">
        <f>H82</f>
        <v>1:00</v>
      </c>
      <c r="R62" s="117">
        <f>H85</f>
        <v>338.1</v>
      </c>
      <c r="S62">
        <v>7</v>
      </c>
      <c r="T62" s="117" t="str">
        <f>H88</f>
        <v>1:00</v>
      </c>
    </row>
    <row r="63" spans="1:20">
      <c r="A63" s="127" t="s">
        <v>205</v>
      </c>
      <c r="B63" s="128">
        <f>IF(TRIM('HourGH-DEC'!V33)="","      ",'HourGH-DEC'!V33)</f>
        <v>0.49</v>
      </c>
      <c r="C63" s="128">
        <f>IF(TRIM('HourGH-DEC'!V34)="","      ",'HourGH-DEC'!V34)</f>
        <v>0.48</v>
      </c>
      <c r="D63" s="128">
        <f>IF(TRIM('HourGH-DEC'!V35)="","      ",'HourGH-DEC'!V35)</f>
        <v>0.46</v>
      </c>
      <c r="E63" s="128">
        <f>IF(TRIM('HourGH-DEC'!V36)="","      ",'HourGH-DEC'!V36)</f>
        <v>0.45</v>
      </c>
      <c r="F63" s="118">
        <f>IF(TRIM('HourGH-DEC'!V37)="","      ",'HourGH-DEC'!V37)</f>
        <v>0.61</v>
      </c>
      <c r="G63" s="118">
        <f>IF(TRIM('HourGH-DEC'!V38)="","      ",'HourGH-DEC'!V38)</f>
        <v>0.44</v>
      </c>
      <c r="H63" s="128">
        <f>IF(TRIM('HourGH-DEC'!V39)="","      ",'HourGH-DEC'!V39)</f>
        <v>0.43</v>
      </c>
      <c r="I63" s="128">
        <f>IF(TRIM('HourGH-DEC'!V40)="","      ",'HourGH-DEC'!V40)</f>
        <v>0.43</v>
      </c>
      <c r="J63" s="128">
        <f>IF(TRIM('HourGH-DEC'!V41)="","      ",'HourGH-DEC'!V41)</f>
        <v>0.44</v>
      </c>
      <c r="K63" s="128">
        <f>IF(TRIM('HourGH-DEC'!V42)="","      ",'HourGH-DEC'!V42)</f>
        <v>0.44</v>
      </c>
      <c r="L63" s="118">
        <f>IF(TRIM('HourGH-DEC'!V43)="","      ",'HourGH-DEC'!V43)</f>
        <v>0.44</v>
      </c>
      <c r="N63" s="117">
        <f>I79</f>
        <v>338.1</v>
      </c>
      <c r="O63">
        <v>8</v>
      </c>
      <c r="P63" s="117" t="str">
        <f>I82</f>
        <v>1:00</v>
      </c>
      <c r="R63" s="117">
        <f>I85</f>
        <v>338.1</v>
      </c>
      <c r="S63">
        <v>8</v>
      </c>
      <c r="T63" s="117" t="str">
        <f>I88</f>
        <v>1:00</v>
      </c>
    </row>
    <row r="64" spans="1:20">
      <c r="A64" s="127" t="s">
        <v>206</v>
      </c>
      <c r="B64" s="128">
        <f>IF(TRIM('HourGH-DEC'!W11)="","      ",'HourGH-DEC'!W11)</f>
        <v>0.56000000000000005</v>
      </c>
      <c r="C64" s="128">
        <f>IF(TRIM('HourGH-DEC'!W12)="","      ",'HourGH-DEC'!W12)</f>
        <v>0.54</v>
      </c>
      <c r="D64" s="128">
        <f>IF(TRIM('HourGH-DEC'!W13)="","      ",'HourGH-DEC'!W13)</f>
        <v>0.54</v>
      </c>
      <c r="E64" s="128">
        <f>IF(TRIM('HourGH-DEC'!W14)="","      ",'HourGH-DEC'!W14)</f>
        <v>0.53</v>
      </c>
      <c r="F64" s="118">
        <f>IF(TRIM('HourGH-DEC'!W15)="","      ",'HourGH-DEC'!W15)</f>
        <v>0.52</v>
      </c>
      <c r="G64" s="118">
        <f>IF(TRIM('HourGH-DEC'!W16)="","      ",'HourGH-DEC'!W16)</f>
        <v>0.51</v>
      </c>
      <c r="H64" s="128">
        <f>IF(TRIM('HourGH-DEC'!W17)="","      ",'HourGH-DEC'!W17)</f>
        <v>0.5</v>
      </c>
      <c r="I64" s="128">
        <f>IF(TRIM('HourGH-DEC'!W18)="","      ",'HourGH-DEC'!W18)</f>
        <v>0.5</v>
      </c>
      <c r="J64" s="128">
        <f>IF(TRIM('HourGH-DEC'!W19)="","      ",'HourGH-DEC'!W19)</f>
        <v>0.49</v>
      </c>
      <c r="K64" s="128">
        <f>IF(TRIM('HourGH-DEC'!W20)="","      ",'HourGH-DEC'!W20)</f>
        <v>0.48</v>
      </c>
      <c r="N64" s="117">
        <f>J79</f>
        <v>338.09000000000003</v>
      </c>
      <c r="O64">
        <v>9</v>
      </c>
      <c r="P64" s="117" t="str">
        <f>J82</f>
        <v>1:00</v>
      </c>
      <c r="R64" s="117">
        <f>J85</f>
        <v>338.09000000000003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IF(TRIM('HourGH-DEC'!W22)="","      ",'HourGH-DEC'!W22)</f>
        <v>0.48</v>
      </c>
      <c r="C65" s="128">
        <f>IF(TRIM('HourGH-DEC'!W23)="","      ",'HourGH-DEC'!W23)</f>
        <v>0.49</v>
      </c>
      <c r="D65" s="128">
        <f>IF(TRIM('HourGH-DEC'!W24)="","      ",'HourGH-DEC'!W24)</f>
        <v>0.56999999999999995</v>
      </c>
      <c r="E65" s="128">
        <f>IF(TRIM('HourGH-DEC'!W25)="","      ",'HourGH-DEC'!W25)</f>
        <v>0.82</v>
      </c>
      <c r="F65" s="118">
        <f>IF(TRIM('HourGH-DEC'!W26)="","      ",'HourGH-DEC'!W26)</f>
        <v>1.04</v>
      </c>
      <c r="G65" s="118">
        <f>IF(TRIM('HourGH-DEC'!W27)="","      ",'HourGH-DEC'!W27)</f>
        <v>0.8</v>
      </c>
      <c r="H65" s="128">
        <f>IF(TRIM('HourGH-DEC'!W28)="","      ",'HourGH-DEC'!W28)</f>
        <v>0.63</v>
      </c>
      <c r="I65" s="128">
        <f>IF(TRIM('HourGH-DEC'!W29)="","      ",'HourGH-DEC'!W29)</f>
        <v>0.57999999999999996</v>
      </c>
      <c r="J65" s="128">
        <f>IF(TRIM('HourGH-DEC'!W30)="","      ",'HourGH-DEC'!W30)</f>
        <v>0.56000000000000005</v>
      </c>
      <c r="K65" s="128">
        <f>IF(TRIM('HourGH-DEC'!W31)="","      ",'HourGH-DEC'!W31)</f>
        <v>0.52</v>
      </c>
      <c r="N65" s="117">
        <f>K79</f>
        <v>338.08000000000004</v>
      </c>
      <c r="O65">
        <v>10</v>
      </c>
      <c r="P65" s="117" t="str">
        <f>K82</f>
        <v>1:00</v>
      </c>
      <c r="R65" s="117">
        <f>K85</f>
        <v>338.08000000000004</v>
      </c>
      <c r="S65">
        <v>10</v>
      </c>
      <c r="T65" s="117" t="str">
        <f>K88</f>
        <v>1:00</v>
      </c>
    </row>
    <row r="66" spans="1:20">
      <c r="A66" s="127" t="s">
        <v>208</v>
      </c>
      <c r="B66" s="128">
        <f>IF(TRIM('HourGH-DEC'!W33)="","      ",'HourGH-DEC'!W33)</f>
        <v>0.49</v>
      </c>
      <c r="C66" s="128">
        <f>IF(TRIM('HourGH-DEC'!W34)="","      ",'HourGH-DEC'!W34)</f>
        <v>0.48</v>
      </c>
      <c r="D66" s="128">
        <f>IF(TRIM('HourGH-DEC'!W35)="","      ",'HourGH-DEC'!W35)</f>
        <v>0.46</v>
      </c>
      <c r="E66" s="128">
        <f>IF(TRIM('HourGH-DEC'!W36)="","      ",'HourGH-DEC'!W36)</f>
        <v>0.45</v>
      </c>
      <c r="F66" s="118">
        <f>IF(TRIM('HourGH-DEC'!W37)="","      ",'HourGH-DEC'!W37)</f>
        <v>0.6</v>
      </c>
      <c r="G66" s="118">
        <f>IF(TRIM('HourGH-DEC'!W38)="","      ",'HourGH-DEC'!W38)</f>
        <v>0.44</v>
      </c>
      <c r="H66" s="128">
        <f>IF(TRIM('HourGH-DEC'!W39)="","      ",'HourGH-DEC'!W39)</f>
        <v>0.43</v>
      </c>
      <c r="I66" s="128">
        <f>IF(TRIM('HourGH-DEC'!W40)="","      ",'HourGH-DEC'!W40)</f>
        <v>0.43</v>
      </c>
      <c r="J66" s="128">
        <f>IF(TRIM('HourGH-DEC'!W41)="","      ",'HourGH-DEC'!W41)</f>
        <v>0.44</v>
      </c>
      <c r="K66" s="128">
        <f>IF(TRIM('HourGH-DEC'!W42)="","      ",'HourGH-DEC'!W42)</f>
        <v>0.44</v>
      </c>
      <c r="L66" s="118">
        <f>IF(TRIM('HourGH-DEC'!W43)="","      ",'HourGH-DEC'!W43)</f>
        <v>0.44</v>
      </c>
      <c r="N66" s="117">
        <f>B80</f>
        <v>338.08000000000004</v>
      </c>
      <c r="O66">
        <v>11</v>
      </c>
      <c r="P66" s="117" t="str">
        <f>B83</f>
        <v>1:00</v>
      </c>
      <c r="R66" s="117">
        <f>B86</f>
        <v>338.08000000000004</v>
      </c>
      <c r="S66">
        <v>11</v>
      </c>
      <c r="T66" s="117" t="str">
        <f>B89</f>
        <v>1:00</v>
      </c>
    </row>
    <row r="67" spans="1:20">
      <c r="A67" s="127" t="s">
        <v>209</v>
      </c>
      <c r="B67" s="128">
        <f>IF(TRIM('HourGH-DEC'!X11)="","      ",'HourGH-DEC'!X11)</f>
        <v>0.56000000000000005</v>
      </c>
      <c r="C67" s="128">
        <f>IF(TRIM('HourGH-DEC'!X12)="","      ",'HourGH-DEC'!X12)</f>
        <v>0.54</v>
      </c>
      <c r="D67" s="128">
        <f>IF(TRIM('HourGH-DEC'!X13)="","      ",'HourGH-DEC'!X13)</f>
        <v>0.54</v>
      </c>
      <c r="E67" s="128">
        <f>IF(TRIM('HourGH-DEC'!X14)="","      ",'HourGH-DEC'!X14)</f>
        <v>0.53</v>
      </c>
      <c r="F67" s="118">
        <f>IF(TRIM('HourGH-DEC'!X15)="","      ",'HourGH-DEC'!X15)</f>
        <v>0.52</v>
      </c>
      <c r="G67" s="118">
        <f>IF(TRIM('HourGH-DEC'!X16)="","      ",'HourGH-DEC'!X16)</f>
        <v>0.51</v>
      </c>
      <c r="H67" s="128">
        <f>IF(TRIM('HourGH-DEC'!X17)="","      ",'HourGH-DEC'!X17)</f>
        <v>0.5</v>
      </c>
      <c r="I67" s="128">
        <f>IF(TRIM('HourGH-DEC'!X18)="","      ",'HourGH-DEC'!X18)</f>
        <v>0.5</v>
      </c>
      <c r="J67" s="128">
        <f>IF(TRIM('HourGH-DEC'!X19)="","      ",'HourGH-DEC'!X19)</f>
        <v>0.49</v>
      </c>
      <c r="K67" s="128">
        <f>IF(TRIM('HourGH-DEC'!X20)="","      ",'HourGH-DEC'!X20)</f>
        <v>0.48</v>
      </c>
      <c r="N67" s="117">
        <f>C80</f>
        <v>338.09000000000003</v>
      </c>
      <c r="O67">
        <v>12</v>
      </c>
      <c r="P67" s="117" t="str">
        <f>C83</f>
        <v>1:00</v>
      </c>
      <c r="R67" s="117">
        <f>C86</f>
        <v>338.09000000000003</v>
      </c>
      <c r="S67">
        <v>12</v>
      </c>
      <c r="T67" s="117" t="str">
        <f>C89</f>
        <v>1:00</v>
      </c>
    </row>
    <row r="68" spans="1:20">
      <c r="A68" s="127" t="s">
        <v>210</v>
      </c>
      <c r="B68" s="128">
        <f>IF(TRIM('HourGH-DEC'!X22)="","      ",'HourGH-DEC'!X22)</f>
        <v>0.48</v>
      </c>
      <c r="C68" s="128">
        <f>IF(TRIM('HourGH-DEC'!X23)="","      ",'HourGH-DEC'!X23)</f>
        <v>0.49</v>
      </c>
      <c r="D68" s="128">
        <f>IF(TRIM('HourGH-DEC'!X24)="","      ",'HourGH-DEC'!X24)</f>
        <v>0.57999999999999996</v>
      </c>
      <c r="E68" s="128">
        <f>IF(TRIM('HourGH-DEC'!X25)="","      ",'HourGH-DEC'!X25)</f>
        <v>0.82</v>
      </c>
      <c r="F68" s="118">
        <f>IF(TRIM('HourGH-DEC'!X26)="","      ",'HourGH-DEC'!X26)</f>
        <v>1.05</v>
      </c>
      <c r="G68" s="118">
        <f>IF(TRIM('HourGH-DEC'!X27)="","      ",'HourGH-DEC'!X27)</f>
        <v>0.79</v>
      </c>
      <c r="H68" s="128">
        <f>IF(TRIM('HourGH-DEC'!X28)="","      ",'HourGH-DEC'!X28)</f>
        <v>0.63</v>
      </c>
      <c r="I68" s="128">
        <f>IF(TRIM('HourGH-DEC'!X29)="","      ",'HourGH-DEC'!X29)</f>
        <v>0.57999999999999996</v>
      </c>
      <c r="J68" s="128">
        <f>IF(TRIM('HourGH-DEC'!X30)="","      ",'HourGH-DEC'!X30)</f>
        <v>0.56000000000000005</v>
      </c>
      <c r="K68" s="128">
        <f>IF(TRIM('HourGH-DEC'!X31)="","      ",'HourGH-DEC'!X31)</f>
        <v>0.52</v>
      </c>
      <c r="N68" s="117">
        <f>D80</f>
        <v>338.20000000000005</v>
      </c>
      <c r="O68">
        <v>13</v>
      </c>
      <c r="P68" s="117" t="str">
        <f>D83</f>
        <v>24:00</v>
      </c>
      <c r="R68" s="117">
        <f>D86</f>
        <v>338.09000000000003</v>
      </c>
      <c r="S68">
        <v>13</v>
      </c>
      <c r="T68" s="117" t="str">
        <f>D89</f>
        <v>1:00</v>
      </c>
    </row>
    <row r="69" spans="1:20">
      <c r="A69" s="127" t="s">
        <v>211</v>
      </c>
      <c r="B69" s="128">
        <f>IF(TRIM('HourGH-DEC'!X33)="","      ",'HourGH-DEC'!X33)</f>
        <v>0.49</v>
      </c>
      <c r="C69" s="128">
        <f>IF(TRIM('HourGH-DEC'!X34)="","      ",'HourGH-DEC'!X34)</f>
        <v>0.48</v>
      </c>
      <c r="D69" s="128">
        <f>IF(TRIM('HourGH-DEC'!X35)="","      ",'HourGH-DEC'!X35)</f>
        <v>0.46</v>
      </c>
      <c r="E69" s="128">
        <f>IF(TRIM('HourGH-DEC'!X36)="","      ",'HourGH-DEC'!X36)</f>
        <v>0.45</v>
      </c>
      <c r="F69" s="118">
        <f>IF(TRIM('HourGH-DEC'!X37)="","      ",'HourGH-DEC'!X37)</f>
        <v>0.59</v>
      </c>
      <c r="G69" s="118">
        <f>IF(TRIM('HourGH-DEC'!X38)="","      ",'HourGH-DEC'!X38)</f>
        <v>0.44</v>
      </c>
      <c r="H69" s="128">
        <f>IF(TRIM('HourGH-DEC'!X39)="","      ",'HourGH-DEC'!X39)</f>
        <v>0.43</v>
      </c>
      <c r="I69" s="128">
        <f>IF(TRIM('HourGH-DEC'!X40)="","      ",'HourGH-DEC'!X40)</f>
        <v>0.43</v>
      </c>
      <c r="J69" s="128">
        <f>IF(TRIM('HourGH-DEC'!X41)="","      ",'HourGH-DEC'!X41)</f>
        <v>0.44</v>
      </c>
      <c r="K69" s="128">
        <f>IF(TRIM('HourGH-DEC'!X42)="","      ",'HourGH-DEC'!X42)</f>
        <v>0.44</v>
      </c>
      <c r="L69" s="118">
        <f>IF(TRIM('HourGH-DEC'!X43)="","      ",'HourGH-DEC'!X43)</f>
        <v>0.44</v>
      </c>
      <c r="N69" s="117">
        <f>E80</f>
        <v>338.43</v>
      </c>
      <c r="O69">
        <v>14</v>
      </c>
      <c r="P69" s="117" t="str">
        <f>E83</f>
        <v>23:00</v>
      </c>
      <c r="R69" s="117">
        <f>E86</f>
        <v>338.22</v>
      </c>
      <c r="S69">
        <v>14</v>
      </c>
      <c r="T69" s="117" t="str">
        <f>E89</f>
        <v>1:00</v>
      </c>
    </row>
    <row r="70" spans="1:20">
      <c r="A70" s="127" t="s">
        <v>212</v>
      </c>
      <c r="B70" s="128">
        <f>IF(TRIM('HourGH-DEC'!Y11)="","      ",'HourGH-DEC'!Y11)</f>
        <v>0.56000000000000005</v>
      </c>
      <c r="C70" s="128">
        <f>IF(TRIM('HourGH-DEC'!Y12)="","      ",'HourGH-DEC'!Y12)</f>
        <v>0.54</v>
      </c>
      <c r="D70" s="128">
        <f>IF(TRIM('HourGH-DEC'!Y13)="","      ",'HourGH-DEC'!Y13)</f>
        <v>0.54</v>
      </c>
      <c r="E70" s="128">
        <f>IF(TRIM('HourGH-DEC'!Y14)="","      ",'HourGH-DEC'!Y14)</f>
        <v>0.53</v>
      </c>
      <c r="F70" s="118">
        <f>IF(TRIM('HourGH-DEC'!Y15)="","      ",'HourGH-DEC'!Y15)</f>
        <v>0.52</v>
      </c>
      <c r="G70" s="118">
        <f>IF(TRIM('HourGH-DEC'!Y16)="","      ",'HourGH-DEC'!Y16)</f>
        <v>0.51</v>
      </c>
      <c r="H70" s="128">
        <f>IF(TRIM('HourGH-DEC'!Y17)="","      ",'HourGH-DEC'!Y17)</f>
        <v>0.5</v>
      </c>
      <c r="I70" s="128">
        <f>IF(TRIM('HourGH-DEC'!Y18)="","      ",'HourGH-DEC'!Y18)</f>
        <v>0.5</v>
      </c>
      <c r="J70" s="128">
        <f>IF(TRIM('HourGH-DEC'!Y19)="","      ",'HourGH-DEC'!Y19)</f>
        <v>0.49</v>
      </c>
      <c r="K70" s="128">
        <f>IF(TRIM('HourGH-DEC'!Y20)="","      ",'HourGH-DEC'!Y20)</f>
        <v>0.48</v>
      </c>
      <c r="N70" s="117">
        <f>F80</f>
        <v>338.65000000000003</v>
      </c>
      <c r="O70">
        <v>15</v>
      </c>
      <c r="P70" s="117" t="str">
        <f>F83</f>
        <v>22:00</v>
      </c>
      <c r="R70" s="117">
        <f>F86</f>
        <v>338.44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IF(TRIM('HourGH-DEC'!Y22)="","      ",'HourGH-DEC'!Y22)</f>
        <v>0.48</v>
      </c>
      <c r="C71" s="128">
        <f>IF(TRIM('HourGH-DEC'!Y23)="","      ",'HourGH-DEC'!Y23)</f>
        <v>0.49</v>
      </c>
      <c r="D71" s="128">
        <f>IF(TRIM('HourGH-DEC'!Y24)="","      ",'HourGH-DEC'!Y24)</f>
        <v>0.59</v>
      </c>
      <c r="E71" s="128">
        <f>IF(TRIM('HourGH-DEC'!Y25)="","      ",'HourGH-DEC'!Y25)</f>
        <v>0.83</v>
      </c>
      <c r="F71" s="118">
        <f>IF(TRIM('HourGH-DEC'!Y26)="","      ",'HourGH-DEC'!Y26)</f>
        <v>1.05</v>
      </c>
      <c r="G71" s="118">
        <f>IF(TRIM('HourGH-DEC'!Y27)="","      ",'HourGH-DEC'!Y27)</f>
        <v>0.78</v>
      </c>
      <c r="H71" s="128">
        <f>IF(TRIM('HourGH-DEC'!Y28)="","      ",'HourGH-DEC'!Y28)</f>
        <v>0.62</v>
      </c>
      <c r="I71" s="128">
        <f>IF(TRIM('HourGH-DEC'!Y29)="","      ",'HourGH-DEC'!Y29)</f>
        <v>0.57999999999999996</v>
      </c>
      <c r="J71" s="128">
        <f>IF(TRIM('HourGH-DEC'!Y30)="","      ",'HourGH-DEC'!Y30)</f>
        <v>0.56000000000000005</v>
      </c>
      <c r="K71" s="128">
        <f>IF(TRIM('HourGH-DEC'!Y31)="","      ",'HourGH-DEC'!Y31)</f>
        <v>0.52</v>
      </c>
      <c r="N71" s="117">
        <f>G80</f>
        <v>338.65000000000003</v>
      </c>
      <c r="O71">
        <v>16</v>
      </c>
      <c r="P71" s="117" t="str">
        <f>G83</f>
        <v>1:00</v>
      </c>
      <c r="R71" s="117">
        <f>G86</f>
        <v>338.37</v>
      </c>
      <c r="S71">
        <v>16</v>
      </c>
      <c r="T71" s="117" t="str">
        <f>G89</f>
        <v>24:00</v>
      </c>
    </row>
    <row r="72" spans="1:20">
      <c r="A72" s="127" t="s">
        <v>214</v>
      </c>
      <c r="B72" s="128">
        <f>IF(TRIM('HourGH-DEC'!Y33)="","      ",'HourGH-DEC'!Y33)</f>
        <v>0.49</v>
      </c>
      <c r="C72" s="128">
        <f>IF(TRIM('HourGH-DEC'!Y34)="","      ",'HourGH-DEC'!Y34)</f>
        <v>0.48</v>
      </c>
      <c r="D72" s="128">
        <f>IF(TRIM('HourGH-DEC'!Y35)="","      ",'HourGH-DEC'!Y35)</f>
        <v>0.46</v>
      </c>
      <c r="E72" s="128">
        <f>IF(TRIM('HourGH-DEC'!Y36)="","      ",'HourGH-DEC'!Y36)</f>
        <v>0.45</v>
      </c>
      <c r="F72" s="118">
        <f>IF(TRIM('HourGH-DEC'!Y37)="","      ",'HourGH-DEC'!Y37)</f>
        <v>0.56000000000000005</v>
      </c>
      <c r="G72" s="118">
        <f>IF(TRIM('HourGH-DEC'!Y38)="","      ",'HourGH-DEC'!Y38)</f>
        <v>0.44</v>
      </c>
      <c r="H72" s="128">
        <f>IF(TRIM('HourGH-DEC'!Y39)="","      ",'HourGH-DEC'!Y39)</f>
        <v>0.43</v>
      </c>
      <c r="I72" s="128">
        <f>IF(TRIM('HourGH-DEC'!Y40)="","      ",'HourGH-DEC'!Y40)</f>
        <v>0.43</v>
      </c>
      <c r="J72" s="128">
        <f>IF(TRIM('HourGH-DEC'!Y41)="","      ",'HourGH-DEC'!Y41)</f>
        <v>0.44</v>
      </c>
      <c r="K72" s="128">
        <f>IF(TRIM('HourGH-DEC'!Y42)="","      ",'HourGH-DEC'!Y42)</f>
        <v>0.44</v>
      </c>
      <c r="L72" s="118">
        <f>IF(TRIM('HourGH-DEC'!Y43)="","      ",'HourGH-DEC'!Y43)</f>
        <v>0.44</v>
      </c>
      <c r="N72" s="117">
        <f>H80</f>
        <v>338.36</v>
      </c>
      <c r="O72">
        <v>17</v>
      </c>
      <c r="P72" s="117" t="str">
        <f>H83</f>
        <v>1:00</v>
      </c>
      <c r="R72" s="117">
        <f>H86</f>
        <v>338.22</v>
      </c>
      <c r="S72">
        <v>17</v>
      </c>
      <c r="T72" s="117" t="str">
        <f>H89</f>
        <v>23:00</v>
      </c>
    </row>
    <row r="73" spans="1:20">
      <c r="A73" s="127" t="s">
        <v>215</v>
      </c>
      <c r="B73" s="128">
        <f>IF(TRIM('HourGH-DEC'!Z11)="","      ",'HourGH-DEC'!Z11)</f>
        <v>0.56000000000000005</v>
      </c>
      <c r="C73" s="128">
        <f>IF(TRIM('HourGH-DEC'!Z12)="","      ",'HourGH-DEC'!Z12)</f>
        <v>0.54</v>
      </c>
      <c r="D73" s="128">
        <f>IF(TRIM('HourGH-DEC'!Z13)="","      ",'HourGH-DEC'!Z13)</f>
        <v>0.54</v>
      </c>
      <c r="E73" s="128">
        <f>IF(TRIM('HourGH-DEC'!Z14)="","      ",'HourGH-DEC'!Z14)</f>
        <v>0.53</v>
      </c>
      <c r="F73" s="118">
        <f>IF(TRIM('HourGH-DEC'!Z15)="","      ",'HourGH-DEC'!Z15)</f>
        <v>0.52</v>
      </c>
      <c r="G73" s="118">
        <f>IF(TRIM('HourGH-DEC'!Z16)="","      ",'HourGH-DEC'!Z16)</f>
        <v>0.51</v>
      </c>
      <c r="H73" s="128">
        <f>IF(TRIM('HourGH-DEC'!Z17)="","      ",'HourGH-DEC'!Z17)</f>
        <v>0.5</v>
      </c>
      <c r="I73" s="128">
        <f>IF(TRIM('HourGH-DEC'!Z18)="","      ",'HourGH-DEC'!Z18)</f>
        <v>0.5</v>
      </c>
      <c r="J73" s="128">
        <f>IF(TRIM('HourGH-DEC'!Z19)="","      ",'HourGH-DEC'!Z19)</f>
        <v>0.49</v>
      </c>
      <c r="K73" s="128">
        <f>IF(TRIM('HourGH-DEC'!Z20)="","      ",'HourGH-DEC'!Z20)</f>
        <v>0.48</v>
      </c>
      <c r="N73" s="117">
        <f>I80</f>
        <v>338.22</v>
      </c>
      <c r="O73">
        <v>18</v>
      </c>
      <c r="P73" s="117" t="str">
        <f>I83</f>
        <v>1:00</v>
      </c>
      <c r="R73" s="117">
        <f>I86</f>
        <v>338.18</v>
      </c>
      <c r="S73">
        <v>18</v>
      </c>
      <c r="T73" s="117" t="str">
        <f>I89</f>
        <v>19:00</v>
      </c>
    </row>
    <row r="74" spans="1:20">
      <c r="A74" s="127" t="s">
        <v>216</v>
      </c>
      <c r="B74" s="128">
        <f>IF(TRIM('HourGH-DEC'!Z22)="","      ",'HourGH-DEC'!Z22)</f>
        <v>0.48</v>
      </c>
      <c r="C74" s="128">
        <f>IF(TRIM('HourGH-DEC'!Z23)="","      ",'HourGH-DEC'!Z23)</f>
        <v>0.49</v>
      </c>
      <c r="D74" s="128">
        <f>IF(TRIM('HourGH-DEC'!Z24)="","      ",'HourGH-DEC'!Z24)</f>
        <v>0.6</v>
      </c>
      <c r="E74" s="128">
        <f>IF(TRIM('HourGH-DEC'!Z25)="","      ",'HourGH-DEC'!Z25)</f>
        <v>0.83</v>
      </c>
      <c r="F74" s="118">
        <f>IF(TRIM('HourGH-DEC'!Z26)="","      ",'HourGH-DEC'!Z26)</f>
        <v>1.05</v>
      </c>
      <c r="G74" s="118">
        <f>IF(TRIM('HourGH-DEC'!Z27)="","      ",'HourGH-DEC'!Z27)</f>
        <v>0.77</v>
      </c>
      <c r="H74" s="128">
        <f>IF(TRIM('HourGH-DEC'!Z28)="","      ",'HourGH-DEC'!Z28)</f>
        <v>0.62</v>
      </c>
      <c r="I74" s="128">
        <f>IF(TRIM('HourGH-DEC'!Z29)="","      ",'HourGH-DEC'!Z29)</f>
        <v>0.57999999999999996</v>
      </c>
      <c r="J74" s="128">
        <f>IF(TRIM('HourGH-DEC'!Z30)="","      ",'HourGH-DEC'!Z30)</f>
        <v>0.56000000000000005</v>
      </c>
      <c r="K74" s="128">
        <f>IF(TRIM('HourGH-DEC'!Z31)="","      ",'HourGH-DEC'!Z31)</f>
        <v>0.52</v>
      </c>
      <c r="N74" s="117">
        <f>J80</f>
        <v>338.17</v>
      </c>
      <c r="O74">
        <v>19</v>
      </c>
      <c r="P74" s="117" t="str">
        <f>J83</f>
        <v>1:00</v>
      </c>
      <c r="R74" s="117">
        <f>J86</f>
        <v>338.16</v>
      </c>
      <c r="S74">
        <v>19</v>
      </c>
      <c r="T74" s="117" t="str">
        <f>J89</f>
        <v>19:00</v>
      </c>
    </row>
    <row r="75" spans="1:20">
      <c r="A75" s="127" t="s">
        <v>217</v>
      </c>
      <c r="B75" s="128">
        <f>IF(TRIM('HourGH-DEC'!Z33)="","      ",'HourGH-DEC'!Z33)</f>
        <v>0.49</v>
      </c>
      <c r="C75" s="128">
        <f>IF(TRIM('HourGH-DEC'!Z34)="","      ",'HourGH-DEC'!Z34)</f>
        <v>0.48</v>
      </c>
      <c r="D75" s="128">
        <f>IF(TRIM('HourGH-DEC'!Z35)="","      ",'HourGH-DEC'!Z35)</f>
        <v>0.46</v>
      </c>
      <c r="E75" s="128">
        <f>IF(TRIM('HourGH-DEC'!Z36)="","      ",'HourGH-DEC'!Z36)</f>
        <v>0.45</v>
      </c>
      <c r="F75" s="118">
        <f>IF(TRIM('HourGH-DEC'!Z37)="","      ",'HourGH-DEC'!Z37)</f>
        <v>0.53</v>
      </c>
      <c r="G75" s="118">
        <f>IF(TRIM('HourGH-DEC'!Z38)="","      ",'HourGH-DEC'!Z38)</f>
        <v>0.44</v>
      </c>
      <c r="H75" s="128">
        <f>IF(TRIM('HourGH-DEC'!Z39)="","      ",'HourGH-DEC'!Z39)</f>
        <v>0.43</v>
      </c>
      <c r="I75" s="128">
        <f>IF(TRIM('HourGH-DEC'!Z40)="","      ",'HourGH-DEC'!Z40)</f>
        <v>0.43</v>
      </c>
      <c r="J75" s="128">
        <f>IF(TRIM('HourGH-DEC'!Z41)="","      ",'HourGH-DEC'!Z41)</f>
        <v>0.44</v>
      </c>
      <c r="K75" s="128">
        <f>IF(TRIM('HourGH-DEC'!Z42)="","      ",'HourGH-DEC'!Z42)</f>
        <v>0.44</v>
      </c>
      <c r="L75" s="118">
        <f>IF(TRIM('HourGH-DEC'!Z43)="","      ",'HourGH-DEC'!Z43)</f>
        <v>0.44</v>
      </c>
      <c r="N75" s="117">
        <f>K80</f>
        <v>338.15000000000003</v>
      </c>
      <c r="O75">
        <v>20</v>
      </c>
      <c r="P75" s="117" t="str">
        <f>K83</f>
        <v>1:00</v>
      </c>
      <c r="R75" s="117">
        <f>K86</f>
        <v>338.12</v>
      </c>
      <c r="S75">
        <v>20</v>
      </c>
      <c r="T75" s="117" t="str">
        <f>K89</f>
        <v>19:00</v>
      </c>
    </row>
    <row r="76" spans="1:20">
      <c r="A76" t="s">
        <v>228</v>
      </c>
      <c r="B76" s="119">
        <f>IF(TRIM('HourGH-DEC'!AB11)="","",'HourGH-DEC'!AB11)</f>
        <v>338.16</v>
      </c>
      <c r="C76" s="119">
        <f>IF(TRIM('HourGH-DEC'!AB12)="","",'HourGH-DEC'!AB12)</f>
        <v>338.14000000000004</v>
      </c>
      <c r="D76" s="119">
        <f>IF(TRIM('HourGH-DEC'!AB13)="","",'HourGH-DEC'!AB13)</f>
        <v>338.14000000000004</v>
      </c>
      <c r="E76" s="119">
        <f>IF(TRIM('HourGH-DEC'!AB14)="","",'HourGH-DEC'!AB14)</f>
        <v>338.13291666666669</v>
      </c>
      <c r="F76" s="119">
        <f>IF(TRIM('HourGH-DEC'!AB15)="","",'HourGH-DEC'!AB15)</f>
        <v>338.12</v>
      </c>
      <c r="G76" s="119">
        <f>IF(TRIM('HourGH-DEC'!AB16)="","",'HourGH-DEC'!AB16)</f>
        <v>338.11</v>
      </c>
      <c r="H76" s="119">
        <f>IF(TRIM('HourGH-DEC'!AB17)="","",'HourGH-DEC'!AB17)</f>
        <v>338.1</v>
      </c>
      <c r="I76" s="119">
        <f>IF(TRIM('HourGH-DEC'!AB18)="","",'HourGH-DEC'!AB18)</f>
        <v>338.1</v>
      </c>
      <c r="J76" s="119">
        <f>IF(TRIM('HourGH-DEC'!AB19)="","",'HourGH-DEC'!AB19)</f>
        <v>338.09000000000003</v>
      </c>
      <c r="K76" s="119">
        <f>IF(TRIM('HourGH-DEC'!AB20)="","",'HourGH-DEC'!AB20)</f>
        <v>338.08000000000004</v>
      </c>
      <c r="N76" s="117">
        <f>B81</f>
        <v>338.11</v>
      </c>
      <c r="O76">
        <v>21</v>
      </c>
      <c r="P76" s="117" t="str">
        <f>B84</f>
        <v>1:00</v>
      </c>
      <c r="R76" s="117">
        <f>B87</f>
        <v>338.09000000000003</v>
      </c>
      <c r="S76">
        <v>21</v>
      </c>
      <c r="T76" s="117" t="str">
        <f>B90</f>
        <v>13:00</v>
      </c>
    </row>
    <row r="77" spans="1:20">
      <c r="A77" t="s">
        <v>229</v>
      </c>
      <c r="B77" s="119">
        <f>IF(TRIM('HourGH-DEC'!AB22)="","",'HourGH-DEC'!AB22)</f>
        <v>338.08000000000004</v>
      </c>
      <c r="C77" s="119">
        <f>IF(TRIM('HourGH-DEC'!AB23)="","",'HourGH-DEC'!AB23)</f>
        <v>338.09000000000003</v>
      </c>
      <c r="D77" s="119">
        <f>IF(TRIM('HourGH-DEC'!AB24)="","",'HourGH-DEC'!AB24)</f>
        <v>338.1229166666667</v>
      </c>
      <c r="E77" s="119">
        <f>IF(TRIM('HourGH-DEC'!AB25)="","",'HourGH-DEC'!AB25)</f>
        <v>338.33875</v>
      </c>
      <c r="F77" s="119">
        <f>IF(TRIM('HourGH-DEC'!AB26)="","",'HourGH-DEC'!AB26)</f>
        <v>338.54250000000002</v>
      </c>
      <c r="G77" s="119">
        <f>IF(TRIM('HourGH-DEC'!AB27)="","",'HourGH-DEC'!AB27)</f>
        <v>338.50791666666669</v>
      </c>
      <c r="H77" s="119">
        <f>IF(TRIM('HourGH-DEC'!AB28)="","",'HourGH-DEC'!AB28)</f>
        <v>338.26791666666668</v>
      </c>
      <c r="I77" s="119">
        <f>IF(TRIM('HourGH-DEC'!AB29)="","",'HourGH-DEC'!AB29)</f>
        <v>338.19541666666669</v>
      </c>
      <c r="J77" s="119">
        <f>IF(TRIM('HourGH-DEC'!AB30)="","",'HourGH-DEC'!AB30)</f>
        <v>338.16750000000002</v>
      </c>
      <c r="K77" s="119">
        <f>IF(TRIM('HourGH-DEC'!AB31)="","",'HourGH-DEC'!AB31)</f>
        <v>338.13458333333335</v>
      </c>
      <c r="N77" s="117">
        <f>C81</f>
        <v>338.08000000000004</v>
      </c>
      <c r="O77">
        <v>22</v>
      </c>
      <c r="P77" s="117" t="str">
        <f>C84</f>
        <v>1:00</v>
      </c>
      <c r="R77" s="117">
        <f>C87</f>
        <v>338.08000000000004</v>
      </c>
      <c r="S77">
        <v>22</v>
      </c>
      <c r="T77" s="117" t="str">
        <f>C90</f>
        <v>1:00</v>
      </c>
    </row>
    <row r="78" spans="1:20">
      <c r="A78" t="s">
        <v>230</v>
      </c>
      <c r="B78" s="119">
        <f>IF(TRIM('HourGH-DEC'!AB33)="","",'HourGH-DEC'!AB33)</f>
        <v>338.09750000000003</v>
      </c>
      <c r="C78" s="119">
        <f>IF(TRIM('HourGH-DEC'!AB34)="","",'HourGH-DEC'!AB34)</f>
        <v>338.08000000000004</v>
      </c>
      <c r="D78" s="119">
        <f>IF(TRIM('HourGH-DEC'!AB35)="","",'HourGH-DEC'!AB35)</f>
        <v>338.065</v>
      </c>
      <c r="E78" s="119">
        <f>IF(TRIM('HourGH-DEC'!AB36)="","",'HourGH-DEC'!AB36)</f>
        <v>338.05</v>
      </c>
      <c r="F78" s="119">
        <f>IF(TRIM('HourGH-DEC'!AB37)="","",'HourGH-DEC'!AB37)</f>
        <v>338.14333333333337</v>
      </c>
      <c r="G78" s="119">
        <f>IF(TRIM('HourGH-DEC'!AB38)="","",'HourGH-DEC'!AB38)</f>
        <v>338.04750000000001</v>
      </c>
      <c r="H78" s="119">
        <f>IF(TRIM('HourGH-DEC'!AB39)="","",'HourGH-DEC'!AB39)</f>
        <v>338.03000000000003</v>
      </c>
      <c r="I78" s="119">
        <f>IF(TRIM('HourGH-DEC'!AB40)="","",'HourGH-DEC'!AB40)</f>
        <v>338.02500000000003</v>
      </c>
      <c r="J78" s="119">
        <f>IF(TRIM('HourGH-DEC'!AB41)="","",'HourGH-DEC'!AB41)</f>
        <v>338.04</v>
      </c>
      <c r="K78" s="119">
        <f>IF(TRIM('HourGH-DEC'!AB42)="","",'HourGH-DEC'!AB42)</f>
        <v>338.04</v>
      </c>
      <c r="N78" s="117">
        <f>D81</f>
        <v>338.07000000000005</v>
      </c>
      <c r="O78">
        <v>23</v>
      </c>
      <c r="P78" s="117" t="str">
        <f>D84</f>
        <v>1:00</v>
      </c>
      <c r="R78" s="117">
        <f>D87</f>
        <v>338.06</v>
      </c>
      <c r="S78">
        <v>23</v>
      </c>
      <c r="T78" s="117" t="str">
        <f>D90</f>
        <v>13:00</v>
      </c>
    </row>
    <row r="79" spans="1:20">
      <c r="A79" t="s">
        <v>231</v>
      </c>
      <c r="B79" s="119">
        <f>IF(TRIM('HourGH-DEC'!AC11)="","",'HourGH-DEC'!AC11)</f>
        <v>338.16</v>
      </c>
      <c r="C79" s="119">
        <f>IF(TRIM('HourGH-DEC'!AC12)="","",'HourGH-DEC'!AC12)</f>
        <v>338.14000000000004</v>
      </c>
      <c r="D79" s="119">
        <f>IF(TRIM('HourGH-DEC'!AC13)="","",'HourGH-DEC'!AC13)</f>
        <v>338.14000000000004</v>
      </c>
      <c r="E79" s="119">
        <f>IF(TRIM('HourGH-DEC'!AC14)="","",'HourGH-DEC'!AC14)</f>
        <v>338.14000000000004</v>
      </c>
      <c r="F79" s="119">
        <f>IF(TRIM('HourGH-DEC'!AC15)="","",'HourGH-DEC'!AC15)</f>
        <v>338.12</v>
      </c>
      <c r="G79" s="119">
        <f>IF(TRIM('HourGH-DEC'!AC16)="","",'HourGH-DEC'!AC16)</f>
        <v>338.11</v>
      </c>
      <c r="H79" s="119">
        <f>IF(TRIM('HourGH-DEC'!AC17)="","",'HourGH-DEC'!AC17)</f>
        <v>338.1</v>
      </c>
      <c r="I79" s="119">
        <f>IF(TRIM('HourGH-DEC'!AC18)="","",'HourGH-DEC'!AC18)</f>
        <v>338.1</v>
      </c>
      <c r="J79" s="119">
        <f>IF(TRIM('HourGH-DEC'!AC19)="","",'HourGH-DEC'!AC19)</f>
        <v>338.09000000000003</v>
      </c>
      <c r="K79" s="119">
        <f>IF(TRIM('HourGH-DEC'!AC20)="","",'HourGH-DEC'!AC20)</f>
        <v>338.08000000000004</v>
      </c>
      <c r="N79" s="117">
        <f>E81</f>
        <v>338.05</v>
      </c>
      <c r="O79">
        <v>24</v>
      </c>
      <c r="P79" s="117" t="str">
        <f>E84</f>
        <v>1:00</v>
      </c>
      <c r="R79" s="117">
        <f>E87</f>
        <v>338.05</v>
      </c>
      <c r="S79">
        <v>24</v>
      </c>
      <c r="T79" s="117" t="str">
        <f>E90</f>
        <v>1:00</v>
      </c>
    </row>
    <row r="80" spans="1:20">
      <c r="A80" t="s">
        <v>232</v>
      </c>
      <c r="B80" s="119">
        <f>IF(TRIM('HourGH-DEC'!AC22)="","",'HourGH-DEC'!AC22)</f>
        <v>338.08000000000004</v>
      </c>
      <c r="C80" s="119">
        <f>IF(TRIM('HourGH-DEC'!AC23)="","",'HourGH-DEC'!AC23)</f>
        <v>338.09000000000003</v>
      </c>
      <c r="D80" s="119">
        <f>IF(TRIM('HourGH-DEC'!AC24)="","",'HourGH-DEC'!AC24)</f>
        <v>338.20000000000005</v>
      </c>
      <c r="E80" s="119">
        <f>IF(TRIM('HourGH-DEC'!AC25)="","",'HourGH-DEC'!AC25)</f>
        <v>338.43</v>
      </c>
      <c r="F80" s="119">
        <f>IF(TRIM('HourGH-DEC'!AC26)="","",'HourGH-DEC'!AC26)</f>
        <v>338.65000000000003</v>
      </c>
      <c r="G80" s="119">
        <f>IF(TRIM('HourGH-DEC'!AC27)="","",'HourGH-DEC'!AC27)</f>
        <v>338.65000000000003</v>
      </c>
      <c r="H80" s="119">
        <f>IF(TRIM('HourGH-DEC'!AC28)="","",'HourGH-DEC'!AC28)</f>
        <v>338.36</v>
      </c>
      <c r="I80" s="119">
        <f>IF(TRIM('HourGH-DEC'!AC29)="","",'HourGH-DEC'!AC29)</f>
        <v>338.22</v>
      </c>
      <c r="J80" s="119">
        <f>IF(TRIM('HourGH-DEC'!AC30)="","",'HourGH-DEC'!AC30)</f>
        <v>338.17</v>
      </c>
      <c r="K80" s="119">
        <f>IF(TRIM('HourGH-DEC'!AC31)="","",'HourGH-DEC'!AC31)</f>
        <v>338.15000000000003</v>
      </c>
      <c r="N80" s="117">
        <f>F81</f>
        <v>338.23</v>
      </c>
      <c r="O80">
        <v>25</v>
      </c>
      <c r="P80" s="117" t="str">
        <f>F84</f>
        <v>16:00</v>
      </c>
      <c r="R80" s="117">
        <f>F87</f>
        <v>338.05</v>
      </c>
      <c r="S80">
        <v>25</v>
      </c>
      <c r="T80" s="117" t="str">
        <f>F90</f>
        <v>1:00</v>
      </c>
    </row>
    <row r="81" spans="1:20">
      <c r="A81" t="s">
        <v>233</v>
      </c>
      <c r="B81" s="119">
        <f>IF(TRIM('HourGH-DEC'!AC33)="","",'HourGH-DEC'!AC33)</f>
        <v>338.11</v>
      </c>
      <c r="C81" s="119">
        <f>IF(TRIM('HourGH-DEC'!AC34)="","",'HourGH-DEC'!AC34)</f>
        <v>338.08000000000004</v>
      </c>
      <c r="D81" s="119">
        <f>IF(TRIM('HourGH-DEC'!AC35)="","",'HourGH-DEC'!AC35)</f>
        <v>338.07000000000005</v>
      </c>
      <c r="E81" s="119">
        <f>IF(TRIM('HourGH-DEC'!AC36)="","",'HourGH-DEC'!AC36)</f>
        <v>338.05</v>
      </c>
      <c r="F81" s="119">
        <f>IF(TRIM('HourGH-DEC'!AC37)="","",'HourGH-DEC'!AC37)</f>
        <v>338.23</v>
      </c>
      <c r="G81" s="119">
        <f>IF(TRIM('HourGH-DEC'!AC38)="","",'HourGH-DEC'!AC38)</f>
        <v>338.11</v>
      </c>
      <c r="H81" s="119">
        <f>IF(TRIM('HourGH-DEC'!AC39)="","",'HourGH-DEC'!AC39)</f>
        <v>338.03000000000003</v>
      </c>
      <c r="I81" s="119">
        <f>IF(TRIM('HourGH-DEC'!AC40)="","",'HourGH-DEC'!AC40)</f>
        <v>338.03000000000003</v>
      </c>
      <c r="J81" s="119">
        <f>IF(TRIM('HourGH-DEC'!AC41)="","",'HourGH-DEC'!AC41)</f>
        <v>338.04</v>
      </c>
      <c r="K81" s="119">
        <f>IF(TRIM('HourGH-DEC'!AC42)="","",'HourGH-DEC'!AC42)</f>
        <v>338.04</v>
      </c>
      <c r="N81" s="117">
        <f>G81</f>
        <v>338.11</v>
      </c>
      <c r="O81">
        <v>26</v>
      </c>
      <c r="P81" s="117" t="str">
        <f>G84</f>
        <v>1:00</v>
      </c>
      <c r="R81" s="117">
        <f>G87</f>
        <v>338.04</v>
      </c>
      <c r="S81">
        <v>26</v>
      </c>
      <c r="T81" s="117" t="str">
        <f>G90</f>
        <v>6:00</v>
      </c>
    </row>
    <row r="82" spans="1:20">
      <c r="A82" t="s">
        <v>219</v>
      </c>
      <c r="B82" s="119" t="str">
        <f>'HourGH-DEC'!AD11&amp;":00"</f>
        <v>1:00</v>
      </c>
      <c r="C82" s="119" t="str">
        <f>'HourGH-DEC'!AD12&amp;":00"</f>
        <v>1:00</v>
      </c>
      <c r="D82" s="119" t="str">
        <f>'HourGH-DEC'!AD13&amp;":00"</f>
        <v>1:00</v>
      </c>
      <c r="E82" s="119" t="str">
        <f>'HourGH-DEC'!AD14&amp;":00"</f>
        <v>12:00</v>
      </c>
      <c r="F82" s="119" t="str">
        <f>'HourGH-DEC'!AD15&amp;":00"</f>
        <v>1:00</v>
      </c>
      <c r="G82" s="119" t="str">
        <f>'HourGH-DEC'!AD16&amp;":00"</f>
        <v>1:00</v>
      </c>
      <c r="H82" s="119" t="str">
        <f>'HourGH-DEC'!AD17&amp;":00"</f>
        <v>1:00</v>
      </c>
      <c r="I82" s="119" t="str">
        <f>'HourGH-DEC'!AD18&amp;":00"</f>
        <v>1:00</v>
      </c>
      <c r="J82" s="119" t="str">
        <f>'HourGH-DEC'!AD19&amp;":00"</f>
        <v>1:00</v>
      </c>
      <c r="K82" s="119" t="str">
        <f>'HourGH-DEC'!AD20&amp;":00"</f>
        <v>1:00</v>
      </c>
      <c r="N82" s="117">
        <f>H81</f>
        <v>338.03000000000003</v>
      </c>
      <c r="O82">
        <v>27</v>
      </c>
      <c r="P82" s="117" t="str">
        <f>H84</f>
        <v>1:00</v>
      </c>
      <c r="R82" s="117">
        <f>H87</f>
        <v>338.03000000000003</v>
      </c>
      <c r="S82">
        <v>27</v>
      </c>
      <c r="T82" s="117" t="str">
        <f>H90</f>
        <v>1:00</v>
      </c>
    </row>
    <row r="83" spans="1:20">
      <c r="A83" t="s">
        <v>220</v>
      </c>
      <c r="B83" s="119" t="str">
        <f>'HourGH-DEC'!AD22&amp;":00"</f>
        <v>1:00</v>
      </c>
      <c r="C83" s="119" t="str">
        <f>'HourGH-DEC'!AD23&amp;":00"</f>
        <v>1:00</v>
      </c>
      <c r="D83" s="119" t="str">
        <f>'HourGH-DEC'!AD24&amp;":00"</f>
        <v>24:00</v>
      </c>
      <c r="E83" s="119" t="str">
        <f>'HourGH-DEC'!AD25&amp;":00"</f>
        <v>23:00</v>
      </c>
      <c r="F83" s="119" t="str">
        <f>'HourGH-DEC'!AD26&amp;":00"</f>
        <v>22:00</v>
      </c>
      <c r="G83" s="119" t="str">
        <f>'HourGH-DEC'!AD27&amp;":00"</f>
        <v>1:00</v>
      </c>
      <c r="H83" s="119" t="str">
        <f>'HourGH-DEC'!AD28&amp;":00"</f>
        <v>1:00</v>
      </c>
      <c r="I83" s="119" t="str">
        <f>'HourGH-DEC'!AD29&amp;":00"</f>
        <v>1:00</v>
      </c>
      <c r="J83" s="119" t="str">
        <f>'HourGH-DEC'!AD30&amp;":00"</f>
        <v>1:00</v>
      </c>
      <c r="K83" s="119" t="str">
        <f>'HourGH-DEC'!AD31&amp;":00"</f>
        <v>1:00</v>
      </c>
      <c r="N83" s="117">
        <f>I81</f>
        <v>338.03000000000003</v>
      </c>
      <c r="O83">
        <v>28</v>
      </c>
      <c r="P83" s="117" t="str">
        <f>I84</f>
        <v>13:00</v>
      </c>
      <c r="R83" s="117">
        <f>I87</f>
        <v>338.02000000000004</v>
      </c>
      <c r="S83">
        <v>28</v>
      </c>
      <c r="T83" s="117" t="str">
        <f>I90</f>
        <v>1:00</v>
      </c>
    </row>
    <row r="84" spans="1:20">
      <c r="A84" t="s">
        <v>221</v>
      </c>
      <c r="B84" s="119" t="str">
        <f>'HourGH-DEC'!AD33&amp;":00"</f>
        <v>1:00</v>
      </c>
      <c r="C84" s="119" t="str">
        <f>'HourGH-DEC'!AD34&amp;":00"</f>
        <v>1:00</v>
      </c>
      <c r="D84" s="119" t="str">
        <f>'HourGH-DEC'!AD35&amp;":00"</f>
        <v>1:00</v>
      </c>
      <c r="E84" s="119" t="str">
        <f>'HourGH-DEC'!AD36&amp;":00"</f>
        <v>1:00</v>
      </c>
      <c r="F84" s="119" t="str">
        <f>'HourGH-DEC'!AD37&amp;":00"</f>
        <v>16:00</v>
      </c>
      <c r="G84" s="119" t="str">
        <f>'HourGH-DEC'!AD38&amp;":00"</f>
        <v>1:00</v>
      </c>
      <c r="H84" s="119" t="str">
        <f>'HourGH-DEC'!AD39&amp;":00"</f>
        <v>1:00</v>
      </c>
      <c r="I84" s="119" t="str">
        <f>'HourGH-DEC'!AD40&amp;":00"</f>
        <v>13:00</v>
      </c>
      <c r="J84" s="119" t="str">
        <f>'HourGH-DEC'!AD41&amp;":00"</f>
        <v>1:00</v>
      </c>
      <c r="K84" s="119" t="str">
        <f>'HourGH-DEC'!AD42&amp;":00"</f>
        <v>1:00</v>
      </c>
      <c r="N84" s="117">
        <f>J81</f>
        <v>338.04</v>
      </c>
      <c r="O84">
        <v>29</v>
      </c>
      <c r="P84" s="117" t="str">
        <f>J84</f>
        <v>1:00</v>
      </c>
      <c r="R84" s="117">
        <f>J87</f>
        <v>338.04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'HourGH-DEC'!AE11</f>
        <v>338.16</v>
      </c>
      <c r="C85" s="129">
        <f>'HourGH-DEC'!AE12</f>
        <v>338.14000000000004</v>
      </c>
      <c r="D85" s="129">
        <f>'HourGH-DEC'!AE13</f>
        <v>338.14000000000004</v>
      </c>
      <c r="E85" s="129">
        <f>'HourGH-DEC'!AE14</f>
        <v>338.13</v>
      </c>
      <c r="F85" s="129">
        <f>'HourGH-DEC'!AE15</f>
        <v>338.12</v>
      </c>
      <c r="G85" s="129">
        <f>'HourGH-DEC'!AE16</f>
        <v>338.11</v>
      </c>
      <c r="H85" s="129">
        <f>'HourGH-DEC'!AE17</f>
        <v>338.1</v>
      </c>
      <c r="I85" s="129">
        <f>'HourGH-DEC'!AE18</f>
        <v>338.1</v>
      </c>
      <c r="J85" s="129">
        <f>'HourGH-DEC'!AE19</f>
        <v>338.09000000000003</v>
      </c>
      <c r="K85" s="129">
        <f>'HourGH-DEC'!AE20</f>
        <v>338.08000000000004</v>
      </c>
      <c r="N85" s="117">
        <f>K81</f>
        <v>338.04</v>
      </c>
      <c r="O85">
        <v>30</v>
      </c>
      <c r="P85" s="117" t="str">
        <f>K84</f>
        <v>1:00</v>
      </c>
      <c r="R85" s="117">
        <f>K87</f>
        <v>338.04</v>
      </c>
      <c r="S85">
        <v>30</v>
      </c>
      <c r="T85" s="117" t="str">
        <f>K90</f>
        <v>1:00</v>
      </c>
    </row>
    <row r="86" spans="1:20">
      <c r="A86" t="s">
        <v>235</v>
      </c>
      <c r="B86" s="129">
        <f>'HourGH-DEC'!AE22</f>
        <v>338.08000000000004</v>
      </c>
      <c r="C86" s="129">
        <f>'HourGH-DEC'!AE23</f>
        <v>338.09000000000003</v>
      </c>
      <c r="D86" s="129">
        <f>'HourGH-DEC'!AE24</f>
        <v>338.09000000000003</v>
      </c>
      <c r="E86" s="129">
        <f>'HourGH-DEC'!AE25</f>
        <v>338.22</v>
      </c>
      <c r="F86" s="129">
        <f>'HourGH-DEC'!AE26</f>
        <v>338.44</v>
      </c>
      <c r="G86" s="129">
        <f>'HourGH-DEC'!AE27</f>
        <v>338.37</v>
      </c>
      <c r="H86" s="129">
        <f>'HourGH-DEC'!AE28</f>
        <v>338.22</v>
      </c>
      <c r="I86" s="129">
        <f>'HourGH-DEC'!AE29</f>
        <v>338.18</v>
      </c>
      <c r="J86" s="129">
        <f>'HourGH-DEC'!AE30</f>
        <v>338.16</v>
      </c>
      <c r="K86" s="129">
        <f>'HourGH-DEC'!AE31</f>
        <v>338.12</v>
      </c>
    </row>
    <row r="87" spans="1:20">
      <c r="A87" t="s">
        <v>236</v>
      </c>
      <c r="B87" s="129">
        <f>'HourGH-DEC'!AE33</f>
        <v>338.09000000000003</v>
      </c>
      <c r="C87" s="129">
        <f>'HourGH-DEC'!AE34</f>
        <v>338.08000000000004</v>
      </c>
      <c r="D87" s="129">
        <f>'HourGH-DEC'!AE35</f>
        <v>338.06</v>
      </c>
      <c r="E87" s="129">
        <f>'HourGH-DEC'!AE36</f>
        <v>338.05</v>
      </c>
      <c r="F87" s="129">
        <f>'HourGH-DEC'!AE37</f>
        <v>338.05</v>
      </c>
      <c r="G87" s="129">
        <f>'HourGH-DEC'!AE38</f>
        <v>338.04</v>
      </c>
      <c r="H87" s="129">
        <f>'HourGH-DEC'!AE39</f>
        <v>338.03000000000003</v>
      </c>
      <c r="I87" s="129">
        <f>'HourGH-DEC'!AE40</f>
        <v>338.02000000000004</v>
      </c>
      <c r="J87" s="129">
        <f>'HourGH-DEC'!AE41</f>
        <v>338.04</v>
      </c>
      <c r="K87" s="129">
        <f>'HourGH-DEC'!AE42</f>
        <v>338.04</v>
      </c>
    </row>
    <row r="88" spans="1:20">
      <c r="A88" t="s">
        <v>222</v>
      </c>
      <c r="B88" s="119" t="str">
        <f>'HourGH-DEC'!AF11&amp;":00"</f>
        <v>1:00</v>
      </c>
      <c r="C88" s="119" t="str">
        <f>'HourGH-DEC'!AF12&amp;":00"</f>
        <v>1:00</v>
      </c>
      <c r="D88" s="119" t="str">
        <f>'HourGH-DEC'!AF13&amp;":00"</f>
        <v>1:00</v>
      </c>
      <c r="E88" s="119" t="str">
        <f>'HourGH-DEC'!AF14&amp;":00"</f>
        <v>1:00</v>
      </c>
      <c r="F88" s="119" t="str">
        <f>'HourGH-DEC'!AF15&amp;":00"</f>
        <v>1:00</v>
      </c>
      <c r="G88" s="119" t="str">
        <f>'HourGH-DEC'!AF16&amp;":00"</f>
        <v>1:00</v>
      </c>
      <c r="H88" s="119" t="str">
        <f>'HourGH-DEC'!AF17&amp;":00"</f>
        <v>1:00</v>
      </c>
      <c r="I88" s="119" t="str">
        <f>'HourGH-DEC'!AF18&amp;":00"</f>
        <v>1:00</v>
      </c>
      <c r="J88" s="119" t="str">
        <f>'HourGH-DEC'!AF19&amp;":00"</f>
        <v>1:00</v>
      </c>
      <c r="K88" s="119" t="str">
        <f>'HourGH-DEC'!AF20&amp;":00"</f>
        <v>1:00</v>
      </c>
      <c r="N88" s="118">
        <f>MATCH(N90,N56:N85,0)</f>
        <v>15</v>
      </c>
      <c r="P88">
        <f>MATCH(P89,R56:R85,0)</f>
        <v>28</v>
      </c>
    </row>
    <row r="89" spans="1:20">
      <c r="A89" t="s">
        <v>223</v>
      </c>
      <c r="B89" s="119" t="str">
        <f>'HourGH-DEC'!AF22&amp;":00"</f>
        <v>1:00</v>
      </c>
      <c r="C89" s="119" t="str">
        <f>'HourGH-DEC'!AF23&amp;":00"</f>
        <v>1:00</v>
      </c>
      <c r="D89" s="119" t="str">
        <f>'HourGH-DEC'!AF24&amp;":00"</f>
        <v>1:00</v>
      </c>
      <c r="E89" s="119" t="str">
        <f>'HourGH-DEC'!AF25&amp;":00"</f>
        <v>1:00</v>
      </c>
      <c r="F89" s="119" t="str">
        <f>'HourGH-DEC'!AF26&amp;":00"</f>
        <v>1:00</v>
      </c>
      <c r="G89" s="119" t="str">
        <f>'HourGH-DEC'!AF27&amp;":00"</f>
        <v>24:00</v>
      </c>
      <c r="H89" s="119" t="str">
        <f>'HourGH-DEC'!AF28&amp;":00"</f>
        <v>23:00</v>
      </c>
      <c r="I89" s="119" t="str">
        <f>'HourGH-DEC'!AF29&amp;":00"</f>
        <v>19:00</v>
      </c>
      <c r="J89" s="119" t="str">
        <f>'HourGH-DEC'!AF30&amp;":00"</f>
        <v>19:00</v>
      </c>
      <c r="K89" s="119" t="str">
        <f>'HourGH-DEC'!AF31&amp;":00"</f>
        <v>19:00</v>
      </c>
      <c r="O89" s="118" t="str">
        <f>INDEX(P56:P85,N88)</f>
        <v>22:00</v>
      </c>
      <c r="P89" s="129">
        <f>MIN(B85:K87)</f>
        <v>338.02000000000004</v>
      </c>
      <c r="R89" t="str">
        <f>INDEX(T56:T85,P88)</f>
        <v>1:00</v>
      </c>
    </row>
    <row r="90" spans="1:20">
      <c r="A90" t="s">
        <v>224</v>
      </c>
      <c r="B90" s="119" t="str">
        <f>'HourGH-DEC'!AF33&amp;":00"</f>
        <v>13:00</v>
      </c>
      <c r="C90" s="119" t="str">
        <f>'HourGH-DEC'!AF34&amp;":00"</f>
        <v>1:00</v>
      </c>
      <c r="D90" s="119" t="str">
        <f>'HourGH-DEC'!AF35&amp;":00"</f>
        <v>13:00</v>
      </c>
      <c r="E90" s="119" t="str">
        <f>'HourGH-DEC'!AF36&amp;":00"</f>
        <v>1:00</v>
      </c>
      <c r="F90" s="119" t="str">
        <f>'HourGH-DEC'!AF37&amp;":00"</f>
        <v>1:00</v>
      </c>
      <c r="G90" s="119" t="str">
        <f>'HourGH-DEC'!AF38&amp;":00"</f>
        <v>6:00</v>
      </c>
      <c r="H90" s="119" t="str">
        <f>'HourGH-DEC'!AF39&amp;":00"</f>
        <v>1:00</v>
      </c>
      <c r="I90" s="119" t="str">
        <f>'HourGH-DEC'!AF40&amp;":00"</f>
        <v>1:00</v>
      </c>
      <c r="J90" s="119" t="str">
        <f>'HourGH-DEC'!AF41&amp;":00"</f>
        <v>1:00</v>
      </c>
      <c r="K90" s="119" t="str">
        <f>'HourGH-DEC'!AF42&amp;":00"</f>
        <v>1:00</v>
      </c>
      <c r="N90" s="119">
        <f>MAX(B79:K81)</f>
        <v>338.65000000000003</v>
      </c>
      <c r="O90" s="118">
        <f>N88</f>
        <v>15</v>
      </c>
    </row>
    <row r="91" spans="1:20">
      <c r="A91" t="s">
        <v>218</v>
      </c>
      <c r="B91" s="119">
        <f>AVERAGE(B76:K78)</f>
        <v>338.14129166666675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338.65 DATE 15 TIME 22:00 MIN 338.02 DATE 28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92"/>
  <sheetViews>
    <sheetView workbookViewId="0">
      <selection sqref="A1:L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244</v>
      </c>
      <c r="B2" s="118">
        <f>'HourGH-JAN'!W7</f>
        <v>337.6</v>
      </c>
      <c r="C2" s="118" t="str">
        <f>'HourGH-JAN'!Z7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IF(TRIM('HourGH-JAN'!C11)="","      ",'HourGH-JAN'!C11)</f>
        <v>0.44</v>
      </c>
      <c r="C4" s="128">
        <f>IF(TRIM('HourGH-JAN'!C12)="","      ",'HourGH-JAN'!C12)</f>
        <v>0.43</v>
      </c>
      <c r="D4" s="128">
        <f>IF(TRIM('HourGH-JAN'!C13)="","      ",'HourGH-JAN'!C13)</f>
        <v>0.43</v>
      </c>
      <c r="E4" s="128">
        <f>IF(TRIM('HourGH-JAN'!C14)="","      ",'HourGH-JAN'!C14)</f>
        <v>0.43</v>
      </c>
      <c r="F4" s="118">
        <f>IF(TRIM('HourGH-JAN'!C15)="","      ",'HourGH-JAN'!C15)</f>
        <v>0.43</v>
      </c>
      <c r="G4" s="118">
        <f>IF(TRIM('HourGH-JAN'!C16)="","      ",'HourGH-JAN'!C16)</f>
        <v>0.42</v>
      </c>
      <c r="H4" s="118">
        <f>IF(TRIM('HourGH-JAN'!C17)="","      ",'HourGH-JAN'!C17)</f>
        <v>0.42</v>
      </c>
      <c r="I4" s="118">
        <f>IF(TRIM('HourGH-JAN'!C18)="","      ",'HourGH-JAN'!C18)</f>
        <v>0.42</v>
      </c>
      <c r="J4" s="118">
        <f>IF(TRIM('HourGH-JAN'!C19)="","      ",'HourGH-JAN'!C19)</f>
        <v>0.41</v>
      </c>
      <c r="K4" s="118">
        <f>IF(TRIM('HourGH-JAN'!C20)="","      ",'HourGH-JAN'!C20)</f>
        <v>0.41</v>
      </c>
    </row>
    <row r="5" spans="1:15">
      <c r="A5" s="127" t="s">
        <v>147</v>
      </c>
      <c r="B5" s="118">
        <f>IF(TRIM('HourGH-JAN'!C22)="","      ",'HourGH-JAN'!C22)</f>
        <v>0.4</v>
      </c>
      <c r="C5" s="118">
        <f>IF(TRIM('HourGH-JAN'!C23)="","      ",'HourGH-JAN'!C23)</f>
        <v>0.4</v>
      </c>
      <c r="D5" s="118">
        <f>IF(TRIM('HourGH-JAN'!C24)="","      ",'HourGH-JAN'!C24)</f>
        <v>0.4</v>
      </c>
      <c r="E5" s="118">
        <f>IF(TRIM('HourGH-JAN'!C25)="","      ",'HourGH-JAN'!C25)</f>
        <v>0.4</v>
      </c>
      <c r="F5" s="118">
        <f>IF(TRIM('HourGH-JAN'!C26)="","      ",'HourGH-JAN'!C26)</f>
        <v>0.4</v>
      </c>
      <c r="G5" s="118">
        <f>IF(TRIM('HourGH-JAN'!C27)="","      ",'HourGH-JAN'!C27)</f>
        <v>0.4</v>
      </c>
      <c r="H5" s="118">
        <f>IF(TRIM('HourGH-JAN'!C28)="","      ",'HourGH-JAN'!C28)</f>
        <v>0.39</v>
      </c>
      <c r="I5" s="118">
        <f>IF(TRIM('HourGH-JAN'!C29)="","      ",'HourGH-JAN'!C29)</f>
        <v>0.66</v>
      </c>
      <c r="J5" s="118">
        <f>IF(TRIM('HourGH-JAN'!C30)="","      ",'HourGH-JAN'!C30)</f>
        <v>0.72</v>
      </c>
      <c r="K5" s="118">
        <f>IF(TRIM('HourGH-JAN'!C31)="","      ",'HourGH-JAN'!C31)</f>
        <v>0.74</v>
      </c>
    </row>
    <row r="6" spans="1:15">
      <c r="A6" s="127" t="s">
        <v>148</v>
      </c>
      <c r="B6" s="118">
        <f>IF(TRIM('HourGH-JAN'!C33)="","      ",'HourGH-JAN'!C33)</f>
        <v>0.42</v>
      </c>
      <c r="C6" s="118">
        <f>IF(TRIM('HourGH-JAN'!C34)="","      ",'HourGH-JAN'!C34)</f>
        <v>0.36</v>
      </c>
      <c r="D6" s="118">
        <f>IF(TRIM('HourGH-JAN'!C35)="","      ",'HourGH-JAN'!C35)</f>
        <v>0.36</v>
      </c>
      <c r="E6" s="118">
        <f>IF(TRIM('HourGH-JAN'!C36)="","      ",'HourGH-JAN'!C36)</f>
        <v>0.36</v>
      </c>
      <c r="F6" s="118">
        <f>IF(TRIM('HourGH-JAN'!C37)="","      ",'HourGH-JAN'!C37)</f>
        <v>0.57999999999999996</v>
      </c>
      <c r="G6" s="118">
        <f>IF(TRIM('HourGH-JAN'!C38)="","      ",'HourGH-JAN'!C38)</f>
        <v>0.72</v>
      </c>
      <c r="H6" s="118">
        <f>IF(TRIM('HourGH-JAN'!C39)="","      ",'HourGH-JAN'!C39)</f>
        <v>0.7</v>
      </c>
      <c r="I6" s="118">
        <f>IF(TRIM('HourGH-JAN'!C40)="","      ",'HourGH-JAN'!C40)</f>
        <v>0.39</v>
      </c>
      <c r="J6" s="118">
        <f>IF(TRIM('HourGH-JAN'!C41)="","      ",'HourGH-JAN'!C41)</f>
        <v>0.32</v>
      </c>
      <c r="K6" s="118">
        <f>IF(TRIM('HourGH-JAN'!C42)="","      ",'HourGH-JAN'!C42)</f>
        <v>0.33</v>
      </c>
      <c r="L6" s="118">
        <f>IF(TRIM('HourGH-JAN'!C43)="","      ",'HourGH-JAN'!C43)</f>
        <v>0.33</v>
      </c>
    </row>
    <row r="7" spans="1:15">
      <c r="A7" s="127" t="s">
        <v>149</v>
      </c>
      <c r="B7" s="128">
        <f>IF(TRIM('HourGH-JAN'!D11)="","      ",'HourGH-JAN'!D11)</f>
        <v>0.44</v>
      </c>
      <c r="C7" s="128">
        <f>IF(TRIM('HourGH-JAN'!D12)="","      ",'HourGH-JAN'!D12)</f>
        <v>0.43</v>
      </c>
      <c r="D7" s="128">
        <f>IF(TRIM('HourGH-JAN'!D13)="","      ",'HourGH-JAN'!D13)</f>
        <v>0.43</v>
      </c>
      <c r="E7" s="128">
        <f>IF(TRIM('HourGH-JAN'!D14)="","      ",'HourGH-JAN'!D14)</f>
        <v>0.43</v>
      </c>
      <c r="F7" s="118">
        <f>IF(TRIM('HourGH-JAN'!D15)="","      ",'HourGH-JAN'!D15)</f>
        <v>0.43</v>
      </c>
      <c r="G7" s="118">
        <f>IF(TRIM('HourGH-JAN'!D16)="","      ",'HourGH-JAN'!D16)</f>
        <v>0.42</v>
      </c>
      <c r="H7" s="118">
        <f>IF(TRIM('HourGH-JAN'!D17)="","      ",'HourGH-JAN'!D17)</f>
        <v>0.42</v>
      </c>
      <c r="I7" s="118">
        <f>IF(TRIM('HourGH-JAN'!D18)="","      ",'HourGH-JAN'!D18)</f>
        <v>0.42</v>
      </c>
      <c r="J7" s="118">
        <f>IF(TRIM('HourGH-JAN'!D19)="","      ",'HourGH-JAN'!D19)</f>
        <v>0.41</v>
      </c>
      <c r="K7" s="118">
        <f>IF(TRIM('HourGH-JAN'!D20)="","      ",'HourGH-JAN'!D20)</f>
        <v>0.41</v>
      </c>
    </row>
    <row r="8" spans="1:15">
      <c r="A8" s="127" t="s">
        <v>150</v>
      </c>
      <c r="B8" s="118">
        <f>IF(TRIM('HourGH-JAN'!D22)="","      ",'HourGH-JAN'!D22)</f>
        <v>0.4</v>
      </c>
      <c r="C8" s="118">
        <f>IF(TRIM('HourGH-JAN'!D23)="","      ",'HourGH-JAN'!D23)</f>
        <v>0.4</v>
      </c>
      <c r="D8" s="118">
        <f>IF(TRIM('HourGH-JAN'!D24)="","      ",'HourGH-JAN'!D24)</f>
        <v>0.4</v>
      </c>
      <c r="E8" s="118">
        <f>IF(TRIM('HourGH-JAN'!D25)="","      ",'HourGH-JAN'!D25)</f>
        <v>0.4</v>
      </c>
      <c r="F8" s="118">
        <f>IF(TRIM('HourGH-JAN'!D26)="","      ",'HourGH-JAN'!D26)</f>
        <v>0.4</v>
      </c>
      <c r="G8" s="118">
        <f>IF(TRIM('HourGH-JAN'!D27)="","      ",'HourGH-JAN'!D27)</f>
        <v>0.4</v>
      </c>
      <c r="H8" s="118">
        <f>IF(TRIM('HourGH-JAN'!D28)="","      ",'HourGH-JAN'!D28)</f>
        <v>0.39</v>
      </c>
      <c r="I8" s="118">
        <f>IF(TRIM('HourGH-JAN'!D29)="","      ",'HourGH-JAN'!D29)</f>
        <v>0.68</v>
      </c>
      <c r="J8" s="118">
        <f>IF(TRIM('HourGH-JAN'!D30)="","      ",'HourGH-JAN'!D30)</f>
        <v>0.72</v>
      </c>
      <c r="K8" s="118">
        <f>IF(TRIM('HourGH-JAN'!D31)="","      ",'HourGH-JAN'!D31)</f>
        <v>0.74</v>
      </c>
    </row>
    <row r="9" spans="1:15">
      <c r="A9" s="127" t="s">
        <v>151</v>
      </c>
      <c r="B9" s="118">
        <f>IF(TRIM('HourGH-JAN'!D33)="","      ",'HourGH-JAN'!D33)</f>
        <v>0.41</v>
      </c>
      <c r="C9" s="118">
        <f>IF(TRIM('HourGH-JAN'!D34)="","      ",'HourGH-JAN'!D34)</f>
        <v>0.36</v>
      </c>
      <c r="D9" s="118">
        <f>IF(TRIM('HourGH-JAN'!D35)="","      ",'HourGH-JAN'!D35)</f>
        <v>0.36</v>
      </c>
      <c r="E9" s="118">
        <f>IF(TRIM('HourGH-JAN'!D36)="","      ",'HourGH-JAN'!D36)</f>
        <v>0.36</v>
      </c>
      <c r="F9" s="118">
        <f>IF(TRIM('HourGH-JAN'!D37)="","      ",'HourGH-JAN'!D37)</f>
        <v>0.61</v>
      </c>
      <c r="G9" s="118">
        <f>IF(TRIM('HourGH-JAN'!D38)="","      ",'HourGH-JAN'!D38)</f>
        <v>0.72</v>
      </c>
      <c r="H9" s="118">
        <f>IF(TRIM('HourGH-JAN'!D39)="","      ",'HourGH-JAN'!D39)</f>
        <v>0.7</v>
      </c>
      <c r="I9" s="118">
        <f>IF(TRIM('HourGH-JAN'!D40)="","      ",'HourGH-JAN'!D40)</f>
        <v>0.38</v>
      </c>
      <c r="J9" s="118">
        <f>IF(TRIM('HourGH-JAN'!D41)="","      ",'HourGH-JAN'!D41)</f>
        <v>0.32</v>
      </c>
      <c r="K9" s="118">
        <f>IF(TRIM('HourGH-JAN'!D42)="","      ",'HourGH-JAN'!D42)</f>
        <v>0.33</v>
      </c>
      <c r="L9" s="118">
        <f>IF(TRIM('HourGH-JAN'!D43)="","      ",'HourGH-JAN'!D43)</f>
        <v>0.33</v>
      </c>
    </row>
    <row r="10" spans="1:15">
      <c r="A10" s="127" t="s">
        <v>152</v>
      </c>
      <c r="B10" s="128">
        <f>IF(TRIM('HourGH-JAN'!E11)="","      ",'HourGH-JAN'!E11)</f>
        <v>0.44</v>
      </c>
      <c r="C10" s="128">
        <f>IF(TRIM('HourGH-JAN'!E12)="","      ",'HourGH-JAN'!E12)</f>
        <v>0.43</v>
      </c>
      <c r="D10" s="128">
        <f>IF(TRIM('HourGH-JAN'!E13)="","      ",'HourGH-JAN'!E13)</f>
        <v>0.43</v>
      </c>
      <c r="E10" s="128">
        <f>IF(TRIM('HourGH-JAN'!E14)="","      ",'HourGH-JAN'!E14)</f>
        <v>0.43</v>
      </c>
      <c r="F10" s="118">
        <f>IF(TRIM('HourGH-JAN'!E15)="","      ",'HourGH-JAN'!E15)</f>
        <v>0.43</v>
      </c>
      <c r="G10" s="118">
        <f>IF(TRIM('HourGH-JAN'!E16)="","      ",'HourGH-JAN'!E16)</f>
        <v>0.42</v>
      </c>
      <c r="H10" s="118">
        <f>IF(TRIM('HourGH-JAN'!E17)="","      ",'HourGH-JAN'!E17)</f>
        <v>0.42</v>
      </c>
      <c r="I10" s="118">
        <f>IF(TRIM('HourGH-JAN'!E18)="","      ",'HourGH-JAN'!E18)</f>
        <v>0.42</v>
      </c>
      <c r="J10" s="118">
        <f>IF(TRIM('HourGH-JAN'!E19)="","      ",'HourGH-JAN'!E19)</f>
        <v>0.41</v>
      </c>
      <c r="K10" s="118">
        <f>IF(TRIM('HourGH-JAN'!E20)="","      ",'HourGH-JAN'!E20)</f>
        <v>0.41</v>
      </c>
    </row>
    <row r="11" spans="1:15">
      <c r="A11" s="127" t="s">
        <v>153</v>
      </c>
      <c r="B11" s="118">
        <f>IF(TRIM('HourGH-JAN'!E22)="","      ",'HourGH-JAN'!E22)</f>
        <v>0.4</v>
      </c>
      <c r="C11" s="118">
        <f>IF(TRIM('HourGH-JAN'!E23)="","      ",'HourGH-JAN'!E23)</f>
        <v>0.4</v>
      </c>
      <c r="D11" s="118">
        <f>IF(TRIM('HourGH-JAN'!E24)="","      ",'HourGH-JAN'!E24)</f>
        <v>0.4</v>
      </c>
      <c r="E11" s="118">
        <f>IF(TRIM('HourGH-JAN'!E25)="","      ",'HourGH-JAN'!E25)</f>
        <v>0.4</v>
      </c>
      <c r="F11" s="118">
        <f>IF(TRIM('HourGH-JAN'!E26)="","      ",'HourGH-JAN'!E26)</f>
        <v>0.4</v>
      </c>
      <c r="G11" s="118">
        <f>IF(TRIM('HourGH-JAN'!E27)="","      ",'HourGH-JAN'!E27)</f>
        <v>0.4</v>
      </c>
      <c r="H11" s="118">
        <f>IF(TRIM('HourGH-JAN'!E28)="","      ",'HourGH-JAN'!E28)</f>
        <v>0.39</v>
      </c>
      <c r="I11" s="118">
        <f>IF(TRIM('HourGH-JAN'!E29)="","      ",'HourGH-JAN'!E29)</f>
        <v>0.7</v>
      </c>
      <c r="J11" s="118">
        <f>IF(TRIM('HourGH-JAN'!E30)="","      ",'HourGH-JAN'!E30)</f>
        <v>0.72</v>
      </c>
      <c r="K11" s="118">
        <f>IF(TRIM('HourGH-JAN'!E31)="","      ",'HourGH-JAN'!E31)</f>
        <v>0.74</v>
      </c>
    </row>
    <row r="12" spans="1:15">
      <c r="A12" s="127" t="s">
        <v>154</v>
      </c>
      <c r="B12" s="118">
        <f>IF(TRIM('HourGH-JAN'!E33)="","      ",'HourGH-JAN'!E33)</f>
        <v>0.39</v>
      </c>
      <c r="C12" s="118">
        <f>IF(TRIM('HourGH-JAN'!E34)="","      ",'HourGH-JAN'!E34)</f>
        <v>0.36</v>
      </c>
      <c r="D12" s="118">
        <f>IF(TRIM('HourGH-JAN'!E35)="","      ",'HourGH-JAN'!E35)</f>
        <v>0.36</v>
      </c>
      <c r="E12" s="118">
        <f>IF(TRIM('HourGH-JAN'!E36)="","      ",'HourGH-JAN'!E36)</f>
        <v>0.36</v>
      </c>
      <c r="F12" s="118">
        <f>IF(TRIM('HourGH-JAN'!E37)="","      ",'HourGH-JAN'!E37)</f>
        <v>0.64</v>
      </c>
      <c r="G12" s="118">
        <f>IF(TRIM('HourGH-JAN'!E38)="","      ",'HourGH-JAN'!E38)</f>
        <v>0.72</v>
      </c>
      <c r="H12" s="118">
        <f>IF(TRIM('HourGH-JAN'!E39)="","      ",'HourGH-JAN'!E39)</f>
        <v>0.7</v>
      </c>
      <c r="I12" s="118">
        <f>IF(TRIM('HourGH-JAN'!E40)="","      ",'HourGH-JAN'!E40)</f>
        <v>0.37</v>
      </c>
      <c r="J12" s="118">
        <f>IF(TRIM('HourGH-JAN'!E41)="","      ",'HourGH-JAN'!E41)</f>
        <v>0.32</v>
      </c>
      <c r="K12" s="118">
        <f>IF(TRIM('HourGH-JAN'!E42)="","      ",'HourGH-JAN'!E42)</f>
        <v>0.33</v>
      </c>
      <c r="L12" s="118">
        <f>IF(TRIM('HourGH-JAN'!E43)="","      ",'HourGH-JAN'!E43)</f>
        <v>0.33</v>
      </c>
    </row>
    <row r="13" spans="1:15">
      <c r="A13" s="127" t="s">
        <v>155</v>
      </c>
      <c r="B13" s="128">
        <f>IF(TRIM('HourGH-JAN'!F11)="","      ",'HourGH-JAN'!F11)</f>
        <v>0.44</v>
      </c>
      <c r="C13" s="128">
        <f>IF(TRIM('HourGH-JAN'!F12)="","      ",'HourGH-JAN'!F12)</f>
        <v>0.43</v>
      </c>
      <c r="D13" s="128">
        <f>IF(TRIM('HourGH-JAN'!F13)="","      ",'HourGH-JAN'!F13)</f>
        <v>0.43</v>
      </c>
      <c r="E13" s="128">
        <f>IF(TRIM('HourGH-JAN'!F14)="","      ",'HourGH-JAN'!F14)</f>
        <v>0.43</v>
      </c>
      <c r="F13" s="118">
        <f>IF(TRIM('HourGH-JAN'!F15)="","      ",'HourGH-JAN'!F15)</f>
        <v>0.43</v>
      </c>
      <c r="G13" s="118">
        <f>IF(TRIM('HourGH-JAN'!F16)="","      ",'HourGH-JAN'!F16)</f>
        <v>0.42</v>
      </c>
      <c r="H13" s="118">
        <f>IF(TRIM('HourGH-JAN'!F17)="","      ",'HourGH-JAN'!F17)</f>
        <v>0.42</v>
      </c>
      <c r="I13" s="118">
        <f>IF(TRIM('HourGH-JAN'!F18)="","      ",'HourGH-JAN'!F18)</f>
        <v>0.42</v>
      </c>
      <c r="J13" s="118">
        <f>IF(TRIM('HourGH-JAN'!F19)="","      ",'HourGH-JAN'!F19)</f>
        <v>0.41</v>
      </c>
      <c r="K13" s="118">
        <f>IF(TRIM('HourGH-JAN'!F20)="","      ",'HourGH-JAN'!F20)</f>
        <v>0.41</v>
      </c>
    </row>
    <row r="14" spans="1:15">
      <c r="A14" s="127" t="s">
        <v>156</v>
      </c>
      <c r="B14" s="118">
        <f>IF(TRIM('HourGH-JAN'!F22)="","      ",'HourGH-JAN'!F22)</f>
        <v>0.4</v>
      </c>
      <c r="C14" s="118">
        <f>IF(TRIM('HourGH-JAN'!F23)="","      ",'HourGH-JAN'!F23)</f>
        <v>0.4</v>
      </c>
      <c r="D14" s="118">
        <f>IF(TRIM('HourGH-JAN'!F24)="","      ",'HourGH-JAN'!F24)</f>
        <v>0.4</v>
      </c>
      <c r="E14" s="118">
        <f>IF(TRIM('HourGH-JAN'!F25)="","      ",'HourGH-JAN'!F25)</f>
        <v>0.4</v>
      </c>
      <c r="F14" s="118">
        <f>IF(TRIM('HourGH-JAN'!F26)="","      ",'HourGH-JAN'!F26)</f>
        <v>0.4</v>
      </c>
      <c r="G14" s="118">
        <f>IF(TRIM('HourGH-JAN'!F27)="","      ",'HourGH-JAN'!F27)</f>
        <v>0.4</v>
      </c>
      <c r="H14" s="118">
        <f>IF(TRIM('HourGH-JAN'!F28)="","      ",'HourGH-JAN'!F28)</f>
        <v>0.39</v>
      </c>
      <c r="I14" s="118">
        <f>IF(TRIM('HourGH-JAN'!F29)="","      ",'HourGH-JAN'!F29)</f>
        <v>0.71</v>
      </c>
      <c r="J14" s="118">
        <f>IF(TRIM('HourGH-JAN'!F30)="","      ",'HourGH-JAN'!F30)</f>
        <v>0.72</v>
      </c>
      <c r="K14" s="118">
        <f>IF(TRIM('HourGH-JAN'!F31)="","      ",'HourGH-JAN'!F31)</f>
        <v>0.74</v>
      </c>
    </row>
    <row r="15" spans="1:15">
      <c r="A15" s="127" t="s">
        <v>157</v>
      </c>
      <c r="B15" s="118">
        <f>IF(TRIM('HourGH-JAN'!F33)="","      ",'HourGH-JAN'!F33)</f>
        <v>0.38</v>
      </c>
      <c r="C15" s="118">
        <f>IF(TRIM('HourGH-JAN'!F34)="","      ",'HourGH-JAN'!F34)</f>
        <v>0.36</v>
      </c>
      <c r="D15" s="118">
        <f>IF(TRIM('HourGH-JAN'!F35)="","      ",'HourGH-JAN'!F35)</f>
        <v>0.36</v>
      </c>
      <c r="E15" s="118">
        <f>IF(TRIM('HourGH-JAN'!F36)="","      ",'HourGH-JAN'!F36)</f>
        <v>0.36</v>
      </c>
      <c r="F15" s="118">
        <f>IF(TRIM('HourGH-JAN'!F37)="","      ",'HourGH-JAN'!F37)</f>
        <v>0.67</v>
      </c>
      <c r="G15" s="118">
        <f>IF(TRIM('HourGH-JAN'!F38)="","      ",'HourGH-JAN'!F38)</f>
        <v>0.72</v>
      </c>
      <c r="H15" s="118">
        <f>IF(TRIM('HourGH-JAN'!F39)="","      ",'HourGH-JAN'!F39)</f>
        <v>0.7</v>
      </c>
      <c r="I15" s="118">
        <f>IF(TRIM('HourGH-JAN'!F40)="","      ",'HourGH-JAN'!F40)</f>
        <v>0.36</v>
      </c>
      <c r="J15" s="118">
        <f>IF(TRIM('HourGH-JAN'!F41)="","      ",'HourGH-JAN'!F41)</f>
        <v>0.32</v>
      </c>
      <c r="K15" s="118">
        <f>IF(TRIM('HourGH-JAN'!F42)="","      ",'HourGH-JAN'!F42)</f>
        <v>0.33</v>
      </c>
      <c r="L15" s="118">
        <f>IF(TRIM('HourGH-JAN'!F43)="","      ",'HourGH-JAN'!F43)</f>
        <v>0.33</v>
      </c>
    </row>
    <row r="16" spans="1:15">
      <c r="A16" s="127" t="s">
        <v>158</v>
      </c>
      <c r="B16" s="128">
        <f>IF(TRIM('HourGH-JAN'!G11)="","      ",'HourGH-JAN'!G11)</f>
        <v>0.44</v>
      </c>
      <c r="C16" s="128">
        <f>IF(TRIM('HourGH-JAN'!G12)="","      ",'HourGH-JAN'!G12)</f>
        <v>0.43</v>
      </c>
      <c r="D16" s="128">
        <f>IF(TRIM('HourGH-JAN'!G13)="","      ",'HourGH-JAN'!G13)</f>
        <v>0.43</v>
      </c>
      <c r="E16" s="128">
        <f>IF(TRIM('HourGH-JAN'!G14)="","      ",'HourGH-JAN'!G14)</f>
        <v>0.43</v>
      </c>
      <c r="F16" s="118">
        <f>IF(TRIM('HourGH-JAN'!G15)="","      ",'HourGH-JAN'!G15)</f>
        <v>0.43</v>
      </c>
      <c r="G16" s="118">
        <f>IF(TRIM('HourGH-JAN'!G16)="","      ",'HourGH-JAN'!G16)</f>
        <v>0.42</v>
      </c>
      <c r="H16" s="118">
        <f>IF(TRIM('HourGH-JAN'!G17)="","      ",'HourGH-JAN'!G17)</f>
        <v>0.42</v>
      </c>
      <c r="I16" s="118">
        <f>IF(TRIM('HourGH-JAN'!G18)="","      ",'HourGH-JAN'!G18)</f>
        <v>0.42</v>
      </c>
      <c r="J16" s="118">
        <f>IF(TRIM('HourGH-JAN'!G19)="","      ",'HourGH-JAN'!G19)</f>
        <v>0.41</v>
      </c>
      <c r="K16" s="118">
        <f>IF(TRIM('HourGH-JAN'!G20)="","      ",'HourGH-JAN'!G20)</f>
        <v>0.41</v>
      </c>
    </row>
    <row r="17" spans="1:12">
      <c r="A17" s="127" t="s">
        <v>159</v>
      </c>
      <c r="B17" s="118">
        <f>IF(TRIM('HourGH-JAN'!G22)="","      ",'HourGH-JAN'!G22)</f>
        <v>0.4</v>
      </c>
      <c r="C17" s="118">
        <f>IF(TRIM('HourGH-JAN'!G23)="","      ",'HourGH-JAN'!G23)</f>
        <v>0.4</v>
      </c>
      <c r="D17" s="118">
        <f>IF(TRIM('HourGH-JAN'!G24)="","      ",'HourGH-JAN'!G24)</f>
        <v>0.4</v>
      </c>
      <c r="E17" s="118">
        <f>IF(TRIM('HourGH-JAN'!G25)="","      ",'HourGH-JAN'!G25)</f>
        <v>0.4</v>
      </c>
      <c r="F17" s="118">
        <f>IF(TRIM('HourGH-JAN'!G26)="","      ",'HourGH-JAN'!G26)</f>
        <v>0.4</v>
      </c>
      <c r="G17" s="118">
        <f>IF(TRIM('HourGH-JAN'!G27)="","      ",'HourGH-JAN'!G27)</f>
        <v>0.4</v>
      </c>
      <c r="H17" s="118">
        <f>IF(TRIM('HourGH-JAN'!G28)="","      ",'HourGH-JAN'!G28)</f>
        <v>0.39</v>
      </c>
      <c r="I17" s="118">
        <f>IF(TRIM('HourGH-JAN'!G29)="","      ",'HourGH-JAN'!G29)</f>
        <v>0.71</v>
      </c>
      <c r="J17" s="118">
        <f>IF(TRIM('HourGH-JAN'!G30)="","      ",'HourGH-JAN'!G30)</f>
        <v>0.72</v>
      </c>
      <c r="K17" s="118">
        <f>IF(TRIM('HourGH-JAN'!G31)="","      ",'HourGH-JAN'!G31)</f>
        <v>0.74</v>
      </c>
    </row>
    <row r="18" spans="1:12">
      <c r="A18" s="127" t="s">
        <v>160</v>
      </c>
      <c r="B18" s="118">
        <f>IF(TRIM('HourGH-JAN'!G33)="","      ",'HourGH-JAN'!G33)</f>
        <v>0.37</v>
      </c>
      <c r="C18" s="118">
        <f>IF(TRIM('HourGH-JAN'!G34)="","      ",'HourGH-JAN'!G34)</f>
        <v>0.36</v>
      </c>
      <c r="D18" s="118">
        <f>IF(TRIM('HourGH-JAN'!G35)="","      ",'HourGH-JAN'!G35)</f>
        <v>0.36</v>
      </c>
      <c r="E18" s="118">
        <f>IF(TRIM('HourGH-JAN'!G36)="","      ",'HourGH-JAN'!G36)</f>
        <v>0.36</v>
      </c>
      <c r="F18" s="118">
        <f>IF(TRIM('HourGH-JAN'!G37)="","      ",'HourGH-JAN'!G37)</f>
        <v>0.7</v>
      </c>
      <c r="G18" s="118">
        <f>IF(TRIM('HourGH-JAN'!G38)="","      ",'HourGH-JAN'!G38)</f>
        <v>0.72</v>
      </c>
      <c r="H18" s="118">
        <f>IF(TRIM('HourGH-JAN'!G39)="","      ",'HourGH-JAN'!G39)</f>
        <v>0.7</v>
      </c>
      <c r="I18" s="118">
        <f>IF(TRIM('HourGH-JAN'!G40)="","      ",'HourGH-JAN'!G40)</f>
        <v>0.35</v>
      </c>
      <c r="J18" s="118">
        <f>IF(TRIM('HourGH-JAN'!G41)="","      ",'HourGH-JAN'!G41)</f>
        <v>0.32</v>
      </c>
      <c r="K18" s="118">
        <f>IF(TRIM('HourGH-JAN'!G42)="","      ",'HourGH-JAN'!G42)</f>
        <v>0.33</v>
      </c>
      <c r="L18" s="118">
        <f>IF(TRIM('HourGH-JAN'!G43)="","      ",'HourGH-JAN'!G43)</f>
        <v>0.33</v>
      </c>
    </row>
    <row r="19" spans="1:12">
      <c r="A19" s="127" t="s">
        <v>161</v>
      </c>
      <c r="B19" s="128">
        <f>IF(TRIM('HourGH-JAN'!H11)="","      ",'HourGH-JAN'!H11)</f>
        <v>0.44</v>
      </c>
      <c r="C19" s="128">
        <f>IF(TRIM('HourGH-JAN'!H12)="","      ",'HourGH-JAN'!H12)</f>
        <v>0.43</v>
      </c>
      <c r="D19" s="128">
        <f>IF(TRIM('HourGH-JAN'!I13)="","      ",'HourGH-JAN'!I13)</f>
        <v>0.43</v>
      </c>
      <c r="E19" s="128">
        <f>IF(TRIM('HourGH-JAN'!H14)="","      ",'HourGH-JAN'!H14)</f>
        <v>0.43</v>
      </c>
      <c r="F19" s="118">
        <f>IF(TRIM('HourGH-JAN'!H15)="","      ",'HourGH-JAN'!H15)</f>
        <v>0.43</v>
      </c>
      <c r="G19" s="118">
        <f>IF(TRIM('HourGH-JAN'!H16)="","      ",'HourGH-JAN'!H16)</f>
        <v>0.42</v>
      </c>
      <c r="H19" s="118">
        <f>IF(TRIM('HourGH-JAN'!H17)="","      ",'HourGH-JAN'!H17)</f>
        <v>0.42</v>
      </c>
      <c r="I19" s="118">
        <f>IF(TRIM('HourGH-JAN'!H18)="","      ",'HourGH-JAN'!H18)</f>
        <v>0.42</v>
      </c>
      <c r="J19" s="118">
        <f>IF(TRIM('HourGH-JAN'!H19)="","      ",'HourGH-JAN'!H19)</f>
        <v>0.41</v>
      </c>
      <c r="K19" s="118">
        <f>IF(TRIM('HourGH-JAN'!H20)="","      ",'HourGH-JAN'!H20)</f>
        <v>0.41</v>
      </c>
    </row>
    <row r="20" spans="1:12">
      <c r="A20" s="127" t="s">
        <v>162</v>
      </c>
      <c r="B20" s="118">
        <f>IF(TRIM('HourGH-JAN'!H22)="","      ",'HourGH-JAN'!H22)</f>
        <v>0.4</v>
      </c>
      <c r="C20" s="118">
        <f>IF(TRIM('HourGH-JAN'!H23)="","      ",'HourGH-JAN'!H23)</f>
        <v>0.4</v>
      </c>
      <c r="D20" s="118">
        <f>IF(TRIM('HourGH-JAN'!H24)="","      ",'HourGH-JAN'!H24)</f>
        <v>0.4</v>
      </c>
      <c r="E20" s="118">
        <f>IF(TRIM('HourGH-JAN'!H25)="","      ",'HourGH-JAN'!H25)</f>
        <v>0.4</v>
      </c>
      <c r="F20" s="118">
        <f>IF(TRIM('HourGH-JAN'!H26)="","      ",'HourGH-JAN'!H26)</f>
        <v>0.4</v>
      </c>
      <c r="G20" s="118">
        <f>IF(TRIM('HourGH-JAN'!H27)="","      ",'HourGH-JAN'!H27)</f>
        <v>0.4</v>
      </c>
      <c r="H20" s="118">
        <f>IF(TRIM('HourGH-JAN'!H28)="","      ",'HourGH-JAN'!H28)</f>
        <v>0.39</v>
      </c>
      <c r="I20" s="118">
        <f>IF(TRIM('HourGH-JAN'!H29)="","      ",'HourGH-JAN'!H29)</f>
        <v>0.72</v>
      </c>
      <c r="J20" s="118">
        <f>IF(TRIM('HourGH-JAN'!I30)="","      ",'HourGH-JAN'!I30)</f>
        <v>0.72</v>
      </c>
      <c r="K20" s="118">
        <f>IF(TRIM('HourGH-JAN'!H31)="","      ",'HourGH-JAN'!H31)</f>
        <v>0.74</v>
      </c>
    </row>
    <row r="21" spans="1:12">
      <c r="A21" s="127" t="s">
        <v>163</v>
      </c>
      <c r="B21" s="118">
        <f>IF(TRIM('HourGH-JAN'!H33)="","      ",'HourGH-JAN'!H33)</f>
        <v>0.36</v>
      </c>
      <c r="C21" s="118">
        <f>IF(TRIM('HourGH-JAN'!H34)="","      ",'HourGH-JAN'!H34)</f>
        <v>0.36</v>
      </c>
      <c r="D21" s="118">
        <f>IF(TRIM('HourGH-JAN'!H35)="","      ",'HourGH-JAN'!H35)</f>
        <v>0.36</v>
      </c>
      <c r="E21" s="118">
        <f>IF(TRIM('HourGH-JAN'!H36)="","      ",'HourGH-JAN'!H36)</f>
        <v>0.36</v>
      </c>
      <c r="F21" s="118">
        <f>IF(TRIM('HourGH-JAN'!H37)="","      ",'HourGH-JAN'!H37)</f>
        <v>0.72</v>
      </c>
      <c r="G21" s="118">
        <f>IF(TRIM('HourGH-JAN'!H38)="","      ",'HourGH-JAN'!H38)</f>
        <v>0.72</v>
      </c>
      <c r="H21" s="118">
        <f>IF(TRIM('HourGH-JAN'!H39)="","      ",'HourGH-JAN'!H39)</f>
        <v>0.7</v>
      </c>
      <c r="I21" s="118">
        <f>IF(TRIM('HourGH-JAN'!H40)="","      ",'HourGH-JAN'!H40)</f>
        <v>0.34</v>
      </c>
      <c r="J21" s="118">
        <f>IF(TRIM('HourGH-JAN'!H41)="","      ",'HourGH-JAN'!H41)</f>
        <v>0.32</v>
      </c>
      <c r="K21" s="118">
        <f>IF(TRIM('HourGH-JAN'!H42)="","      ",'HourGH-JAN'!H42)</f>
        <v>0.33</v>
      </c>
      <c r="L21" s="118">
        <f>IF(TRIM('HourGH-JAN'!H43)="","      ",'HourGH-JAN'!H43)</f>
        <v>0.33</v>
      </c>
    </row>
    <row r="22" spans="1:12">
      <c r="A22" s="127" t="s">
        <v>164</v>
      </c>
      <c r="B22" s="128">
        <f>IF(TRIM('HourGH-JAN'!I11)="","      ",'HourGH-JAN'!I11)</f>
        <v>0.44</v>
      </c>
      <c r="C22" s="128">
        <f>IF(TRIM('HourGH-JAN'!I12)="","      ",'HourGH-JAN'!I12)</f>
        <v>0.43</v>
      </c>
      <c r="D22" s="128" t="e">
        <f>IF(TRIM('HourGH-JAN'!#REF!)="","      ",'HourGH-JAN'!#REF!)</f>
        <v>#REF!</v>
      </c>
      <c r="E22" s="128">
        <f>IF(TRIM('HourGH-JAN'!I14)="","      ",'HourGH-JAN'!I14)</f>
        <v>0.43</v>
      </c>
      <c r="F22" s="118">
        <f>IF(TRIM('HourGH-JAN'!I15)="","      ",'HourGH-JAN'!I15)</f>
        <v>0.43</v>
      </c>
      <c r="G22" s="118">
        <f>IF(TRIM('HourGH-JAN'!I16)="","      ",'HourGH-JAN'!I16)</f>
        <v>0.41</v>
      </c>
      <c r="H22" s="128">
        <f>IF(TRIM('HourGH-JAN'!I17)="","      ",'HourGH-JAN'!I17)</f>
        <v>0.42</v>
      </c>
      <c r="I22" s="128">
        <f>IF(TRIM('HourGH-JAN'!I18)="","      ",'HourGH-JAN'!I18)</f>
        <v>0.42</v>
      </c>
      <c r="J22" s="128">
        <f>IF(TRIM('HourGH-JAN'!I19)="","      ",'HourGH-JAN'!I19)</f>
        <v>0.41</v>
      </c>
      <c r="K22" s="128">
        <f>IF(TRIM('HourGH-JAN'!I20)="","      ",'HourGH-JAN'!I20)</f>
        <v>0.41</v>
      </c>
    </row>
    <row r="23" spans="1:12">
      <c r="A23" s="127" t="s">
        <v>165</v>
      </c>
      <c r="B23" s="128">
        <f>IF(TRIM('HourGH-JAN'!I22)="","      ",'HourGH-JAN'!I22)</f>
        <v>0.4</v>
      </c>
      <c r="C23" s="128">
        <f>IF(TRIM('HourGH-JAN'!I23)="","      ",'HourGH-JAN'!I23)</f>
        <v>0.4</v>
      </c>
      <c r="D23" s="128">
        <f>IF(TRIM('HourGH-JAN'!I24)="","      ",'HourGH-JAN'!I24)</f>
        <v>0.4</v>
      </c>
      <c r="E23" s="128">
        <f>IF(TRIM('HourGH-JAN'!I25)="","      ",'HourGH-JAN'!I25)</f>
        <v>0.4</v>
      </c>
      <c r="F23" s="118">
        <f>IF(TRIM('HourGH-JAN'!I26)="","      ",'HourGH-JAN'!I26)</f>
        <v>0.4</v>
      </c>
      <c r="G23" s="118">
        <f>IF(TRIM('HourGH-JAN'!I27)="","      ",'HourGH-JAN'!I27)</f>
        <v>0.4</v>
      </c>
      <c r="H23" s="118">
        <f>IF(TRIM('HourGH-JAN'!I28)="","      ",'HourGH-JAN'!I28)</f>
        <v>0.4</v>
      </c>
      <c r="I23" s="118">
        <f>IF(TRIM('HourGH-JAN'!I29)="","      ",'HourGH-JAN'!I29)</f>
        <v>0.72</v>
      </c>
      <c r="J23" s="118" t="e">
        <f>IF(TRIM('HourGH-JAN'!#REF!)="","      ",'HourGH-JAN'!#REF!)</f>
        <v>#REF!</v>
      </c>
      <c r="K23" s="118">
        <f>IF(TRIM('HourGH-JAN'!I31)="","      ",'HourGH-JAN'!I31)</f>
        <v>0.74</v>
      </c>
    </row>
    <row r="24" spans="1:12">
      <c r="A24" s="127" t="s">
        <v>166</v>
      </c>
      <c r="B24" s="128">
        <f>IF(TRIM('HourGH-JAN'!I33)="","      ",'HourGH-JAN'!I33)</f>
        <v>0.36</v>
      </c>
      <c r="C24" s="128">
        <f>IF(TRIM('HourGH-JAN'!I34)="","      ",'HourGH-JAN'!I34)</f>
        <v>0.36</v>
      </c>
      <c r="D24" s="128">
        <f>IF(TRIM('HourGH-JAN'!I35)="","      ",'HourGH-JAN'!I35)</f>
        <v>0.36</v>
      </c>
      <c r="E24" s="128" t="e">
        <f>IF(TRIM('HourGH-JAN'!#REF!)="","      ",'HourGH-JAN'!#REF!)</f>
        <v>#REF!</v>
      </c>
      <c r="F24" s="118">
        <f>IF(TRIM('HourGH-JAN'!I37)="","      ",'HourGH-JAN'!I37)</f>
        <v>0.72</v>
      </c>
      <c r="G24" s="118">
        <f>IF(TRIM('HourGH-JAN'!I38)="","      ",'HourGH-JAN'!I38)</f>
        <v>0.72</v>
      </c>
      <c r="H24" s="118">
        <f>IF(TRIM('HourGH-JAN'!I39)="","      ",'HourGH-JAN'!I39)</f>
        <v>0.7</v>
      </c>
      <c r="I24" s="118">
        <f>IF(TRIM('HourGH-JAN'!I40)="","      ",'HourGH-JAN'!I40)</f>
        <v>0.34</v>
      </c>
      <c r="J24" s="118">
        <f>IF(TRIM('HourGH-JAN'!I41)="","      ",'HourGH-JAN'!I41)</f>
        <v>0.32</v>
      </c>
      <c r="K24" s="118">
        <f>IF(TRIM('HourGH-JAN'!I42)="","      ",'HourGH-JAN'!I42)</f>
        <v>0.33</v>
      </c>
      <c r="L24" s="118">
        <f>IF(TRIM('HourGH-JAN'!I43)="","      ",'HourGH-JAN'!I43)</f>
        <v>0.34</v>
      </c>
    </row>
    <row r="25" spans="1:12">
      <c r="A25" s="127" t="s">
        <v>167</v>
      </c>
      <c r="B25" s="128">
        <f>IF(TRIM('HourGH-JAN'!J11)="","      ",'HourGH-JAN'!J11)</f>
        <v>0.44</v>
      </c>
      <c r="C25" s="128">
        <f>IF(TRIM('HourGH-JAN'!J12)="","      ",'HourGH-JAN'!J12)</f>
        <v>0.43</v>
      </c>
      <c r="D25" s="128">
        <f>IF(TRIM('HourGH-JAN'!J13)="","      ",'HourGH-JAN'!J13)</f>
        <v>0.43</v>
      </c>
      <c r="E25" s="128">
        <f>IF(TRIM('HourGH-JAN'!J14)="","      ",'HourGH-JAN'!J14)</f>
        <v>0.43</v>
      </c>
      <c r="F25" s="118">
        <f>IF(TRIM('HourGH-JAN'!J15)="","      ",'HourGH-JAN'!J15)</f>
        <v>0.43</v>
      </c>
      <c r="G25" s="118">
        <f>IF(TRIM('HourGH-JAN'!J16)="","      ",'HourGH-JAN'!J16)</f>
        <v>0.41</v>
      </c>
      <c r="H25" s="128">
        <f>IF(TRIM('HourGH-JAN'!J17)="","      ",'HourGH-JAN'!J17)</f>
        <v>0.42</v>
      </c>
      <c r="I25" s="128">
        <f>IF(TRIM('HourGH-JAN'!J18)="","      ",'HourGH-JAN'!J18)</f>
        <v>0.42</v>
      </c>
      <c r="J25" s="128">
        <f>IF(TRIM('HourGH-JAN'!J19)="","      ",'HourGH-JAN'!J19)</f>
        <v>0.41</v>
      </c>
      <c r="K25" s="128">
        <f>IF(TRIM('HourGH-JAN'!J20)="","      ",'HourGH-JAN'!J20)</f>
        <v>0.41</v>
      </c>
    </row>
    <row r="26" spans="1:12">
      <c r="A26" s="127" t="s">
        <v>168</v>
      </c>
      <c r="B26" s="128">
        <f>IF(TRIM('HourGH-JAN'!J22)="","      ",'HourGH-JAN'!J22)</f>
        <v>0.4</v>
      </c>
      <c r="C26" s="128">
        <f>IF(TRIM('HourGH-JAN'!J23)="","      ",'HourGH-JAN'!J23)</f>
        <v>0.4</v>
      </c>
      <c r="D26" s="128">
        <f>IF(TRIM('HourGH-JAN'!J24)="","      ",'HourGH-JAN'!J24)</f>
        <v>0.4</v>
      </c>
      <c r="E26" s="128">
        <f>IF(TRIM('HourGH-JAN'!J25)="","      ",'HourGH-JAN'!J25)</f>
        <v>0.4</v>
      </c>
      <c r="F26" s="118">
        <f>IF(TRIM('HourGH-JAN'!J26)="","      ",'HourGH-JAN'!J26)</f>
        <v>0.4</v>
      </c>
      <c r="G26" s="118">
        <f>IF(TRIM('HourGH-JAN'!J27)="","      ",'HourGH-JAN'!J27)</f>
        <v>0.4</v>
      </c>
      <c r="H26" s="128">
        <f>IF(TRIM('HourGH-JAN'!J28)="","      ",'HourGH-JAN'!J28)</f>
        <v>0.4</v>
      </c>
      <c r="I26" s="128">
        <f>IF(TRIM('HourGH-JAN'!J29)="","      ",'HourGH-JAN'!J29)</f>
        <v>0.72</v>
      </c>
      <c r="J26" s="128">
        <f>IF(TRIM('HourGH-JAN'!J30)="","      ",'HourGH-JAN'!J30)</f>
        <v>0.72</v>
      </c>
      <c r="K26" s="128">
        <f>IF(TRIM('HourGH-JAN'!J31)="","      ",'HourGH-JAN'!J31)</f>
        <v>0.74</v>
      </c>
    </row>
    <row r="27" spans="1:12">
      <c r="A27" s="127" t="s">
        <v>169</v>
      </c>
      <c r="B27" s="128">
        <f>IF(TRIM('HourGH-JAN'!J33)="","      ",'HourGH-JAN'!J33)</f>
        <v>0.36</v>
      </c>
      <c r="C27" s="128">
        <f>IF(TRIM('HourGH-JAN'!J34)="","      ",'HourGH-JAN'!J34)</f>
        <v>0.36</v>
      </c>
      <c r="D27" s="128">
        <f>IF(TRIM('HourGH-JAN'!J35)="","      ",'HourGH-JAN'!J35)</f>
        <v>0.36</v>
      </c>
      <c r="E27" s="128">
        <f>IF(TRIM('HourGH-JAN'!J36)="","      ",'HourGH-JAN'!J36)</f>
        <v>0.37</v>
      </c>
      <c r="F27" s="118">
        <f>IF(TRIM('HourGH-JAN'!J37)="","      ",'HourGH-JAN'!J37)</f>
        <v>0.72</v>
      </c>
      <c r="G27" s="118">
        <f>IF(TRIM('HourGH-JAN'!J38)="","      ",'HourGH-JAN'!J38)</f>
        <v>0.72</v>
      </c>
      <c r="H27" s="128">
        <f>IF(TRIM('HourGH-JAN'!J39)="","      ",'HourGH-JAN'!J39)</f>
        <v>0.69</v>
      </c>
      <c r="I27" s="128">
        <f>IF(TRIM('HourGH-JAN'!J40)="","      ",'HourGH-JAN'!J40)</f>
        <v>0.34</v>
      </c>
      <c r="J27" s="128">
        <f>IF(TRIM('HourGH-JAN'!J41)="","      ",'HourGH-JAN'!J41)</f>
        <v>0.32</v>
      </c>
      <c r="K27" s="128">
        <f>IF(TRIM('HourGH-JAN'!J42)="","      ",'HourGH-JAN'!J42)</f>
        <v>0.33</v>
      </c>
      <c r="L27" s="118">
        <f>IF(TRIM('HourGH-JAN'!J43)="","      ",'HourGH-JAN'!J43)</f>
        <v>0.34</v>
      </c>
    </row>
    <row r="28" spans="1:12">
      <c r="A28" s="127" t="s">
        <v>170</v>
      </c>
      <c r="B28" s="128">
        <f>IF(TRIM('HourGH-JAN'!K11)="","      ",'HourGH-JAN'!K11)</f>
        <v>0.44</v>
      </c>
      <c r="C28" s="128">
        <f>IF(TRIM('HourGH-JAN'!K12)="","      ",'HourGH-JAN'!K12)</f>
        <v>0.43</v>
      </c>
      <c r="D28" s="128">
        <f>IF(TRIM('HourGH-JAN'!K13)="","      ",'HourGH-JAN'!K13)</f>
        <v>0.43</v>
      </c>
      <c r="E28" s="128">
        <f>IF(TRIM('HourGH-JAN'!K14)="","      ",'HourGH-JAN'!K14)</f>
        <v>0.43</v>
      </c>
      <c r="F28" s="118">
        <f>IF(TRIM('HourGH-JAN'!K15)="","      ",'HourGH-JAN'!K15)</f>
        <v>0.43</v>
      </c>
      <c r="G28" s="118">
        <f>IF(TRIM('HourGH-JAN'!K16)="","      ",'HourGH-JAN'!K16)</f>
        <v>0.41</v>
      </c>
      <c r="H28" s="128">
        <f>IF(TRIM('HourGH-JAN'!K17)="","      ",'HourGH-JAN'!K17)</f>
        <v>0.42</v>
      </c>
      <c r="I28" s="128">
        <f>IF(TRIM('HourGH-JAN'!K18)="","      ",'HourGH-JAN'!K18)</f>
        <v>0.42</v>
      </c>
      <c r="J28" s="128">
        <f>IF(TRIM('HourGH-JAN'!K19)="","      ",'HourGH-JAN'!K19)</f>
        <v>0.41</v>
      </c>
      <c r="K28" s="128">
        <f>IF(TRIM('HourGH-JAN'!K20)="","      ",'HourGH-JAN'!K20)</f>
        <v>0.41</v>
      </c>
    </row>
    <row r="29" spans="1:12">
      <c r="A29" s="127" t="s">
        <v>171</v>
      </c>
      <c r="B29" s="128">
        <f>IF(TRIM('HourGH-JAN'!K22)="","      ",'HourGH-JAN'!K22)</f>
        <v>0.4</v>
      </c>
      <c r="C29" s="128">
        <f>IF(TRIM('HourGH-JAN'!K23)="","      ",'HourGH-JAN'!K23)</f>
        <v>0.4</v>
      </c>
      <c r="D29" s="128">
        <f>IF(TRIM('HourGH-JAN'!K24)="","      ",'HourGH-JAN'!K24)</f>
        <v>0.4</v>
      </c>
      <c r="E29" s="128">
        <f>IF(TRIM('HourGH-JAN'!K25)="","      ",'HourGH-JAN'!K25)</f>
        <v>0.4</v>
      </c>
      <c r="F29" s="118">
        <f>IF(TRIM('HourGH-JAN'!K26)="","      ",'HourGH-JAN'!K26)</f>
        <v>0.4</v>
      </c>
      <c r="G29" s="118">
        <f>IF(TRIM('HourGH-JAN'!K27)="","      ",'HourGH-JAN'!K27)</f>
        <v>0.4</v>
      </c>
      <c r="H29" s="128">
        <f>IF(TRIM('HourGH-JAN'!K28)="","      ",'HourGH-JAN'!K28)</f>
        <v>0.41</v>
      </c>
      <c r="I29" s="128">
        <f>IF(TRIM('HourGH-JAN'!K29)="","      ",'HourGH-JAN'!K29)</f>
        <v>0.72</v>
      </c>
      <c r="J29" s="128">
        <f>IF(TRIM('HourGH-JAN'!K30)="","      ",'HourGH-JAN'!K30)</f>
        <v>0.72</v>
      </c>
      <c r="K29" s="128">
        <f>IF(TRIM('HourGH-JAN'!K31)="","      ",'HourGH-JAN'!K31)</f>
        <v>0.73</v>
      </c>
    </row>
    <row r="30" spans="1:12">
      <c r="A30" s="127" t="s">
        <v>172</v>
      </c>
      <c r="B30" s="128">
        <f>IF(TRIM('HourGH-JAN'!K33)="","      ",'HourGH-JAN'!K33)</f>
        <v>0.36</v>
      </c>
      <c r="C30" s="128">
        <f>IF(TRIM('HourGH-JAN'!K34)="","      ",'HourGH-JAN'!K34)</f>
        <v>0.36</v>
      </c>
      <c r="D30" s="128">
        <f>IF(TRIM('HourGH-JAN'!K35)="","      ",'HourGH-JAN'!K35)</f>
        <v>0.36</v>
      </c>
      <c r="E30" s="128">
        <f>IF(TRIM('HourGH-JAN'!K36)="","      ",'HourGH-JAN'!K36)</f>
        <v>0.37</v>
      </c>
      <c r="F30" s="118">
        <f>IF(TRIM('HourGH-JAN'!K37)="","      ",'HourGH-JAN'!K37)</f>
        <v>0.72</v>
      </c>
      <c r="G30" s="118">
        <f>IF(TRIM('HourGH-JAN'!K38)="","      ",'HourGH-JAN'!K38)</f>
        <v>0.72</v>
      </c>
      <c r="H30" s="128">
        <f>IF(TRIM('HourGH-JAN'!K39)="","      ",'HourGH-JAN'!K39)</f>
        <v>0.68</v>
      </c>
      <c r="I30" s="128">
        <f>IF(TRIM('HourGH-JAN'!K40)="","      ",'HourGH-JAN'!K40)</f>
        <v>0.34</v>
      </c>
      <c r="J30" s="128">
        <f>IF(TRIM('HourGH-JAN'!K41)="","      ",'HourGH-JAN'!K41)</f>
        <v>0.32</v>
      </c>
      <c r="K30" s="128">
        <f>IF(TRIM('HourGH-JAN'!K42)="","      ",'HourGH-JAN'!K42)</f>
        <v>0.33</v>
      </c>
      <c r="L30" s="118">
        <f>IF(TRIM('HourGH-JAN'!K43)="","      ",'HourGH-JAN'!K43)</f>
        <v>0.35</v>
      </c>
    </row>
    <row r="31" spans="1:12">
      <c r="A31" s="127" t="s">
        <v>173</v>
      </c>
      <c r="B31" s="128">
        <f>IF(TRIM('HourGH-JAN'!L11)="","      ",'HourGH-JAN'!L11)</f>
        <v>0.44</v>
      </c>
      <c r="C31" s="128">
        <f>IF(TRIM('HourGH-JAN'!L12)="","      ",'HourGH-JAN'!L12)</f>
        <v>0.43</v>
      </c>
      <c r="D31" s="128">
        <f>IF(TRIM('HourGH-JAN'!L13)="","      ",'HourGH-JAN'!L13)</f>
        <v>0.43</v>
      </c>
      <c r="E31" s="128">
        <f>IF(TRIM('HourGH-JAN'!L14)="","      ",'HourGH-JAN'!L14)</f>
        <v>0.43</v>
      </c>
      <c r="F31" s="118">
        <f>IF(TRIM('HourGH-JAN'!L15)="","      ",'HourGH-JAN'!L15)</f>
        <v>0.43</v>
      </c>
      <c r="G31" s="118">
        <f>IF(TRIM('HourGH-JAN'!L16)="","      ",'HourGH-JAN'!L16)</f>
        <v>0.41</v>
      </c>
      <c r="H31" s="128">
        <f>IF(TRIM('HourGH-JAN'!L17)="","      ",'HourGH-JAN'!L17)</f>
        <v>0.42</v>
      </c>
      <c r="I31" s="128">
        <f>IF(TRIM('HourGH-JAN'!L18)="","      ",'HourGH-JAN'!L18)</f>
        <v>0.42</v>
      </c>
      <c r="J31" s="128">
        <f>IF(TRIM('HourGH-JAN'!L19)="","      ",'HourGH-JAN'!L19)</f>
        <v>0.41</v>
      </c>
      <c r="K31" s="128">
        <f>IF(TRIM('HourGH-JAN'!L20)="","      ",'HourGH-JAN'!L20)</f>
        <v>0.41</v>
      </c>
    </row>
    <row r="32" spans="1:12">
      <c r="A32" s="127" t="s">
        <v>174</v>
      </c>
      <c r="B32" s="128">
        <f>IF(TRIM('HourGH-JAN'!L22)="","      ",'HourGH-JAN'!L22)</f>
        <v>0.4</v>
      </c>
      <c r="C32" s="128">
        <f>IF(TRIM('HourGH-JAN'!L23)="","      ",'HourGH-JAN'!L23)</f>
        <v>0.4</v>
      </c>
      <c r="D32" s="128">
        <f>IF(TRIM('HourGH-JAN'!L24)="","      ",'HourGH-JAN'!L24)</f>
        <v>0.4</v>
      </c>
      <c r="E32" s="128">
        <f>IF(TRIM('HourGH-JAN'!L25)="","      ",'HourGH-JAN'!L25)</f>
        <v>0.4</v>
      </c>
      <c r="F32" s="118">
        <f>IF(TRIM('HourGH-JAN'!L26)="","      ",'HourGH-JAN'!L26)</f>
        <v>0.4</v>
      </c>
      <c r="G32" s="118">
        <f>IF(TRIM('HourGH-JAN'!L27)="","      ",'HourGH-JAN'!L27)</f>
        <v>0.4</v>
      </c>
      <c r="H32" s="128">
        <f>IF(TRIM('HourGH-JAN'!L28)="","      ",'HourGH-JAN'!L28)</f>
        <v>0.41</v>
      </c>
      <c r="I32" s="128">
        <f>IF(TRIM('HourGH-JAN'!L29)="","      ",'HourGH-JAN'!L29)</f>
        <v>0.72</v>
      </c>
      <c r="J32" s="128">
        <f>IF(TRIM('HourGH-JAN'!L30)="","      ",'HourGH-JAN'!L30)</f>
        <v>0.72</v>
      </c>
      <c r="K32" s="128">
        <f>IF(TRIM('HourGH-JAN'!L31)="","      ",'HourGH-JAN'!L31)</f>
        <v>0.72</v>
      </c>
    </row>
    <row r="33" spans="1:12">
      <c r="A33" s="127" t="s">
        <v>175</v>
      </c>
      <c r="B33" s="128">
        <f>IF(TRIM('HourGH-JAN'!L33)="","      ",'HourGH-JAN'!L33)</f>
        <v>0.36</v>
      </c>
      <c r="C33" s="128">
        <f>IF(TRIM('HourGH-JAN'!L34)="","      ",'HourGH-JAN'!L34)</f>
        <v>0.36</v>
      </c>
      <c r="D33" s="128">
        <f>IF(TRIM('HourGH-JAN'!L35)="","      ",'HourGH-JAN'!L35)</f>
        <v>0.36</v>
      </c>
      <c r="E33" s="128">
        <f>IF(TRIM('HourGH-JAN'!L36)="","      ",'HourGH-JAN'!L36)</f>
        <v>0.37</v>
      </c>
      <c r="F33" s="118">
        <f>IF(TRIM('HourGH-JAN'!L37)="","      ",'HourGH-JAN'!L37)</f>
        <v>0.72</v>
      </c>
      <c r="G33" s="118">
        <f>IF(TRIM('HourGH-JAN'!L38)="","      ",'HourGH-JAN'!L38)</f>
        <v>0.72</v>
      </c>
      <c r="H33" s="128">
        <f>IF(TRIM('HourGH-JAN'!L39)="","      ",'HourGH-JAN'!L39)</f>
        <v>0.67</v>
      </c>
      <c r="I33" s="128">
        <f>IF(TRIM('HourGH-JAN'!L40)="","      ",'HourGH-JAN'!L40)</f>
        <v>0.34</v>
      </c>
      <c r="J33" s="128">
        <f>IF(TRIM('HourGH-JAN'!L41)="","      ",'HourGH-JAN'!L41)</f>
        <v>0.32</v>
      </c>
      <c r="K33" s="128">
        <f>IF(TRIM('HourGH-JAN'!L42)="","      ",'HourGH-JAN'!L42)</f>
        <v>0.33</v>
      </c>
      <c r="L33" s="118">
        <f>IF(TRIM('HourGH-JAN'!L43)="","      ",'HourGH-JAN'!L43)</f>
        <v>0.36</v>
      </c>
    </row>
    <row r="34" spans="1:12">
      <c r="A34" s="127" t="s">
        <v>176</v>
      </c>
      <c r="B34" s="128">
        <f>IF(TRIM('HourGH-JAN'!M11)="","      ",'HourGH-JAN'!M11)</f>
        <v>0.44</v>
      </c>
      <c r="C34" s="128">
        <f>IF(TRIM('HourGH-JAN'!M12)="","      ",'HourGH-JAN'!M12)</f>
        <v>0.43</v>
      </c>
      <c r="D34" s="128">
        <f>IF(TRIM('HourGH-JAN'!M13)="","      ",'HourGH-JAN'!M13)</f>
        <v>0.43</v>
      </c>
      <c r="E34" s="128">
        <f>IF(TRIM('HourGH-JAN'!M14)="","      ",'HourGH-JAN'!M14)</f>
        <v>0.43</v>
      </c>
      <c r="F34" s="118">
        <f>IF(TRIM('HourGH-JAN'!M15)="","      ",'HourGH-JAN'!M15)</f>
        <v>0.43</v>
      </c>
      <c r="G34" s="118">
        <f>IF(TRIM('HourGH-JAN'!M16)="","      ",'HourGH-JAN'!M16)</f>
        <v>0.41</v>
      </c>
      <c r="H34" s="128">
        <f>IF(TRIM('HourGH-JAN'!M17)="","      ",'HourGH-JAN'!M17)</f>
        <v>0.42</v>
      </c>
      <c r="I34" s="128">
        <f>IF(TRIM('HourGH-JAN'!M18)="","      ",'HourGH-JAN'!M18)</f>
        <v>0.42</v>
      </c>
      <c r="J34" s="128">
        <f>IF(TRIM('HourGH-JAN'!M19)="","      ",'HourGH-JAN'!M19)</f>
        <v>0.41</v>
      </c>
      <c r="K34" s="128">
        <f>IF(TRIM('HourGH-JAN'!M20)="","      ",'HourGH-JAN'!M20)</f>
        <v>0.41</v>
      </c>
    </row>
    <row r="35" spans="1:12">
      <c r="A35" s="127" t="s">
        <v>177</v>
      </c>
      <c r="B35" s="128">
        <f>IF(TRIM('HourGH-JAN'!M22)="","      ",'HourGH-JAN'!M22)</f>
        <v>0.4</v>
      </c>
      <c r="C35" s="128">
        <f>IF(TRIM('HourGH-JAN'!M23)="","      ",'HourGH-JAN'!M23)</f>
        <v>0.4</v>
      </c>
      <c r="D35" s="128">
        <f>IF(TRIM('HourGH-JAN'!M24)="","      ",'HourGH-JAN'!M24)</f>
        <v>0.4</v>
      </c>
      <c r="E35" s="128">
        <f>IF(TRIM('HourGH-JAN'!M25)="","      ",'HourGH-JAN'!M25)</f>
        <v>0.4</v>
      </c>
      <c r="F35" s="118">
        <f>IF(TRIM('HourGH-JAN'!M26)="","      ",'HourGH-JAN'!M26)</f>
        <v>0.4</v>
      </c>
      <c r="G35" s="118">
        <f>IF(TRIM('HourGH-JAN'!M27)="","      ",'HourGH-JAN'!M27)</f>
        <v>0.4</v>
      </c>
      <c r="H35" s="128">
        <f>IF(TRIM('HourGH-JAN'!M28)="","      ",'HourGH-JAN'!M28)</f>
        <v>0.42</v>
      </c>
      <c r="I35" s="128">
        <f>IF(TRIM('HourGH-JAN'!M29)="","      ",'HourGH-JAN'!M29)</f>
        <v>0.72</v>
      </c>
      <c r="J35" s="128">
        <f>IF(TRIM('HourGH-JAN'!M30)="","      ",'HourGH-JAN'!M30)</f>
        <v>0.72</v>
      </c>
      <c r="K35" s="128">
        <f>IF(TRIM('HourGH-JAN'!M31)="","      ",'HourGH-JAN'!M31)</f>
        <v>0.71</v>
      </c>
    </row>
    <row r="36" spans="1:12">
      <c r="A36" s="127" t="s">
        <v>178</v>
      </c>
      <c r="B36" s="128">
        <f>IF(TRIM('HourGH-JAN'!M33)="","      ",'HourGH-JAN'!M33)</f>
        <v>0.36</v>
      </c>
      <c r="C36" s="128">
        <f>IF(TRIM('HourGH-JAN'!M34)="","      ",'HourGH-JAN'!M34)</f>
        <v>0.36</v>
      </c>
      <c r="D36" s="128">
        <f>IF(TRIM('HourGH-JAN'!M35)="","      ",'HourGH-JAN'!M35)</f>
        <v>0.36</v>
      </c>
      <c r="E36" s="128">
        <f>IF(TRIM('HourGH-JAN'!M36)="","      ",'HourGH-JAN'!M36)</f>
        <v>0.37</v>
      </c>
      <c r="F36" s="118">
        <f>IF(TRIM('HourGH-JAN'!M37)="","      ",'HourGH-JAN'!M37)</f>
        <v>0.72</v>
      </c>
      <c r="G36" s="118">
        <f>IF(TRIM('HourGH-JAN'!M38)="","      ",'HourGH-JAN'!M38)</f>
        <v>0.72</v>
      </c>
      <c r="H36" s="128">
        <f>IF(TRIM('HourGH-JAN'!M39)="","      ",'HourGH-JAN'!M39)</f>
        <v>0.66</v>
      </c>
      <c r="I36" s="128">
        <f>IF(TRIM('HourGH-JAN'!M40)="","      ",'HourGH-JAN'!M40)</f>
        <v>0.34</v>
      </c>
      <c r="J36" s="128">
        <f>IF(TRIM('HourGH-JAN'!M41)="","      ",'HourGH-JAN'!M41)</f>
        <v>0.32</v>
      </c>
      <c r="K36" s="128">
        <f>IF(TRIM('HourGH-JAN'!M42)="","      ",'HourGH-JAN'!M42)</f>
        <v>0.33</v>
      </c>
      <c r="L36" s="118">
        <f>IF(TRIM('HourGH-JAN'!M43)="","      ",'HourGH-JAN'!M43)</f>
        <v>0.37</v>
      </c>
    </row>
    <row r="37" spans="1:12">
      <c r="A37" s="127" t="s">
        <v>179</v>
      </c>
      <c r="B37" s="128">
        <f>IF(TRIM('HourGH-JAN'!N11)="","      ",'HourGH-JAN'!N11)</f>
        <v>0.44</v>
      </c>
      <c r="C37" s="128">
        <f>IF(TRIM('HourGH-JAN'!N12)="","      ",'HourGH-JAN'!N12)</f>
        <v>0.43</v>
      </c>
      <c r="D37" s="128">
        <f>IF(TRIM('HourGH-JAN'!N13)="","      ",'HourGH-JAN'!N13)</f>
        <v>0.43</v>
      </c>
      <c r="E37" s="128">
        <f>IF(TRIM('HourGH-JAN'!N14)="","      ",'HourGH-JAN'!N14)</f>
        <v>0.43</v>
      </c>
      <c r="F37" s="118">
        <f>IF(TRIM('HourGH-JAN'!N15)="","      ",'HourGH-JAN'!N15)</f>
        <v>0.43</v>
      </c>
      <c r="G37" s="118">
        <f>IF(TRIM('HourGH-JAN'!N16)="","      ",'HourGH-JAN'!N16)</f>
        <v>0.41</v>
      </c>
      <c r="H37" s="128">
        <f>IF(TRIM('HourGH-JAN'!N17)="","      ",'HourGH-JAN'!N17)</f>
        <v>0.42</v>
      </c>
      <c r="I37" s="128">
        <f>IF(TRIM('HourGH-JAN'!N18)="","      ",'HourGH-JAN'!N18)</f>
        <v>0.42</v>
      </c>
      <c r="J37" s="128">
        <f>IF(TRIM('HourGH-JAN'!N19)="","      ",'HourGH-JAN'!N19)</f>
        <v>0.41</v>
      </c>
      <c r="K37" s="128">
        <f>IF(TRIM('HourGH-JAN'!N20)="","      ",'HourGH-JAN'!N20)</f>
        <v>0.41</v>
      </c>
    </row>
    <row r="38" spans="1:12">
      <c r="A38" s="127" t="s">
        <v>180</v>
      </c>
      <c r="B38" s="128">
        <f>IF(TRIM('HourGH-JAN'!N22)="","      ",'HourGH-JAN'!N22)</f>
        <v>0.4</v>
      </c>
      <c r="C38" s="128">
        <f>IF(TRIM('HourGH-JAN'!N23)="","      ",'HourGH-JAN'!N23)</f>
        <v>0.4</v>
      </c>
      <c r="D38" s="128">
        <f>IF(TRIM('HourGH-JAN'!N24)="","      ",'HourGH-JAN'!N24)</f>
        <v>0.39</v>
      </c>
      <c r="E38" s="128">
        <f>IF(TRIM('HourGH-JAN'!N25)="","      ",'HourGH-JAN'!N25)</f>
        <v>0.4</v>
      </c>
      <c r="F38" s="118">
        <f>IF(TRIM('HourGH-JAN'!N26)="","      ",'HourGH-JAN'!N26)</f>
        <v>0.4</v>
      </c>
      <c r="G38" s="118">
        <f>IF(TRIM('HourGH-JAN'!N27)="","      ",'HourGH-JAN'!N27)</f>
        <v>0.4</v>
      </c>
      <c r="H38" s="128">
        <f>IF(TRIM('HourGH-JAN'!N28)="","      ",'HourGH-JAN'!N28)</f>
        <v>0.43</v>
      </c>
      <c r="I38" s="128">
        <f>IF(TRIM('HourGH-JAN'!N29)="","      ",'HourGH-JAN'!N29)</f>
        <v>0.72</v>
      </c>
      <c r="J38" s="128">
        <f>IF(TRIM('HourGH-JAN'!N30)="","      ",'HourGH-JAN'!N30)</f>
        <v>0.72</v>
      </c>
      <c r="K38" s="128">
        <f>IF(TRIM('HourGH-JAN'!N31)="","      ",'HourGH-JAN'!N31)</f>
        <v>0.69</v>
      </c>
    </row>
    <row r="39" spans="1:12">
      <c r="A39" s="127" t="s">
        <v>181</v>
      </c>
      <c r="B39" s="128">
        <f>IF(TRIM('HourGH-JAN'!N33)="","      ",'HourGH-JAN'!N33)</f>
        <v>0.36</v>
      </c>
      <c r="C39" s="128">
        <f>IF(TRIM('HourGH-JAN'!N34)="","      ",'HourGH-JAN'!N34)</f>
        <v>0.36</v>
      </c>
      <c r="D39" s="128">
        <f>IF(TRIM('HourGH-JAN'!N35)="","      ",'HourGH-JAN'!N35)</f>
        <v>0.36</v>
      </c>
      <c r="E39" s="128">
        <f>IF(TRIM('HourGH-JAN'!N36)="","      ",'HourGH-JAN'!N36)</f>
        <v>0.37</v>
      </c>
      <c r="F39" s="118">
        <f>IF(TRIM('HourGH-JAN'!N37)="","      ",'HourGH-JAN'!N37)</f>
        <v>0.73</v>
      </c>
      <c r="G39" s="118">
        <f>IF(TRIM('HourGH-JAN'!N38)="","      ",'HourGH-JAN'!N38)</f>
        <v>0.72</v>
      </c>
      <c r="H39" s="128">
        <f>IF(TRIM('HourGH-JAN'!N39)="","      ",'HourGH-JAN'!N39)</f>
        <v>0.65</v>
      </c>
      <c r="I39" s="128">
        <f>IF(TRIM('HourGH-JAN'!N40)="","      ",'HourGH-JAN'!N40)</f>
        <v>0.34</v>
      </c>
      <c r="J39" s="128">
        <f>IF(TRIM('HourGH-JAN'!N41)="","      ",'HourGH-JAN'!N41)</f>
        <v>0.32</v>
      </c>
      <c r="K39" s="128">
        <f>IF(TRIM('HourGH-JAN'!N42)="","      ",'HourGH-JAN'!N42)</f>
        <v>0.33</v>
      </c>
      <c r="L39" s="118">
        <f>IF(TRIM('HourGH-JAN'!N43)="","      ",'HourGH-JAN'!N43)</f>
        <v>0.38</v>
      </c>
    </row>
    <row r="40" spans="1:12">
      <c r="A40" s="127" t="s">
        <v>182</v>
      </c>
      <c r="B40" s="128">
        <f>IF(TRIM('HourGH-JAN'!O11)="","      ",'HourGH-JAN'!O11)</f>
        <v>0.44</v>
      </c>
      <c r="C40" s="128">
        <f>IF(TRIM('HourGH-JAN'!O12)="","      ",'HourGH-JAN'!O12)</f>
        <v>0.43</v>
      </c>
      <c r="D40" s="128">
        <f>IF(TRIM('HourGH-JAN'!O13)="","      ",'HourGH-JAN'!O13)</f>
        <v>0.43</v>
      </c>
      <c r="E40" s="128">
        <f>IF(TRIM('HourGH-JAN'!O14)="","      ",'HourGH-JAN'!O14)</f>
        <v>0.43</v>
      </c>
      <c r="F40" s="118">
        <f>IF(TRIM('HourGH-JAN'!O15)="","      ",'HourGH-JAN'!O15)</f>
        <v>0.43</v>
      </c>
      <c r="G40" s="118">
        <f>IF(TRIM('HourGH-JAN'!O16)="","      ",'HourGH-JAN'!O16)</f>
        <v>0.41</v>
      </c>
      <c r="H40" s="128">
        <f>IF(TRIM('HourGH-JAN'!O17)="","      ",'HourGH-JAN'!O17)</f>
        <v>0.42</v>
      </c>
      <c r="I40" s="128">
        <f>IF(TRIM('HourGH-JAN'!O18)="","      ",'HourGH-JAN'!O18)</f>
        <v>0.42</v>
      </c>
      <c r="J40" s="128">
        <f>IF(TRIM('HourGH-JAN'!O19)="","      ",'HourGH-JAN'!O19)</f>
        <v>0.41</v>
      </c>
      <c r="K40" s="128">
        <f>IF(TRIM('HourGH-JAN'!O20)="","      ",'HourGH-JAN'!O20)</f>
        <v>0.41</v>
      </c>
    </row>
    <row r="41" spans="1:12">
      <c r="A41" s="127" t="s">
        <v>183</v>
      </c>
      <c r="B41" s="128">
        <f>IF(TRIM('HourGH-JAN'!O22)="","      ",'HourGH-JAN'!O22)</f>
        <v>0.4</v>
      </c>
      <c r="C41" s="128">
        <f>IF(TRIM('HourGH-JAN'!O23)="","      ",'HourGH-JAN'!O23)</f>
        <v>0.4</v>
      </c>
      <c r="D41" s="128">
        <f>IF(TRIM('HourGH-JAN'!O24)="","      ",'HourGH-JAN'!O24)</f>
        <v>0.39</v>
      </c>
      <c r="E41" s="128">
        <f>IF(TRIM('HourGH-JAN'!O25)="","      ",'HourGH-JAN'!O25)</f>
        <v>0.4</v>
      </c>
      <c r="F41" s="118">
        <f>IF(TRIM('HourGH-JAN'!O26)="","      ",'HourGH-JAN'!O26)</f>
        <v>0.4</v>
      </c>
      <c r="G41" s="118">
        <f>IF(TRIM('HourGH-JAN'!O27)="","      ",'HourGH-JAN'!O27)</f>
        <v>0.4</v>
      </c>
      <c r="H41" s="128">
        <f>IF(TRIM('HourGH-JAN'!O28)="","      ",'HourGH-JAN'!O28)</f>
        <v>0.45</v>
      </c>
      <c r="I41" s="128">
        <f>IF(TRIM('HourGH-JAN'!O29)="","      ",'HourGH-JAN'!O29)</f>
        <v>0.72</v>
      </c>
      <c r="J41" s="128">
        <f>IF(TRIM('HourGH-JAN'!O30)="","      ",'HourGH-JAN'!O30)</f>
        <v>0.73</v>
      </c>
      <c r="K41" s="128">
        <f>IF(TRIM('HourGH-JAN'!O31)="","      ",'HourGH-JAN'!O31)</f>
        <v>0.67</v>
      </c>
    </row>
    <row r="42" spans="1:12">
      <c r="A42" s="127" t="s">
        <v>184</v>
      </c>
      <c r="B42" s="128">
        <f>IF(TRIM('HourGH-JAN'!O33)="","      ",'HourGH-JAN'!O33)</f>
        <v>0.36</v>
      </c>
      <c r="C42" s="128">
        <f>IF(TRIM('HourGH-JAN'!O34)="","      ",'HourGH-JAN'!O34)</f>
        <v>0.36</v>
      </c>
      <c r="D42" s="128">
        <f>IF(TRIM('HourGH-JAN'!O35)="","      ",'HourGH-JAN'!O35)</f>
        <v>0.36</v>
      </c>
      <c r="E42" s="128">
        <f>IF(TRIM('HourGH-JAN'!O36)="","      ",'HourGH-JAN'!O36)</f>
        <v>0.37</v>
      </c>
      <c r="F42" s="118">
        <f>IF(TRIM('HourGH-JAN'!O37)="","      ",'HourGH-JAN'!O37)</f>
        <v>0.73</v>
      </c>
      <c r="G42" s="118">
        <f>IF(TRIM('HourGH-JAN'!O38)="","      ",'HourGH-JAN'!O38)</f>
        <v>0.71</v>
      </c>
      <c r="H42" s="128">
        <f>IF(TRIM('HourGH-JAN'!O39)="","      ",'HourGH-JAN'!O39)</f>
        <v>0.64</v>
      </c>
      <c r="I42" s="128">
        <f>IF(TRIM('HourGH-JAN'!O40)="","      ",'HourGH-JAN'!O40)</f>
        <v>0.33</v>
      </c>
      <c r="J42" s="128">
        <f>IF(TRIM('HourGH-JAN'!O41)="","      ",'HourGH-JAN'!O41)</f>
        <v>0.32</v>
      </c>
      <c r="K42" s="128">
        <f>IF(TRIM('HourGH-JAN'!O42)="","      ",'HourGH-JAN'!O42)</f>
        <v>0.33</v>
      </c>
      <c r="L42" s="118">
        <f>IF(TRIM('HourGH-JAN'!O43)="","      ",'HourGH-JAN'!O43)</f>
        <v>0.39</v>
      </c>
    </row>
    <row r="43" spans="1:12">
      <c r="A43" s="127" t="s">
        <v>185</v>
      </c>
      <c r="B43" s="128">
        <f>IF(TRIM('HourGH-JAN'!P11)="","      ",'HourGH-JAN'!P11)</f>
        <v>0.44</v>
      </c>
      <c r="C43" s="128">
        <f>IF(TRIM('HourGH-JAN'!P12)="","      ",'HourGH-JAN'!P12)</f>
        <v>0.43</v>
      </c>
      <c r="D43" s="128">
        <f>IF(TRIM('HourGH-JAN'!P13)="","      ",'HourGH-JAN'!P13)</f>
        <v>0.43</v>
      </c>
      <c r="E43" s="128">
        <f>IF(TRIM('HourGH-JAN'!P14)="","      ",'HourGH-JAN'!P14)</f>
        <v>0.43</v>
      </c>
      <c r="F43" s="118">
        <f>IF(TRIM('HourGH-JAN'!P15)="","      ",'HourGH-JAN'!P15)</f>
        <v>0.43</v>
      </c>
      <c r="G43" s="118">
        <f>IF(TRIM('HourGH-JAN'!P16)="","      ",'HourGH-JAN'!P16)</f>
        <v>0.41</v>
      </c>
      <c r="H43" s="128">
        <f>IF(TRIM('HourGH-JAN'!P17)="","      ",'HourGH-JAN'!P17)</f>
        <v>0.42</v>
      </c>
      <c r="I43" s="128">
        <f>IF(TRIM('HourGH-JAN'!P18)="","      ",'HourGH-JAN'!P18)</f>
        <v>0.42</v>
      </c>
      <c r="J43" s="128">
        <f>IF(TRIM('HourGH-JAN'!P19)="","      ",'HourGH-JAN'!P19)</f>
        <v>0.41</v>
      </c>
      <c r="K43" s="128">
        <f>IF(TRIM('HourGH-JAN'!P20)="","      ",'HourGH-JAN'!P20)</f>
        <v>0.41</v>
      </c>
    </row>
    <row r="44" spans="1:12">
      <c r="A44" s="127" t="s">
        <v>186</v>
      </c>
      <c r="B44" s="128">
        <f>IF(TRIM('HourGH-JAN'!P22)="","      ",'HourGH-JAN'!P22)</f>
        <v>0.4</v>
      </c>
      <c r="C44" s="128">
        <f>IF(TRIM('HourGH-JAN'!P23)="","      ",'HourGH-JAN'!P23)</f>
        <v>0.4</v>
      </c>
      <c r="D44" s="128">
        <f>IF(TRIM('HourGH-JAN'!P24)="","      ",'HourGH-JAN'!P24)</f>
        <v>0.39</v>
      </c>
      <c r="E44" s="128">
        <f>IF(TRIM('HourGH-JAN'!P25)="","      ",'HourGH-JAN'!P25)</f>
        <v>0.4</v>
      </c>
      <c r="F44" s="118">
        <f>IF(TRIM('HourGH-JAN'!P26)="","      ",'HourGH-JAN'!P26)</f>
        <v>0.4</v>
      </c>
      <c r="G44" s="118">
        <f>IF(TRIM('HourGH-JAN'!P27)="","      ",'HourGH-JAN'!P27)</f>
        <v>0.4</v>
      </c>
      <c r="H44" s="128">
        <f>IF(TRIM('HourGH-JAN'!P28)="","      ",'HourGH-JAN'!P28)</f>
        <v>0.46</v>
      </c>
      <c r="I44" s="128">
        <f>IF(TRIM('HourGH-JAN'!P29)="","      ",'HourGH-JAN'!P29)</f>
        <v>0.72</v>
      </c>
      <c r="J44" s="128">
        <f>IF(TRIM('HourGH-JAN'!P30)="","      ",'HourGH-JAN'!P30)</f>
        <v>0.73</v>
      </c>
      <c r="K44" s="128">
        <f>IF(TRIM('HourGH-JAN'!P31)="","      ",'HourGH-JAN'!P31)</f>
        <v>0.66</v>
      </c>
    </row>
    <row r="45" spans="1:12">
      <c r="A45" s="127" t="s">
        <v>187</v>
      </c>
      <c r="B45" s="128">
        <f>IF(TRIM('HourGH-JAN'!P33)="","      ",'HourGH-JAN'!P33)</f>
        <v>0.36</v>
      </c>
      <c r="C45" s="128">
        <f>IF(TRIM('HourGH-JAN'!P34)="","      ",'HourGH-JAN'!P34)</f>
        <v>0.36</v>
      </c>
      <c r="D45" s="128">
        <f>IF(TRIM('HourGH-JAN'!P35)="","      ",'HourGH-JAN'!P35)</f>
        <v>0.36</v>
      </c>
      <c r="E45" s="128">
        <f>IF(TRIM('HourGH-JAN'!P36)="","      ",'HourGH-JAN'!P36)</f>
        <v>0.37</v>
      </c>
      <c r="F45" s="118">
        <f>IF(TRIM('HourGH-JAN'!P37)="","      ",'HourGH-JAN'!P37)</f>
        <v>0.73</v>
      </c>
      <c r="G45" s="118">
        <f>IF(TRIM('HourGH-JAN'!P38)="","      ",'HourGH-JAN'!P38)</f>
        <v>0.71</v>
      </c>
      <c r="H45" s="128">
        <f>IF(TRIM('HourGH-JAN'!P39)="","      ",'HourGH-JAN'!P39)</f>
        <v>0.62</v>
      </c>
      <c r="I45" s="128">
        <f>IF(TRIM('HourGH-JAN'!P40)="","      ",'HourGH-JAN'!P40)</f>
        <v>0.33</v>
      </c>
      <c r="J45" s="128">
        <f>IF(TRIM('HourGH-JAN'!P41)="","      ",'HourGH-JAN'!P41)</f>
        <v>0.32</v>
      </c>
      <c r="K45" s="128">
        <f>IF(TRIM('HourGH-JAN'!P42)="","      ",'HourGH-JAN'!P42)</f>
        <v>0.33</v>
      </c>
      <c r="L45" s="118">
        <f>IF(TRIM('HourGH-JAN'!P43)="","      ",'HourGH-JAN'!P43)</f>
        <v>0.4</v>
      </c>
    </row>
    <row r="46" spans="1:12">
      <c r="A46" s="127" t="s">
        <v>188</v>
      </c>
      <c r="B46" s="128">
        <f>IF(TRIM('HourGH-JAN'!Q11)="","      ",'HourGH-JAN'!Q11)</f>
        <v>0.44</v>
      </c>
      <c r="C46" s="128">
        <f>IF(TRIM('HourGH-JAN'!Q12)="","      ",'HourGH-JAN'!Q12)</f>
        <v>0.43</v>
      </c>
      <c r="D46" s="128">
        <f>IF(TRIM('HourGH-JAN'!Q13)="","      ",'HourGH-JAN'!Q13)</f>
        <v>0.43</v>
      </c>
      <c r="E46" s="128">
        <f>IF(TRIM('HourGH-JAN'!Q14)="","      ",'HourGH-JAN'!Q14)</f>
        <v>0.43</v>
      </c>
      <c r="F46" s="118">
        <f>IF(TRIM('HourGH-JAN'!Q15)="","      ",'HourGH-JAN'!Q15)</f>
        <v>0.43</v>
      </c>
      <c r="G46" s="118">
        <f>IF(TRIM('HourGH-JAN'!Q16)="","      ",'HourGH-JAN'!Q16)</f>
        <v>0.41</v>
      </c>
      <c r="H46" s="128">
        <f>IF(TRIM('HourGH-JAN'!Q17)="","      ",'HourGH-JAN'!Q17)</f>
        <v>0.42</v>
      </c>
      <c r="I46" s="128">
        <f>IF(TRIM('HourGH-JAN'!Q18)="","      ",'HourGH-JAN'!Q18)</f>
        <v>0.42</v>
      </c>
      <c r="J46" s="128">
        <f>IF(TRIM('HourGH-JAN'!Q19)="","      ",'HourGH-JAN'!Q19)</f>
        <v>0.41</v>
      </c>
      <c r="K46" s="128">
        <f>IF(TRIM('HourGH-JAN'!Q20)="","      ",'HourGH-JAN'!Q20)</f>
        <v>0.41</v>
      </c>
    </row>
    <row r="47" spans="1:12">
      <c r="A47" s="127" t="s">
        <v>189</v>
      </c>
      <c r="B47" s="128">
        <f>IF(TRIM('HourGH-JAN'!Q22)="","      ",'HourGH-JAN'!Q22)</f>
        <v>0.4</v>
      </c>
      <c r="C47" s="128">
        <f>IF(TRIM('HourGH-JAN'!Q23)="","      ",'HourGH-JAN'!Q23)</f>
        <v>0.4</v>
      </c>
      <c r="D47" s="128">
        <f>IF(TRIM('HourGH-JAN'!Q24)="","      ",'HourGH-JAN'!Q24)</f>
        <v>0.39</v>
      </c>
      <c r="E47" s="128">
        <f>IF(TRIM('HourGH-JAN'!Q25)="","      ",'HourGH-JAN'!Q25)</f>
        <v>0.4</v>
      </c>
      <c r="F47" s="118">
        <f>IF(TRIM('HourGH-JAN'!Q26)="","      ",'HourGH-JAN'!Q26)</f>
        <v>0.4</v>
      </c>
      <c r="G47" s="118">
        <f>IF(TRIM('HourGH-JAN'!Q27)="","      ",'HourGH-JAN'!Q27)</f>
        <v>0.4</v>
      </c>
      <c r="H47" s="128">
        <f>IF(TRIM('HourGH-JAN'!Q28)="","      ",'HourGH-JAN'!Q28)</f>
        <v>0.47</v>
      </c>
      <c r="I47" s="128">
        <f>IF(TRIM('HourGH-JAN'!Q29)="","      ",'HourGH-JAN'!Q29)</f>
        <v>0.72</v>
      </c>
      <c r="J47" s="128">
        <f>IF(TRIM('HourGH-JAN'!Q30)="","      ",'HourGH-JAN'!Q30)</f>
        <v>0.73</v>
      </c>
      <c r="K47" s="128">
        <f>IF(TRIM('HourGH-JAN'!Q31)="","      ",'HourGH-JAN'!Q31)</f>
        <v>0.64</v>
      </c>
    </row>
    <row r="48" spans="1:12">
      <c r="A48" s="127" t="s">
        <v>190</v>
      </c>
      <c r="B48" s="128">
        <f>IF(TRIM('HourGH-JAN'!Q33)="","      ",'HourGH-JAN'!Q33)</f>
        <v>0.36</v>
      </c>
      <c r="C48" s="128">
        <f>IF(TRIM('HourGH-JAN'!Q34)="","      ",'HourGH-JAN'!Q34)</f>
        <v>0.36</v>
      </c>
      <c r="D48" s="128">
        <f>IF(TRIM('HourGH-JAN'!Q35)="","      ",'HourGH-JAN'!Q35)</f>
        <v>0.36</v>
      </c>
      <c r="E48" s="128">
        <f>IF(TRIM('HourGH-JAN'!Q36)="","      ",'HourGH-JAN'!Q36)</f>
        <v>0.37</v>
      </c>
      <c r="F48" s="118">
        <f>IF(TRIM('HourGH-JAN'!Q37)="","      ",'HourGH-JAN'!Q37)</f>
        <v>0.73</v>
      </c>
      <c r="G48" s="118">
        <f>IF(TRIM('HourGH-JAN'!Q38)="","      ",'HourGH-JAN'!Q38)</f>
        <v>0.71</v>
      </c>
      <c r="H48" s="128">
        <f>IF(TRIM('HourGH-JAN'!Q39)="","      ",'HourGH-JAN'!Q39)</f>
        <v>0.6</v>
      </c>
      <c r="I48" s="128">
        <f>IF(TRIM('HourGH-JAN'!Q40)="","      ",'HourGH-JAN'!Q40)</f>
        <v>0.33</v>
      </c>
      <c r="J48" s="128">
        <f>IF(TRIM('HourGH-JAN'!Q41)="","      ",'HourGH-JAN'!Q41)</f>
        <v>0.32</v>
      </c>
      <c r="K48" s="128">
        <f>IF(TRIM('HourGH-JAN'!Q42)="","      ",'HourGH-JAN'!Q42)</f>
        <v>0.33</v>
      </c>
      <c r="L48" s="118">
        <f>IF(TRIM('HourGH-JAN'!Q43)="","      ",'HourGH-JAN'!Q43)</f>
        <v>0.41</v>
      </c>
    </row>
    <row r="49" spans="1:20">
      <c r="A49" s="127" t="s">
        <v>191</v>
      </c>
      <c r="B49" s="128">
        <f>IF(TRIM('HourGH-JAN'!R11)="","      ",'HourGH-JAN'!R11)</f>
        <v>0.44</v>
      </c>
      <c r="C49" s="128">
        <f>IF(TRIM('HourGH-JAN'!R12)="","      ",'HourGH-JAN'!R12)</f>
        <v>0.43</v>
      </c>
      <c r="D49" s="128">
        <f>IF(TRIM('HourGH-JAN'!R13)="","      ",'HourGH-JAN'!R13)</f>
        <v>0.43</v>
      </c>
      <c r="E49" s="128">
        <f>IF(TRIM('HourGH-JAN'!R14)="","      ",'HourGH-JAN'!R14)</f>
        <v>0.43</v>
      </c>
      <c r="F49" s="118">
        <f>IF(TRIM('HourGH-JAN'!R15)="","      ",'HourGH-JAN'!R15)</f>
        <v>0.43</v>
      </c>
      <c r="G49" s="118">
        <f>IF(TRIM('HourGH-JAN'!R16)="","      ",'HourGH-JAN'!R16)</f>
        <v>0.41</v>
      </c>
      <c r="H49" s="128">
        <f>IF(TRIM('HourGH-JAN'!R17)="","      ",'HourGH-JAN'!R17)</f>
        <v>0.42</v>
      </c>
      <c r="I49" s="128">
        <f>IF(TRIM('HourGH-JAN'!R18)="","      ",'HourGH-JAN'!R18)</f>
        <v>0.42</v>
      </c>
      <c r="J49" s="128">
        <f>IF(TRIM('HourGH-JAN'!R19)="","      ",'HourGH-JAN'!R19)</f>
        <v>0.41</v>
      </c>
      <c r="K49" s="128">
        <f>IF(TRIM('HourGH-JAN'!R20)="","      ",'HourGH-JAN'!R20)</f>
        <v>0.41</v>
      </c>
    </row>
    <row r="50" spans="1:20">
      <c r="A50" s="127" t="s">
        <v>192</v>
      </c>
      <c r="B50" s="128">
        <f>IF(TRIM('HourGH-JAN'!R22)="","      ",'HourGH-JAN'!R22)</f>
        <v>0.4</v>
      </c>
      <c r="C50" s="128">
        <f>IF(TRIM('HourGH-JAN'!R23)="","      ",'HourGH-JAN'!R23)</f>
        <v>0.4</v>
      </c>
      <c r="D50" s="128">
        <f>IF(TRIM('HourGH-JAN'!R24)="","      ",'HourGH-JAN'!R24)</f>
        <v>0.39</v>
      </c>
      <c r="E50" s="128">
        <f>IF(TRIM('HourGH-JAN'!R25)="","      ",'HourGH-JAN'!R25)</f>
        <v>0.4</v>
      </c>
      <c r="F50" s="118">
        <f>IF(TRIM('HourGH-JAN'!R26)="","      ",'HourGH-JAN'!R26)</f>
        <v>0.4</v>
      </c>
      <c r="G50" s="118">
        <f>IF(TRIM('HourGH-JAN'!R27)="","      ",'HourGH-JAN'!R27)</f>
        <v>0.4</v>
      </c>
      <c r="H50" s="128">
        <f>IF(TRIM('HourGH-JAN'!R28)="","      ",'HourGH-JAN'!R28)</f>
        <v>0.49</v>
      </c>
      <c r="I50" s="128">
        <f>IF(TRIM('HourGH-JAN'!R29)="","      ",'HourGH-JAN'!R29)</f>
        <v>0.72</v>
      </c>
      <c r="J50" s="128">
        <f>IF(TRIM('HourGH-JAN'!R30)="","      ",'HourGH-JAN'!R30)</f>
        <v>0.73</v>
      </c>
      <c r="K50" s="128">
        <f>IF(TRIM('HourGH-JAN'!R31)="","      ",'HourGH-JAN'!R31)</f>
        <v>0.62</v>
      </c>
    </row>
    <row r="51" spans="1:20">
      <c r="A51" s="127" t="s">
        <v>193</v>
      </c>
      <c r="B51" s="128">
        <f>IF(TRIM('HourGH-JAN'!R33)="","      ",'HourGH-JAN'!R33)</f>
        <v>0.36</v>
      </c>
      <c r="C51" s="128">
        <f>IF(TRIM('HourGH-JAN'!R34)="","      ",'HourGH-JAN'!R34)</f>
        <v>0.36</v>
      </c>
      <c r="D51" s="128">
        <f>IF(TRIM('HourGH-JAN'!R35)="","      ",'HourGH-JAN'!R35)</f>
        <v>0.36</v>
      </c>
      <c r="E51" s="128">
        <f>IF(TRIM('HourGH-JAN'!R36)="","      ",'HourGH-JAN'!R36)</f>
        <v>0.38</v>
      </c>
      <c r="F51" s="118">
        <f>IF(TRIM('HourGH-JAN'!R37)="","      ",'HourGH-JAN'!R37)</f>
        <v>0.73</v>
      </c>
      <c r="G51" s="118">
        <f>IF(TRIM('HourGH-JAN'!R38)="","      ",'HourGH-JAN'!R38)</f>
        <v>0.71</v>
      </c>
      <c r="H51" s="128">
        <f>IF(TRIM('HourGH-JAN'!R39)="","      ",'HourGH-JAN'!R39)</f>
        <v>0.57999999999999996</v>
      </c>
      <c r="I51" s="128">
        <f>IF(TRIM('HourGH-JAN'!R40)="","      ",'HourGH-JAN'!R40)</f>
        <v>0.33</v>
      </c>
      <c r="J51" s="128">
        <f>IF(TRIM('HourGH-JAN'!R41)="","      ",'HourGH-JAN'!R41)</f>
        <v>0.32</v>
      </c>
      <c r="K51" s="128">
        <f>IF(TRIM('HourGH-JAN'!R42)="","      ",'HourGH-JAN'!R42)</f>
        <v>0.33</v>
      </c>
      <c r="L51" s="118">
        <f>IF(TRIM('HourGH-JAN'!R43)="","      ",'HourGH-JAN'!R43)</f>
        <v>0.42</v>
      </c>
    </row>
    <row r="52" spans="1:20">
      <c r="A52" s="127" t="s">
        <v>194</v>
      </c>
      <c r="B52" s="128">
        <f>IF(TRIM('HourGH-JAN'!S11)="","      ",'HourGH-JAN'!S11)</f>
        <v>0.44</v>
      </c>
      <c r="C52" s="128">
        <f>IF(TRIM('HourGH-JAN'!S12)="","      ",'HourGH-JAN'!S12)</f>
        <v>0.43</v>
      </c>
      <c r="D52" s="128">
        <f>IF(TRIM('HourGH-JAN'!S13)="","      ",'HourGH-JAN'!S13)</f>
        <v>0.43</v>
      </c>
      <c r="E52" s="128">
        <f>IF(TRIM('HourGH-JAN'!S14)="","      ",'HourGH-JAN'!S14)</f>
        <v>0.43</v>
      </c>
      <c r="F52" s="118">
        <f>IF(TRIM('HourGH-JAN'!S15)="","      ",'HourGH-JAN'!S15)</f>
        <v>0.43</v>
      </c>
      <c r="G52" s="118">
        <f>IF(TRIM('HourGH-JAN'!S16)="","      ",'HourGH-JAN'!S16)</f>
        <v>0.41</v>
      </c>
      <c r="H52" s="128">
        <f>IF(TRIM('HourGH-JAN'!S17)="","      ",'HourGH-JAN'!S17)</f>
        <v>0.42</v>
      </c>
      <c r="I52" s="128">
        <f>IF(TRIM('HourGH-JAN'!S18)="","      ",'HourGH-JAN'!S18)</f>
        <v>0.42</v>
      </c>
      <c r="J52" s="128">
        <f>IF(TRIM('HourGH-JAN'!S19)="","      ",'HourGH-JAN'!S19)</f>
        <v>0.41</v>
      </c>
      <c r="K52" s="128">
        <f>IF(TRIM('HourGH-JAN'!S20)="","      ",'HourGH-JAN'!S20)</f>
        <v>0.41</v>
      </c>
    </row>
    <row r="53" spans="1:20">
      <c r="A53" s="127" t="s">
        <v>195</v>
      </c>
      <c r="B53" s="128">
        <f>IF(TRIM('HourGH-JAN'!S22)="","      ",'HourGH-JAN'!S22)</f>
        <v>0.4</v>
      </c>
      <c r="C53" s="128">
        <f>IF(TRIM('HourGH-JAN'!S23)="","      ",'HourGH-JAN'!S23)</f>
        <v>0.4</v>
      </c>
      <c r="D53" s="128">
        <f>IF(TRIM('HourGH-JAN'!S24)="","      ",'HourGH-JAN'!S24)</f>
        <v>0.39</v>
      </c>
      <c r="E53" s="128">
        <f>IF(TRIM('HourGH-JAN'!S25)="","      ",'HourGH-JAN'!S25)</f>
        <v>0.4</v>
      </c>
      <c r="F53" s="118">
        <f>IF(TRIM('HourGH-JAN'!S26)="","      ",'HourGH-JAN'!S26)</f>
        <v>0.4</v>
      </c>
      <c r="G53" s="118">
        <f>IF(TRIM('HourGH-JAN'!S27)="","      ",'HourGH-JAN'!S27)</f>
        <v>0.4</v>
      </c>
      <c r="H53" s="128">
        <f>IF(TRIM('HourGH-JAN'!S28)="","      ",'HourGH-JAN'!S28)</f>
        <v>0.51</v>
      </c>
      <c r="I53" s="128">
        <f>IF(TRIM('HourGH-JAN'!S29)="","      ",'HourGH-JAN'!S29)</f>
        <v>0.72</v>
      </c>
      <c r="J53" s="128">
        <f>IF(TRIM('HourGH-JAN'!S30)="","      ",'HourGH-JAN'!S30)</f>
        <v>0.73</v>
      </c>
      <c r="K53" s="128">
        <f>IF(TRIM('HourGH-JAN'!S31)="","      ",'HourGH-JAN'!S31)</f>
        <v>0.59</v>
      </c>
    </row>
    <row r="54" spans="1:20">
      <c r="A54" s="127" t="s">
        <v>196</v>
      </c>
      <c r="B54" s="128">
        <f>IF(TRIM('HourGH-JAN'!S33)="","      ",'HourGH-JAN'!S33)</f>
        <v>0.36</v>
      </c>
      <c r="C54" s="128">
        <f>IF(TRIM('HourGH-JAN'!S34)="","      ",'HourGH-JAN'!S34)</f>
        <v>0.36</v>
      </c>
      <c r="D54" s="128">
        <f>IF(TRIM('HourGH-JAN'!S35)="","      ",'HourGH-JAN'!S35)</f>
        <v>0.36</v>
      </c>
      <c r="E54" s="128">
        <f>IF(TRIM('HourGH-JAN'!S36)="","      ",'HourGH-JAN'!S36)</f>
        <v>0.39</v>
      </c>
      <c r="F54" s="118">
        <f>IF(TRIM('HourGH-JAN'!S37)="","      ",'HourGH-JAN'!S37)</f>
        <v>0.73</v>
      </c>
      <c r="G54" s="118">
        <f>IF(TRIM('HourGH-JAN'!S38)="","      ",'HourGH-JAN'!S38)</f>
        <v>0.71</v>
      </c>
      <c r="H54" s="128">
        <f>IF(TRIM('HourGH-JAN'!S39)="","      ",'HourGH-JAN'!S39)</f>
        <v>0.55000000000000004</v>
      </c>
      <c r="I54" s="128">
        <f>IF(TRIM('HourGH-JAN'!S40)="","      ",'HourGH-JAN'!S40)</f>
        <v>0.33</v>
      </c>
      <c r="J54" s="128">
        <f>IF(TRIM('HourGH-JAN'!S41)="","      ",'HourGH-JAN'!S41)</f>
        <v>0.32</v>
      </c>
      <c r="K54" s="128">
        <f>IF(TRIM('HourGH-JAN'!S42)="","      ",'HourGH-JAN'!S42)</f>
        <v>0.33</v>
      </c>
      <c r="L54" s="118">
        <f>IF(TRIM('HourGH-JAN'!S43)="","      ",'HourGH-JAN'!S43)</f>
        <v>0.44</v>
      </c>
    </row>
    <row r="55" spans="1:20">
      <c r="A55" s="127" t="s">
        <v>197</v>
      </c>
      <c r="B55" s="128">
        <f>IF(TRIM('HourGH-JAN'!T11)="","      ",'HourGH-JAN'!T11)</f>
        <v>0.44</v>
      </c>
      <c r="C55" s="128">
        <f>IF(TRIM('HourGH-JAN'!T12)="","      ",'HourGH-JAN'!T12)</f>
        <v>0.43</v>
      </c>
      <c r="D55" s="128">
        <f>IF(TRIM('HourGH-JAN'!T13)="","      ",'HourGH-JAN'!T13)</f>
        <v>0.43</v>
      </c>
      <c r="E55" s="128">
        <f>IF(TRIM('HourGH-JAN'!T14)="","      ",'HourGH-JAN'!T14)</f>
        <v>0.43</v>
      </c>
      <c r="F55" s="118">
        <f>IF(TRIM('HourGH-JAN'!T15)="","      ",'HourGH-JAN'!T15)</f>
        <v>0.43</v>
      </c>
      <c r="G55" s="118">
        <f>IF(TRIM('HourGH-JAN'!T16)="","      ",'HourGH-JAN'!T16)</f>
        <v>0.41</v>
      </c>
      <c r="H55" s="128">
        <f>IF(TRIM('HourGH-JAN'!T17)="","      ",'HourGH-JAN'!T17)</f>
        <v>0.42</v>
      </c>
      <c r="I55" s="128">
        <f>IF(TRIM('HourGH-JAN'!T18)="","      ",'HourGH-JAN'!T18)</f>
        <v>0.42</v>
      </c>
      <c r="J55" s="128">
        <f>IF(TRIM('HourGH-JAN'!T19)="","      ",'HourGH-JAN'!T19)</f>
        <v>0.41</v>
      </c>
      <c r="K55" s="128">
        <f>IF(TRIM('HourGH-JAN'!T20)="","      ",'HourGH-JAN'!T20)</f>
        <v>0.41</v>
      </c>
    </row>
    <row r="56" spans="1:20">
      <c r="A56" s="127" t="s">
        <v>198</v>
      </c>
      <c r="B56" s="128">
        <f>IF(TRIM('HourGH-JAN'!T22)="","      ",'HourGH-JAN'!T22)</f>
        <v>0.4</v>
      </c>
      <c r="C56" s="128">
        <f>IF(TRIM('HourGH-JAN'!T23)="","      ",'HourGH-JAN'!T23)</f>
        <v>0.4</v>
      </c>
      <c r="D56" s="128">
        <f>IF(TRIM('HourGH-JAN'!T24)="","      ",'HourGH-JAN'!T24)</f>
        <v>0.39</v>
      </c>
      <c r="E56" s="128">
        <f>IF(TRIM('HourGH-JAN'!T25)="","      ",'HourGH-JAN'!T25)</f>
        <v>0.4</v>
      </c>
      <c r="F56" s="118">
        <f>IF(TRIM('HourGH-JAN'!T26)="","      ",'HourGH-JAN'!T26)</f>
        <v>0.4</v>
      </c>
      <c r="G56" s="118">
        <f>IF(TRIM('HourGH-JAN'!T27)="","      ",'HourGH-JAN'!T27)</f>
        <v>0.4</v>
      </c>
      <c r="H56" s="128">
        <f>IF(TRIM('HourGH-JAN'!T28)="","      ",'HourGH-JAN'!T28)</f>
        <v>0.53</v>
      </c>
      <c r="I56" s="128">
        <f>IF(TRIM('HourGH-JAN'!T29)="","      ",'HourGH-JAN'!T29)</f>
        <v>0.72</v>
      </c>
      <c r="J56" s="128">
        <f>IF(TRIM('HourGH-JAN'!T30)="","      ",'HourGH-JAN'!T30)</f>
        <v>0.73</v>
      </c>
      <c r="K56" s="128">
        <f>IF(TRIM('HourGH-JAN'!T31)="","      ",'HourGH-JAN'!T31)</f>
        <v>0.56999999999999995</v>
      </c>
      <c r="N56" s="117">
        <f>B79</f>
        <v>338.04</v>
      </c>
      <c r="O56">
        <v>1</v>
      </c>
      <c r="P56" s="117" t="str">
        <f>B82</f>
        <v>1:00</v>
      </c>
      <c r="R56" s="117">
        <f>B85</f>
        <v>338.04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IF(TRIM('HourGH-JAN'!T33)="","      ",'HourGH-JAN'!T33)</f>
        <v>0.36</v>
      </c>
      <c r="C57" s="128">
        <f>IF(TRIM('HourGH-JAN'!T34)="","      ",'HourGH-JAN'!T34)</f>
        <v>0.36</v>
      </c>
      <c r="D57" s="128">
        <f>IF(TRIM('HourGH-JAN'!T35)="","      ",'HourGH-JAN'!T35)</f>
        <v>0.36</v>
      </c>
      <c r="E57" s="128">
        <f>IF(TRIM('HourGH-JAN'!T36)="","      ",'HourGH-JAN'!T36)</f>
        <v>0.4</v>
      </c>
      <c r="F57" s="118">
        <f>IF(TRIM('HourGH-JAN'!T37)="","      ",'HourGH-JAN'!T37)</f>
        <v>0.73</v>
      </c>
      <c r="G57" s="118">
        <f>IF(TRIM('HourGH-JAN'!T38)="","      ",'HourGH-JAN'!T38)</f>
        <v>0.71</v>
      </c>
      <c r="H57" s="128">
        <f>IF(TRIM('HourGH-JAN'!T39)="","      ",'HourGH-JAN'!T39)</f>
        <v>0.52</v>
      </c>
      <c r="I57" s="128">
        <f>IF(TRIM('HourGH-JAN'!T40)="","      ",'HourGH-JAN'!T40)</f>
        <v>0.33</v>
      </c>
      <c r="J57" s="128">
        <f>IF(TRIM('HourGH-JAN'!T41)="","      ",'HourGH-JAN'!T41)</f>
        <v>0.32</v>
      </c>
      <c r="K57" s="128">
        <f>IF(TRIM('HourGH-JAN'!T42)="","      ",'HourGH-JAN'!T42)</f>
        <v>0.33</v>
      </c>
      <c r="L57" s="118">
        <f>IF(TRIM('HourGH-JAN'!T43)="","      ",'HourGH-JAN'!T43)</f>
        <v>0.46</v>
      </c>
      <c r="N57" s="117">
        <f>C79</f>
        <v>338.03000000000003</v>
      </c>
      <c r="O57">
        <v>2</v>
      </c>
      <c r="P57" s="117" t="str">
        <f>C82</f>
        <v>1:00</v>
      </c>
      <c r="R57" s="117">
        <f>C85</f>
        <v>338.03000000000003</v>
      </c>
      <c r="S57">
        <v>2</v>
      </c>
      <c r="T57" s="117" t="str">
        <f>C88</f>
        <v>1:00</v>
      </c>
    </row>
    <row r="58" spans="1:20">
      <c r="A58" s="127" t="s">
        <v>200</v>
      </c>
      <c r="B58" s="128">
        <f>IF(TRIM('HourGH-JAN'!U11)="","      ",'HourGH-JAN'!U11)</f>
        <v>0.44</v>
      </c>
      <c r="C58" s="128">
        <f>IF(TRIM('HourGH-JAN'!U12)="","      ",'HourGH-JAN'!U12)</f>
        <v>0.43</v>
      </c>
      <c r="D58" s="128">
        <f>IF(TRIM('HourGH-JAN'!U13)="","      ",'HourGH-JAN'!U13)</f>
        <v>0.43</v>
      </c>
      <c r="E58" s="128">
        <f>IF(TRIM('HourGH-JAN'!U14)="","      ",'HourGH-JAN'!U14)</f>
        <v>0.43</v>
      </c>
      <c r="F58" s="118">
        <f>IF(TRIM('HourGH-JAN'!U15)="","      ",'HourGH-JAN'!U15)</f>
        <v>0.43</v>
      </c>
      <c r="G58" s="118">
        <f>IF(TRIM('HourGH-JAN'!U16)="","      ",'HourGH-JAN'!U16)</f>
        <v>0.41</v>
      </c>
      <c r="H58" s="128">
        <f>IF(TRIM('HourGH-JAN'!U17)="","      ",'HourGH-JAN'!U17)</f>
        <v>0.42</v>
      </c>
      <c r="I58" s="128">
        <f>IF(TRIM('HourGH-JAN'!U18)="","      ",'HourGH-JAN'!U18)</f>
        <v>0.42</v>
      </c>
      <c r="J58" s="128">
        <f>IF(TRIM('HourGH-JAN'!U19)="","      ",'HourGH-JAN'!U19)</f>
        <v>0.41</v>
      </c>
      <c r="K58" s="128">
        <f>IF(TRIM('HourGH-JAN'!U20)="","      ",'HourGH-JAN'!U20)</f>
        <v>0.41</v>
      </c>
      <c r="N58" s="117">
        <f>D79</f>
        <v>338.03000000000003</v>
      </c>
      <c r="O58">
        <v>3</v>
      </c>
      <c r="P58" s="117" t="str">
        <f>D82</f>
        <v>1:00</v>
      </c>
      <c r="R58" s="117">
        <f>D85</f>
        <v>338.03000000000003</v>
      </c>
      <c r="S58">
        <v>3</v>
      </c>
      <c r="T58" s="117" t="str">
        <f>D88</f>
        <v>1:00</v>
      </c>
    </row>
    <row r="59" spans="1:20">
      <c r="A59" s="127" t="s">
        <v>201</v>
      </c>
      <c r="B59" s="128">
        <f>IF(TRIM('HourGH-JAN'!U22)="","      ",'HourGH-JAN'!U22)</f>
        <v>0.4</v>
      </c>
      <c r="C59" s="128">
        <f>IF(TRIM('HourGH-JAN'!U23)="","      ",'HourGH-JAN'!U23)</f>
        <v>0.4</v>
      </c>
      <c r="D59" s="128">
        <f>IF(TRIM('HourGH-JAN'!U24)="","      ",'HourGH-JAN'!U24)</f>
        <v>0.39</v>
      </c>
      <c r="E59" s="128">
        <f>IF(TRIM('HourGH-JAN'!U25)="","      ",'HourGH-JAN'!U25)</f>
        <v>0.4</v>
      </c>
      <c r="F59" s="118">
        <f>IF(TRIM('HourGH-JAN'!U26)="","      ",'HourGH-JAN'!U26)</f>
        <v>0.4</v>
      </c>
      <c r="G59" s="118">
        <f>IF(TRIM('HourGH-JAN'!U27)="","      ",'HourGH-JAN'!U27)</f>
        <v>0.4</v>
      </c>
      <c r="H59" s="128">
        <f>IF(TRIM('HourGH-JAN'!U28)="","      ",'HourGH-JAN'!U28)</f>
        <v>0.55000000000000004</v>
      </c>
      <c r="I59" s="128">
        <f>IF(TRIM('HourGH-JAN'!U29)="","      ",'HourGH-JAN'!U29)</f>
        <v>0.72</v>
      </c>
      <c r="J59" s="128">
        <f>IF(TRIM('HourGH-JAN'!U30)="","      ",'HourGH-JAN'!U30)</f>
        <v>0.74</v>
      </c>
      <c r="K59" s="128">
        <f>IF(TRIM('HourGH-JAN'!U31)="","      ",'HourGH-JAN'!U31)</f>
        <v>0.54</v>
      </c>
      <c r="N59" s="117">
        <f>E79</f>
        <v>338.03000000000003</v>
      </c>
      <c r="O59">
        <v>4</v>
      </c>
      <c r="P59" s="117" t="str">
        <f>E82</f>
        <v>1:00</v>
      </c>
      <c r="R59" s="117">
        <f>E85</f>
        <v>338.03000000000003</v>
      </c>
      <c r="S59">
        <v>4</v>
      </c>
      <c r="T59" s="117" t="str">
        <f>E88</f>
        <v>1:00</v>
      </c>
    </row>
    <row r="60" spans="1:20">
      <c r="A60" s="127" t="s">
        <v>202</v>
      </c>
      <c r="B60" s="128">
        <f>IF(TRIM('HourGH-JAN'!U33)="","      ",'HourGH-JAN'!U33)</f>
        <v>0.36</v>
      </c>
      <c r="C60" s="128">
        <f>IF(TRIM('HourGH-JAN'!U34)="","      ",'HourGH-JAN'!U34)</f>
        <v>0.36</v>
      </c>
      <c r="D60" s="128">
        <f>IF(TRIM('HourGH-JAN'!U35)="","      ",'HourGH-JAN'!U35)</f>
        <v>0.36</v>
      </c>
      <c r="E60" s="128">
        <f>IF(TRIM('HourGH-JAN'!U36)="","      ",'HourGH-JAN'!U36)</f>
        <v>0.42</v>
      </c>
      <c r="F60" s="118">
        <f>IF(TRIM('HourGH-JAN'!U37)="","      ",'HourGH-JAN'!U37)</f>
        <v>0.73</v>
      </c>
      <c r="G60" s="118">
        <f>IF(TRIM('HourGH-JAN'!U38)="","      ",'HourGH-JAN'!U38)</f>
        <v>0.71</v>
      </c>
      <c r="H60" s="128">
        <f>IF(TRIM('HourGH-JAN'!U39)="","      ",'HourGH-JAN'!U39)</f>
        <v>0.5</v>
      </c>
      <c r="I60" s="128">
        <f>IF(TRIM('HourGH-JAN'!U40)="","      ",'HourGH-JAN'!U40)</f>
        <v>0.33</v>
      </c>
      <c r="J60" s="128">
        <f>IF(TRIM('HourGH-JAN'!U41)="","      ",'HourGH-JAN'!U41)</f>
        <v>0.32</v>
      </c>
      <c r="K60" s="128">
        <f>IF(TRIM('HourGH-JAN'!U42)="","      ",'HourGH-JAN'!U42)</f>
        <v>0.33</v>
      </c>
      <c r="L60" s="118">
        <f>IF(TRIM('HourGH-JAN'!U43)="","      ",'HourGH-JAN'!U43)</f>
        <v>0.48</v>
      </c>
      <c r="N60" s="117">
        <f>F79</f>
        <v>338.03000000000003</v>
      </c>
      <c r="O60">
        <v>5</v>
      </c>
      <c r="P60" s="117" t="str">
        <f>F82</f>
        <v>1:00</v>
      </c>
      <c r="R60" s="117">
        <f>F85</f>
        <v>338.03000000000003</v>
      </c>
      <c r="S60">
        <v>5</v>
      </c>
      <c r="T60" s="117" t="str">
        <f>F88</f>
        <v>1:00</v>
      </c>
    </row>
    <row r="61" spans="1:20">
      <c r="A61" s="127" t="s">
        <v>203</v>
      </c>
      <c r="B61" s="128">
        <f>IF(TRIM('HourGH-JAN'!V11)="","      ",'HourGH-JAN'!V11)</f>
        <v>0.44</v>
      </c>
      <c r="C61" s="128">
        <f>IF(TRIM('HourGH-JAN'!V12)="","      ",'HourGH-JAN'!V12)</f>
        <v>0.43</v>
      </c>
      <c r="D61" s="128">
        <f>IF(TRIM('HourGH-JAN'!V13)="","      ",'HourGH-JAN'!V13)</f>
        <v>0.43</v>
      </c>
      <c r="E61" s="128">
        <f>IF(TRIM('HourGH-JAN'!V14)="","      ",'HourGH-JAN'!V14)</f>
        <v>0.43</v>
      </c>
      <c r="F61" s="118">
        <f>IF(TRIM('HourGH-JAN'!V15)="","      ",'HourGH-JAN'!V15)</f>
        <v>0.43</v>
      </c>
      <c r="G61" s="118">
        <f>IF(TRIM('HourGH-JAN'!V16)="","      ",'HourGH-JAN'!V16)</f>
        <v>0.41</v>
      </c>
      <c r="H61" s="128">
        <f>IF(TRIM('HourGH-JAN'!V17)="","      ",'HourGH-JAN'!V17)</f>
        <v>0.42</v>
      </c>
      <c r="I61" s="128">
        <f>IF(TRIM('HourGH-JAN'!V18)="","      ",'HourGH-JAN'!V18)</f>
        <v>0.42</v>
      </c>
      <c r="J61" s="128">
        <f>IF(TRIM('HourGH-JAN'!V19)="","      ",'HourGH-JAN'!V19)</f>
        <v>0.41</v>
      </c>
      <c r="K61" s="128">
        <f>IF(TRIM('HourGH-JAN'!V20)="","      ",'HourGH-JAN'!V20)</f>
        <v>0.41</v>
      </c>
      <c r="N61" s="117">
        <f>G79</f>
        <v>338.02000000000004</v>
      </c>
      <c r="O61">
        <v>6</v>
      </c>
      <c r="P61" s="117" t="str">
        <f>G82</f>
        <v>1:00</v>
      </c>
      <c r="R61" s="117">
        <f>G85</f>
        <v>338.01000000000005</v>
      </c>
      <c r="S61">
        <v>6</v>
      </c>
      <c r="T61" s="117" t="str">
        <f>G88</f>
        <v>7:00</v>
      </c>
    </row>
    <row r="62" spans="1:20">
      <c r="A62" s="127" t="s">
        <v>204</v>
      </c>
      <c r="B62" s="128">
        <f>IF(TRIM('HourGH-JAN'!V22)="","      ",'HourGH-JAN'!V22)</f>
        <v>0.4</v>
      </c>
      <c r="C62" s="128">
        <f>IF(TRIM('HourGH-JAN'!V23)="","      ",'HourGH-JAN'!V23)</f>
        <v>0.4</v>
      </c>
      <c r="D62" s="128">
        <f>IF(TRIM('HourGH-JAN'!V24)="","      ",'HourGH-JAN'!V24)</f>
        <v>0.39</v>
      </c>
      <c r="E62" s="128">
        <f>IF(TRIM('HourGH-JAN'!V25)="","      ",'HourGH-JAN'!V25)</f>
        <v>0.4</v>
      </c>
      <c r="F62" s="118">
        <f>IF(TRIM('HourGH-JAN'!V26)="","      ",'HourGH-JAN'!V26)</f>
        <v>0.4</v>
      </c>
      <c r="G62" s="118">
        <f>IF(TRIM('HourGH-JAN'!V27)="","      ",'HourGH-JAN'!V27)</f>
        <v>0.4</v>
      </c>
      <c r="H62" s="128">
        <f>IF(TRIM('HourGH-JAN'!V28)="","      ",'HourGH-JAN'!V28)</f>
        <v>0.56999999999999995</v>
      </c>
      <c r="I62" s="128">
        <f>IF(TRIM('HourGH-JAN'!V29)="","      ",'HourGH-JAN'!V29)</f>
        <v>0.72</v>
      </c>
      <c r="J62" s="128">
        <f>IF(TRIM('HourGH-JAN'!V30)="","      ",'HourGH-JAN'!V30)</f>
        <v>0.74</v>
      </c>
      <c r="K62" s="128">
        <f>IF(TRIM('HourGH-JAN'!V31)="","      ",'HourGH-JAN'!V31)</f>
        <v>0.51</v>
      </c>
      <c r="N62" s="117">
        <f>H79</f>
        <v>338.02000000000004</v>
      </c>
      <c r="O62">
        <v>7</v>
      </c>
      <c r="P62" s="117" t="str">
        <f>H82</f>
        <v>1:00</v>
      </c>
      <c r="R62" s="117">
        <f>H85</f>
        <v>338.02000000000004</v>
      </c>
      <c r="S62">
        <v>7</v>
      </c>
      <c r="T62" s="117" t="str">
        <f>H88</f>
        <v>1:00</v>
      </c>
    </row>
    <row r="63" spans="1:20">
      <c r="A63" s="127" t="s">
        <v>205</v>
      </c>
      <c r="B63" s="128">
        <f>IF(TRIM('HourGH-JAN'!V33)="","      ",'HourGH-JAN'!V33)</f>
        <v>0.36</v>
      </c>
      <c r="C63" s="128">
        <f>IF(TRIM('HourGH-JAN'!V34)="","      ",'HourGH-JAN'!V34)</f>
        <v>0.36</v>
      </c>
      <c r="D63" s="128">
        <f>IF(TRIM('HourGH-JAN'!V35)="","      ",'HourGH-JAN'!V35)</f>
        <v>0.36</v>
      </c>
      <c r="E63" s="128">
        <f>IF(TRIM('HourGH-JAN'!V36)="","      ",'HourGH-JAN'!V36)</f>
        <v>0.44</v>
      </c>
      <c r="F63" s="118">
        <f>IF(TRIM('HourGH-JAN'!V37)="","      ",'HourGH-JAN'!V37)</f>
        <v>0.73</v>
      </c>
      <c r="G63" s="118">
        <f>IF(TRIM('HourGH-JAN'!V38)="","      ",'HourGH-JAN'!V38)</f>
        <v>0.71</v>
      </c>
      <c r="H63" s="128">
        <f>IF(TRIM('HourGH-JAN'!V39)="","      ",'HourGH-JAN'!V39)</f>
        <v>0.48</v>
      </c>
      <c r="I63" s="128">
        <f>IF(TRIM('HourGH-JAN'!V40)="","      ",'HourGH-JAN'!V40)</f>
        <v>0.33</v>
      </c>
      <c r="J63" s="128">
        <f>IF(TRIM('HourGH-JAN'!V41)="","      ",'HourGH-JAN'!V41)</f>
        <v>0.32</v>
      </c>
      <c r="K63" s="128">
        <f>IF(TRIM('HourGH-JAN'!V42)="","      ",'HourGH-JAN'!V42)</f>
        <v>0.33</v>
      </c>
      <c r="L63" s="118">
        <f>IF(TRIM('HourGH-JAN'!V43)="","      ",'HourGH-JAN'!V43)</f>
        <v>0.5</v>
      </c>
      <c r="N63" s="117">
        <f>I79</f>
        <v>338.02000000000004</v>
      </c>
      <c r="O63">
        <v>8</v>
      </c>
      <c r="P63" s="117" t="str">
        <f>I82</f>
        <v>1:00</v>
      </c>
      <c r="R63" s="117">
        <f>I85</f>
        <v>338.02000000000004</v>
      </c>
      <c r="S63">
        <v>8</v>
      </c>
      <c r="T63" s="117" t="str">
        <f>I88</f>
        <v>1:00</v>
      </c>
    </row>
    <row r="64" spans="1:20">
      <c r="A64" s="127" t="s">
        <v>206</v>
      </c>
      <c r="B64" s="128">
        <f>IF(TRIM('HourGH-JAN'!W11)="","      ",'HourGH-JAN'!W11)</f>
        <v>0.44</v>
      </c>
      <c r="C64" s="128">
        <f>IF(TRIM('HourGH-JAN'!W12)="","      ",'HourGH-JAN'!W12)</f>
        <v>0.43</v>
      </c>
      <c r="D64" s="128">
        <f>IF(TRIM('HourGH-JAN'!W13)="","      ",'HourGH-JAN'!W13)</f>
        <v>0.43</v>
      </c>
      <c r="E64" s="128">
        <f>IF(TRIM('HourGH-JAN'!W14)="","      ",'HourGH-JAN'!W14)</f>
        <v>0.43</v>
      </c>
      <c r="F64" s="118">
        <f>IF(TRIM('HourGH-JAN'!W15)="","      ",'HourGH-JAN'!W15)</f>
        <v>0.43</v>
      </c>
      <c r="G64" s="118">
        <f>IF(TRIM('HourGH-JAN'!W16)="","      ",'HourGH-JAN'!W16)</f>
        <v>0.41</v>
      </c>
      <c r="H64" s="128">
        <f>IF(TRIM('HourGH-JAN'!W17)="","      ",'HourGH-JAN'!W17)</f>
        <v>0.42</v>
      </c>
      <c r="I64" s="128">
        <f>IF(TRIM('HourGH-JAN'!W18)="","      ",'HourGH-JAN'!W18)</f>
        <v>0.42</v>
      </c>
      <c r="J64" s="128">
        <f>IF(TRIM('HourGH-JAN'!W19)="","      ",'HourGH-JAN'!W19)</f>
        <v>0.41</v>
      </c>
      <c r="K64" s="128">
        <f>IF(TRIM('HourGH-JAN'!W20)="","      ",'HourGH-JAN'!W20)</f>
        <v>0.41</v>
      </c>
      <c r="N64" s="117">
        <f>J79</f>
        <v>338.01000000000005</v>
      </c>
      <c r="O64">
        <v>9</v>
      </c>
      <c r="P64" s="117" t="str">
        <f>J82</f>
        <v>1:00</v>
      </c>
      <c r="R64" s="117">
        <f>J85</f>
        <v>338.01000000000005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IF(TRIM('HourGH-JAN'!W22)="","      ",'HourGH-JAN'!W22)</f>
        <v>0.4</v>
      </c>
      <c r="C65" s="128">
        <f>IF(TRIM('HourGH-JAN'!W23)="","      ",'HourGH-JAN'!W23)</f>
        <v>0.4</v>
      </c>
      <c r="D65" s="128">
        <f>IF(TRIM('HourGH-JAN'!W24)="","      ",'HourGH-JAN'!W24)</f>
        <v>0.39</v>
      </c>
      <c r="E65" s="128">
        <f>IF(TRIM('HourGH-JAN'!W25)="","      ",'HourGH-JAN'!W25)</f>
        <v>0.4</v>
      </c>
      <c r="F65" s="118">
        <f>IF(TRIM('HourGH-JAN'!W26)="","      ",'HourGH-JAN'!W26)</f>
        <v>0.4</v>
      </c>
      <c r="G65" s="118">
        <f>IF(TRIM('HourGH-JAN'!W27)="","      ",'HourGH-JAN'!W27)</f>
        <v>0.4</v>
      </c>
      <c r="H65" s="128">
        <f>IF(TRIM('HourGH-JAN'!W28)="","      ",'HourGH-JAN'!W28)</f>
        <v>0.59</v>
      </c>
      <c r="I65" s="128">
        <f>IF(TRIM('HourGH-JAN'!W29)="","      ",'HourGH-JAN'!W29)</f>
        <v>0.72</v>
      </c>
      <c r="J65" s="128">
        <f>IF(TRIM('HourGH-JAN'!W30)="","      ",'HourGH-JAN'!W30)</f>
        <v>0.74</v>
      </c>
      <c r="K65" s="128">
        <f>IF(TRIM('HourGH-JAN'!W31)="","      ",'HourGH-JAN'!W31)</f>
        <v>0.49</v>
      </c>
      <c r="N65" s="117">
        <f>K79</f>
        <v>338.01000000000005</v>
      </c>
      <c r="O65">
        <v>10</v>
      </c>
      <c r="P65" s="117" t="str">
        <f>K82</f>
        <v>1:00</v>
      </c>
      <c r="R65" s="117">
        <f>K85</f>
        <v>338.01000000000005</v>
      </c>
      <c r="S65">
        <v>10</v>
      </c>
      <c r="T65" s="117" t="str">
        <f>K88</f>
        <v>1:00</v>
      </c>
    </row>
    <row r="66" spans="1:20">
      <c r="A66" s="127" t="s">
        <v>208</v>
      </c>
      <c r="B66" s="128">
        <f>IF(TRIM('HourGH-JAN'!W33)="","      ",'HourGH-JAN'!W33)</f>
        <v>0.36</v>
      </c>
      <c r="C66" s="128">
        <f>IF(TRIM('HourGH-JAN'!W34)="","      ",'HourGH-JAN'!W34)</f>
        <v>0.36</v>
      </c>
      <c r="D66" s="128">
        <f>IF(TRIM('HourGH-JAN'!W35)="","      ",'HourGH-JAN'!W35)</f>
        <v>0.36</v>
      </c>
      <c r="E66" s="128">
        <f>IF(TRIM('HourGH-JAN'!W36)="","      ",'HourGH-JAN'!W36)</f>
        <v>0.46</v>
      </c>
      <c r="F66" s="118">
        <f>IF(TRIM('HourGH-JAN'!W37)="","      ",'HourGH-JAN'!W37)</f>
        <v>0.73</v>
      </c>
      <c r="G66" s="118">
        <f>IF(TRIM('HourGH-JAN'!W38)="","      ",'HourGH-JAN'!W38)</f>
        <v>0.71</v>
      </c>
      <c r="H66" s="128">
        <f>IF(TRIM('HourGH-JAN'!W39)="","      ",'HourGH-JAN'!W39)</f>
        <v>0.46</v>
      </c>
      <c r="I66" s="128">
        <f>IF(TRIM('HourGH-JAN'!W40)="","      ",'HourGH-JAN'!W40)</f>
        <v>0.33</v>
      </c>
      <c r="J66" s="128">
        <f>IF(TRIM('HourGH-JAN'!W41)="","      ",'HourGH-JAN'!W41)</f>
        <v>0.32</v>
      </c>
      <c r="K66" s="128">
        <f>IF(TRIM('HourGH-JAN'!W42)="","      ",'HourGH-JAN'!W42)</f>
        <v>0.33</v>
      </c>
      <c r="L66" s="118">
        <f>IF(TRIM('HourGH-JAN'!W43)="","      ",'HourGH-JAN'!W43)</f>
        <v>0.52</v>
      </c>
      <c r="N66" s="117">
        <f>B80</f>
        <v>338</v>
      </c>
      <c r="O66">
        <v>11</v>
      </c>
      <c r="P66" s="117" t="str">
        <f>B83</f>
        <v>1:00</v>
      </c>
      <c r="R66" s="117">
        <f>B86</f>
        <v>338</v>
      </c>
      <c r="S66">
        <v>11</v>
      </c>
      <c r="T66" s="117" t="str">
        <f>B89</f>
        <v>1:00</v>
      </c>
    </row>
    <row r="67" spans="1:20">
      <c r="A67" s="127" t="s">
        <v>209</v>
      </c>
      <c r="B67" s="128">
        <f>IF(TRIM('HourGH-JAN'!X11)="","      ",'HourGH-JAN'!X11)</f>
        <v>0.44</v>
      </c>
      <c r="C67" s="128">
        <f>IF(TRIM('HourGH-JAN'!X12)="","      ",'HourGH-JAN'!X12)</f>
        <v>0.43</v>
      </c>
      <c r="D67" s="128">
        <f>IF(TRIM('HourGH-JAN'!X13)="","      ",'HourGH-JAN'!X13)</f>
        <v>0.43</v>
      </c>
      <c r="E67" s="128">
        <f>IF(TRIM('HourGH-JAN'!X14)="","      ",'HourGH-JAN'!X14)</f>
        <v>0.43</v>
      </c>
      <c r="F67" s="118">
        <f>IF(TRIM('HourGH-JAN'!X15)="","      ",'HourGH-JAN'!X15)</f>
        <v>0.43</v>
      </c>
      <c r="G67" s="118">
        <f>IF(TRIM('HourGH-JAN'!X16)="","      ",'HourGH-JAN'!X16)</f>
        <v>0.41</v>
      </c>
      <c r="H67" s="128">
        <f>IF(TRIM('HourGH-JAN'!X17)="","      ",'HourGH-JAN'!X17)</f>
        <v>0.42</v>
      </c>
      <c r="I67" s="128">
        <f>IF(TRIM('HourGH-JAN'!X18)="","      ",'HourGH-JAN'!X18)</f>
        <v>0.42</v>
      </c>
      <c r="J67" s="128">
        <f>IF(TRIM('HourGH-JAN'!X19)="","      ",'HourGH-JAN'!X19)</f>
        <v>0.41</v>
      </c>
      <c r="K67" s="128">
        <f>IF(TRIM('HourGH-JAN'!X20)="","      ",'HourGH-JAN'!X20)</f>
        <v>0.41</v>
      </c>
      <c r="N67" s="117">
        <f>C80</f>
        <v>338</v>
      </c>
      <c r="O67">
        <v>12</v>
      </c>
      <c r="P67" s="117" t="str">
        <f>C83</f>
        <v>1:00</v>
      </c>
      <c r="R67" s="117">
        <f>C86</f>
        <v>338</v>
      </c>
      <c r="S67">
        <v>12</v>
      </c>
      <c r="T67" s="117" t="str">
        <f>C89</f>
        <v>1:00</v>
      </c>
    </row>
    <row r="68" spans="1:20">
      <c r="A68" s="127" t="s">
        <v>210</v>
      </c>
      <c r="B68" s="128">
        <f>IF(TRIM('HourGH-JAN'!X22)="","      ",'HourGH-JAN'!X22)</f>
        <v>0.4</v>
      </c>
      <c r="C68" s="128">
        <f>IF(TRIM('HourGH-JAN'!X23)="","      ",'HourGH-JAN'!X23)</f>
        <v>0.4</v>
      </c>
      <c r="D68" s="128">
        <f>IF(TRIM('HourGH-JAN'!X24)="","      ",'HourGH-JAN'!X24)</f>
        <v>0.39</v>
      </c>
      <c r="E68" s="128">
        <f>IF(TRIM('HourGH-JAN'!X25)="","      ",'HourGH-JAN'!X25)</f>
        <v>0.4</v>
      </c>
      <c r="F68" s="118">
        <f>IF(TRIM('HourGH-JAN'!X26)="","      ",'HourGH-JAN'!X26)</f>
        <v>0.4</v>
      </c>
      <c r="G68" s="118">
        <f>IF(TRIM('HourGH-JAN'!X27)="","      ",'HourGH-JAN'!X27)</f>
        <v>0.4</v>
      </c>
      <c r="H68" s="128">
        <f>IF(TRIM('HourGH-JAN'!X28)="","      ",'HourGH-JAN'!X28)</f>
        <v>0.61</v>
      </c>
      <c r="I68" s="128">
        <f>IF(TRIM('HourGH-JAN'!X29)="","      ",'HourGH-JAN'!X29)</f>
        <v>0.72</v>
      </c>
      <c r="J68" s="128">
        <f>IF(TRIM('HourGH-JAN'!X30)="","      ",'HourGH-JAN'!X30)</f>
        <v>0.74</v>
      </c>
      <c r="K68" s="128">
        <f>IF(TRIM('HourGH-JAN'!X31)="","      ",'HourGH-JAN'!X31)</f>
        <v>0.47</v>
      </c>
      <c r="N68" s="117">
        <f>D80</f>
        <v>338</v>
      </c>
      <c r="O68">
        <v>13</v>
      </c>
      <c r="P68" s="117" t="str">
        <f>D83</f>
        <v>1:00</v>
      </c>
      <c r="R68" s="117">
        <f>D86</f>
        <v>337.99</v>
      </c>
      <c r="S68">
        <v>13</v>
      </c>
      <c r="T68" s="117" t="str">
        <f>D89</f>
        <v>12:00</v>
      </c>
    </row>
    <row r="69" spans="1:20">
      <c r="A69" s="127" t="s">
        <v>211</v>
      </c>
      <c r="B69" s="128">
        <f>IF(TRIM('HourGH-JAN'!X33)="","      ",'HourGH-JAN'!X33)</f>
        <v>0.36</v>
      </c>
      <c r="C69" s="128">
        <f>IF(TRIM('HourGH-JAN'!X34)="","      ",'HourGH-JAN'!X34)</f>
        <v>0.36</v>
      </c>
      <c r="D69" s="128">
        <f>IF(TRIM('HourGH-JAN'!X35)="","      ",'HourGH-JAN'!X35)</f>
        <v>0.36</v>
      </c>
      <c r="E69" s="128">
        <f>IF(TRIM('HourGH-JAN'!X36)="","      ",'HourGH-JAN'!X36)</f>
        <v>0.48</v>
      </c>
      <c r="F69" s="118">
        <f>IF(TRIM('HourGH-JAN'!X37)="","      ",'HourGH-JAN'!X37)</f>
        <v>0.73</v>
      </c>
      <c r="G69" s="118">
        <f>IF(TRIM('HourGH-JAN'!X38)="","      ",'HourGH-JAN'!X38)</f>
        <v>0.71</v>
      </c>
      <c r="H69" s="128">
        <f>IF(TRIM('HourGH-JAN'!X39)="","      ",'HourGH-JAN'!X39)</f>
        <v>0.44</v>
      </c>
      <c r="I69" s="128">
        <f>IF(TRIM('HourGH-JAN'!X40)="","      ",'HourGH-JAN'!X40)</f>
        <v>0.33</v>
      </c>
      <c r="J69" s="128">
        <f>IF(TRIM('HourGH-JAN'!X41)="","      ",'HourGH-JAN'!X41)</f>
        <v>0.32</v>
      </c>
      <c r="K69" s="128">
        <f>IF(TRIM('HourGH-JAN'!X42)="","      ",'HourGH-JAN'!X42)</f>
        <v>0.33</v>
      </c>
      <c r="L69" s="118">
        <f>IF(TRIM('HourGH-JAN'!X43)="","      ",'HourGH-JAN'!X43)</f>
        <v>0.54</v>
      </c>
      <c r="N69" s="117">
        <f>E80</f>
        <v>338</v>
      </c>
      <c r="O69">
        <v>14</v>
      </c>
      <c r="P69" s="117" t="str">
        <f>E83</f>
        <v>1:00</v>
      </c>
      <c r="R69" s="117">
        <f>E86</f>
        <v>338</v>
      </c>
      <c r="S69">
        <v>14</v>
      </c>
      <c r="T69" s="117" t="str">
        <f>E89</f>
        <v>1:00</v>
      </c>
    </row>
    <row r="70" spans="1:20">
      <c r="A70" s="127" t="s">
        <v>212</v>
      </c>
      <c r="B70" s="128">
        <f>IF(TRIM('HourGH-JAN'!Y11)="","      ",'HourGH-JAN'!Y11)</f>
        <v>0.44</v>
      </c>
      <c r="C70" s="128">
        <f>IF(TRIM('HourGH-JAN'!Y12)="","      ",'HourGH-JAN'!Y12)</f>
        <v>0.43</v>
      </c>
      <c r="D70" s="128">
        <f>IF(TRIM('HourGH-JAN'!Y13)="","      ",'HourGH-JAN'!Y13)</f>
        <v>0.43</v>
      </c>
      <c r="E70" s="128">
        <f>IF(TRIM('HourGH-JAN'!Y14)="","      ",'HourGH-JAN'!Y14)</f>
        <v>0.43</v>
      </c>
      <c r="F70" s="118">
        <f>IF(TRIM('HourGH-JAN'!Y15)="","      ",'HourGH-JAN'!Y15)</f>
        <v>0.43</v>
      </c>
      <c r="G70" s="118">
        <f>IF(TRIM('HourGH-JAN'!Y16)="","      ",'HourGH-JAN'!Y16)</f>
        <v>0.41</v>
      </c>
      <c r="H70" s="128">
        <f>IF(TRIM('HourGH-JAN'!Y17)="","      ",'HourGH-JAN'!Y17)</f>
        <v>0.42</v>
      </c>
      <c r="I70" s="128">
        <f>IF(TRIM('HourGH-JAN'!Y18)="","      ",'HourGH-JAN'!Y18)</f>
        <v>0.42</v>
      </c>
      <c r="J70" s="128">
        <f>IF(TRIM('HourGH-JAN'!Y19)="","      ",'HourGH-JAN'!Y19)</f>
        <v>0.41</v>
      </c>
      <c r="K70" s="128">
        <f>IF(TRIM('HourGH-JAN'!Y20)="","      ",'HourGH-JAN'!Y20)</f>
        <v>0.41</v>
      </c>
      <c r="N70" s="117">
        <f>F80</f>
        <v>338</v>
      </c>
      <c r="O70">
        <v>15</v>
      </c>
      <c r="P70" s="117" t="str">
        <f>F83</f>
        <v>1:00</v>
      </c>
      <c r="R70" s="117">
        <f>F86</f>
        <v>338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IF(TRIM('HourGH-JAN'!Y22)="","      ",'HourGH-JAN'!Y22)</f>
        <v>0.4</v>
      </c>
      <c r="C71" s="128">
        <f>IF(TRIM('HourGH-JAN'!Y23)="","      ",'HourGH-JAN'!Y23)</f>
        <v>0.4</v>
      </c>
      <c r="D71" s="128">
        <f>IF(TRIM('HourGH-JAN'!Y24)="","      ",'HourGH-JAN'!Y24)</f>
        <v>0.39</v>
      </c>
      <c r="E71" s="128">
        <f>IF(TRIM('HourGH-JAN'!Y25)="","      ",'HourGH-JAN'!Y25)</f>
        <v>0.4</v>
      </c>
      <c r="F71" s="118">
        <f>IF(TRIM('HourGH-JAN'!Y26)="","      ",'HourGH-JAN'!Y26)</f>
        <v>0.4</v>
      </c>
      <c r="G71" s="118">
        <f>IF(TRIM('HourGH-JAN'!Y27)="","      ",'HourGH-JAN'!Y27)</f>
        <v>0.4</v>
      </c>
      <c r="H71" s="128">
        <f>IF(TRIM('HourGH-JAN'!Y28)="","      ",'HourGH-JAN'!Y28)</f>
        <v>0.63</v>
      </c>
      <c r="I71" s="128">
        <f>IF(TRIM('HourGH-JAN'!Y29)="","      ",'HourGH-JAN'!Y29)</f>
        <v>0.72</v>
      </c>
      <c r="J71" s="128">
        <f>IF(TRIM('HourGH-JAN'!Y30)="","      ",'HourGH-JAN'!Y30)</f>
        <v>0.74</v>
      </c>
      <c r="K71" s="128">
        <f>IF(TRIM('HourGH-JAN'!Y31)="","      ",'HourGH-JAN'!Y31)</f>
        <v>0.45</v>
      </c>
      <c r="N71" s="117">
        <f>G80</f>
        <v>338</v>
      </c>
      <c r="O71">
        <v>16</v>
      </c>
      <c r="P71" s="117" t="str">
        <f>G83</f>
        <v>1:00</v>
      </c>
      <c r="R71" s="117">
        <f>G86</f>
        <v>338</v>
      </c>
      <c r="S71">
        <v>16</v>
      </c>
      <c r="T71" s="117" t="str">
        <f>G89</f>
        <v>1:00</v>
      </c>
    </row>
    <row r="72" spans="1:20">
      <c r="A72" s="127" t="s">
        <v>214</v>
      </c>
      <c r="B72" s="128">
        <f>IF(TRIM('HourGH-JAN'!Y33)="","      ",'HourGH-JAN'!Y33)</f>
        <v>0.36</v>
      </c>
      <c r="C72" s="128">
        <f>IF(TRIM('HourGH-JAN'!Y34)="","      ",'HourGH-JAN'!Y34)</f>
        <v>0.36</v>
      </c>
      <c r="D72" s="128">
        <f>IF(TRIM('HourGH-JAN'!Y35)="","      ",'HourGH-JAN'!Y35)</f>
        <v>0.36</v>
      </c>
      <c r="E72" s="128">
        <f>IF(TRIM('HourGH-JAN'!Y36)="","      ",'HourGH-JAN'!Y36)</f>
        <v>0.5</v>
      </c>
      <c r="F72" s="118">
        <f>IF(TRIM('HourGH-JAN'!Y37)="","      ",'HourGH-JAN'!Y37)</f>
        <v>0.73</v>
      </c>
      <c r="G72" s="118">
        <f>IF(TRIM('HourGH-JAN'!Y38)="","      ",'HourGH-JAN'!Y38)</f>
        <v>0.71</v>
      </c>
      <c r="H72" s="128">
        <f>IF(TRIM('HourGH-JAN'!Y39)="","      ",'HourGH-JAN'!Y39)</f>
        <v>0.42</v>
      </c>
      <c r="I72" s="128">
        <f>IF(TRIM('HourGH-JAN'!Y40)="","      ",'HourGH-JAN'!Y40)</f>
        <v>0.33</v>
      </c>
      <c r="J72" s="128">
        <f>IF(TRIM('HourGH-JAN'!Y41)="","      ",'HourGH-JAN'!Y41)</f>
        <v>0.32</v>
      </c>
      <c r="K72" s="128">
        <f>IF(TRIM('HourGH-JAN'!Y42)="","      ",'HourGH-JAN'!Y42)</f>
        <v>0.33</v>
      </c>
      <c r="L72" s="118">
        <f>IF(TRIM('HourGH-JAN'!Y43)="","      ",'HourGH-JAN'!Y43)</f>
        <v>0.56000000000000005</v>
      </c>
      <c r="N72" s="117">
        <f>H80</f>
        <v>338.24</v>
      </c>
      <c r="O72">
        <v>17</v>
      </c>
      <c r="P72" s="117" t="str">
        <f>H83</f>
        <v>24:00</v>
      </c>
      <c r="R72" s="117">
        <f>H86</f>
        <v>337.99</v>
      </c>
      <c r="S72">
        <v>17</v>
      </c>
      <c r="T72" s="117" t="str">
        <f>H89</f>
        <v>1:00</v>
      </c>
    </row>
    <row r="73" spans="1:20">
      <c r="A73" s="127" t="s">
        <v>215</v>
      </c>
      <c r="B73" s="128">
        <f>IF(TRIM('HourGH-JAN'!Z11)="","      ",'HourGH-JAN'!Z11)</f>
        <v>0.44</v>
      </c>
      <c r="C73" s="128">
        <f>IF(TRIM('HourGH-JAN'!Z12)="","      ",'HourGH-JAN'!Z12)</f>
        <v>0.43</v>
      </c>
      <c r="D73" s="128">
        <f>IF(TRIM('HourGH-JAN'!Z13)="","      ",'HourGH-JAN'!Z13)</f>
        <v>0.43</v>
      </c>
      <c r="E73" s="128">
        <f>IF(TRIM('HourGH-JAN'!Z14)="","      ",'HourGH-JAN'!Z14)</f>
        <v>0.43</v>
      </c>
      <c r="F73" s="118">
        <f>IF(TRIM('HourGH-JAN'!Z15)="","      ",'HourGH-JAN'!Z15)</f>
        <v>0.43</v>
      </c>
      <c r="G73" s="118">
        <f>IF(TRIM('HourGH-JAN'!Z16)="","      ",'HourGH-JAN'!Z16)</f>
        <v>0.41</v>
      </c>
      <c r="H73" s="128">
        <f>IF(TRIM('HourGH-JAN'!Z17)="","      ",'HourGH-JAN'!Z17)</f>
        <v>0.42</v>
      </c>
      <c r="I73" s="128">
        <f>IF(TRIM('HourGH-JAN'!Z18)="","      ",'HourGH-JAN'!Z18)</f>
        <v>0.42</v>
      </c>
      <c r="J73" s="128">
        <f>IF(TRIM('HourGH-JAN'!Z19)="","      ",'HourGH-JAN'!Z19)</f>
        <v>0.41</v>
      </c>
      <c r="K73" s="128">
        <f>IF(TRIM('HourGH-JAN'!Z20)="","      ",'HourGH-JAN'!Z20)</f>
        <v>0.41</v>
      </c>
      <c r="N73" s="117">
        <f>I80</f>
        <v>338.32000000000005</v>
      </c>
      <c r="O73">
        <v>18</v>
      </c>
      <c r="P73" s="117" t="str">
        <f>I83</f>
        <v>6:00</v>
      </c>
      <c r="R73" s="117">
        <f>I86</f>
        <v>338.26000000000005</v>
      </c>
      <c r="S73">
        <v>18</v>
      </c>
      <c r="T73" s="117" t="str">
        <f>I89</f>
        <v>1:00</v>
      </c>
    </row>
    <row r="74" spans="1:20">
      <c r="A74" s="127" t="s">
        <v>216</v>
      </c>
      <c r="B74" s="128">
        <f>IF(TRIM('HourGH-JAN'!Z22)="","      ",'HourGH-JAN'!Z22)</f>
        <v>0.4</v>
      </c>
      <c r="C74" s="128">
        <f>IF(TRIM('HourGH-JAN'!Z23)="","      ",'HourGH-JAN'!Z23)</f>
        <v>0.4</v>
      </c>
      <c r="D74" s="128">
        <f>IF(TRIM('HourGH-JAN'!Z24)="","      ",'HourGH-JAN'!Z24)</f>
        <v>0.39</v>
      </c>
      <c r="E74" s="128">
        <f>IF(TRIM('HourGH-JAN'!Z25)="","      ",'HourGH-JAN'!Z25)</f>
        <v>0.4</v>
      </c>
      <c r="F74" s="118">
        <f>IF(TRIM('HourGH-JAN'!Z26)="","      ",'HourGH-JAN'!Z26)</f>
        <v>0.4</v>
      </c>
      <c r="G74" s="118">
        <f>IF(TRIM('HourGH-JAN'!Z27)="","      ",'HourGH-JAN'!Z27)</f>
        <v>0.4</v>
      </c>
      <c r="H74" s="128">
        <f>IF(TRIM('HourGH-JAN'!Z28)="","      ",'HourGH-JAN'!Z28)</f>
        <v>0.64</v>
      </c>
      <c r="I74" s="128">
        <f>IF(TRIM('HourGH-JAN'!Z29)="","      ",'HourGH-JAN'!Z29)</f>
        <v>0.72</v>
      </c>
      <c r="J74" s="128">
        <f>IF(TRIM('HourGH-JAN'!Z30)="","      ",'HourGH-JAN'!Z30)</f>
        <v>0.74</v>
      </c>
      <c r="K74" s="128">
        <f>IF(TRIM('HourGH-JAN'!Z31)="","      ",'HourGH-JAN'!Z31)</f>
        <v>0.44</v>
      </c>
      <c r="N74" s="117">
        <f>J80</f>
        <v>338.34000000000003</v>
      </c>
      <c r="O74">
        <v>19</v>
      </c>
      <c r="P74" s="117" t="str">
        <f>J83</f>
        <v>19:00</v>
      </c>
      <c r="R74" s="117">
        <f>J86</f>
        <v>338.32000000000005</v>
      </c>
      <c r="S74">
        <v>19</v>
      </c>
      <c r="T74" s="117" t="str">
        <f>J89</f>
        <v>1:00</v>
      </c>
    </row>
    <row r="75" spans="1:20">
      <c r="A75" s="127" t="s">
        <v>217</v>
      </c>
      <c r="B75" s="128">
        <f>IF(TRIM('HourGH-JAN'!Z33)="","      ",'HourGH-JAN'!Z33)</f>
        <v>0.36</v>
      </c>
      <c r="C75" s="128">
        <f>IF(TRIM('HourGH-JAN'!Z34)="","      ",'HourGH-JAN'!Z34)</f>
        <v>0.36</v>
      </c>
      <c r="D75" s="128">
        <f>IF(TRIM('HourGH-JAN'!Z35)="","      ",'HourGH-JAN'!Z35)</f>
        <v>0.36</v>
      </c>
      <c r="E75" s="128">
        <f>IF(TRIM('HourGH-JAN'!Z36)="","      ",'HourGH-JAN'!Z36)</f>
        <v>0.53</v>
      </c>
      <c r="F75" s="118">
        <f>IF(TRIM('HourGH-JAN'!Z37)="","      ",'HourGH-JAN'!Z37)</f>
        <v>0.73</v>
      </c>
      <c r="G75" s="118">
        <f>IF(TRIM('HourGH-JAN'!Z38)="","      ",'HourGH-JAN'!Z38)</f>
        <v>0.71</v>
      </c>
      <c r="H75" s="128">
        <f>IF(TRIM('HourGH-JAN'!Z39)="","      ",'HourGH-JAN'!Z39)</f>
        <v>0.4</v>
      </c>
      <c r="I75" s="128">
        <f>IF(TRIM('HourGH-JAN'!Z40)="","      ",'HourGH-JAN'!Z40)</f>
        <v>0.33</v>
      </c>
      <c r="J75" s="128">
        <f>IF(TRIM('HourGH-JAN'!Z41)="","      ",'HourGH-JAN'!Z41)</f>
        <v>0.32</v>
      </c>
      <c r="K75" s="128">
        <f>IF(TRIM('HourGH-JAN'!Z42)="","      ",'HourGH-JAN'!Z42)</f>
        <v>0.33</v>
      </c>
      <c r="L75" s="118">
        <f>IF(TRIM('HourGH-JAN'!Z43)="","      ",'HourGH-JAN'!Z43)</f>
        <v>0.57999999999999996</v>
      </c>
      <c r="N75" s="117">
        <f>K80</f>
        <v>338.34000000000003</v>
      </c>
      <c r="O75">
        <v>20</v>
      </c>
      <c r="P75" s="117" t="str">
        <f>K83</f>
        <v>1:00</v>
      </c>
      <c r="R75" s="117">
        <f>K86</f>
        <v>338.04</v>
      </c>
      <c r="S75">
        <v>20</v>
      </c>
      <c r="T75" s="117" t="str">
        <f>K89</f>
        <v>24:00</v>
      </c>
    </row>
    <row r="76" spans="1:20">
      <c r="A76" t="s">
        <v>228</v>
      </c>
      <c r="B76" s="119">
        <f>IF(TRIM('HourGH-JAN'!AB11)="","",'HourGH-JAN'!AB11)</f>
        <v>338.04</v>
      </c>
      <c r="C76" s="119">
        <f>IF(TRIM('HourGH-JAN'!AB12)="","",'HourGH-JAN'!AB12)</f>
        <v>338.03000000000003</v>
      </c>
      <c r="D76" s="119">
        <f>IF(TRIM('HourGH-JAN'!AB13)="","",'HourGH-JAN'!AB13)</f>
        <v>338.03000000000003</v>
      </c>
      <c r="E76" s="119">
        <f>IF(TRIM('HourGH-JAN'!AB14)="","",'HourGH-JAN'!AB14)</f>
        <v>338.03000000000003</v>
      </c>
      <c r="F76" s="119">
        <f>IF(TRIM('HourGH-JAN'!AB15)="","",'HourGH-JAN'!AB15)</f>
        <v>338.03000000000003</v>
      </c>
      <c r="G76" s="119">
        <f>IF(TRIM('HourGH-JAN'!AB16)="","",'HourGH-JAN'!AB16)</f>
        <v>338.01250000000005</v>
      </c>
      <c r="H76" s="119">
        <f>IF(TRIM('HourGH-JAN'!AB17)="","",'HourGH-JAN'!AB17)</f>
        <v>338.02000000000004</v>
      </c>
      <c r="I76" s="119">
        <f>IF(TRIM('HourGH-JAN'!AB18)="","",'HourGH-JAN'!AB18)</f>
        <v>338.02000000000004</v>
      </c>
      <c r="J76" s="119">
        <f>IF(TRIM('HourGH-JAN'!AB19)="","",'HourGH-JAN'!AB19)</f>
        <v>338.01000000000005</v>
      </c>
      <c r="K76" s="119">
        <f>IF(TRIM('HourGH-JAN'!AB20)="","",'HourGH-JAN'!AB20)</f>
        <v>338.01000000000005</v>
      </c>
      <c r="N76" s="117">
        <f>B81</f>
        <v>338.02000000000004</v>
      </c>
      <c r="O76">
        <v>21</v>
      </c>
      <c r="P76" s="117" t="str">
        <f>B84</f>
        <v>1:00</v>
      </c>
      <c r="R76" s="117">
        <f>B87</f>
        <v>337.96000000000004</v>
      </c>
      <c r="S76">
        <v>21</v>
      </c>
      <c r="T76" s="117" t="str">
        <f>B90</f>
        <v>6:00</v>
      </c>
    </row>
    <row r="77" spans="1:20">
      <c r="A77" t="s">
        <v>229</v>
      </c>
      <c r="B77" s="119">
        <f>IF(TRIM('HourGH-JAN'!AB22)="","",'HourGH-JAN'!AB22)</f>
        <v>338</v>
      </c>
      <c r="C77" s="119">
        <f>IF(TRIM('HourGH-JAN'!AB23)="","",'HourGH-JAN'!AB23)</f>
        <v>338</v>
      </c>
      <c r="D77" s="119">
        <f>IF(TRIM('HourGH-JAN'!AB24)="","",'HourGH-JAN'!AB24)</f>
        <v>337.99458333333337</v>
      </c>
      <c r="E77" s="119">
        <f>IF(TRIM('HourGH-JAN'!AB25)="","",'HourGH-JAN'!AB25)</f>
        <v>338</v>
      </c>
      <c r="F77" s="119">
        <f>IF(TRIM('HourGH-JAN'!AB26)="","",'HourGH-JAN'!AB26)</f>
        <v>338</v>
      </c>
      <c r="G77" s="119">
        <f>IF(TRIM('HourGH-JAN'!AB27)="","",'HourGH-JAN'!AB27)</f>
        <v>338</v>
      </c>
      <c r="H77" s="119">
        <f>IF(TRIM('HourGH-JAN'!AB28)="","",'HourGH-JAN'!AB28)</f>
        <v>338.07125000000002</v>
      </c>
      <c r="I77" s="119">
        <f>IF(TRIM('HourGH-JAN'!AB29)="","",'HourGH-JAN'!AB29)</f>
        <v>338.31416666666667</v>
      </c>
      <c r="J77" s="119">
        <f>IF(TRIM('HourGH-JAN'!AB30)="","",'HourGH-JAN'!AB30)</f>
        <v>338.32750000000004</v>
      </c>
      <c r="K77" s="119">
        <f>IF(TRIM('HourGH-JAN'!AB31)="","",'HourGH-JAN'!AB31)</f>
        <v>338.24250000000001</v>
      </c>
      <c r="N77" s="117">
        <f>C81</f>
        <v>337.96000000000004</v>
      </c>
      <c r="O77">
        <v>22</v>
      </c>
      <c r="P77" s="117" t="str">
        <f>C84</f>
        <v>1:00</v>
      </c>
      <c r="R77" s="117">
        <f>C87</f>
        <v>337.96000000000004</v>
      </c>
      <c r="S77">
        <v>22</v>
      </c>
      <c r="T77" s="117" t="str">
        <f>C90</f>
        <v>1:00</v>
      </c>
    </row>
    <row r="78" spans="1:20">
      <c r="A78" t="s">
        <v>230</v>
      </c>
      <c r="B78" s="119">
        <f>IF(TRIM('HourGH-JAN'!AB33)="","",'HourGH-JAN'!AB33)</f>
        <v>337.96708333333333</v>
      </c>
      <c r="C78" s="119">
        <f>IF(TRIM('HourGH-JAN'!AB34)="","",'HourGH-JAN'!AB34)</f>
        <v>337.96000000000004</v>
      </c>
      <c r="D78" s="119">
        <f>IF(TRIM('HourGH-JAN'!AB35)="","",'HourGH-JAN'!AB35)</f>
        <v>337.96000000000004</v>
      </c>
      <c r="E78" s="119">
        <f>IF(TRIM('HourGH-JAN'!AB36)="","",'HourGH-JAN'!AB36)</f>
        <v>337.995</v>
      </c>
      <c r="F78" s="119">
        <f>IF(TRIM('HourGH-JAN'!AB37)="","",'HourGH-JAN'!AB37)</f>
        <v>338.30875000000003</v>
      </c>
      <c r="G78" s="119">
        <f>IF(TRIM('HourGH-JAN'!AB38)="","",'HourGH-JAN'!AB38)</f>
        <v>338.315</v>
      </c>
      <c r="H78" s="119">
        <f>IF(TRIM('HourGH-JAN'!AB39)="","",'HourGH-JAN'!AB39)</f>
        <v>338.20250000000004</v>
      </c>
      <c r="I78" s="119">
        <f>IF(TRIM('HourGH-JAN'!AB40)="","",'HourGH-JAN'!AB40)</f>
        <v>337.94125000000003</v>
      </c>
      <c r="J78" s="119">
        <f>IF(TRIM('HourGH-JAN'!AB41)="","",'HourGH-JAN'!AB41)</f>
        <v>337.92</v>
      </c>
      <c r="K78" s="119">
        <f>IF(TRIM('HourGH-JAN'!AB42)="","",'HourGH-JAN'!AB42)</f>
        <v>337.93</v>
      </c>
      <c r="N78" s="117">
        <f>D81</f>
        <v>337.96000000000004</v>
      </c>
      <c r="O78">
        <v>23</v>
      </c>
      <c r="P78" s="117" t="str">
        <f>D84</f>
        <v>1:00</v>
      </c>
      <c r="R78" s="117">
        <f>D87</f>
        <v>337.96000000000004</v>
      </c>
      <c r="S78">
        <v>23</v>
      </c>
      <c r="T78" s="117" t="str">
        <f>D90</f>
        <v>1:00</v>
      </c>
    </row>
    <row r="79" spans="1:20">
      <c r="A79" t="s">
        <v>231</v>
      </c>
      <c r="B79" s="119">
        <f>IF(TRIM('HourGH-JAN'!AC11)="","",'HourGH-JAN'!AC11)</f>
        <v>338.04</v>
      </c>
      <c r="C79" s="119">
        <f>IF(TRIM('HourGH-JAN'!AC12)="","",'HourGH-JAN'!AC12)</f>
        <v>338.03000000000003</v>
      </c>
      <c r="D79" s="119">
        <f>IF(TRIM('HourGH-JAN'!AC13)="","",'HourGH-JAN'!AC13)</f>
        <v>338.03000000000003</v>
      </c>
      <c r="E79" s="119">
        <f>IF(TRIM('HourGH-JAN'!AC14)="","",'HourGH-JAN'!AC14)</f>
        <v>338.03000000000003</v>
      </c>
      <c r="F79" s="119">
        <f>IF(TRIM('HourGH-JAN'!AC15)="","",'HourGH-JAN'!AC15)</f>
        <v>338.03000000000003</v>
      </c>
      <c r="G79" s="119">
        <f>IF(TRIM('HourGH-JAN'!AC16)="","",'HourGH-JAN'!AC16)</f>
        <v>338.02000000000004</v>
      </c>
      <c r="H79" s="119">
        <f>IF(TRIM('HourGH-JAN'!AC17)="","",'HourGH-JAN'!AC17)</f>
        <v>338.02000000000004</v>
      </c>
      <c r="I79" s="119">
        <f>IF(TRIM('HourGH-JAN'!AC18)="","",'HourGH-JAN'!AC18)</f>
        <v>338.02000000000004</v>
      </c>
      <c r="J79" s="119">
        <f>IF(TRIM('HourGH-JAN'!AC19)="","",'HourGH-JAN'!AC19)</f>
        <v>338.01000000000005</v>
      </c>
      <c r="K79" s="119">
        <f>IF(TRIM('HourGH-JAN'!AC20)="","",'HourGH-JAN'!AC20)</f>
        <v>338.01000000000005</v>
      </c>
      <c r="N79" s="117">
        <f>E81</f>
        <v>338.13</v>
      </c>
      <c r="O79">
        <v>24</v>
      </c>
      <c r="P79" s="117" t="str">
        <f>E84</f>
        <v>24:00</v>
      </c>
      <c r="R79" s="117">
        <f>E87</f>
        <v>337.96000000000004</v>
      </c>
      <c r="S79">
        <v>24</v>
      </c>
      <c r="T79" s="117" t="str">
        <f>E90</f>
        <v>1:00</v>
      </c>
    </row>
    <row r="80" spans="1:20">
      <c r="A80" t="s">
        <v>232</v>
      </c>
      <c r="B80" s="119">
        <f>IF(TRIM('HourGH-JAN'!AC22)="","",'HourGH-JAN'!AC22)</f>
        <v>338</v>
      </c>
      <c r="C80" s="119">
        <f>IF(TRIM('HourGH-JAN'!AC23)="","",'HourGH-JAN'!AC23)</f>
        <v>338</v>
      </c>
      <c r="D80" s="119">
        <f>IF(TRIM('HourGH-JAN'!AC24)="","",'HourGH-JAN'!AC24)</f>
        <v>338</v>
      </c>
      <c r="E80" s="119">
        <f>IF(TRIM('HourGH-JAN'!AC25)="","",'HourGH-JAN'!AC25)</f>
        <v>338</v>
      </c>
      <c r="F80" s="119">
        <f>IF(TRIM('HourGH-JAN'!AC26)="","",'HourGH-JAN'!AC26)</f>
        <v>338</v>
      </c>
      <c r="G80" s="119">
        <f>IF(TRIM('HourGH-JAN'!AC27)="","",'HourGH-JAN'!AC27)</f>
        <v>338</v>
      </c>
      <c r="H80" s="119">
        <f>IF(TRIM('HourGH-JAN'!AC28)="","",'HourGH-JAN'!AC28)</f>
        <v>338.24</v>
      </c>
      <c r="I80" s="119">
        <f>IF(TRIM('HourGH-JAN'!AC29)="","",'HourGH-JAN'!AC29)</f>
        <v>338.32000000000005</v>
      </c>
      <c r="J80" s="119">
        <f>IF(TRIM('HourGH-JAN'!AC30)="","",'HourGH-JAN'!AC30)</f>
        <v>338.34000000000003</v>
      </c>
      <c r="K80" s="119">
        <f>IF(TRIM('HourGH-JAN'!AC31)="","",'HourGH-JAN'!AC31)</f>
        <v>338.34000000000003</v>
      </c>
      <c r="N80" s="117">
        <f>F81</f>
        <v>338.33000000000004</v>
      </c>
      <c r="O80">
        <v>25</v>
      </c>
      <c r="P80" s="117" t="str">
        <f>F84</f>
        <v>12:00</v>
      </c>
      <c r="R80" s="117">
        <f>F87</f>
        <v>338.18</v>
      </c>
      <c r="S80">
        <v>25</v>
      </c>
      <c r="T80" s="117" t="str">
        <f>F90</f>
        <v>1:00</v>
      </c>
    </row>
    <row r="81" spans="1:20">
      <c r="A81" t="s">
        <v>233</v>
      </c>
      <c r="B81" s="119">
        <f>IF(TRIM('HourGH-JAN'!AC33)="","",'HourGH-JAN'!AC33)</f>
        <v>338.02000000000004</v>
      </c>
      <c r="C81" s="119">
        <f>IF(TRIM('HourGH-JAN'!AC34)="","",'HourGH-JAN'!AC34)</f>
        <v>337.96000000000004</v>
      </c>
      <c r="D81" s="119">
        <f>IF(TRIM('HourGH-JAN'!AC35)="","",'HourGH-JAN'!AC35)</f>
        <v>337.96000000000004</v>
      </c>
      <c r="E81" s="119">
        <f>IF(TRIM('HourGH-JAN'!AC36)="","",'HourGH-JAN'!AC36)</f>
        <v>338.13</v>
      </c>
      <c r="F81" s="119">
        <f>IF(TRIM('HourGH-JAN'!AC37)="","",'HourGH-JAN'!AC37)</f>
        <v>338.33000000000004</v>
      </c>
      <c r="G81" s="119">
        <f>IF(TRIM('HourGH-JAN'!AC38)="","",'HourGH-JAN'!AC38)</f>
        <v>338.32000000000005</v>
      </c>
      <c r="H81" s="119">
        <f>IF(TRIM('HourGH-JAN'!AC39)="","",'HourGH-JAN'!AC39)</f>
        <v>338.3</v>
      </c>
      <c r="I81" s="119">
        <f>IF(TRIM('HourGH-JAN'!AC40)="","",'HourGH-JAN'!AC40)</f>
        <v>337.99</v>
      </c>
      <c r="J81" s="119">
        <f>IF(TRIM('HourGH-JAN'!AC41)="","",'HourGH-JAN'!AC41)</f>
        <v>337.92</v>
      </c>
      <c r="K81" s="119">
        <f>IF(TRIM('HourGH-JAN'!AC42)="","",'HourGH-JAN'!AC42)</f>
        <v>337.93</v>
      </c>
      <c r="N81" s="117">
        <f>G81</f>
        <v>338.32000000000005</v>
      </c>
      <c r="O81">
        <v>26</v>
      </c>
      <c r="P81" s="117" t="str">
        <f>G84</f>
        <v>1:00</v>
      </c>
      <c r="R81" s="117">
        <f>G87</f>
        <v>338.31</v>
      </c>
      <c r="S81">
        <v>26</v>
      </c>
      <c r="T81" s="117" t="str">
        <f>G90</f>
        <v>13:00</v>
      </c>
    </row>
    <row r="82" spans="1:20">
      <c r="A82" t="s">
        <v>219</v>
      </c>
      <c r="B82" s="119" t="str">
        <f>'HourGH-JAN'!AD11&amp;":00"</f>
        <v>1:00</v>
      </c>
      <c r="C82" s="119" t="str">
        <f>'HourGH-JAN'!AD12&amp;":00"</f>
        <v>1:00</v>
      </c>
      <c r="D82" s="119" t="str">
        <f>'HourGH-JAN'!AD13&amp;":00"</f>
        <v>1:00</v>
      </c>
      <c r="E82" s="119" t="str">
        <f>'HourGH-JAN'!AD14&amp;":00"</f>
        <v>1:00</v>
      </c>
      <c r="F82" s="119" t="str">
        <f>'HourGH-JAN'!AD15&amp;":00"</f>
        <v>1:00</v>
      </c>
      <c r="G82" s="119" t="str">
        <f>'HourGH-JAN'!AD16&amp;":00"</f>
        <v>1:00</v>
      </c>
      <c r="H82" s="119" t="str">
        <f>'HourGH-JAN'!AD17&amp;":00"</f>
        <v>1:00</v>
      </c>
      <c r="I82" s="119" t="str">
        <f>'HourGH-JAN'!AD18&amp;":00"</f>
        <v>1:00</v>
      </c>
      <c r="J82" s="119" t="str">
        <f>'HourGH-JAN'!AD19&amp;":00"</f>
        <v>1:00</v>
      </c>
      <c r="K82" s="119" t="str">
        <f>'HourGH-JAN'!AD20&amp;":00"</f>
        <v>1:00</v>
      </c>
      <c r="N82" s="117">
        <f>H81</f>
        <v>338.3</v>
      </c>
      <c r="O82">
        <v>27</v>
      </c>
      <c r="P82" s="117" t="str">
        <f>H84</f>
        <v>1:00</v>
      </c>
      <c r="R82" s="117">
        <f>H87</f>
        <v>338</v>
      </c>
      <c r="S82">
        <v>27</v>
      </c>
      <c r="T82" s="117" t="str">
        <f>H90</f>
        <v>24:00</v>
      </c>
    </row>
    <row r="83" spans="1:20">
      <c r="A83" t="s">
        <v>220</v>
      </c>
      <c r="B83" s="119" t="str">
        <f>'HourGH-JAN'!AD22&amp;":00"</f>
        <v>1:00</v>
      </c>
      <c r="C83" s="119" t="str">
        <f>'HourGH-JAN'!AD23&amp;":00"</f>
        <v>1:00</v>
      </c>
      <c r="D83" s="119" t="str">
        <f>'HourGH-JAN'!AD24&amp;":00"</f>
        <v>1:00</v>
      </c>
      <c r="E83" s="119" t="str">
        <f>'HourGH-JAN'!AD25&amp;":00"</f>
        <v>1:00</v>
      </c>
      <c r="F83" s="119" t="str">
        <f>'HourGH-JAN'!AD26&amp;":00"</f>
        <v>1:00</v>
      </c>
      <c r="G83" s="119" t="str">
        <f>'HourGH-JAN'!AD27&amp;":00"</f>
        <v>1:00</v>
      </c>
      <c r="H83" s="119" t="str">
        <f>'HourGH-JAN'!AD28&amp;":00"</f>
        <v>24:00</v>
      </c>
      <c r="I83" s="119" t="str">
        <f>'HourGH-JAN'!AD29&amp;":00"</f>
        <v>6:00</v>
      </c>
      <c r="J83" s="119" t="str">
        <f>'HourGH-JAN'!AD30&amp;":00"</f>
        <v>19:00</v>
      </c>
      <c r="K83" s="119" t="str">
        <f>'HourGH-JAN'!AD31&amp;":00"</f>
        <v>1:00</v>
      </c>
      <c r="N83" s="117">
        <f>I81</f>
        <v>337.99</v>
      </c>
      <c r="O83">
        <v>28</v>
      </c>
      <c r="P83" s="117" t="str">
        <f>I84</f>
        <v>1:00</v>
      </c>
      <c r="R83" s="117">
        <f>I87</f>
        <v>337.93</v>
      </c>
      <c r="S83">
        <v>28</v>
      </c>
      <c r="T83" s="117" t="str">
        <f>I90</f>
        <v>13:00</v>
      </c>
    </row>
    <row r="84" spans="1:20">
      <c r="A84" t="s">
        <v>221</v>
      </c>
      <c r="B84" s="119" t="str">
        <f>'HourGH-JAN'!AD33&amp;":00"</f>
        <v>1:00</v>
      </c>
      <c r="C84" s="119" t="str">
        <f>'HourGH-JAN'!AD34&amp;":00"</f>
        <v>1:00</v>
      </c>
      <c r="D84" s="119" t="str">
        <f>'HourGH-JAN'!AD35&amp;":00"</f>
        <v>1:00</v>
      </c>
      <c r="E84" s="119" t="str">
        <f>'HourGH-JAN'!AD36&amp;":00"</f>
        <v>24:00</v>
      </c>
      <c r="F84" s="119" t="str">
        <f>'HourGH-JAN'!AD37&amp;":00"</f>
        <v>12:00</v>
      </c>
      <c r="G84" s="119" t="str">
        <f>'HourGH-JAN'!AD38&amp;":00"</f>
        <v>1:00</v>
      </c>
      <c r="H84" s="119" t="str">
        <f>'HourGH-JAN'!AD39&amp;":00"</f>
        <v>1:00</v>
      </c>
      <c r="I84" s="119" t="str">
        <f>'HourGH-JAN'!AD40&amp;":00"</f>
        <v>1:00</v>
      </c>
      <c r="J84" s="119" t="str">
        <f>'HourGH-JAN'!AD41&amp;":00"</f>
        <v>1:00</v>
      </c>
      <c r="K84" s="119" t="str">
        <f>'HourGH-JAN'!AD42&amp;":00"</f>
        <v>1:00</v>
      </c>
      <c r="N84" s="117">
        <f>J81</f>
        <v>337.92</v>
      </c>
      <c r="O84">
        <v>29</v>
      </c>
      <c r="P84" s="117" t="str">
        <f>J84</f>
        <v>1:00</v>
      </c>
      <c r="R84" s="117">
        <f>J87</f>
        <v>337.92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'HourGH-JAN'!AE11</f>
        <v>338.04</v>
      </c>
      <c r="C85" s="129">
        <f>'HourGH-JAN'!AE12</f>
        <v>338.03000000000003</v>
      </c>
      <c r="D85" s="129">
        <f>'HourGH-JAN'!AE13</f>
        <v>338.03000000000003</v>
      </c>
      <c r="E85" s="129">
        <f>'HourGH-JAN'!AE14</f>
        <v>338.03000000000003</v>
      </c>
      <c r="F85" s="129">
        <f>'HourGH-JAN'!AE15</f>
        <v>338.03000000000003</v>
      </c>
      <c r="G85" s="129">
        <f>'HourGH-JAN'!AE16</f>
        <v>338.01000000000005</v>
      </c>
      <c r="H85" s="129">
        <f>'HourGH-JAN'!AE17</f>
        <v>338.02000000000004</v>
      </c>
      <c r="I85" s="129">
        <f>'HourGH-JAN'!AE18</f>
        <v>338.02000000000004</v>
      </c>
      <c r="J85" s="129">
        <f>'HourGH-JAN'!AE19</f>
        <v>338.01000000000005</v>
      </c>
      <c r="K85" s="129">
        <f>'HourGH-JAN'!AE20</f>
        <v>338.01000000000005</v>
      </c>
      <c r="N85" s="117">
        <f>K81</f>
        <v>337.93</v>
      </c>
      <c r="O85">
        <v>30</v>
      </c>
      <c r="P85" s="117" t="str">
        <f>K84</f>
        <v>1:00</v>
      </c>
      <c r="R85" s="117">
        <f>K87</f>
        <v>337.93</v>
      </c>
      <c r="S85">
        <v>30</v>
      </c>
      <c r="T85" s="117" t="str">
        <f>K90</f>
        <v>1:00</v>
      </c>
    </row>
    <row r="86" spans="1:20">
      <c r="A86" t="s">
        <v>235</v>
      </c>
      <c r="B86" s="129">
        <f>'HourGH-JAN'!AE22</f>
        <v>338</v>
      </c>
      <c r="C86" s="129">
        <f>'HourGH-JAN'!AE23</f>
        <v>338</v>
      </c>
      <c r="D86" s="129">
        <f>'HourGH-JAN'!AE24</f>
        <v>337.99</v>
      </c>
      <c r="E86" s="129">
        <f>'HourGH-JAN'!AE25</f>
        <v>338</v>
      </c>
      <c r="F86" s="129">
        <f>'HourGH-JAN'!AE26</f>
        <v>338</v>
      </c>
      <c r="G86" s="129">
        <f>'HourGH-JAN'!AE27</f>
        <v>338</v>
      </c>
      <c r="H86" s="129">
        <f>'HourGH-JAN'!AE28</f>
        <v>337.99</v>
      </c>
      <c r="I86" s="129">
        <f>'HourGH-JAN'!AE29</f>
        <v>338.26000000000005</v>
      </c>
      <c r="J86" s="129">
        <f>'HourGH-JAN'!AE30</f>
        <v>338.32000000000005</v>
      </c>
      <c r="K86" s="129">
        <f>'HourGH-JAN'!AE31</f>
        <v>338.04</v>
      </c>
    </row>
    <row r="87" spans="1:20">
      <c r="A87" t="s">
        <v>236</v>
      </c>
      <c r="B87" s="129">
        <f>'HourGH-JAN'!AE33</f>
        <v>337.96000000000004</v>
      </c>
      <c r="C87" s="129">
        <f>'HourGH-JAN'!AE34</f>
        <v>337.96000000000004</v>
      </c>
      <c r="D87" s="129">
        <f>'HourGH-JAN'!AE35</f>
        <v>337.96000000000004</v>
      </c>
      <c r="E87" s="129">
        <f>'HourGH-JAN'!AE36</f>
        <v>337.96000000000004</v>
      </c>
      <c r="F87" s="129">
        <f>'HourGH-JAN'!AE37</f>
        <v>338.18</v>
      </c>
      <c r="G87" s="129">
        <f>'HourGH-JAN'!AE38</f>
        <v>338.31</v>
      </c>
      <c r="H87" s="129">
        <f>'HourGH-JAN'!AE39</f>
        <v>338</v>
      </c>
      <c r="I87" s="129">
        <f>'HourGH-JAN'!AE40</f>
        <v>337.93</v>
      </c>
      <c r="J87" s="129">
        <f>'HourGH-JAN'!AE41</f>
        <v>337.92</v>
      </c>
      <c r="K87" s="129">
        <f>'HourGH-JAN'!AE42</f>
        <v>337.93</v>
      </c>
    </row>
    <row r="88" spans="1:20">
      <c r="A88" t="s">
        <v>222</v>
      </c>
      <c r="B88" s="119" t="str">
        <f>'HourGH-JAN'!AF11&amp;":00"</f>
        <v>1:00</v>
      </c>
      <c r="C88" s="119" t="str">
        <f>'HourGH-JAN'!AF12&amp;":00"</f>
        <v>1:00</v>
      </c>
      <c r="D88" s="119" t="str">
        <f>'HourGH-JAN'!AF13&amp;":00"</f>
        <v>1:00</v>
      </c>
      <c r="E88" s="119" t="str">
        <f>'HourGH-JAN'!AF14&amp;":00"</f>
        <v>1:00</v>
      </c>
      <c r="F88" s="119" t="str">
        <f>'HourGH-JAN'!AF15&amp;":00"</f>
        <v>1:00</v>
      </c>
      <c r="G88" s="119" t="str">
        <f>'HourGH-JAN'!AF16&amp;":00"</f>
        <v>7:00</v>
      </c>
      <c r="H88" s="119" t="str">
        <f>'HourGH-JAN'!AF17&amp;":00"</f>
        <v>1:00</v>
      </c>
      <c r="I88" s="119" t="str">
        <f>'HourGH-JAN'!AF18&amp;":00"</f>
        <v>1:00</v>
      </c>
      <c r="J88" s="119" t="str">
        <f>'HourGH-JAN'!AF19&amp;":00"</f>
        <v>1:00</v>
      </c>
      <c r="K88" s="119" t="str">
        <f>'HourGH-JAN'!AF20&amp;":00"</f>
        <v>1:00</v>
      </c>
      <c r="N88" s="118">
        <f>MATCH(N90,N56:N85,0)</f>
        <v>19</v>
      </c>
      <c r="P88">
        <f>MATCH(P89,R56:R85,0)</f>
        <v>29</v>
      </c>
    </row>
    <row r="89" spans="1:20">
      <c r="A89" t="s">
        <v>223</v>
      </c>
      <c r="B89" s="119" t="str">
        <f>'HourGH-JAN'!AF22&amp;":00"</f>
        <v>1:00</v>
      </c>
      <c r="C89" s="119" t="str">
        <f>'HourGH-JAN'!AF23&amp;":00"</f>
        <v>1:00</v>
      </c>
      <c r="D89" s="119" t="str">
        <f>'HourGH-JAN'!AF24&amp;":00"</f>
        <v>12:00</v>
      </c>
      <c r="E89" s="119" t="str">
        <f>'HourGH-JAN'!AF25&amp;":00"</f>
        <v>1:00</v>
      </c>
      <c r="F89" s="119" t="str">
        <f>'HourGH-JAN'!AF26&amp;":00"</f>
        <v>1:00</v>
      </c>
      <c r="G89" s="119" t="str">
        <f>'HourGH-JAN'!AF27&amp;":00"</f>
        <v>1:00</v>
      </c>
      <c r="H89" s="119" t="str">
        <f>'HourGH-JAN'!AF28&amp;":00"</f>
        <v>1:00</v>
      </c>
      <c r="I89" s="119" t="str">
        <f>'HourGH-JAN'!AF29&amp;":00"</f>
        <v>1:00</v>
      </c>
      <c r="J89" s="119" t="str">
        <f>'HourGH-JAN'!AF30&amp;":00"</f>
        <v>1:00</v>
      </c>
      <c r="K89" s="119" t="str">
        <f>'HourGH-JAN'!AF31&amp;":00"</f>
        <v>24:00</v>
      </c>
      <c r="O89" s="118" t="str">
        <f>INDEX(P56:P85,N88)</f>
        <v>19:00</v>
      </c>
      <c r="P89" s="129">
        <f>MIN(B85:K87)</f>
        <v>337.92</v>
      </c>
      <c r="R89" t="str">
        <f>INDEX(T56:T85,P88)</f>
        <v>1:00</v>
      </c>
    </row>
    <row r="90" spans="1:20">
      <c r="A90" t="s">
        <v>224</v>
      </c>
      <c r="B90" s="119" t="str">
        <f>'HourGH-JAN'!AF33&amp;":00"</f>
        <v>6:00</v>
      </c>
      <c r="C90" s="119" t="str">
        <f>'HourGH-JAN'!AF34&amp;":00"</f>
        <v>1:00</v>
      </c>
      <c r="D90" s="119" t="str">
        <f>'HourGH-JAN'!AF35&amp;":00"</f>
        <v>1:00</v>
      </c>
      <c r="E90" s="119" t="str">
        <f>'HourGH-JAN'!AF36&amp;":00"</f>
        <v>1:00</v>
      </c>
      <c r="F90" s="119" t="str">
        <f>'HourGH-JAN'!AF37&amp;":00"</f>
        <v>1:00</v>
      </c>
      <c r="G90" s="119" t="str">
        <f>'HourGH-JAN'!AF38&amp;":00"</f>
        <v>13:00</v>
      </c>
      <c r="H90" s="119" t="str">
        <f>'HourGH-JAN'!AF39&amp;":00"</f>
        <v>24:00</v>
      </c>
      <c r="I90" s="119" t="str">
        <f>'HourGH-JAN'!AF40&amp;":00"</f>
        <v>13:00</v>
      </c>
      <c r="J90" s="119" t="str">
        <f>'HourGH-JAN'!AF41&amp;":00"</f>
        <v>1:00</v>
      </c>
      <c r="K90" s="119" t="str">
        <f>'HourGH-JAN'!AF42&amp;":00"</f>
        <v>1:00</v>
      </c>
      <c r="N90" s="119">
        <f>MAX(B79:K81)</f>
        <v>338.34000000000003</v>
      </c>
      <c r="O90" s="118">
        <f>N88</f>
        <v>19</v>
      </c>
    </row>
    <row r="91" spans="1:20">
      <c r="A91" t="s">
        <v>218</v>
      </c>
      <c r="B91" s="119">
        <f>AVERAGE(B76:K78)</f>
        <v>338.05606944444452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338.34 DATE 19 TIME 19:00 MIN 337.92 DATE 29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T92"/>
  <sheetViews>
    <sheetView workbookViewId="0">
      <selection sqref="A1:K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245</v>
      </c>
      <c r="B2" s="118">
        <f>'HourGH-FEB'!W7</f>
        <v>337.6</v>
      </c>
      <c r="C2" s="118" t="str">
        <f>'HourGH-FEB'!Z7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IF(TRIM('HourGH-FEB'!C11)="","      ",'HourGH-FEB'!C11)</f>
        <v>0.6</v>
      </c>
      <c r="C4" s="128">
        <f>IF(TRIM('HourGH-FEB'!C12)="","      ",'HourGH-FEB'!C12)</f>
        <v>0.71</v>
      </c>
      <c r="D4" s="128">
        <f>IF(TRIM('HourGH-FEB'!C13)="","      ",'HourGH-FEB'!C13)</f>
        <v>0.49</v>
      </c>
      <c r="E4" s="128">
        <f>IF(TRIM('HourGH-FEB'!C14)="","      ",'HourGH-FEB'!C14)</f>
        <v>0.4</v>
      </c>
      <c r="F4" s="118">
        <f>IF(TRIM('HourGH-FEB'!C15)="","      ",'HourGH-FEB'!C15)</f>
        <v>0.38</v>
      </c>
      <c r="G4" s="118">
        <f>IF(TRIM('HourGH-FEB'!C16)="","      ",'HourGH-FEB'!C16)</f>
        <v>0.32</v>
      </c>
      <c r="H4" s="118">
        <f>IF(TRIM('HourGH-FEB'!C17)="","      ",'HourGH-FEB'!C17)</f>
        <v>0.3</v>
      </c>
      <c r="I4" s="118">
        <f>IF(TRIM('HourGH-FEB'!C18)="","      ",'HourGH-FEB'!C18)</f>
        <v>0.62</v>
      </c>
      <c r="J4" s="118">
        <f>IF(TRIM('HourGH-FEB'!C19)="","      ",'HourGH-FEB'!C19)</f>
        <v>0.67</v>
      </c>
      <c r="K4" s="118">
        <f>IF(TRIM('HourGH-FEB'!C20)="","      ",'HourGH-FEB'!C20)</f>
        <v>0.67</v>
      </c>
    </row>
    <row r="5" spans="1:15">
      <c r="A5" s="127" t="s">
        <v>147</v>
      </c>
      <c r="B5" s="118">
        <f>IF(TRIM('HourGH-FEB'!C22)="","      ",'HourGH-FEB'!C22)</f>
        <v>0.35</v>
      </c>
      <c r="C5" s="118">
        <f>IF(TRIM('HourGH-FEB'!C23)="","      ",'HourGH-FEB'!C23)</f>
        <v>0.28999999999999998</v>
      </c>
      <c r="D5" s="118">
        <f>IF(TRIM('HourGH-FEB'!C24)="","      ",'HourGH-FEB'!C24)</f>
        <v>0.3</v>
      </c>
      <c r="E5" s="118">
        <f>IF(TRIM('HourGH-FEB'!C25)="","      ",'HourGH-FEB'!C25)</f>
        <v>0.28999999999999998</v>
      </c>
      <c r="F5" s="118">
        <f>IF(TRIM('HourGH-FEB'!C26)="","      ",'HourGH-FEB'!C26)</f>
        <v>0.56999999999999995</v>
      </c>
      <c r="G5" s="118">
        <f>IF(TRIM('HourGH-FEB'!C27)="","      ",'HourGH-FEB'!C27)</f>
        <v>0.82</v>
      </c>
      <c r="H5" s="118">
        <f>IF(TRIM('HourGH-FEB'!C28)="","      ",'HourGH-FEB'!C28)</f>
        <v>0.83</v>
      </c>
      <c r="I5" s="118">
        <f>IF(TRIM('HourGH-FEB'!C29)="","      ",'HourGH-FEB'!C29)</f>
        <v>0.38</v>
      </c>
      <c r="J5" s="118">
        <f>IF(TRIM('HourGH-FEB'!C30)="","      ",'HourGH-FEB'!C30)</f>
        <v>0.27</v>
      </c>
      <c r="K5" s="118">
        <f>IF(TRIM('HourGH-FEB'!C31)="","      ",'HourGH-FEB'!C31)</f>
        <v>0.28000000000000003</v>
      </c>
    </row>
    <row r="6" spans="1:15">
      <c r="A6" s="127" t="s">
        <v>148</v>
      </c>
      <c r="B6" s="118">
        <f>IF(TRIM('HourGH-FEB'!C33)="","      ",'HourGH-FEB'!C33)</f>
        <v>0.26</v>
      </c>
      <c r="C6" s="118">
        <f>IF(TRIM('HourGH-FEB'!C34)="","      ",'HourGH-FEB'!C34)</f>
        <v>0.61</v>
      </c>
      <c r="D6" s="118">
        <f>IF(TRIM('HourGH-FEB'!C35)="","      ",'HourGH-FEB'!C35)</f>
        <v>0.53</v>
      </c>
      <c r="E6" s="118">
        <f>IF(TRIM('HourGH-FEB'!C36)="","      ",'HourGH-FEB'!C36)</f>
        <v>0.64</v>
      </c>
      <c r="F6" s="118">
        <f>IF(TRIM('HourGH-FEB'!C37)="","      ",'HourGH-FEB'!C37)</f>
        <v>0.31</v>
      </c>
      <c r="G6" s="118">
        <f>IF(TRIM('HourGH-FEB'!C38)="","      ",'HourGH-FEB'!C38)</f>
        <v>0.25</v>
      </c>
      <c r="H6" s="118">
        <f>IF(TRIM('HourGH-FEB'!C39)="","      ",'HourGH-FEB'!C39)</f>
        <v>0.25</v>
      </c>
      <c r="I6" s="118">
        <f>IF(TRIM('HourGH-FEB'!C40)="","      ",'HourGH-FEB'!C40)</f>
        <v>0.25</v>
      </c>
      <c r="J6" s="118" t="str">
        <f>IF(TRIM('HourGH-FEB'!C41)="","      ",'HourGH-FEB'!C41)</f>
        <v xml:space="preserve">      </v>
      </c>
      <c r="K6" s="118" t="str">
        <f>IF(TRIM('HourGH-FEB'!C42)="","      ",'HourGH-FEB'!C42)</f>
        <v xml:space="preserve">      </v>
      </c>
    </row>
    <row r="7" spans="1:15">
      <c r="A7" s="127" t="s">
        <v>149</v>
      </c>
      <c r="B7" s="128">
        <f>IF(TRIM('HourGH-FEB'!D11)="","      ",'HourGH-FEB'!D11)</f>
        <v>0.62</v>
      </c>
      <c r="C7" s="128">
        <f>IF(TRIM('HourGH-FEB'!D12)="","      ",'HourGH-FEB'!D12)</f>
        <v>0.71</v>
      </c>
      <c r="D7" s="128">
        <f>IF(TRIM('HourGH-FEB'!D13)="","      ",'HourGH-FEB'!D13)</f>
        <v>0.48</v>
      </c>
      <c r="E7" s="128">
        <f>IF(TRIM('HourGH-FEB'!D14)="","      ",'HourGH-FEB'!D14)</f>
        <v>0.41</v>
      </c>
      <c r="F7" s="118">
        <f>IF(TRIM('HourGH-FEB'!D15)="","      ",'HourGH-FEB'!D15)</f>
        <v>0.36</v>
      </c>
      <c r="G7" s="118">
        <f>IF(TRIM('HourGH-FEB'!D16)="","      ",'HourGH-FEB'!D16)</f>
        <v>0.32</v>
      </c>
      <c r="H7" s="118">
        <f>IF(TRIM('HourGH-FEB'!D17)="","      ",'HourGH-FEB'!D17)</f>
        <v>0.3</v>
      </c>
      <c r="I7" s="118">
        <f>IF(TRIM('HourGH-FEB'!D18)="","      ",'HourGH-FEB'!D18)</f>
        <v>0.63</v>
      </c>
      <c r="J7" s="118">
        <f>IF(TRIM('HourGH-FEB'!D19)="","      ",'HourGH-FEB'!D19)</f>
        <v>0.67</v>
      </c>
      <c r="K7" s="118">
        <f>IF(TRIM('HourGH-FEB'!D20)="","      ",'HourGH-FEB'!D20)</f>
        <v>0.67</v>
      </c>
    </row>
    <row r="8" spans="1:15">
      <c r="A8" s="127" t="s">
        <v>150</v>
      </c>
      <c r="B8" s="118">
        <f>IF(TRIM('HourGH-FEB'!D22)="","      ",'HourGH-FEB'!D22)</f>
        <v>0.34</v>
      </c>
      <c r="C8" s="118">
        <f>IF(TRIM('HourGH-FEB'!D23)="","      ",'HourGH-FEB'!D23)</f>
        <v>0.28999999999999998</v>
      </c>
      <c r="D8" s="118">
        <f>IF(TRIM('HourGH-FEB'!D24)="","      ",'HourGH-FEB'!D24)</f>
        <v>0.3</v>
      </c>
      <c r="E8" s="118">
        <f>IF(TRIM('HourGH-FEB'!D25)="","      ",'HourGH-FEB'!D25)</f>
        <v>0.28999999999999998</v>
      </c>
      <c r="F8" s="118">
        <f>IF(TRIM('HourGH-FEB'!D26)="","      ",'HourGH-FEB'!D26)</f>
        <v>0.59</v>
      </c>
      <c r="G8" s="118">
        <f>IF(TRIM('HourGH-FEB'!D27)="","      ",'HourGH-FEB'!D27)</f>
        <v>0.82</v>
      </c>
      <c r="H8" s="118">
        <f>IF(TRIM('HourGH-FEB'!D28)="","      ",'HourGH-FEB'!D28)</f>
        <v>0.83</v>
      </c>
      <c r="I8" s="118">
        <f>IF(TRIM('HourGH-FEB'!D29)="","      ",'HourGH-FEB'!D29)</f>
        <v>0.35</v>
      </c>
      <c r="J8" s="118">
        <f>IF(TRIM('HourGH-FEB'!D30)="","      ",'HourGH-FEB'!D30)</f>
        <v>0.27</v>
      </c>
      <c r="K8" s="118">
        <f>IF(TRIM('HourGH-FEB'!D31)="","      ",'HourGH-FEB'!D31)</f>
        <v>0.28000000000000003</v>
      </c>
    </row>
    <row r="9" spans="1:15">
      <c r="A9" s="127" t="s">
        <v>151</v>
      </c>
      <c r="B9" s="118">
        <f>IF(TRIM('HourGH-FEB'!D33)="","      ",'HourGH-FEB'!D33)</f>
        <v>0.26</v>
      </c>
      <c r="C9" s="118">
        <f>IF(TRIM('HourGH-FEB'!D34)="","      ",'HourGH-FEB'!D34)</f>
        <v>0.63</v>
      </c>
      <c r="D9" s="118">
        <f>IF(TRIM('HourGH-FEB'!D35)="","      ",'HourGH-FEB'!D35)</f>
        <v>0.52</v>
      </c>
      <c r="E9" s="118">
        <f>IF(TRIM('HourGH-FEB'!D36)="","      ",'HourGH-FEB'!D36)</f>
        <v>0.65</v>
      </c>
      <c r="F9" s="118">
        <f>IF(TRIM('HourGH-FEB'!D37)="","      ",'HourGH-FEB'!D37)</f>
        <v>0.3</v>
      </c>
      <c r="G9" s="118">
        <f>IF(TRIM('HourGH-FEB'!D38)="","      ",'HourGH-FEB'!D38)</f>
        <v>0.25</v>
      </c>
      <c r="H9" s="118">
        <f>IF(TRIM('HourGH-FEB'!D39)="","      ",'HourGH-FEB'!D39)</f>
        <v>0.25</v>
      </c>
      <c r="I9" s="118">
        <f>IF(TRIM('HourGH-FEB'!D40)="","      ",'HourGH-FEB'!D40)</f>
        <v>0.25</v>
      </c>
      <c r="J9" s="118" t="str">
        <f>IF(TRIM('HourGH-FEB'!D41)="","      ",'HourGH-FEB'!D41)</f>
        <v xml:space="preserve">      </v>
      </c>
      <c r="K9" s="118" t="str">
        <f>IF(TRIM('HourGH-FEB'!D42)="","      ",'HourGH-FEB'!D42)</f>
        <v xml:space="preserve">      </v>
      </c>
    </row>
    <row r="10" spans="1:15">
      <c r="A10" s="127" t="s">
        <v>152</v>
      </c>
      <c r="B10" s="128">
        <f>IF(TRIM('HourGH-FEB'!E11)="","      ",'HourGH-FEB'!E11)</f>
        <v>0.64</v>
      </c>
      <c r="C10" s="128">
        <f>IF(TRIM('HourGH-FEB'!E12)="","      ",'HourGH-FEB'!E12)</f>
        <v>0.7</v>
      </c>
      <c r="D10" s="128">
        <f>IF(TRIM('HourGH-FEB'!E13)="","      ",'HourGH-FEB'!E13)</f>
        <v>0.46</v>
      </c>
      <c r="E10" s="128">
        <f>IF(TRIM('HourGH-FEB'!E14)="","      ",'HourGH-FEB'!E14)</f>
        <v>0.42</v>
      </c>
      <c r="F10" s="118">
        <f>IF(TRIM('HourGH-FEB'!E15)="","      ",'HourGH-FEB'!E15)</f>
        <v>0.35</v>
      </c>
      <c r="G10" s="118">
        <f>IF(TRIM('HourGH-FEB'!E16)="","      ",'HourGH-FEB'!E16)</f>
        <v>0.32</v>
      </c>
      <c r="H10" s="118">
        <f>IF(TRIM('HourGH-FEB'!E17)="","      ",'HourGH-FEB'!E17)</f>
        <v>0.3</v>
      </c>
      <c r="I10" s="118">
        <f>IF(TRIM('HourGH-FEB'!E18)="","      ",'HourGH-FEB'!E18)</f>
        <v>0.64</v>
      </c>
      <c r="J10" s="118">
        <f>IF(TRIM('HourGH-FEB'!E19)="","      ",'HourGH-FEB'!E19)</f>
        <v>0.67</v>
      </c>
      <c r="K10" s="118">
        <f>IF(TRIM('HourGH-FEB'!E20)="","      ",'HourGH-FEB'!E20)</f>
        <v>0.67</v>
      </c>
    </row>
    <row r="11" spans="1:15">
      <c r="A11" s="127" t="s">
        <v>153</v>
      </c>
      <c r="B11" s="118">
        <f>IF(TRIM('HourGH-FEB'!E22)="","      ",'HourGH-FEB'!E22)</f>
        <v>0.33</v>
      </c>
      <c r="C11" s="118">
        <f>IF(TRIM('HourGH-FEB'!E23)="","      ",'HourGH-FEB'!E23)</f>
        <v>0.28999999999999998</v>
      </c>
      <c r="D11" s="118">
        <f>IF(TRIM('HourGH-FEB'!E24)="","      ",'HourGH-FEB'!E24)</f>
        <v>0.3</v>
      </c>
      <c r="E11" s="118">
        <f>IF(TRIM('HourGH-FEB'!E25)="","      ",'HourGH-FEB'!E25)</f>
        <v>0.28999999999999998</v>
      </c>
      <c r="F11" s="118">
        <f>IF(TRIM('HourGH-FEB'!E26)="","      ",'HourGH-FEB'!E26)</f>
        <v>0.62</v>
      </c>
      <c r="G11" s="118">
        <f>IF(TRIM('HourGH-FEB'!E27)="","      ",'HourGH-FEB'!E27)</f>
        <v>0.82</v>
      </c>
      <c r="H11" s="118">
        <f>IF(TRIM('HourGH-FEB'!E28)="","      ",'HourGH-FEB'!E28)</f>
        <v>0.83</v>
      </c>
      <c r="I11" s="118">
        <f>IF(TRIM('HourGH-FEB'!E29)="","      ",'HourGH-FEB'!E29)</f>
        <v>0.33</v>
      </c>
      <c r="J11" s="118">
        <f>IF(TRIM('HourGH-FEB'!E30)="","      ",'HourGH-FEB'!E30)</f>
        <v>0.27</v>
      </c>
      <c r="K11" s="118">
        <f>IF(TRIM('HourGH-FEB'!E31)="","      ",'HourGH-FEB'!E31)</f>
        <v>0.28000000000000003</v>
      </c>
    </row>
    <row r="12" spans="1:15">
      <c r="A12" s="127" t="s">
        <v>154</v>
      </c>
      <c r="B12" s="118">
        <f>IF(TRIM('HourGH-FEB'!E33)="","      ",'HourGH-FEB'!E33)</f>
        <v>0.26</v>
      </c>
      <c r="C12" s="118">
        <f>IF(TRIM('HourGH-FEB'!E34)="","      ",'HourGH-FEB'!E34)</f>
        <v>0.65</v>
      </c>
      <c r="D12" s="118">
        <f>IF(TRIM('HourGH-FEB'!E35)="","      ",'HourGH-FEB'!E35)</f>
        <v>0.51</v>
      </c>
      <c r="E12" s="118">
        <f>IF(TRIM('HourGH-FEB'!E36)="","      ",'HourGH-FEB'!E36)</f>
        <v>0.66</v>
      </c>
      <c r="F12" s="118">
        <f>IF(TRIM('HourGH-FEB'!E37)="","      ",'HourGH-FEB'!E37)</f>
        <v>0.28999999999999998</v>
      </c>
      <c r="G12" s="118">
        <f>IF(TRIM('HourGH-FEB'!E38)="","      ",'HourGH-FEB'!E38)</f>
        <v>0.25</v>
      </c>
      <c r="H12" s="118">
        <f>IF(TRIM('HourGH-FEB'!E39)="","      ",'HourGH-FEB'!E39)</f>
        <v>0.25</v>
      </c>
      <c r="I12" s="118">
        <f>IF(TRIM('HourGH-FEB'!E40)="","      ",'HourGH-FEB'!E40)</f>
        <v>0.25</v>
      </c>
      <c r="J12" s="118" t="str">
        <f>IF(TRIM('HourGH-FEB'!E41)="","      ",'HourGH-FEB'!E41)</f>
        <v xml:space="preserve">      </v>
      </c>
      <c r="K12" s="118" t="str">
        <f>IF(TRIM('HourGH-FEB'!E42)="","      ",'HourGH-FEB'!E42)</f>
        <v xml:space="preserve">      </v>
      </c>
    </row>
    <row r="13" spans="1:15">
      <c r="A13" s="127" t="s">
        <v>155</v>
      </c>
      <c r="B13" s="128">
        <f>IF(TRIM('HourGH-FEB'!F11)="","      ",'HourGH-FEB'!F11)</f>
        <v>0.68</v>
      </c>
      <c r="C13" s="128">
        <f>IF(TRIM('HourGH-FEB'!F12)="","      ",'HourGH-FEB'!F12)</f>
        <v>0.7</v>
      </c>
      <c r="D13" s="128">
        <f>IF(TRIM('HourGH-FEB'!F13)="","      ",'HourGH-FEB'!F13)</f>
        <v>0.44</v>
      </c>
      <c r="E13" s="128">
        <f>IF(TRIM('HourGH-FEB'!F14)="","      ",'HourGH-FEB'!F14)</f>
        <v>0.43</v>
      </c>
      <c r="F13" s="118">
        <f>IF(TRIM('HourGH-FEB'!F15)="","      ",'HourGH-FEB'!F15)</f>
        <v>0.34</v>
      </c>
      <c r="G13" s="118">
        <f>IF(TRIM('HourGH-FEB'!F16)="","      ",'HourGH-FEB'!F16)</f>
        <v>0.32</v>
      </c>
      <c r="H13" s="118">
        <f>IF(TRIM('HourGH-FEB'!F17)="","      ",'HourGH-FEB'!F17)</f>
        <v>0.3</v>
      </c>
      <c r="I13" s="118">
        <f>IF(TRIM('HourGH-FEB'!F18)="","      ",'HourGH-FEB'!F18)</f>
        <v>0.65</v>
      </c>
      <c r="J13" s="118">
        <f>IF(TRIM('HourGH-FEB'!F19)="","      ",'HourGH-FEB'!F19)</f>
        <v>0.67</v>
      </c>
      <c r="K13" s="118">
        <f>IF(TRIM('HourGH-FEB'!F20)="","      ",'HourGH-FEB'!F20)</f>
        <v>0.67</v>
      </c>
    </row>
    <row r="14" spans="1:15">
      <c r="A14" s="127" t="s">
        <v>156</v>
      </c>
      <c r="B14" s="118">
        <f>IF(TRIM('HourGH-FEB'!F22)="","      ",'HourGH-FEB'!F22)</f>
        <v>0.32</v>
      </c>
      <c r="C14" s="118">
        <f>IF(TRIM('HourGH-FEB'!F23)="","      ",'HourGH-FEB'!F23)</f>
        <v>0.28999999999999998</v>
      </c>
      <c r="D14" s="118">
        <f>IF(TRIM('HourGH-FEB'!F24)="","      ",'HourGH-FEB'!F24)</f>
        <v>0.3</v>
      </c>
      <c r="E14" s="118">
        <f>IF(TRIM('HourGH-FEB'!F25)="","      ",'HourGH-FEB'!F25)</f>
        <v>0.28999999999999998</v>
      </c>
      <c r="F14" s="118">
        <f>IF(TRIM('HourGH-FEB'!F26)="","      ",'HourGH-FEB'!F26)</f>
        <v>0.64</v>
      </c>
      <c r="G14" s="118">
        <f>IF(TRIM('HourGH-FEB'!F27)="","      ",'HourGH-FEB'!F27)</f>
        <v>0.83</v>
      </c>
      <c r="H14" s="118">
        <f>IF(TRIM('HourGH-FEB'!F28)="","      ",'HourGH-FEB'!F28)</f>
        <v>0.83</v>
      </c>
      <c r="I14" s="118">
        <f>IF(TRIM('HourGH-FEB'!F29)="","      ",'HourGH-FEB'!F29)</f>
        <v>0.31</v>
      </c>
      <c r="J14" s="118">
        <f>IF(TRIM('HourGH-FEB'!F30)="","      ",'HourGH-FEB'!F30)</f>
        <v>0.27</v>
      </c>
      <c r="K14" s="118">
        <f>IF(TRIM('HourGH-FEB'!F31)="","      ",'HourGH-FEB'!F31)</f>
        <v>0.28000000000000003</v>
      </c>
    </row>
    <row r="15" spans="1:15">
      <c r="A15" s="127" t="s">
        <v>157</v>
      </c>
      <c r="B15" s="118">
        <f>IF(TRIM('HourGH-FEB'!F33)="","      ",'HourGH-FEB'!F33)</f>
        <v>0.26</v>
      </c>
      <c r="C15" s="118">
        <f>IF(TRIM('HourGH-FEB'!F34)="","      ",'HourGH-FEB'!F34)</f>
        <v>0.67</v>
      </c>
      <c r="D15" s="118">
        <f>IF(TRIM('HourGH-FEB'!F35)="","      ",'HourGH-FEB'!F35)</f>
        <v>0.5</v>
      </c>
      <c r="E15" s="118">
        <f>IF(TRIM('HourGH-FEB'!F36)="","      ",'HourGH-FEB'!F36)</f>
        <v>0.67</v>
      </c>
      <c r="F15" s="118">
        <f>IF(TRIM('HourGH-FEB'!F37)="","      ",'HourGH-FEB'!F37)</f>
        <v>0.28000000000000003</v>
      </c>
      <c r="G15" s="118">
        <f>IF(TRIM('HourGH-FEB'!F38)="","      ",'HourGH-FEB'!F38)</f>
        <v>0.25</v>
      </c>
      <c r="H15" s="118">
        <f>IF(TRIM('HourGH-FEB'!F39)="","      ",'HourGH-FEB'!F39)</f>
        <v>0.25</v>
      </c>
      <c r="I15" s="118">
        <f>IF(TRIM('HourGH-FEB'!F40)="","      ",'HourGH-FEB'!F40)</f>
        <v>0.25</v>
      </c>
      <c r="J15" s="118" t="str">
        <f>IF(TRIM('HourGH-FEB'!F41)="","      ",'HourGH-FEB'!F41)</f>
        <v xml:space="preserve">      </v>
      </c>
      <c r="K15" s="118" t="str">
        <f>IF(TRIM('HourGH-FEB'!F42)="","      ",'HourGH-FEB'!F42)</f>
        <v xml:space="preserve">      </v>
      </c>
    </row>
    <row r="16" spans="1:15">
      <c r="A16" s="127" t="s">
        <v>158</v>
      </c>
      <c r="B16" s="128">
        <f>IF(TRIM('HourGH-FEB'!G11)="","      ",'HourGH-FEB'!G11)</f>
        <v>0.69</v>
      </c>
      <c r="C16" s="128">
        <f>IF(TRIM('HourGH-FEB'!G12)="","      ",'HourGH-FEB'!G12)</f>
        <v>0.7</v>
      </c>
      <c r="D16" s="128">
        <f>IF(TRIM('HourGH-FEB'!G13)="","      ",'HourGH-FEB'!G13)</f>
        <v>0.43</v>
      </c>
      <c r="E16" s="128">
        <f>IF(TRIM('HourGH-FEB'!G14)="","      ",'HourGH-FEB'!G14)</f>
        <v>0.44</v>
      </c>
      <c r="F16" s="118">
        <f>IF(TRIM('HourGH-FEB'!G15)="","      ",'HourGH-FEB'!G15)</f>
        <v>0.33</v>
      </c>
      <c r="G16" s="118">
        <f>IF(TRIM('HourGH-FEB'!G16)="","      ",'HourGH-FEB'!G16)</f>
        <v>0.32</v>
      </c>
      <c r="H16" s="118">
        <f>IF(TRIM('HourGH-FEB'!G17)="","      ",'HourGH-FEB'!G17)</f>
        <v>0.3</v>
      </c>
      <c r="I16" s="118">
        <f>IF(TRIM('HourGH-FEB'!G18)="","      ",'HourGH-FEB'!G18)</f>
        <v>0.66</v>
      </c>
      <c r="J16" s="118">
        <f>IF(TRIM('HourGH-FEB'!G19)="","      ",'HourGH-FEB'!G19)</f>
        <v>0.67</v>
      </c>
      <c r="K16" s="118">
        <f>IF(TRIM('HourGH-FEB'!G20)="","      ",'HourGH-FEB'!G20)</f>
        <v>0.67</v>
      </c>
    </row>
    <row r="17" spans="1:11">
      <c r="A17" s="127" t="s">
        <v>159</v>
      </c>
      <c r="B17" s="118">
        <f>IF(TRIM('HourGH-FEB'!G22)="","      ",'HourGH-FEB'!G22)</f>
        <v>0.31</v>
      </c>
      <c r="C17" s="118">
        <f>IF(TRIM('HourGH-FEB'!G23)="","      ",'HourGH-FEB'!G23)</f>
        <v>0.28999999999999998</v>
      </c>
      <c r="D17" s="118">
        <f>IF(TRIM('HourGH-FEB'!G24)="","      ",'HourGH-FEB'!G24)</f>
        <v>0.3</v>
      </c>
      <c r="E17" s="118">
        <f>IF(TRIM('HourGH-FEB'!G25)="","      ",'HourGH-FEB'!G25)</f>
        <v>0.28999999999999998</v>
      </c>
      <c r="F17" s="118">
        <f>IF(TRIM('HourGH-FEB'!G26)="","      ",'HourGH-FEB'!G26)</f>
        <v>0.65</v>
      </c>
      <c r="G17" s="118">
        <f>IF(TRIM('HourGH-FEB'!G27)="","      ",'HourGH-FEB'!G27)</f>
        <v>0.83</v>
      </c>
      <c r="H17" s="118">
        <f>IF(TRIM('HourGH-FEB'!G28)="","      ",'HourGH-FEB'!G28)</f>
        <v>0.82</v>
      </c>
      <c r="I17" s="118">
        <f>IF(TRIM('HourGH-FEB'!G29)="","      ",'HourGH-FEB'!G29)</f>
        <v>0.28999999999999998</v>
      </c>
      <c r="J17" s="118">
        <f>IF(TRIM('HourGH-FEB'!G30)="","      ",'HourGH-FEB'!G30)</f>
        <v>0.27</v>
      </c>
      <c r="K17" s="118">
        <f>IF(TRIM('HourGH-FEB'!G31)="","      ",'HourGH-FEB'!G31)</f>
        <v>0.28000000000000003</v>
      </c>
    </row>
    <row r="18" spans="1:11">
      <c r="A18" s="127" t="s">
        <v>160</v>
      </c>
      <c r="B18" s="118">
        <f>IF(TRIM('HourGH-FEB'!G33)="","      ",'HourGH-FEB'!G33)</f>
        <v>0.26</v>
      </c>
      <c r="C18" s="118">
        <f>IF(TRIM('HourGH-FEB'!G34)="","      ",'HourGH-FEB'!G34)</f>
        <v>0.68</v>
      </c>
      <c r="D18" s="118">
        <f>IF(TRIM('HourGH-FEB'!G35)="","      ",'HourGH-FEB'!G35)</f>
        <v>0.49</v>
      </c>
      <c r="E18" s="118">
        <f>IF(TRIM('HourGH-FEB'!G36)="","      ",'HourGH-FEB'!G36)</f>
        <v>0.67</v>
      </c>
      <c r="F18" s="118">
        <f>IF(TRIM('HourGH-FEB'!G37)="","      ",'HourGH-FEB'!G37)</f>
        <v>0.27</v>
      </c>
      <c r="G18" s="118">
        <f>IF(TRIM('HourGH-FEB'!G38)="","      ",'HourGH-FEB'!G38)</f>
        <v>0.25</v>
      </c>
      <c r="H18" s="118">
        <f>IF(TRIM('HourGH-FEB'!G39)="","      ",'HourGH-FEB'!G39)</f>
        <v>0.25</v>
      </c>
      <c r="I18" s="118">
        <f>IF(TRIM('HourGH-FEB'!G40)="","      ",'HourGH-FEB'!G40)</f>
        <v>0.25</v>
      </c>
      <c r="J18" s="118" t="str">
        <f>IF(TRIM('HourGH-FEB'!G41)="","      ",'HourGH-FEB'!G41)</f>
        <v xml:space="preserve">      </v>
      </c>
      <c r="K18" s="118" t="str">
        <f>IF(TRIM('HourGH-FEB'!G42)="","      ",'HourGH-FEB'!G42)</f>
        <v xml:space="preserve">      </v>
      </c>
    </row>
    <row r="19" spans="1:11">
      <c r="A19" s="127" t="s">
        <v>161</v>
      </c>
      <c r="B19" s="128">
        <f>IF(TRIM('HourGH-FEB'!H11)="","      ",'HourGH-FEB'!H11)</f>
        <v>0.7</v>
      </c>
      <c r="C19" s="128">
        <f>IF(TRIM('HourGH-FEB'!H12)="","      ",'HourGH-FEB'!H12)</f>
        <v>0.69</v>
      </c>
      <c r="D19" s="128">
        <f>IF(TRIM('HourGH-FEB'!H13)="","      ",'HourGH-FEB'!H13)</f>
        <v>0.41</v>
      </c>
      <c r="E19" s="128">
        <f>IF(TRIM('HourGH-FEB'!H14)="","      ",'HourGH-FEB'!H14)</f>
        <v>0.45</v>
      </c>
      <c r="F19" s="118">
        <f>IF(TRIM('HourGH-FEB'!H15)="","      ",'HourGH-FEB'!H15)</f>
        <v>0.32</v>
      </c>
      <c r="G19" s="118">
        <f>IF(TRIM('HourGH-FEB'!H16)="","      ",'HourGH-FEB'!H16)</f>
        <v>0.32</v>
      </c>
      <c r="H19" s="118">
        <f>IF(TRIM('HourGH-FEB'!H17)="","      ",'HourGH-FEB'!H17)</f>
        <v>0.3</v>
      </c>
      <c r="I19" s="118">
        <f>IF(TRIM('HourGH-FEB'!H18)="","      ",'HourGH-FEB'!H18)</f>
        <v>0.67</v>
      </c>
      <c r="J19" s="118">
        <f>IF(TRIM('HourGH-FEB'!H19)="","      ",'HourGH-FEB'!H19)</f>
        <v>0.67</v>
      </c>
      <c r="K19" s="118">
        <f>IF(TRIM('HourGH-FEB'!H20)="","      ",'HourGH-FEB'!H20)</f>
        <v>0.67</v>
      </c>
    </row>
    <row r="20" spans="1:11">
      <c r="A20" s="127" t="s">
        <v>162</v>
      </c>
      <c r="B20" s="118">
        <f>IF(TRIM('HourGH-FEB'!H22)="","      ",'HourGH-FEB'!H22)</f>
        <v>0.3</v>
      </c>
      <c r="C20" s="118">
        <f>IF(TRIM('HourGH-FEB'!H23)="","      ",'HourGH-FEB'!H23)</f>
        <v>0.28999999999999998</v>
      </c>
      <c r="D20" s="118">
        <f>IF(TRIM('HourGH-FEB'!H24)="","      ",'HourGH-FEB'!H24)</f>
        <v>0.3</v>
      </c>
      <c r="E20" s="118">
        <f>IF(TRIM('HourGH-FEB'!H25)="","      ",'HourGH-FEB'!H25)</f>
        <v>0.28999999999999998</v>
      </c>
      <c r="F20" s="118">
        <f>IF(TRIM('HourGH-FEB'!H26)="","      ",'HourGH-FEB'!H26)</f>
        <v>0.67</v>
      </c>
      <c r="G20" s="118">
        <f>IF(TRIM('HourGH-FEB'!H27)="","      ",'HourGH-FEB'!H27)</f>
        <v>0.83</v>
      </c>
      <c r="H20" s="118">
        <f>IF(TRIM('HourGH-FEB'!H28)="","      ",'HourGH-FEB'!H28)</f>
        <v>0.82</v>
      </c>
      <c r="I20" s="118">
        <f>IF(TRIM('HourGH-FEB'!H29)="","      ",'HourGH-FEB'!H29)</f>
        <v>0.27</v>
      </c>
      <c r="J20" s="118">
        <f>IF(TRIM('HourGH-FEB'!H30)="","      ",'HourGH-FEB'!H30)</f>
        <v>0.27</v>
      </c>
      <c r="K20" s="118">
        <f>IF(TRIM('HourGH-FEB'!H31)="","      ",'HourGH-FEB'!H31)</f>
        <v>0.28000000000000003</v>
      </c>
    </row>
    <row r="21" spans="1:11">
      <c r="A21" s="127" t="s">
        <v>163</v>
      </c>
      <c r="B21" s="118">
        <f>IF(TRIM('HourGH-FEB'!H33)="","      ",'HourGH-FEB'!H33)</f>
        <v>0.26</v>
      </c>
      <c r="C21" s="118">
        <f>IF(TRIM('HourGH-FEB'!H34)="","      ",'HourGH-FEB'!H34)</f>
        <v>0.69</v>
      </c>
      <c r="D21" s="118">
        <f>IF(TRIM('HourGH-FEB'!H35)="","      ",'HourGH-FEB'!H35)</f>
        <v>0.48</v>
      </c>
      <c r="E21" s="118">
        <f>IF(TRIM('HourGH-FEB'!H36)="","      ",'HourGH-FEB'!H36)</f>
        <v>0.68</v>
      </c>
      <c r="F21" s="118">
        <f>IF(TRIM('HourGH-FEB'!H37)="","      ",'HourGH-FEB'!H37)</f>
        <v>0.26</v>
      </c>
      <c r="G21" s="118">
        <f>IF(TRIM('HourGH-FEB'!H38)="","      ",'HourGH-FEB'!H38)</f>
        <v>0.25</v>
      </c>
      <c r="H21" s="118">
        <f>IF(TRIM('HourGH-FEB'!H39)="","      ",'HourGH-FEB'!H39)</f>
        <v>0.25</v>
      </c>
      <c r="I21" s="118">
        <f>IF(TRIM('HourGH-FEB'!H40)="","      ",'HourGH-FEB'!H40)</f>
        <v>0.25</v>
      </c>
      <c r="J21" s="118" t="str">
        <f>IF(TRIM('HourGH-FEB'!H41)="","      ",'HourGH-FEB'!H41)</f>
        <v xml:space="preserve">      </v>
      </c>
      <c r="K21" s="118" t="str">
        <f>IF(TRIM('HourGH-FEB'!H42)="","      ",'HourGH-FEB'!H42)</f>
        <v xml:space="preserve">      </v>
      </c>
    </row>
    <row r="22" spans="1:11">
      <c r="A22" s="127" t="s">
        <v>164</v>
      </c>
      <c r="B22" s="128">
        <f>IF(TRIM('HourGH-FEB'!I11)="","      ",'HourGH-FEB'!I11)</f>
        <v>0.71</v>
      </c>
      <c r="C22" s="128">
        <f>IF(TRIM('HourGH-FEB'!I12)="","      ",'HourGH-FEB'!I12)</f>
        <v>0.68</v>
      </c>
      <c r="D22" s="128">
        <f>IF(TRIM('HourGH-FEB'!I13)="","      ",'HourGH-FEB'!I13)</f>
        <v>0.4</v>
      </c>
      <c r="E22" s="128">
        <f>IF(TRIM('HourGH-FEB'!I14)="","      ",'HourGH-FEB'!I14)</f>
        <v>0.46</v>
      </c>
      <c r="F22" s="118">
        <f>IF(TRIM('HourGH-FEB'!I15)="","      ",'HourGH-FEB'!I15)</f>
        <v>0.32</v>
      </c>
      <c r="G22" s="118">
        <f>IF(TRIM('HourGH-FEB'!I16)="","      ",'HourGH-FEB'!I16)</f>
        <v>0.32</v>
      </c>
      <c r="H22" s="128">
        <f>IF(TRIM('HourGH-FEB'!I17)="","      ",'HourGH-FEB'!I17)</f>
        <v>0.31</v>
      </c>
      <c r="I22" s="128">
        <f>IF(TRIM('HourGH-FEB'!I18)="","      ",'HourGH-FEB'!I18)</f>
        <v>0.67</v>
      </c>
      <c r="J22" s="128">
        <f>IF(TRIM('HourGH-FEB'!I19)="","      ",'HourGH-FEB'!I19)</f>
        <v>0.67</v>
      </c>
      <c r="K22" s="128">
        <f>IF(TRIM('HourGH-FEB'!I20)="","      ",'HourGH-FEB'!I20)</f>
        <v>0.67</v>
      </c>
    </row>
    <row r="23" spans="1:11">
      <c r="A23" s="127" t="s">
        <v>165</v>
      </c>
      <c r="B23" s="128">
        <f>IF(TRIM('HourGH-FEB'!I22)="","      ",'HourGH-FEB'!I22)</f>
        <v>0.3</v>
      </c>
      <c r="C23" s="128">
        <f>IF(TRIM('HourGH-FEB'!I23)="","      ",'HourGH-FEB'!I23)</f>
        <v>0.28999999999999998</v>
      </c>
      <c r="D23" s="128">
        <f>IF(TRIM('HourGH-FEB'!I24)="","      ",'HourGH-FEB'!I24)</f>
        <v>0.3</v>
      </c>
      <c r="E23" s="128">
        <f>IF(TRIM('HourGH-FEB'!I25)="","      ",'HourGH-FEB'!I25)</f>
        <v>0.3</v>
      </c>
      <c r="F23" s="118">
        <f>IF(TRIM('HourGH-FEB'!I26)="","      ",'HourGH-FEB'!I26)</f>
        <v>0.68</v>
      </c>
      <c r="G23" s="118">
        <f>IF(TRIM('HourGH-FEB'!I27)="","      ",'HourGH-FEB'!I27)</f>
        <v>0.83</v>
      </c>
      <c r="H23" s="118">
        <f>IF(TRIM('HourGH-FEB'!I28)="","      ",'HourGH-FEB'!I28)</f>
        <v>0.81</v>
      </c>
      <c r="I23" s="118">
        <f>IF(TRIM('HourGH-FEB'!I29)="","      ",'HourGH-FEB'!I29)</f>
        <v>0.27</v>
      </c>
      <c r="J23" s="118">
        <f>IF(TRIM('HourGH-FEB'!I30)="","      ",'HourGH-FEB'!I30)</f>
        <v>0.27</v>
      </c>
      <c r="K23" s="118">
        <f>IF(TRIM('HourGH-FEB'!I31)="","      ",'HourGH-FEB'!I31)</f>
        <v>0.28000000000000003</v>
      </c>
    </row>
    <row r="24" spans="1:11">
      <c r="A24" s="127" t="s">
        <v>166</v>
      </c>
      <c r="B24" s="128">
        <f>IF(TRIM('HourGH-FEB'!I33)="","      ",'HourGH-FEB'!I33)</f>
        <v>0.27</v>
      </c>
      <c r="C24" s="128">
        <f>IF(TRIM('HourGH-FEB'!I34)="","      ",'HourGH-FEB'!I34)</f>
        <v>0.7</v>
      </c>
      <c r="D24" s="128">
        <f>IF(TRIM('HourGH-FEB'!I35)="","      ",'HourGH-FEB'!I35)</f>
        <v>0.47</v>
      </c>
      <c r="E24" s="128">
        <f>IF(TRIM('HourGH-FEB'!I36)="","      ",'HourGH-FEB'!I36)</f>
        <v>0.68</v>
      </c>
      <c r="F24" s="118">
        <f>IF(TRIM('HourGH-FEB'!I37)="","      ",'HourGH-FEB'!I37)</f>
        <v>0.26</v>
      </c>
      <c r="G24" s="118">
        <f>IF(TRIM('HourGH-FEB'!I38)="","      ",'HourGH-FEB'!I38)</f>
        <v>0.25</v>
      </c>
      <c r="H24" s="118">
        <f>IF(TRIM('HourGH-FEB'!I39)="","      ",'HourGH-FEB'!I39)</f>
        <v>0.25</v>
      </c>
      <c r="I24" s="118">
        <f>IF(TRIM('HourGH-FEB'!I40)="","      ",'HourGH-FEB'!I40)</f>
        <v>0.26</v>
      </c>
      <c r="J24" s="118" t="str">
        <f>IF(TRIM('HourGH-FEB'!I41)="","      ",'HourGH-FEB'!I41)</f>
        <v xml:space="preserve">      </v>
      </c>
      <c r="K24" s="118" t="str">
        <f>IF(TRIM('HourGH-FEB'!I42)="","      ",'HourGH-FEB'!I42)</f>
        <v xml:space="preserve">      </v>
      </c>
    </row>
    <row r="25" spans="1:11">
      <c r="A25" s="127" t="s">
        <v>167</v>
      </c>
      <c r="B25" s="128">
        <f>IF(TRIM('HourGH-FEB'!J11)="","      ",'HourGH-FEB'!J11)</f>
        <v>0.71</v>
      </c>
      <c r="C25" s="128">
        <f>IF(TRIM('HourGH-FEB'!J12)="","      ",'HourGH-FEB'!J12)</f>
        <v>0.68</v>
      </c>
      <c r="D25" s="128">
        <f>IF(TRIM('HourGH-FEB'!J13)="","      ",'HourGH-FEB'!J13)</f>
        <v>0.39</v>
      </c>
      <c r="E25" s="128">
        <f>IF(TRIM('HourGH-FEB'!J14)="","      ",'HourGH-FEB'!J14)</f>
        <v>0.47</v>
      </c>
      <c r="F25" s="118">
        <f>IF(TRIM('HourGH-FEB'!J15)="","      ",'HourGH-FEB'!J15)</f>
        <v>0.32</v>
      </c>
      <c r="G25" s="118">
        <f>IF(TRIM('HourGH-FEB'!J16)="","      ",'HourGH-FEB'!J16)</f>
        <v>0.32</v>
      </c>
      <c r="H25" s="128">
        <f>IF(TRIM('HourGH-FEB'!J17)="","      ",'HourGH-FEB'!J17)</f>
        <v>0.32</v>
      </c>
      <c r="I25" s="128">
        <f>IF(TRIM('HourGH-FEB'!J18)="","      ",'HourGH-FEB'!J18)</f>
        <v>0.67</v>
      </c>
      <c r="J25" s="128">
        <f>IF(TRIM('HourGH-FEB'!J19)="","      ",'HourGH-FEB'!J19)</f>
        <v>0.67</v>
      </c>
      <c r="K25" s="128">
        <f>IF(TRIM('HourGH-FEB'!J20)="","      ",'HourGH-FEB'!J20)</f>
        <v>0.66</v>
      </c>
    </row>
    <row r="26" spans="1:11">
      <c r="A26" s="127" t="s">
        <v>168</v>
      </c>
      <c r="B26" s="128">
        <f>IF(TRIM('HourGH-FEB'!J22)="","      ",'HourGH-FEB'!J22)</f>
        <v>0.3</v>
      </c>
      <c r="C26" s="128">
        <f>IF(TRIM('HourGH-FEB'!J23)="","      ",'HourGH-FEB'!J23)</f>
        <v>0.28999999999999998</v>
      </c>
      <c r="D26" s="128">
        <f>IF(TRIM('HourGH-FEB'!J24)="","      ",'HourGH-FEB'!J24)</f>
        <v>0.3</v>
      </c>
      <c r="E26" s="128">
        <f>IF(TRIM('HourGH-FEB'!J25)="","      ",'HourGH-FEB'!J25)</f>
        <v>0.3</v>
      </c>
      <c r="F26" s="118">
        <f>IF(TRIM('HourGH-FEB'!J26)="","      ",'HourGH-FEB'!J26)</f>
        <v>0.7</v>
      </c>
      <c r="G26" s="118">
        <f>IF(TRIM('HourGH-FEB'!J27)="","      ",'HourGH-FEB'!J27)</f>
        <v>0.83</v>
      </c>
      <c r="H26" s="128">
        <f>IF(TRIM('HourGH-FEB'!J28)="","      ",'HourGH-FEB'!J28)</f>
        <v>0.81</v>
      </c>
      <c r="I26" s="128">
        <f>IF(TRIM('HourGH-FEB'!J29)="","      ",'HourGH-FEB'!J29)</f>
        <v>0.27</v>
      </c>
      <c r="J26" s="128">
        <f>IF(TRIM('HourGH-FEB'!J30)="","      ",'HourGH-FEB'!J30)</f>
        <v>0.27</v>
      </c>
      <c r="K26" s="128">
        <f>IF(TRIM('HourGH-FEB'!J31)="","      ",'HourGH-FEB'!J31)</f>
        <v>0.28000000000000003</v>
      </c>
    </row>
    <row r="27" spans="1:11">
      <c r="A27" s="127" t="s">
        <v>169</v>
      </c>
      <c r="B27" s="128">
        <f>IF(TRIM('HourGH-FEB'!J33)="","      ",'HourGH-FEB'!J33)</f>
        <v>0.27</v>
      </c>
      <c r="C27" s="128">
        <f>IF(TRIM('HourGH-FEB'!J34)="","      ",'HourGH-FEB'!J34)</f>
        <v>0.71</v>
      </c>
      <c r="D27" s="128">
        <f>IF(TRIM('HourGH-FEB'!J35)="","      ",'HourGH-FEB'!J35)</f>
        <v>0.46</v>
      </c>
      <c r="E27" s="128">
        <f>IF(TRIM('HourGH-FEB'!J36)="","      ",'HourGH-FEB'!J36)</f>
        <v>0.68</v>
      </c>
      <c r="F27" s="118">
        <f>IF(TRIM('HourGH-FEB'!J37)="","      ",'HourGH-FEB'!J37)</f>
        <v>0.26</v>
      </c>
      <c r="G27" s="118">
        <f>IF(TRIM('HourGH-FEB'!J38)="","      ",'HourGH-FEB'!J38)</f>
        <v>0.25</v>
      </c>
      <c r="H27" s="128">
        <f>IF(TRIM('HourGH-FEB'!J39)="","      ",'HourGH-FEB'!J39)</f>
        <v>0.25</v>
      </c>
      <c r="I27" s="128">
        <f>IF(TRIM('HourGH-FEB'!J40)="","      ",'HourGH-FEB'!J40)</f>
        <v>0.27</v>
      </c>
      <c r="J27" s="128" t="str">
        <f>IF(TRIM('HourGH-FEB'!J41)="","      ",'HourGH-FEB'!J41)</f>
        <v xml:space="preserve">      </v>
      </c>
      <c r="K27" s="128" t="str">
        <f>IF(TRIM('HourGH-FEB'!J42)="","      ",'HourGH-FEB'!J42)</f>
        <v xml:space="preserve">      </v>
      </c>
    </row>
    <row r="28" spans="1:11">
      <c r="A28" s="127" t="s">
        <v>170</v>
      </c>
      <c r="B28" s="128">
        <f>IF(TRIM('HourGH-FEB'!K11)="","      ",'HourGH-FEB'!K11)</f>
        <v>0.72</v>
      </c>
      <c r="C28" s="128">
        <f>IF(TRIM('HourGH-FEB'!K12)="","      ",'HourGH-FEB'!K12)</f>
        <v>0.67</v>
      </c>
      <c r="D28" s="128">
        <f>IF(TRIM('HourGH-FEB'!K13)="","      ",'HourGH-FEB'!K13)</f>
        <v>0.38</v>
      </c>
      <c r="E28" s="128">
        <f>IF(TRIM('HourGH-FEB'!K14)="","      ",'HourGH-FEB'!K14)</f>
        <v>0.47</v>
      </c>
      <c r="F28" s="118">
        <f>IF(TRIM('HourGH-FEB'!K15)="","      ",'HourGH-FEB'!K15)</f>
        <v>0.32</v>
      </c>
      <c r="G28" s="118">
        <f>IF(TRIM('HourGH-FEB'!K16)="","      ",'HourGH-FEB'!K16)</f>
        <v>0.32</v>
      </c>
      <c r="H28" s="128">
        <f>IF(TRIM('HourGH-FEB'!K17)="","      ",'HourGH-FEB'!K17)</f>
        <v>0.34</v>
      </c>
      <c r="I28" s="128">
        <f>IF(TRIM('HourGH-FEB'!K18)="","      ",'HourGH-FEB'!K18)</f>
        <v>0.67</v>
      </c>
      <c r="J28" s="128">
        <f>IF(TRIM('HourGH-FEB'!K19)="","      ",'HourGH-FEB'!K19)</f>
        <v>0.67</v>
      </c>
      <c r="K28" s="128">
        <f>IF(TRIM('HourGH-FEB'!K20)="","      ",'HourGH-FEB'!K20)</f>
        <v>0.65</v>
      </c>
    </row>
    <row r="29" spans="1:11">
      <c r="A29" s="127" t="s">
        <v>171</v>
      </c>
      <c r="B29" s="128">
        <f>IF(TRIM('HourGH-FEB'!K22)="","      ",'HourGH-FEB'!K22)</f>
        <v>0.3</v>
      </c>
      <c r="C29" s="128">
        <f>IF(TRIM('HourGH-FEB'!K23)="","      ",'HourGH-FEB'!K23)</f>
        <v>0.28999999999999998</v>
      </c>
      <c r="D29" s="128">
        <f>IF(TRIM('HourGH-FEB'!K24)="","      ",'HourGH-FEB'!K24)</f>
        <v>0.3</v>
      </c>
      <c r="E29" s="128">
        <f>IF(TRIM('HourGH-FEB'!K25)="","      ",'HourGH-FEB'!K25)</f>
        <v>0.31</v>
      </c>
      <c r="F29" s="118">
        <f>IF(TRIM('HourGH-FEB'!K26)="","      ",'HourGH-FEB'!K26)</f>
        <v>0.71</v>
      </c>
      <c r="G29" s="118">
        <f>IF(TRIM('HourGH-FEB'!K27)="","      ",'HourGH-FEB'!K27)</f>
        <v>0.84</v>
      </c>
      <c r="H29" s="128">
        <f>IF(TRIM('HourGH-FEB'!K28)="","      ",'HourGH-FEB'!K28)</f>
        <v>0.8</v>
      </c>
      <c r="I29" s="128">
        <f>IF(TRIM('HourGH-FEB'!K29)="","      ",'HourGH-FEB'!K29)</f>
        <v>0.27</v>
      </c>
      <c r="J29" s="128">
        <f>IF(TRIM('HourGH-FEB'!K30)="","      ",'HourGH-FEB'!K30)</f>
        <v>0.27</v>
      </c>
      <c r="K29" s="128">
        <f>IF(TRIM('HourGH-FEB'!K31)="","      ",'HourGH-FEB'!K31)</f>
        <v>0.28000000000000003</v>
      </c>
    </row>
    <row r="30" spans="1:11">
      <c r="A30" s="127" t="s">
        <v>172</v>
      </c>
      <c r="B30" s="128">
        <f>IF(TRIM('HourGH-FEB'!K33)="","      ",'HourGH-FEB'!K33)</f>
        <v>0.28000000000000003</v>
      </c>
      <c r="C30" s="128">
        <f>IF(TRIM('HourGH-FEB'!K34)="","      ",'HourGH-FEB'!K34)</f>
        <v>0.71</v>
      </c>
      <c r="D30" s="128">
        <f>IF(TRIM('HourGH-FEB'!K35)="","      ",'HourGH-FEB'!K35)</f>
        <v>0.45</v>
      </c>
      <c r="E30" s="128">
        <f>IF(TRIM('HourGH-FEB'!K36)="","      ",'HourGH-FEB'!K36)</f>
        <v>0.67</v>
      </c>
      <c r="F30" s="118">
        <f>IF(TRIM('HourGH-FEB'!K37)="","      ",'HourGH-FEB'!K37)</f>
        <v>0.26</v>
      </c>
      <c r="G30" s="118">
        <f>IF(TRIM('HourGH-FEB'!K38)="","      ",'HourGH-FEB'!K38)</f>
        <v>0.25</v>
      </c>
      <c r="H30" s="128">
        <f>IF(TRIM('HourGH-FEB'!K39)="","      ",'HourGH-FEB'!K39)</f>
        <v>0.25</v>
      </c>
      <c r="I30" s="128">
        <f>IF(TRIM('HourGH-FEB'!K40)="","      ",'HourGH-FEB'!K40)</f>
        <v>0.27</v>
      </c>
      <c r="J30" s="128" t="str">
        <f>IF(TRIM('HourGH-FEB'!K41)="","      ",'HourGH-FEB'!K41)</f>
        <v xml:space="preserve">      </v>
      </c>
      <c r="K30" s="128" t="str">
        <f>IF(TRIM('HourGH-FEB'!K42)="","      ",'HourGH-FEB'!K42)</f>
        <v xml:space="preserve">      </v>
      </c>
    </row>
    <row r="31" spans="1:11">
      <c r="A31" s="127" t="s">
        <v>173</v>
      </c>
      <c r="B31" s="128">
        <f>IF(TRIM('HourGH-FEB'!L11)="","      ",'HourGH-FEB'!L11)</f>
        <v>0.72</v>
      </c>
      <c r="C31" s="128">
        <f>IF(TRIM('HourGH-FEB'!L12)="","      ",'HourGH-FEB'!L12)</f>
        <v>0.67</v>
      </c>
      <c r="D31" s="128">
        <f>IF(TRIM('HourGH-FEB'!L13)="","      ",'HourGH-FEB'!L13)</f>
        <v>0.37</v>
      </c>
      <c r="E31" s="128">
        <f>IF(TRIM('HourGH-FEB'!L14)="","      ",'HourGH-FEB'!L14)</f>
        <v>0.48</v>
      </c>
      <c r="F31" s="118">
        <f>IF(TRIM('HourGH-FEB'!L15)="","      ",'HourGH-FEB'!L15)</f>
        <v>0.32</v>
      </c>
      <c r="G31" s="118">
        <f>IF(TRIM('HourGH-FEB'!L16)="","      ",'HourGH-FEB'!L16)</f>
        <v>0.32</v>
      </c>
      <c r="H31" s="128">
        <f>IF(TRIM('HourGH-FEB'!L17)="","      ",'HourGH-FEB'!L17)</f>
        <v>0.35</v>
      </c>
      <c r="I31" s="128">
        <f>IF(TRIM('HourGH-FEB'!L18)="","      ",'HourGH-FEB'!L18)</f>
        <v>0.67</v>
      </c>
      <c r="J31" s="128">
        <f>IF(TRIM('HourGH-FEB'!L19)="","      ",'HourGH-FEB'!L19)</f>
        <v>0.67</v>
      </c>
      <c r="K31" s="128">
        <f>IF(TRIM('HourGH-FEB'!L20)="","      ",'HourGH-FEB'!L20)</f>
        <v>0.64</v>
      </c>
    </row>
    <row r="32" spans="1:11">
      <c r="A32" s="127" t="s">
        <v>174</v>
      </c>
      <c r="B32" s="128">
        <f>IF(TRIM('HourGH-FEB'!L22)="","      ",'HourGH-FEB'!L22)</f>
        <v>0.3</v>
      </c>
      <c r="C32" s="128">
        <f>IF(TRIM('HourGH-FEB'!L23)="","      ",'HourGH-FEB'!L23)</f>
        <v>0.28999999999999998</v>
      </c>
      <c r="D32" s="128">
        <f>IF(TRIM('HourGH-FEB'!L24)="","      ",'HourGH-FEB'!L24)</f>
        <v>0.3</v>
      </c>
      <c r="E32" s="128">
        <f>IF(TRIM('HourGH-FEB'!L25)="","      ",'HourGH-FEB'!L25)</f>
        <v>0.32</v>
      </c>
      <c r="F32" s="118">
        <f>IF(TRIM('HourGH-FEB'!L26)="","      ",'HourGH-FEB'!L26)</f>
        <v>0.72</v>
      </c>
      <c r="G32" s="118">
        <f>IF(TRIM('HourGH-FEB'!L27)="","      ",'HourGH-FEB'!L27)</f>
        <v>0.84</v>
      </c>
      <c r="H32" s="128">
        <f>IF(TRIM('HourGH-FEB'!L28)="","      ",'HourGH-FEB'!L28)</f>
        <v>0.78</v>
      </c>
      <c r="I32" s="128">
        <f>IF(TRIM('HourGH-FEB'!L29)="","      ",'HourGH-FEB'!L29)</f>
        <v>0.27</v>
      </c>
      <c r="J32" s="128">
        <f>IF(TRIM('HourGH-FEB'!L30)="","      ",'HourGH-FEB'!L30)</f>
        <v>0.27</v>
      </c>
      <c r="K32" s="128">
        <f>IF(TRIM('HourGH-FEB'!L31)="","      ",'HourGH-FEB'!L31)</f>
        <v>0.28000000000000003</v>
      </c>
    </row>
    <row r="33" spans="1:11">
      <c r="A33" s="127" t="s">
        <v>175</v>
      </c>
      <c r="B33" s="128">
        <f>IF(TRIM('HourGH-FEB'!L33)="","      ",'HourGH-FEB'!L33)</f>
        <v>0.28999999999999998</v>
      </c>
      <c r="C33" s="128">
        <f>IF(TRIM('HourGH-FEB'!L34)="","      ",'HourGH-FEB'!L34)</f>
        <v>0.71</v>
      </c>
      <c r="D33" s="128">
        <f>IF(TRIM('HourGH-FEB'!L35)="","      ",'HourGH-FEB'!L35)</f>
        <v>0.44</v>
      </c>
      <c r="E33" s="128">
        <f>IF(TRIM('HourGH-FEB'!L36)="","      ",'HourGH-FEB'!L36)</f>
        <v>0.65</v>
      </c>
      <c r="F33" s="118">
        <f>IF(TRIM('HourGH-FEB'!L37)="","      ",'HourGH-FEB'!L37)</f>
        <v>0.26</v>
      </c>
      <c r="G33" s="118">
        <f>IF(TRIM('HourGH-FEB'!L38)="","      ",'HourGH-FEB'!L38)</f>
        <v>0.25</v>
      </c>
      <c r="H33" s="128">
        <f>IF(TRIM('HourGH-FEB'!L39)="","      ",'HourGH-FEB'!L39)</f>
        <v>0.25</v>
      </c>
      <c r="I33" s="128">
        <f>IF(TRIM('HourGH-FEB'!L40)="","      ",'HourGH-FEB'!L40)</f>
        <v>0.28000000000000003</v>
      </c>
      <c r="J33" s="128" t="str">
        <f>IF(TRIM('HourGH-FEB'!L41)="","      ",'HourGH-FEB'!L41)</f>
        <v xml:space="preserve">      </v>
      </c>
      <c r="K33" s="128" t="str">
        <f>IF(TRIM('HourGH-FEB'!L42)="","      ",'HourGH-FEB'!L42)</f>
        <v xml:space="preserve">      </v>
      </c>
    </row>
    <row r="34" spans="1:11">
      <c r="A34" s="127" t="s">
        <v>176</v>
      </c>
      <c r="B34" s="128">
        <f>IF(TRIM('HourGH-FEB'!M11)="","      ",'HourGH-FEB'!M11)</f>
        <v>0.72</v>
      </c>
      <c r="C34" s="128">
        <f>IF(TRIM('HourGH-FEB'!M12)="","      ",'HourGH-FEB'!M12)</f>
        <v>0.66</v>
      </c>
      <c r="D34" s="128">
        <f>IF(TRIM('HourGH-FEB'!M13)="","      ",'HourGH-FEB'!M13)</f>
        <v>0.36</v>
      </c>
      <c r="E34" s="128">
        <f>IF(TRIM('HourGH-FEB'!M14)="","      ",'HourGH-FEB'!M14)</f>
        <v>0.48</v>
      </c>
      <c r="F34" s="118">
        <f>IF(TRIM('HourGH-FEB'!M15)="","      ",'HourGH-FEB'!M15)</f>
        <v>0.32</v>
      </c>
      <c r="G34" s="118">
        <f>IF(TRIM('HourGH-FEB'!M16)="","      ",'HourGH-FEB'!M16)</f>
        <v>0.32</v>
      </c>
      <c r="H34" s="128">
        <f>IF(TRIM('HourGH-FEB'!M17)="","      ",'HourGH-FEB'!M17)</f>
        <v>0.36</v>
      </c>
      <c r="I34" s="128">
        <f>IF(TRIM('HourGH-FEB'!M18)="","      ",'HourGH-FEB'!M18)</f>
        <v>0.67</v>
      </c>
      <c r="J34" s="128">
        <f>IF(TRIM('HourGH-FEB'!M19)="","      ",'HourGH-FEB'!M19)</f>
        <v>0.67</v>
      </c>
      <c r="K34" s="128">
        <f>IF(TRIM('HourGH-FEB'!M20)="","      ",'HourGH-FEB'!M20)</f>
        <v>0.63</v>
      </c>
    </row>
    <row r="35" spans="1:11">
      <c r="A35" s="127" t="s">
        <v>177</v>
      </c>
      <c r="B35" s="128">
        <f>IF(TRIM('HourGH-FEB'!M22)="","      ",'HourGH-FEB'!M22)</f>
        <v>0.3</v>
      </c>
      <c r="C35" s="128">
        <f>IF(TRIM('HourGH-FEB'!M23)="","      ",'HourGH-FEB'!M23)</f>
        <v>0.28999999999999998</v>
      </c>
      <c r="D35" s="128">
        <f>IF(TRIM('HourGH-FEB'!M24)="","      ",'HourGH-FEB'!M24)</f>
        <v>0.3</v>
      </c>
      <c r="E35" s="128">
        <f>IF(TRIM('HourGH-FEB'!M25)="","      ",'HourGH-FEB'!M25)</f>
        <v>0.33</v>
      </c>
      <c r="F35" s="118">
        <f>IF(TRIM('HourGH-FEB'!M26)="","      ",'HourGH-FEB'!M26)</f>
        <v>0.73</v>
      </c>
      <c r="G35" s="118">
        <f>IF(TRIM('HourGH-FEB'!M27)="","      ",'HourGH-FEB'!M27)</f>
        <v>0.84</v>
      </c>
      <c r="H35" s="128">
        <f>IF(TRIM('HourGH-FEB'!M28)="","      ",'HourGH-FEB'!M28)</f>
        <v>0.76</v>
      </c>
      <c r="I35" s="128">
        <f>IF(TRIM('HourGH-FEB'!M29)="","      ",'HourGH-FEB'!M29)</f>
        <v>0.27</v>
      </c>
      <c r="J35" s="128">
        <f>IF(TRIM('HourGH-FEB'!M30)="","      ",'HourGH-FEB'!M30)</f>
        <v>0.27</v>
      </c>
      <c r="K35" s="128">
        <f>IF(TRIM('HourGH-FEB'!M31)="","      ",'HourGH-FEB'!M31)</f>
        <v>0.28000000000000003</v>
      </c>
    </row>
    <row r="36" spans="1:11">
      <c r="A36" s="127" t="s">
        <v>178</v>
      </c>
      <c r="B36" s="128">
        <f>IF(TRIM('HourGH-FEB'!M33)="","      ",'HourGH-FEB'!M33)</f>
        <v>0.3</v>
      </c>
      <c r="C36" s="128">
        <f>IF(TRIM('HourGH-FEB'!M34)="","      ",'HourGH-FEB'!M34)</f>
        <v>0.71</v>
      </c>
      <c r="D36" s="128">
        <f>IF(TRIM('HourGH-FEB'!M35)="","      ",'HourGH-FEB'!M35)</f>
        <v>0.43</v>
      </c>
      <c r="E36" s="128">
        <f>IF(TRIM('HourGH-FEB'!M36)="","      ",'HourGH-FEB'!M36)</f>
        <v>0.63</v>
      </c>
      <c r="F36" s="118">
        <f>IF(TRIM('HourGH-FEB'!M37)="","      ",'HourGH-FEB'!M37)</f>
        <v>0.26</v>
      </c>
      <c r="G36" s="118">
        <f>IF(TRIM('HourGH-FEB'!M38)="","      ",'HourGH-FEB'!M38)</f>
        <v>0.25</v>
      </c>
      <c r="H36" s="128">
        <f>IF(TRIM('HourGH-FEB'!M39)="","      ",'HourGH-FEB'!M39)</f>
        <v>0.25</v>
      </c>
      <c r="I36" s="128">
        <f>IF(TRIM('HourGH-FEB'!M40)="","      ",'HourGH-FEB'!M40)</f>
        <v>0.28999999999999998</v>
      </c>
      <c r="J36" s="128" t="str">
        <f>IF(TRIM('HourGH-FEB'!M41)="","      ",'HourGH-FEB'!M41)</f>
        <v xml:space="preserve">      </v>
      </c>
      <c r="K36" s="128" t="str">
        <f>IF(TRIM('HourGH-FEB'!M42)="","      ",'HourGH-FEB'!M42)</f>
        <v xml:space="preserve">      </v>
      </c>
    </row>
    <row r="37" spans="1:11">
      <c r="A37" s="127" t="s">
        <v>179</v>
      </c>
      <c r="B37" s="128">
        <f>IF(TRIM('HourGH-FEB'!N11)="","      ",'HourGH-FEB'!N11)</f>
        <v>0.72</v>
      </c>
      <c r="C37" s="128">
        <f>IF(TRIM('HourGH-FEB'!N12)="","      ",'HourGH-FEB'!N12)</f>
        <v>0.66</v>
      </c>
      <c r="D37" s="128">
        <f>IF(TRIM('HourGH-FEB'!N13)="","      ",'HourGH-FEB'!N13)</f>
        <v>0.35</v>
      </c>
      <c r="E37" s="128">
        <f>IF(TRIM('HourGH-FEB'!N14)="","      ",'HourGH-FEB'!N14)</f>
        <v>0.49</v>
      </c>
      <c r="F37" s="118">
        <f>IF(TRIM('HourGH-FEB'!N15)="","      ",'HourGH-FEB'!N15)</f>
        <v>0.32</v>
      </c>
      <c r="G37" s="118">
        <f>IF(TRIM('HourGH-FEB'!N16)="","      ",'HourGH-FEB'!N16)</f>
        <v>0.32</v>
      </c>
      <c r="H37" s="128">
        <f>IF(TRIM('HourGH-FEB'!N17)="","      ",'HourGH-FEB'!N17)</f>
        <v>0.37</v>
      </c>
      <c r="I37" s="128">
        <f>IF(TRIM('HourGH-FEB'!N18)="","      ",'HourGH-FEB'!N18)</f>
        <v>0.67</v>
      </c>
      <c r="J37" s="128">
        <f>IF(TRIM('HourGH-FEB'!N19)="","      ",'HourGH-FEB'!N19)</f>
        <v>0.67</v>
      </c>
      <c r="K37" s="128">
        <f>IF(TRIM('HourGH-FEB'!N20)="","      ",'HourGH-FEB'!N20)</f>
        <v>0.62</v>
      </c>
    </row>
    <row r="38" spans="1:11">
      <c r="A38" s="127" t="s">
        <v>180</v>
      </c>
      <c r="B38" s="128">
        <f>IF(TRIM('HourGH-FEB'!N22)="","      ",'HourGH-FEB'!N22)</f>
        <v>0.3</v>
      </c>
      <c r="C38" s="128">
        <f>IF(TRIM('HourGH-FEB'!N23)="","      ",'HourGH-FEB'!N23)</f>
        <v>0.28999999999999998</v>
      </c>
      <c r="D38" s="128">
        <f>IF(TRIM('HourGH-FEB'!N24)="","      ",'HourGH-FEB'!N24)</f>
        <v>0.3</v>
      </c>
      <c r="E38" s="128">
        <f>IF(TRIM('HourGH-FEB'!N25)="","      ",'HourGH-FEB'!N25)</f>
        <v>0.34</v>
      </c>
      <c r="F38" s="118">
        <f>IF(TRIM('HourGH-FEB'!N26)="","      ",'HourGH-FEB'!N26)</f>
        <v>0.74</v>
      </c>
      <c r="G38" s="118">
        <f>IF(TRIM('HourGH-FEB'!N27)="","      ",'HourGH-FEB'!N27)</f>
        <v>0.84</v>
      </c>
      <c r="H38" s="128">
        <f>IF(TRIM('HourGH-FEB'!N28)="","      ",'HourGH-FEB'!N28)</f>
        <v>0.75</v>
      </c>
      <c r="I38" s="128">
        <f>IF(TRIM('HourGH-FEB'!N29)="","      ",'HourGH-FEB'!N29)</f>
        <v>0.27</v>
      </c>
      <c r="J38" s="128">
        <f>IF(TRIM('HourGH-FEB'!N30)="","      ",'HourGH-FEB'!N30)</f>
        <v>0.27</v>
      </c>
      <c r="K38" s="128">
        <f>IF(TRIM('HourGH-FEB'!N31)="","      ",'HourGH-FEB'!N31)</f>
        <v>0.28000000000000003</v>
      </c>
    </row>
    <row r="39" spans="1:11">
      <c r="A39" s="127" t="s">
        <v>181</v>
      </c>
      <c r="B39" s="128">
        <f>IF(TRIM('HourGH-FEB'!N33)="","      ",'HourGH-FEB'!N33)</f>
        <v>0.31</v>
      </c>
      <c r="C39" s="128">
        <f>IF(TRIM('HourGH-FEB'!N34)="","      ",'HourGH-FEB'!N34)</f>
        <v>0.7</v>
      </c>
      <c r="D39" s="128">
        <f>IF(TRIM('HourGH-FEB'!N35)="","      ",'HourGH-FEB'!N35)</f>
        <v>0.43</v>
      </c>
      <c r="E39" s="128">
        <f>IF(TRIM('HourGH-FEB'!N36)="","      ",'HourGH-FEB'!N36)</f>
        <v>0.61</v>
      </c>
      <c r="F39" s="118">
        <f>IF(TRIM('HourGH-FEB'!N37)="","      ",'HourGH-FEB'!N37)</f>
        <v>0.26</v>
      </c>
      <c r="G39" s="118">
        <f>IF(TRIM('HourGH-FEB'!N38)="","      ",'HourGH-FEB'!N38)</f>
        <v>0.25</v>
      </c>
      <c r="H39" s="128">
        <f>IF(TRIM('HourGH-FEB'!N39)="","      ",'HourGH-FEB'!N39)</f>
        <v>0.25</v>
      </c>
      <c r="I39" s="128">
        <f>IF(TRIM('HourGH-FEB'!N40)="","      ",'HourGH-FEB'!N40)</f>
        <v>0.3</v>
      </c>
      <c r="J39" s="128" t="str">
        <f>IF(TRIM('HourGH-FEB'!N41)="","      ",'HourGH-FEB'!N41)</f>
        <v xml:space="preserve">      </v>
      </c>
      <c r="K39" s="128" t="str">
        <f>IF(TRIM('HourGH-FEB'!N42)="","      ",'HourGH-FEB'!N42)</f>
        <v xml:space="preserve">      </v>
      </c>
    </row>
    <row r="40" spans="1:11">
      <c r="A40" s="127" t="s">
        <v>182</v>
      </c>
      <c r="B40" s="128">
        <f>IF(TRIM('HourGH-FEB'!O11)="","      ",'HourGH-FEB'!O11)</f>
        <v>0.73</v>
      </c>
      <c r="C40" s="128">
        <f>IF(TRIM('HourGH-FEB'!O12)="","      ",'HourGH-FEB'!O12)</f>
        <v>0.65</v>
      </c>
      <c r="D40" s="128">
        <f>IF(TRIM('HourGH-FEB'!O13)="","      ",'HourGH-FEB'!O13)</f>
        <v>0.34</v>
      </c>
      <c r="E40" s="128">
        <f>IF(TRIM('HourGH-FEB'!O14)="","      ",'HourGH-FEB'!O14)</f>
        <v>0.49</v>
      </c>
      <c r="F40" s="118">
        <f>IF(TRIM('HourGH-FEB'!O15)="","      ",'HourGH-FEB'!O15)</f>
        <v>0.32</v>
      </c>
      <c r="G40" s="118">
        <f>IF(TRIM('HourGH-FEB'!O16)="","      ",'HourGH-FEB'!O16)</f>
        <v>0.31</v>
      </c>
      <c r="H40" s="128">
        <f>IF(TRIM('HourGH-FEB'!O17)="","      ",'HourGH-FEB'!O17)</f>
        <v>0.41</v>
      </c>
      <c r="I40" s="128">
        <f>IF(TRIM('HourGH-FEB'!O18)="","      ",'HourGH-FEB'!O18)</f>
        <v>0.67</v>
      </c>
      <c r="J40" s="128">
        <f>IF(TRIM('HourGH-FEB'!O19)="","      ",'HourGH-FEB'!O19)</f>
        <v>0.67</v>
      </c>
      <c r="K40" s="128">
        <f>IF(TRIM('HourGH-FEB'!O20)="","      ",'HourGH-FEB'!O20)</f>
        <v>0.61</v>
      </c>
    </row>
    <row r="41" spans="1:11">
      <c r="A41" s="127" t="s">
        <v>183</v>
      </c>
      <c r="B41" s="128">
        <f>IF(TRIM('HourGH-FEB'!O22)="","      ",'HourGH-FEB'!O22)</f>
        <v>0.28999999999999998</v>
      </c>
      <c r="C41" s="128">
        <f>IF(TRIM('HourGH-FEB'!O23)="","      ",'HourGH-FEB'!O23)</f>
        <v>0.28999999999999998</v>
      </c>
      <c r="D41" s="128">
        <f>IF(TRIM('HourGH-FEB'!O24)="","      ",'HourGH-FEB'!O24)</f>
        <v>0.3</v>
      </c>
      <c r="E41" s="128">
        <f>IF(TRIM('HourGH-FEB'!O25)="","      ",'HourGH-FEB'!O25)</f>
        <v>0.35</v>
      </c>
      <c r="F41" s="118">
        <f>IF(TRIM('HourGH-FEB'!O26)="","      ",'HourGH-FEB'!O26)</f>
        <v>0.75</v>
      </c>
      <c r="G41" s="118">
        <f>IF(TRIM('HourGH-FEB'!O27)="","      ",'HourGH-FEB'!O27)</f>
        <v>0.85</v>
      </c>
      <c r="H41" s="128">
        <f>IF(TRIM('HourGH-FEB'!O28)="","      ",'HourGH-FEB'!O28)</f>
        <v>0.73</v>
      </c>
      <c r="I41" s="128">
        <f>IF(TRIM('HourGH-FEB'!O29)="","      ",'HourGH-FEB'!O29)</f>
        <v>0.27</v>
      </c>
      <c r="J41" s="128">
        <f>IF(TRIM('HourGH-FEB'!O30)="","      ",'HourGH-FEB'!O30)</f>
        <v>0.27</v>
      </c>
      <c r="K41" s="128">
        <f>IF(TRIM('HourGH-FEB'!O31)="","      ",'HourGH-FEB'!O31)</f>
        <v>0.27</v>
      </c>
    </row>
    <row r="42" spans="1:11">
      <c r="A42" s="127" t="s">
        <v>184</v>
      </c>
      <c r="B42" s="128">
        <f>IF(TRIM('HourGH-FEB'!O33)="","      ",'HourGH-FEB'!O33)</f>
        <v>0.33</v>
      </c>
      <c r="C42" s="128">
        <f>IF(TRIM('HourGH-FEB'!O34)="","      ",'HourGH-FEB'!O34)</f>
        <v>0.7</v>
      </c>
      <c r="D42" s="128">
        <f>IF(TRIM('HourGH-FEB'!O35)="","      ",'HourGH-FEB'!O35)</f>
        <v>0.43</v>
      </c>
      <c r="E42" s="128">
        <f>IF(TRIM('HourGH-FEB'!O36)="","      ",'HourGH-FEB'!O36)</f>
        <v>0.59</v>
      </c>
      <c r="F42" s="118">
        <f>IF(TRIM('HourGH-FEB'!O37)="","      ",'HourGH-FEB'!O37)</f>
        <v>0.26</v>
      </c>
      <c r="G42" s="118">
        <f>IF(TRIM('HourGH-FEB'!O38)="","      ",'HourGH-FEB'!O38)</f>
        <v>0.25</v>
      </c>
      <c r="H42" s="128">
        <f>IF(TRIM('HourGH-FEB'!O39)="","      ",'HourGH-FEB'!O39)</f>
        <v>0.25</v>
      </c>
      <c r="I42" s="128">
        <f>IF(TRIM('HourGH-FEB'!O40)="","      ",'HourGH-FEB'!O40)</f>
        <v>0.32</v>
      </c>
      <c r="J42" s="128" t="str">
        <f>IF(TRIM('HourGH-FEB'!O41)="","      ",'HourGH-FEB'!O41)</f>
        <v xml:space="preserve">      </v>
      </c>
      <c r="K42" s="128" t="str">
        <f>IF(TRIM('HourGH-FEB'!O42)="","      ",'HourGH-FEB'!O42)</f>
        <v xml:space="preserve">      </v>
      </c>
    </row>
    <row r="43" spans="1:11">
      <c r="A43" s="127" t="s">
        <v>185</v>
      </c>
      <c r="B43" s="128">
        <f>IF(TRIM('HourGH-FEB'!P11)="","      ",'HourGH-FEB'!P11)</f>
        <v>0.73</v>
      </c>
      <c r="C43" s="128">
        <f>IF(TRIM('HourGH-FEB'!P12)="","      ",'HourGH-FEB'!P12)</f>
        <v>0.64</v>
      </c>
      <c r="D43" s="128">
        <f>IF(TRIM('HourGH-FEB'!P13)="","      ",'HourGH-FEB'!P13)</f>
        <v>0.34</v>
      </c>
      <c r="E43" s="128">
        <f>IF(TRIM('HourGH-FEB'!P14)="","      ",'HourGH-FEB'!P14)</f>
        <v>0.49</v>
      </c>
      <c r="F43" s="118">
        <f>IF(TRIM('HourGH-FEB'!P15)="","      ",'HourGH-FEB'!P15)</f>
        <v>0.32</v>
      </c>
      <c r="G43" s="118">
        <f>IF(TRIM('HourGH-FEB'!P16)="","      ",'HourGH-FEB'!P16)</f>
        <v>0.31</v>
      </c>
      <c r="H43" s="128">
        <f>IF(TRIM('HourGH-FEB'!P17)="","      ",'HourGH-FEB'!P17)</f>
        <v>0.43</v>
      </c>
      <c r="I43" s="128">
        <f>IF(TRIM('HourGH-FEB'!P18)="","      ",'HourGH-FEB'!P18)</f>
        <v>0.67</v>
      </c>
      <c r="J43" s="128">
        <f>IF(TRIM('HourGH-FEB'!P19)="","      ",'HourGH-FEB'!P19)</f>
        <v>0.67</v>
      </c>
      <c r="K43" s="128">
        <f>IF(TRIM('HourGH-FEB'!P20)="","      ",'HourGH-FEB'!P20)</f>
        <v>0.59</v>
      </c>
    </row>
    <row r="44" spans="1:11">
      <c r="A44" s="127" t="s">
        <v>186</v>
      </c>
      <c r="B44" s="128">
        <f>IF(TRIM('HourGH-FEB'!P22)="","      ",'HourGH-FEB'!P22)</f>
        <v>0.28999999999999998</v>
      </c>
      <c r="C44" s="128">
        <f>IF(TRIM('HourGH-FEB'!P23)="","      ",'HourGH-FEB'!P23)</f>
        <v>0.28999999999999998</v>
      </c>
      <c r="D44" s="128">
        <f>IF(TRIM('HourGH-FEB'!P24)="","      ",'HourGH-FEB'!P24)</f>
        <v>0.3</v>
      </c>
      <c r="E44" s="128">
        <f>IF(TRIM('HourGH-FEB'!P25)="","      ",'HourGH-FEB'!P25)</f>
        <v>0.37</v>
      </c>
      <c r="F44" s="118">
        <f>IF(TRIM('HourGH-FEB'!P26)="","      ",'HourGH-FEB'!P26)</f>
        <v>0.76</v>
      </c>
      <c r="G44" s="118">
        <f>IF(TRIM('HourGH-FEB'!P27)="","      ",'HourGH-FEB'!P27)</f>
        <v>0.85</v>
      </c>
      <c r="H44" s="128">
        <f>IF(TRIM('HourGH-FEB'!P28)="","      ",'HourGH-FEB'!P28)</f>
        <v>0.71</v>
      </c>
      <c r="I44" s="128">
        <f>IF(TRIM('HourGH-FEB'!P29)="","      ",'HourGH-FEB'!P29)</f>
        <v>0.27</v>
      </c>
      <c r="J44" s="128">
        <f>IF(TRIM('HourGH-FEB'!P30)="","      ",'HourGH-FEB'!P30)</f>
        <v>0.27</v>
      </c>
      <c r="K44" s="128">
        <f>IF(TRIM('HourGH-FEB'!P31)="","      ",'HourGH-FEB'!P31)</f>
        <v>0.27</v>
      </c>
    </row>
    <row r="45" spans="1:11">
      <c r="A45" s="127" t="s">
        <v>187</v>
      </c>
      <c r="B45" s="128">
        <f>IF(TRIM('HourGH-FEB'!P33)="","      ",'HourGH-FEB'!P33)</f>
        <v>0.35</v>
      </c>
      <c r="C45" s="128">
        <f>IF(TRIM('HourGH-FEB'!P34)="","      ",'HourGH-FEB'!P34)</f>
        <v>0.69</v>
      </c>
      <c r="D45" s="128">
        <f>IF(TRIM('HourGH-FEB'!P35)="","      ",'HourGH-FEB'!P35)</f>
        <v>0.44</v>
      </c>
      <c r="E45" s="128">
        <f>IF(TRIM('HourGH-FEB'!P36)="","      ",'HourGH-FEB'!P36)</f>
        <v>0.56999999999999995</v>
      </c>
      <c r="F45" s="118">
        <f>IF(TRIM('HourGH-FEB'!P37)="","      ",'HourGH-FEB'!P37)</f>
        <v>0.26</v>
      </c>
      <c r="G45" s="118">
        <f>IF(TRIM('HourGH-FEB'!P38)="","      ",'HourGH-FEB'!P38)</f>
        <v>0.25</v>
      </c>
      <c r="H45" s="128">
        <f>IF(TRIM('HourGH-FEB'!P39)="","      ",'HourGH-FEB'!P39)</f>
        <v>0.25</v>
      </c>
      <c r="I45" s="128">
        <f>IF(TRIM('HourGH-FEB'!P40)="","      ",'HourGH-FEB'!P40)</f>
        <v>0.35</v>
      </c>
      <c r="J45" s="128" t="str">
        <f>IF(TRIM('HourGH-FEB'!P41)="","      ",'HourGH-FEB'!P41)</f>
        <v xml:space="preserve">      </v>
      </c>
      <c r="K45" s="128" t="str">
        <f>IF(TRIM('HourGH-FEB'!P42)="","      ",'HourGH-FEB'!P42)</f>
        <v xml:space="preserve">      </v>
      </c>
    </row>
    <row r="46" spans="1:11">
      <c r="A46" s="127" t="s">
        <v>188</v>
      </c>
      <c r="B46" s="128">
        <f>IF(TRIM('HourGH-FEB'!Q11)="","      ",'HourGH-FEB'!Q11)</f>
        <v>0.73</v>
      </c>
      <c r="C46" s="128">
        <f>IF(TRIM('HourGH-FEB'!Q12)="","      ",'HourGH-FEB'!Q12)</f>
        <v>0.63</v>
      </c>
      <c r="D46" s="128">
        <f>IF(TRIM('HourGH-FEB'!Q13)="","      ",'HourGH-FEB'!Q13)</f>
        <v>0.34</v>
      </c>
      <c r="E46" s="128">
        <f>IF(TRIM('HourGH-FEB'!Q14)="","      ",'HourGH-FEB'!Q14)</f>
        <v>0.48</v>
      </c>
      <c r="F46" s="118">
        <f>IF(TRIM('HourGH-FEB'!Q15)="","      ",'HourGH-FEB'!Q15)</f>
        <v>0.32</v>
      </c>
      <c r="G46" s="118">
        <f>IF(TRIM('HourGH-FEB'!Q16)="","      ",'HourGH-FEB'!Q16)</f>
        <v>0.31</v>
      </c>
      <c r="H46" s="128">
        <f>IF(TRIM('HourGH-FEB'!Q17)="","      ",'HourGH-FEB'!Q17)</f>
        <v>0.45</v>
      </c>
      <c r="I46" s="128">
        <f>IF(TRIM('HourGH-FEB'!Q18)="","      ",'HourGH-FEB'!Q18)</f>
        <v>0.67</v>
      </c>
      <c r="J46" s="128">
        <f>IF(TRIM('HourGH-FEB'!Q19)="","      ",'HourGH-FEB'!Q19)</f>
        <v>0.67</v>
      </c>
      <c r="K46" s="128">
        <f>IF(TRIM('HourGH-FEB'!Q20)="","      ",'HourGH-FEB'!Q20)</f>
        <v>0.56999999999999995</v>
      </c>
    </row>
    <row r="47" spans="1:11">
      <c r="A47" s="127" t="s">
        <v>189</v>
      </c>
      <c r="B47" s="128">
        <f>IF(TRIM('HourGH-FEB'!Q22)="","      ",'HourGH-FEB'!Q22)</f>
        <v>0.28999999999999998</v>
      </c>
      <c r="C47" s="128">
        <f>IF(TRIM('HourGH-FEB'!Q23)="","      ",'HourGH-FEB'!Q23)</f>
        <v>0.28999999999999998</v>
      </c>
      <c r="D47" s="128">
        <f>IF(TRIM('HourGH-FEB'!Q24)="","      ",'HourGH-FEB'!Q24)</f>
        <v>0.3</v>
      </c>
      <c r="E47" s="128">
        <f>IF(TRIM('HourGH-FEB'!Q25)="","      ",'HourGH-FEB'!Q25)</f>
        <v>0.38</v>
      </c>
      <c r="F47" s="118">
        <f>IF(TRIM('HourGH-FEB'!Q26)="","      ",'HourGH-FEB'!Q26)</f>
        <v>0.77</v>
      </c>
      <c r="G47" s="118">
        <f>IF(TRIM('HourGH-FEB'!Q27)="","      ",'HourGH-FEB'!Q27)</f>
        <v>0.85</v>
      </c>
      <c r="H47" s="128">
        <f>IF(TRIM('HourGH-FEB'!Q28)="","      ",'HourGH-FEB'!Q28)</f>
        <v>0.68</v>
      </c>
      <c r="I47" s="128">
        <f>IF(TRIM('HourGH-FEB'!Q29)="","      ",'HourGH-FEB'!Q29)</f>
        <v>0.27</v>
      </c>
      <c r="J47" s="128">
        <f>IF(TRIM('HourGH-FEB'!Q30)="","      ",'HourGH-FEB'!Q30)</f>
        <v>0.27</v>
      </c>
      <c r="K47" s="128">
        <f>IF(TRIM('HourGH-FEB'!Q31)="","      ",'HourGH-FEB'!Q31)</f>
        <v>0.27</v>
      </c>
    </row>
    <row r="48" spans="1:11">
      <c r="A48" s="127" t="s">
        <v>190</v>
      </c>
      <c r="B48" s="128">
        <f>IF(TRIM('HourGH-FEB'!Q33)="","      ",'HourGH-FEB'!Q33)</f>
        <v>0.37</v>
      </c>
      <c r="C48" s="128">
        <f>IF(TRIM('HourGH-FEB'!Q34)="","      ",'HourGH-FEB'!Q34)</f>
        <v>0.68</v>
      </c>
      <c r="D48" s="128">
        <f>IF(TRIM('HourGH-FEB'!Q35)="","      ",'HourGH-FEB'!Q35)</f>
        <v>0.45</v>
      </c>
      <c r="E48" s="128">
        <f>IF(TRIM('HourGH-FEB'!Q36)="","      ",'HourGH-FEB'!Q36)</f>
        <v>0.54</v>
      </c>
      <c r="F48" s="118">
        <f>IF(TRIM('HourGH-FEB'!Q37)="","      ",'HourGH-FEB'!Q37)</f>
        <v>0.26</v>
      </c>
      <c r="G48" s="118">
        <f>IF(TRIM('HourGH-FEB'!Q38)="","      ",'HourGH-FEB'!Q38)</f>
        <v>0.25</v>
      </c>
      <c r="H48" s="128">
        <f>IF(TRIM('HourGH-FEB'!Q39)="","      ",'HourGH-FEB'!Q39)</f>
        <v>0.25</v>
      </c>
      <c r="I48" s="128">
        <f>IF(TRIM('HourGH-FEB'!Q40)="","      ",'HourGH-FEB'!Q40)</f>
        <v>0.37</v>
      </c>
      <c r="J48" s="128" t="str">
        <f>IF(TRIM('HourGH-FEB'!Q41)="","      ",'HourGH-FEB'!Q41)</f>
        <v xml:space="preserve">      </v>
      </c>
      <c r="K48" s="128" t="str">
        <f>IF(TRIM('HourGH-FEB'!Q42)="","      ",'HourGH-FEB'!Q42)</f>
        <v xml:space="preserve">      </v>
      </c>
    </row>
    <row r="49" spans="1:20">
      <c r="A49" s="127" t="s">
        <v>191</v>
      </c>
      <c r="B49" s="128">
        <f>IF(TRIM('HourGH-FEB'!R11)="","      ",'HourGH-FEB'!R11)</f>
        <v>0.73</v>
      </c>
      <c r="C49" s="128">
        <f>IF(TRIM('HourGH-FEB'!R12)="","      ",'HourGH-FEB'!R12)</f>
        <v>0.62</v>
      </c>
      <c r="D49" s="128">
        <f>IF(TRIM('HourGH-FEB'!R13)="","      ",'HourGH-FEB'!R13)</f>
        <v>0.34</v>
      </c>
      <c r="E49" s="128">
        <f>IF(TRIM('HourGH-FEB'!R14)="","      ",'HourGH-FEB'!R14)</f>
        <v>0.47</v>
      </c>
      <c r="F49" s="118">
        <f>IF(TRIM('HourGH-FEB'!R15)="","      ",'HourGH-FEB'!R15)</f>
        <v>0.32</v>
      </c>
      <c r="G49" s="118">
        <f>IF(TRIM('HourGH-FEB'!R16)="","      ",'HourGH-FEB'!R16)</f>
        <v>0.31</v>
      </c>
      <c r="H49" s="128">
        <f>IF(TRIM('HourGH-FEB'!R17)="","      ",'HourGH-FEB'!R17)</f>
        <v>0.47</v>
      </c>
      <c r="I49" s="128">
        <f>IF(TRIM('HourGH-FEB'!R18)="","      ",'HourGH-FEB'!R18)</f>
        <v>0.67</v>
      </c>
      <c r="J49" s="128">
        <f>IF(TRIM('HourGH-FEB'!R19)="","      ",'HourGH-FEB'!R19)</f>
        <v>0.67</v>
      </c>
      <c r="K49" s="128">
        <f>IF(TRIM('HourGH-FEB'!R20)="","      ",'HourGH-FEB'!R20)</f>
        <v>0.54</v>
      </c>
    </row>
    <row r="50" spans="1:20">
      <c r="A50" s="127" t="s">
        <v>192</v>
      </c>
      <c r="B50" s="128">
        <f>IF(TRIM('HourGH-FEB'!R22)="","      ",'HourGH-FEB'!R22)</f>
        <v>0.28999999999999998</v>
      </c>
      <c r="C50" s="128">
        <f>IF(TRIM('HourGH-FEB'!R23)="","      ",'HourGH-FEB'!R23)</f>
        <v>0.28999999999999998</v>
      </c>
      <c r="D50" s="128">
        <f>IF(TRIM('HourGH-FEB'!R24)="","      ",'HourGH-FEB'!R24)</f>
        <v>0.3</v>
      </c>
      <c r="E50" s="128">
        <f>IF(TRIM('HourGH-FEB'!R25)="","      ",'HourGH-FEB'!R25)</f>
        <v>0.39</v>
      </c>
      <c r="F50" s="118">
        <f>IF(TRIM('HourGH-FEB'!R26)="","      ",'HourGH-FEB'!R26)</f>
        <v>0.78</v>
      </c>
      <c r="G50" s="118">
        <f>IF(TRIM('HourGH-FEB'!R27)="","      ",'HourGH-FEB'!R27)</f>
        <v>0.85</v>
      </c>
      <c r="H50" s="128">
        <f>IF(TRIM('HourGH-FEB'!R28)="","      ",'HourGH-FEB'!R28)</f>
        <v>0.65</v>
      </c>
      <c r="I50" s="128">
        <f>IF(TRIM('HourGH-FEB'!R29)="","      ",'HourGH-FEB'!R29)</f>
        <v>0.27</v>
      </c>
      <c r="J50" s="128">
        <f>IF(TRIM('HourGH-FEB'!R30)="","      ",'HourGH-FEB'!R30)</f>
        <v>0.27</v>
      </c>
      <c r="K50" s="128">
        <f>IF(TRIM('HourGH-FEB'!R31)="","      ",'HourGH-FEB'!R31)</f>
        <v>0.27</v>
      </c>
    </row>
    <row r="51" spans="1:20">
      <c r="A51" s="127" t="s">
        <v>193</v>
      </c>
      <c r="B51" s="128">
        <f>IF(TRIM('HourGH-FEB'!R33)="","      ",'HourGH-FEB'!R33)</f>
        <v>0.39</v>
      </c>
      <c r="C51" s="128">
        <f>IF(TRIM('HourGH-FEB'!R34)="","      ",'HourGH-FEB'!R34)</f>
        <v>0.67</v>
      </c>
      <c r="D51" s="128">
        <f>IF(TRIM('HourGH-FEB'!R35)="","      ",'HourGH-FEB'!R35)</f>
        <v>0.46</v>
      </c>
      <c r="E51" s="128">
        <f>IF(TRIM('HourGH-FEB'!R36)="","      ",'HourGH-FEB'!R36)</f>
        <v>0.51</v>
      </c>
      <c r="F51" s="118">
        <f>IF(TRIM('HourGH-FEB'!R37)="","      ",'HourGH-FEB'!R37)</f>
        <v>0.26</v>
      </c>
      <c r="G51" s="118">
        <f>IF(TRIM('HourGH-FEB'!R38)="","      ",'HourGH-FEB'!R38)</f>
        <v>0.25</v>
      </c>
      <c r="H51" s="128">
        <f>IF(TRIM('HourGH-FEB'!R39)="","      ",'HourGH-FEB'!R39)</f>
        <v>0.25</v>
      </c>
      <c r="I51" s="128">
        <f>IF(TRIM('HourGH-FEB'!R40)="","      ",'HourGH-FEB'!R40)</f>
        <v>0.39</v>
      </c>
      <c r="J51" s="128" t="str">
        <f>IF(TRIM('HourGH-FEB'!R41)="","      ",'HourGH-FEB'!R41)</f>
        <v xml:space="preserve">      </v>
      </c>
      <c r="K51" s="128" t="str">
        <f>IF(TRIM('HourGH-FEB'!R42)="","      ",'HourGH-FEB'!R42)</f>
        <v xml:space="preserve">      </v>
      </c>
    </row>
    <row r="52" spans="1:20">
      <c r="A52" s="127" t="s">
        <v>194</v>
      </c>
      <c r="B52" s="128">
        <f>IF(TRIM('HourGH-FEB'!S11)="","      ",'HourGH-FEB'!S11)</f>
        <v>0.73</v>
      </c>
      <c r="C52" s="128">
        <f>IF(TRIM('HourGH-FEB'!S12)="","      ",'HourGH-FEB'!S12)</f>
        <v>0.61</v>
      </c>
      <c r="D52" s="128">
        <f>IF(TRIM('HourGH-FEB'!S13)="","      ",'HourGH-FEB'!S13)</f>
        <v>0.34</v>
      </c>
      <c r="E52" s="128">
        <f>IF(TRIM('HourGH-FEB'!S14)="","      ",'HourGH-FEB'!S14)</f>
        <v>0.46</v>
      </c>
      <c r="F52" s="118">
        <f>IF(TRIM('HourGH-FEB'!S15)="","      ",'HourGH-FEB'!S15)</f>
        <v>0.32</v>
      </c>
      <c r="G52" s="118">
        <f>IF(TRIM('HourGH-FEB'!S16)="","      ",'HourGH-FEB'!S16)</f>
        <v>0.31</v>
      </c>
      <c r="H52" s="128">
        <f>IF(TRIM('HourGH-FEB'!S17)="","      ",'HourGH-FEB'!S17)</f>
        <v>0.48</v>
      </c>
      <c r="I52" s="128">
        <f>IF(TRIM('HourGH-FEB'!S18)="","      ",'HourGH-FEB'!S18)</f>
        <v>0.67</v>
      </c>
      <c r="J52" s="128">
        <f>IF(TRIM('HourGH-FEB'!S19)="","      ",'HourGH-FEB'!S19)</f>
        <v>0.67</v>
      </c>
      <c r="K52" s="128">
        <f>IF(TRIM('HourGH-FEB'!S20)="","      ",'HourGH-FEB'!S20)</f>
        <v>0.51</v>
      </c>
    </row>
    <row r="53" spans="1:20">
      <c r="A53" s="127" t="s">
        <v>195</v>
      </c>
      <c r="B53" s="128">
        <f>IF(TRIM('HourGH-FEB'!S22)="","      ",'HourGH-FEB'!S22)</f>
        <v>0.28999999999999998</v>
      </c>
      <c r="C53" s="128">
        <f>IF(TRIM('HourGH-FEB'!S23)="","      ",'HourGH-FEB'!S23)</f>
        <v>0.28999999999999998</v>
      </c>
      <c r="D53" s="128">
        <f>IF(TRIM('HourGH-FEB'!S24)="","      ",'HourGH-FEB'!S24)</f>
        <v>0.3</v>
      </c>
      <c r="E53" s="128">
        <f>IF(TRIM('HourGH-FEB'!S25)="","      ",'HourGH-FEB'!S25)</f>
        <v>0.41</v>
      </c>
      <c r="F53" s="118">
        <f>IF(TRIM('HourGH-FEB'!S26)="","      ",'HourGH-FEB'!S26)</f>
        <v>0.79</v>
      </c>
      <c r="G53" s="118">
        <f>IF(TRIM('HourGH-FEB'!S27)="","      ",'HourGH-FEB'!S27)</f>
        <v>0.85</v>
      </c>
      <c r="H53" s="128">
        <f>IF(TRIM('HourGH-FEB'!S28)="","      ",'HourGH-FEB'!S28)</f>
        <v>0.63</v>
      </c>
      <c r="I53" s="128">
        <f>IF(TRIM('HourGH-FEB'!S29)="","      ",'HourGH-FEB'!S29)</f>
        <v>0.27</v>
      </c>
      <c r="J53" s="128">
        <f>IF(TRIM('HourGH-FEB'!S30)="","      ",'HourGH-FEB'!S30)</f>
        <v>0.27</v>
      </c>
      <c r="K53" s="128">
        <f>IF(TRIM('HourGH-FEB'!S31)="","      ",'HourGH-FEB'!S31)</f>
        <v>0.27</v>
      </c>
    </row>
    <row r="54" spans="1:20">
      <c r="A54" s="127" t="s">
        <v>196</v>
      </c>
      <c r="B54" s="128">
        <f>IF(TRIM('HourGH-FEB'!S33)="","      ",'HourGH-FEB'!S33)</f>
        <v>0.41</v>
      </c>
      <c r="C54" s="128">
        <f>IF(TRIM('HourGH-FEB'!S34)="","      ",'HourGH-FEB'!S34)</f>
        <v>0.66</v>
      </c>
      <c r="D54" s="128">
        <f>IF(TRIM('HourGH-FEB'!S35)="","      ",'HourGH-FEB'!S35)</f>
        <v>0.47</v>
      </c>
      <c r="E54" s="128">
        <f>IF(TRIM('HourGH-FEB'!S36)="","      ",'HourGH-FEB'!S36)</f>
        <v>0.49</v>
      </c>
      <c r="F54" s="118">
        <f>IF(TRIM('HourGH-FEB'!S37)="","      ",'HourGH-FEB'!S37)</f>
        <v>0.26</v>
      </c>
      <c r="G54" s="118">
        <f>IF(TRIM('HourGH-FEB'!S38)="","      ",'HourGH-FEB'!S38)</f>
        <v>0.25</v>
      </c>
      <c r="H54" s="128">
        <f>IF(TRIM('HourGH-FEB'!S39)="","      ",'HourGH-FEB'!S39)</f>
        <v>0.25</v>
      </c>
      <c r="I54" s="128">
        <f>IF(TRIM('HourGH-FEB'!S40)="","      ",'HourGH-FEB'!S40)</f>
        <v>0.41</v>
      </c>
      <c r="J54" s="128" t="str">
        <f>IF(TRIM('HourGH-FEB'!S41)="","      ",'HourGH-FEB'!S41)</f>
        <v xml:space="preserve">      </v>
      </c>
      <c r="K54" s="128" t="str">
        <f>IF(TRIM('HourGH-FEB'!S42)="","      ",'HourGH-FEB'!S42)</f>
        <v xml:space="preserve">      </v>
      </c>
    </row>
    <row r="55" spans="1:20">
      <c r="A55" s="127" t="s">
        <v>197</v>
      </c>
      <c r="B55" s="128">
        <f>IF(TRIM('HourGH-FEB'!T11)="","      ",'HourGH-FEB'!T11)</f>
        <v>0.73</v>
      </c>
      <c r="C55" s="128">
        <f>IF(TRIM('HourGH-FEB'!T12)="","      ",'HourGH-FEB'!T12)</f>
        <v>0.6</v>
      </c>
      <c r="D55" s="128">
        <f>IF(TRIM('HourGH-FEB'!T13)="","      ",'HourGH-FEB'!T13)</f>
        <v>0.35</v>
      </c>
      <c r="E55" s="128">
        <f>IF(TRIM('HourGH-FEB'!T14)="","      ",'HourGH-FEB'!T14)</f>
        <v>0.45</v>
      </c>
      <c r="F55" s="118">
        <f>IF(TRIM('HourGH-FEB'!T15)="","      ",'HourGH-FEB'!T15)</f>
        <v>0.32</v>
      </c>
      <c r="G55" s="118">
        <f>IF(TRIM('HourGH-FEB'!T16)="","      ",'HourGH-FEB'!T16)</f>
        <v>0.31</v>
      </c>
      <c r="H55" s="128">
        <f>IF(TRIM('HourGH-FEB'!T17)="","      ",'HourGH-FEB'!T17)</f>
        <v>0.49</v>
      </c>
      <c r="I55" s="128">
        <f>IF(TRIM('HourGH-FEB'!T18)="","      ",'HourGH-FEB'!T18)</f>
        <v>0.67</v>
      </c>
      <c r="J55" s="128">
        <f>IF(TRIM('HourGH-FEB'!T19)="","      ",'HourGH-FEB'!T19)</f>
        <v>0.67</v>
      </c>
      <c r="K55" s="128">
        <f>IF(TRIM('HourGH-FEB'!T20)="","      ",'HourGH-FEB'!T20)</f>
        <v>0.49</v>
      </c>
    </row>
    <row r="56" spans="1:20">
      <c r="A56" s="127" t="s">
        <v>198</v>
      </c>
      <c r="B56" s="128">
        <f>IF(TRIM('HourGH-FEB'!T22)="","      ",'HourGH-FEB'!T22)</f>
        <v>0.28999999999999998</v>
      </c>
      <c r="C56" s="128">
        <f>IF(TRIM('HourGH-FEB'!T23)="","      ",'HourGH-FEB'!T23)</f>
        <v>0.28999999999999998</v>
      </c>
      <c r="D56" s="128">
        <f>IF(TRIM('HourGH-FEB'!T24)="","      ",'HourGH-FEB'!T24)</f>
        <v>0.3</v>
      </c>
      <c r="E56" s="128">
        <f>IF(TRIM('HourGH-FEB'!T25)="","      ",'HourGH-FEB'!T25)</f>
        <v>0.43</v>
      </c>
      <c r="F56" s="118">
        <f>IF(TRIM('HourGH-FEB'!T26)="","      ",'HourGH-FEB'!T26)</f>
        <v>0.79</v>
      </c>
      <c r="G56" s="118">
        <f>IF(TRIM('HourGH-FEB'!T27)="","      ",'HourGH-FEB'!T27)</f>
        <v>0.85</v>
      </c>
      <c r="H56" s="128">
        <f>IF(TRIM('HourGH-FEB'!T28)="","      ",'HourGH-FEB'!T28)</f>
        <v>0.6</v>
      </c>
      <c r="I56" s="128">
        <f>IF(TRIM('HourGH-FEB'!T29)="","      ",'HourGH-FEB'!T29)</f>
        <v>0.27</v>
      </c>
      <c r="J56" s="128">
        <f>IF(TRIM('HourGH-FEB'!T30)="","      ",'HourGH-FEB'!T30)</f>
        <v>0.27</v>
      </c>
      <c r="K56" s="128">
        <f>IF(TRIM('HourGH-FEB'!T31)="","      ",'HourGH-FEB'!T31)</f>
        <v>0.27</v>
      </c>
      <c r="N56" s="117">
        <f>B79</f>
        <v>338.33000000000004</v>
      </c>
      <c r="O56">
        <v>1</v>
      </c>
      <c r="P56" s="117" t="str">
        <f>B82</f>
        <v>13:00</v>
      </c>
      <c r="R56" s="117">
        <f>B85</f>
        <v>338.20000000000005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IF(TRIM('HourGH-FEB'!T33)="","      ",'HourGH-FEB'!T33)</f>
        <v>0.43</v>
      </c>
      <c r="C57" s="128">
        <f>IF(TRIM('HourGH-FEB'!T34)="","      ",'HourGH-FEB'!T34)</f>
        <v>0.65</v>
      </c>
      <c r="D57" s="128">
        <f>IF(TRIM('HourGH-FEB'!T35)="","      ",'HourGH-FEB'!T35)</f>
        <v>0.49</v>
      </c>
      <c r="E57" s="128">
        <f>IF(TRIM('HourGH-FEB'!T36)="","      ",'HourGH-FEB'!T36)</f>
        <v>0.46</v>
      </c>
      <c r="F57" s="118">
        <f>IF(TRIM('HourGH-FEB'!T37)="","      ",'HourGH-FEB'!T37)</f>
        <v>0.26</v>
      </c>
      <c r="G57" s="118">
        <f>IF(TRIM('HourGH-FEB'!T38)="","      ",'HourGH-FEB'!T38)</f>
        <v>0.25</v>
      </c>
      <c r="H57" s="128">
        <f>IF(TRIM('HourGH-FEB'!T39)="","      ",'HourGH-FEB'!T39)</f>
        <v>0.25</v>
      </c>
      <c r="I57" s="128">
        <f>IF(TRIM('HourGH-FEB'!T40)="","      ",'HourGH-FEB'!T40)</f>
        <v>0.44</v>
      </c>
      <c r="J57" s="128" t="str">
        <f>IF(TRIM('HourGH-FEB'!T41)="","      ",'HourGH-FEB'!T41)</f>
        <v xml:space="preserve">      </v>
      </c>
      <c r="K57" s="128" t="str">
        <f>IF(TRIM('HourGH-FEB'!T42)="","      ",'HourGH-FEB'!T42)</f>
        <v xml:space="preserve">      </v>
      </c>
      <c r="N57" s="117">
        <f>C79</f>
        <v>338.31</v>
      </c>
      <c r="O57">
        <v>2</v>
      </c>
      <c r="P57" s="117" t="str">
        <f>C82</f>
        <v>1:00</v>
      </c>
      <c r="R57" s="117">
        <f>C85</f>
        <v>338.11</v>
      </c>
      <c r="S57">
        <v>2</v>
      </c>
      <c r="T57" s="117" t="str">
        <f>C88</f>
        <v>24:00</v>
      </c>
    </row>
    <row r="58" spans="1:20">
      <c r="A58" s="127" t="s">
        <v>200</v>
      </c>
      <c r="B58" s="128">
        <f>IF(TRIM('HourGH-FEB'!U11)="","      ",'HourGH-FEB'!U11)</f>
        <v>0.73</v>
      </c>
      <c r="C58" s="128">
        <f>IF(TRIM('HourGH-FEB'!U12)="","      ",'HourGH-FEB'!U12)</f>
        <v>0.59</v>
      </c>
      <c r="D58" s="128">
        <f>IF(TRIM('HourGH-FEB'!U13)="","      ",'HourGH-FEB'!U13)</f>
        <v>0.35</v>
      </c>
      <c r="E58" s="128">
        <f>IF(TRIM('HourGH-FEB'!U14)="","      ",'HourGH-FEB'!U14)</f>
        <v>0.44</v>
      </c>
      <c r="F58" s="118">
        <f>IF(TRIM('HourGH-FEB'!U15)="","      ",'HourGH-FEB'!U15)</f>
        <v>0.32</v>
      </c>
      <c r="G58" s="118">
        <f>IF(TRIM('HourGH-FEB'!U16)="","      ",'HourGH-FEB'!U16)</f>
        <v>0.31</v>
      </c>
      <c r="H58" s="128">
        <f>IF(TRIM('HourGH-FEB'!U17)="","      ",'HourGH-FEB'!U17)</f>
        <v>0.51</v>
      </c>
      <c r="I58" s="128">
        <f>IF(TRIM('HourGH-FEB'!U18)="","      ",'HourGH-FEB'!U18)</f>
        <v>0.67</v>
      </c>
      <c r="J58" s="128">
        <f>IF(TRIM('HourGH-FEB'!U19)="","      ",'HourGH-FEB'!U19)</f>
        <v>0.67</v>
      </c>
      <c r="K58" s="128">
        <f>IF(TRIM('HourGH-FEB'!U20)="","      ",'HourGH-FEB'!U20)</f>
        <v>0.45</v>
      </c>
      <c r="N58" s="117">
        <f>D79</f>
        <v>338.09000000000003</v>
      </c>
      <c r="O58">
        <v>3</v>
      </c>
      <c r="P58" s="117" t="str">
        <f>D82</f>
        <v>1:00</v>
      </c>
      <c r="R58" s="117">
        <f>D85</f>
        <v>337.94</v>
      </c>
      <c r="S58">
        <v>3</v>
      </c>
      <c r="T58" s="117" t="str">
        <f>D88</f>
        <v>13:00</v>
      </c>
    </row>
    <row r="59" spans="1:20">
      <c r="A59" s="127" t="s">
        <v>201</v>
      </c>
      <c r="B59" s="128">
        <f>IF(TRIM('HourGH-FEB'!U22)="","      ",'HourGH-FEB'!U22)</f>
        <v>0.28999999999999998</v>
      </c>
      <c r="C59" s="128">
        <f>IF(TRIM('HourGH-FEB'!U23)="","      ",'HourGH-FEB'!U23)</f>
        <v>0.28999999999999998</v>
      </c>
      <c r="D59" s="128">
        <f>IF(TRIM('HourGH-FEB'!U24)="","      ",'HourGH-FEB'!U24)</f>
        <v>0.3</v>
      </c>
      <c r="E59" s="128">
        <f>IF(TRIM('HourGH-FEB'!U25)="","      ",'HourGH-FEB'!U25)</f>
        <v>0.45</v>
      </c>
      <c r="F59" s="118">
        <f>IF(TRIM('HourGH-FEB'!U26)="","      ",'HourGH-FEB'!U26)</f>
        <v>0.8</v>
      </c>
      <c r="G59" s="118">
        <f>IF(TRIM('HourGH-FEB'!U27)="","      ",'HourGH-FEB'!U27)</f>
        <v>0.84</v>
      </c>
      <c r="H59" s="128">
        <f>IF(TRIM('HourGH-FEB'!U28)="","      ",'HourGH-FEB'!U28)</f>
        <v>0.56000000000000005</v>
      </c>
      <c r="I59" s="128">
        <f>IF(TRIM('HourGH-FEB'!U29)="","      ",'HourGH-FEB'!U29)</f>
        <v>0.27</v>
      </c>
      <c r="J59" s="128">
        <f>IF(TRIM('HourGH-FEB'!U30)="","      ",'HourGH-FEB'!U30)</f>
        <v>0.27</v>
      </c>
      <c r="K59" s="128">
        <f>IF(TRIM('HourGH-FEB'!U31)="","      ",'HourGH-FEB'!U31)</f>
        <v>0.27</v>
      </c>
      <c r="N59" s="117">
        <f>E79</f>
        <v>338.09000000000003</v>
      </c>
      <c r="O59">
        <v>4</v>
      </c>
      <c r="P59" s="117" t="str">
        <f>E82</f>
        <v>12:00</v>
      </c>
      <c r="R59" s="117">
        <f>E85</f>
        <v>337.99</v>
      </c>
      <c r="S59">
        <v>4</v>
      </c>
      <c r="T59" s="117" t="str">
        <f>E88</f>
        <v>24:00</v>
      </c>
    </row>
    <row r="60" spans="1:20">
      <c r="A60" s="127" t="s">
        <v>202</v>
      </c>
      <c r="B60" s="128">
        <f>IF(TRIM('HourGH-FEB'!U33)="","      ",'HourGH-FEB'!U33)</f>
        <v>0.46</v>
      </c>
      <c r="C60" s="128">
        <f>IF(TRIM('HourGH-FEB'!U34)="","      ",'HourGH-FEB'!U34)</f>
        <v>0.63</v>
      </c>
      <c r="D60" s="128">
        <f>IF(TRIM('HourGH-FEB'!U35)="","      ",'HourGH-FEB'!U35)</f>
        <v>0.52</v>
      </c>
      <c r="E60" s="128">
        <f>IF(TRIM('HourGH-FEB'!U36)="","      ",'HourGH-FEB'!U36)</f>
        <v>0.43</v>
      </c>
      <c r="F60" s="118">
        <f>IF(TRIM('HourGH-FEB'!U37)="","      ",'HourGH-FEB'!U37)</f>
        <v>0.26</v>
      </c>
      <c r="G60" s="118">
        <f>IF(TRIM('HourGH-FEB'!U38)="","      ",'HourGH-FEB'!U38)</f>
        <v>0.25</v>
      </c>
      <c r="H60" s="128">
        <f>IF(TRIM('HourGH-FEB'!U39)="","      ",'HourGH-FEB'!U39)</f>
        <v>0.25</v>
      </c>
      <c r="I60" s="128">
        <f>IF(TRIM('HourGH-FEB'!U40)="","      ",'HourGH-FEB'!U40)</f>
        <v>0.46</v>
      </c>
      <c r="J60" s="128" t="str">
        <f>IF(TRIM('HourGH-FEB'!U41)="","      ",'HourGH-FEB'!U41)</f>
        <v xml:space="preserve">      </v>
      </c>
      <c r="K60" s="128" t="str">
        <f>IF(TRIM('HourGH-FEB'!U42)="","      ",'HourGH-FEB'!U42)</f>
        <v xml:space="preserve">      </v>
      </c>
      <c r="N60" s="117">
        <f>F79</f>
        <v>337.98</v>
      </c>
      <c r="O60">
        <v>5</v>
      </c>
      <c r="P60" s="117" t="str">
        <f>F82</f>
        <v>1:00</v>
      </c>
      <c r="R60" s="117">
        <f>F85</f>
        <v>337.92</v>
      </c>
      <c r="S60">
        <v>5</v>
      </c>
      <c r="T60" s="117" t="str">
        <f>F88</f>
        <v>6:00</v>
      </c>
    </row>
    <row r="61" spans="1:20">
      <c r="A61" s="127" t="s">
        <v>203</v>
      </c>
      <c r="B61" s="128">
        <f>IF(TRIM('HourGH-FEB'!V11)="","      ",'HourGH-FEB'!V11)</f>
        <v>0.72</v>
      </c>
      <c r="C61" s="128">
        <f>IF(TRIM('HourGH-FEB'!V12)="","      ",'HourGH-FEB'!V12)</f>
        <v>0.57999999999999996</v>
      </c>
      <c r="D61" s="128">
        <f>IF(TRIM('HourGH-FEB'!V13)="","      ",'HourGH-FEB'!V13)</f>
        <v>0.36</v>
      </c>
      <c r="E61" s="128">
        <f>IF(TRIM('HourGH-FEB'!V14)="","      ",'HourGH-FEB'!V14)</f>
        <v>0.43</v>
      </c>
      <c r="F61" s="118">
        <f>IF(TRIM('HourGH-FEB'!V15)="","      ",'HourGH-FEB'!V15)</f>
        <v>0.32</v>
      </c>
      <c r="G61" s="118">
        <f>IF(TRIM('HourGH-FEB'!V16)="","      ",'HourGH-FEB'!V16)</f>
        <v>0.31</v>
      </c>
      <c r="H61" s="128">
        <f>IF(TRIM('HourGH-FEB'!V17)="","      ",'HourGH-FEB'!V17)</f>
        <v>0.53</v>
      </c>
      <c r="I61" s="128">
        <f>IF(TRIM('HourGH-FEB'!V18)="","      ",'HourGH-FEB'!V18)</f>
        <v>0.67</v>
      </c>
      <c r="J61" s="128">
        <f>IF(TRIM('HourGH-FEB'!V19)="","      ",'HourGH-FEB'!V19)</f>
        <v>0.67</v>
      </c>
      <c r="K61" s="128">
        <f>IF(TRIM('HourGH-FEB'!V20)="","      ",'HourGH-FEB'!V20)</f>
        <v>0.42</v>
      </c>
      <c r="N61" s="117">
        <f>G79</f>
        <v>337.92</v>
      </c>
      <c r="O61">
        <v>6</v>
      </c>
      <c r="P61" s="117" t="str">
        <f>G82</f>
        <v>1:00</v>
      </c>
      <c r="R61" s="117">
        <f>G85</f>
        <v>337.91</v>
      </c>
      <c r="S61">
        <v>6</v>
      </c>
      <c r="T61" s="117" t="str">
        <f>G88</f>
        <v>13:00</v>
      </c>
    </row>
    <row r="62" spans="1:20">
      <c r="A62" s="127" t="s">
        <v>204</v>
      </c>
      <c r="B62" s="128">
        <f>IF(TRIM('HourGH-FEB'!V22)="","      ",'HourGH-FEB'!V22)</f>
        <v>0.28999999999999998</v>
      </c>
      <c r="C62" s="128">
        <f>IF(TRIM('HourGH-FEB'!V23)="","      ",'HourGH-FEB'!V23)</f>
        <v>0.28999999999999998</v>
      </c>
      <c r="D62" s="128">
        <f>IF(TRIM('HourGH-FEB'!V24)="","      ",'HourGH-FEB'!V24)</f>
        <v>0.3</v>
      </c>
      <c r="E62" s="128">
        <f>IF(TRIM('HourGH-FEB'!V25)="","      ",'HourGH-FEB'!V25)</f>
        <v>0.47</v>
      </c>
      <c r="F62" s="118">
        <f>IF(TRIM('HourGH-FEB'!V26)="","      ",'HourGH-FEB'!V26)</f>
        <v>0.8</v>
      </c>
      <c r="G62" s="118">
        <f>IF(TRIM('HourGH-FEB'!V27)="","      ",'HourGH-FEB'!V27)</f>
        <v>0.84</v>
      </c>
      <c r="H62" s="128">
        <f>IF(TRIM('HourGH-FEB'!V28)="","      ",'HourGH-FEB'!V28)</f>
        <v>0.53</v>
      </c>
      <c r="I62" s="128">
        <f>IF(TRIM('HourGH-FEB'!V29)="","      ",'HourGH-FEB'!V29)</f>
        <v>0.27</v>
      </c>
      <c r="J62" s="128">
        <f>IF(TRIM('HourGH-FEB'!V30)="","      ",'HourGH-FEB'!V30)</f>
        <v>0.27</v>
      </c>
      <c r="K62" s="128">
        <f>IF(TRIM('HourGH-FEB'!V31)="","      ",'HourGH-FEB'!V31)</f>
        <v>0.27</v>
      </c>
      <c r="N62" s="117">
        <f>H79</f>
        <v>338.21000000000004</v>
      </c>
      <c r="O62">
        <v>7</v>
      </c>
      <c r="P62" s="117" t="str">
        <f>H82</f>
        <v>24:00</v>
      </c>
      <c r="R62" s="117">
        <f>H85</f>
        <v>337.90000000000003</v>
      </c>
      <c r="S62">
        <v>7</v>
      </c>
      <c r="T62" s="117" t="str">
        <f>H88</f>
        <v>1:00</v>
      </c>
    </row>
    <row r="63" spans="1:20">
      <c r="A63" s="127" t="s">
        <v>205</v>
      </c>
      <c r="B63" s="128">
        <f>IF(TRIM('HourGH-FEB'!V33)="","      ",'HourGH-FEB'!V33)</f>
        <v>0.49</v>
      </c>
      <c r="C63" s="128">
        <f>IF(TRIM('HourGH-FEB'!V34)="","      ",'HourGH-FEB'!V34)</f>
        <v>0.61</v>
      </c>
      <c r="D63" s="128">
        <f>IF(TRIM('HourGH-FEB'!V35)="","      ",'HourGH-FEB'!V35)</f>
        <v>0.54</v>
      </c>
      <c r="E63" s="128">
        <f>IF(TRIM('HourGH-FEB'!V36)="","      ",'HourGH-FEB'!V36)</f>
        <v>0.41</v>
      </c>
      <c r="F63" s="118">
        <f>IF(TRIM('HourGH-FEB'!V37)="","      ",'HourGH-FEB'!V37)</f>
        <v>0.26</v>
      </c>
      <c r="G63" s="118">
        <f>IF(TRIM('HourGH-FEB'!V38)="","      ",'HourGH-FEB'!V38)</f>
        <v>0.25</v>
      </c>
      <c r="H63" s="128">
        <f>IF(TRIM('HourGH-FEB'!V39)="","      ",'HourGH-FEB'!V39)</f>
        <v>0.25</v>
      </c>
      <c r="I63" s="128">
        <f>IF(TRIM('HourGH-FEB'!V40)="","      ",'HourGH-FEB'!V40)</f>
        <v>0.49</v>
      </c>
      <c r="J63" s="128" t="str">
        <f>IF(TRIM('HourGH-FEB'!V41)="","      ",'HourGH-FEB'!V41)</f>
        <v xml:space="preserve">      </v>
      </c>
      <c r="K63" s="128" t="str">
        <f>IF(TRIM('HourGH-FEB'!V42)="","      ",'HourGH-FEB'!V42)</f>
        <v xml:space="preserve">      </v>
      </c>
      <c r="N63" s="117">
        <f>I79</f>
        <v>338.27000000000004</v>
      </c>
      <c r="O63">
        <v>8</v>
      </c>
      <c r="P63" s="117" t="str">
        <f>I82</f>
        <v>6:00</v>
      </c>
      <c r="R63" s="117">
        <f>I85</f>
        <v>338.22</v>
      </c>
      <c r="S63">
        <v>8</v>
      </c>
      <c r="T63" s="117" t="str">
        <f>I88</f>
        <v>1:00</v>
      </c>
    </row>
    <row r="64" spans="1:20">
      <c r="A64" s="127" t="s">
        <v>206</v>
      </c>
      <c r="B64" s="128">
        <f>IF(TRIM('HourGH-FEB'!W11)="","      ",'HourGH-FEB'!W11)</f>
        <v>0.72</v>
      </c>
      <c r="C64" s="128">
        <f>IF(TRIM('HourGH-FEB'!W12)="","      ",'HourGH-FEB'!W12)</f>
        <v>0.56000000000000005</v>
      </c>
      <c r="D64" s="128">
        <f>IF(TRIM('HourGH-FEB'!W13)="","      ",'HourGH-FEB'!W13)</f>
        <v>0.36</v>
      </c>
      <c r="E64" s="128">
        <f>IF(TRIM('HourGH-FEB'!W14)="","      ",'HourGH-FEB'!W14)</f>
        <v>0.42</v>
      </c>
      <c r="F64" s="118">
        <f>IF(TRIM('HourGH-FEB'!W15)="","      ",'HourGH-FEB'!W15)</f>
        <v>0.32</v>
      </c>
      <c r="G64" s="118">
        <f>IF(TRIM('HourGH-FEB'!W16)="","      ",'HourGH-FEB'!W16)</f>
        <v>0.31</v>
      </c>
      <c r="H64" s="128">
        <f>IF(TRIM('HourGH-FEB'!W17)="","      ",'HourGH-FEB'!W17)</f>
        <v>0.55000000000000004</v>
      </c>
      <c r="I64" s="128">
        <f>IF(TRIM('HourGH-FEB'!W18)="","      ",'HourGH-FEB'!W18)</f>
        <v>0.67</v>
      </c>
      <c r="J64" s="128">
        <f>IF(TRIM('HourGH-FEB'!W19)="","      ",'HourGH-FEB'!W19)</f>
        <v>0.67</v>
      </c>
      <c r="K64" s="128">
        <f>IF(TRIM('HourGH-FEB'!W20)="","      ",'HourGH-FEB'!W20)</f>
        <v>0.41</v>
      </c>
      <c r="N64" s="117">
        <f>J79</f>
        <v>338.27000000000004</v>
      </c>
      <c r="O64">
        <v>9</v>
      </c>
      <c r="P64" s="117" t="str">
        <f>J82</f>
        <v>1:00</v>
      </c>
      <c r="R64" s="117">
        <f>J85</f>
        <v>338.27000000000004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IF(TRIM('HourGH-FEB'!W22)="","      ",'HourGH-FEB'!W22)</f>
        <v>0.28999999999999998</v>
      </c>
      <c r="C65" s="128">
        <f>IF(TRIM('HourGH-FEB'!W23)="","      ",'HourGH-FEB'!W23)</f>
        <v>0.28999999999999998</v>
      </c>
      <c r="D65" s="128">
        <f>IF(TRIM('HourGH-FEB'!W24)="","      ",'HourGH-FEB'!W24)</f>
        <v>0.3</v>
      </c>
      <c r="E65" s="128">
        <f>IF(TRIM('HourGH-FEB'!W25)="","      ",'HourGH-FEB'!W25)</f>
        <v>0.49</v>
      </c>
      <c r="F65" s="118">
        <f>IF(TRIM('HourGH-FEB'!W26)="","      ",'HourGH-FEB'!W26)</f>
        <v>0.8</v>
      </c>
      <c r="G65" s="118">
        <f>IF(TRIM('HourGH-FEB'!W27)="","      ",'HourGH-FEB'!W27)</f>
        <v>0.84</v>
      </c>
      <c r="H65" s="128">
        <f>IF(TRIM('HourGH-FEB'!W28)="","      ",'HourGH-FEB'!W28)</f>
        <v>0.5</v>
      </c>
      <c r="I65" s="128">
        <f>IF(TRIM('HourGH-FEB'!W29)="","      ",'HourGH-FEB'!W29)</f>
        <v>0.27</v>
      </c>
      <c r="J65" s="128">
        <f>IF(TRIM('HourGH-FEB'!W30)="","      ",'HourGH-FEB'!W30)</f>
        <v>0.27</v>
      </c>
      <c r="K65" s="128">
        <f>IF(TRIM('HourGH-FEB'!W31)="","      ",'HourGH-FEB'!W31)</f>
        <v>0.27</v>
      </c>
      <c r="N65" s="117">
        <f>K79</f>
        <v>338.27000000000004</v>
      </c>
      <c r="O65">
        <v>10</v>
      </c>
      <c r="P65" s="117" t="str">
        <f>K82</f>
        <v>1:00</v>
      </c>
      <c r="R65" s="117">
        <f>K85</f>
        <v>337.96000000000004</v>
      </c>
      <c r="S65">
        <v>10</v>
      </c>
      <c r="T65" s="117" t="str">
        <f>K88</f>
        <v>24:00</v>
      </c>
    </row>
    <row r="66" spans="1:20">
      <c r="A66" s="127" t="s">
        <v>208</v>
      </c>
      <c r="B66" s="128">
        <f>IF(TRIM('HourGH-FEB'!W33)="","      ",'HourGH-FEB'!W33)</f>
        <v>0.51</v>
      </c>
      <c r="C66" s="128">
        <f>IF(TRIM('HourGH-FEB'!W34)="","      ",'HourGH-FEB'!W34)</f>
        <v>0.59</v>
      </c>
      <c r="D66" s="128">
        <f>IF(TRIM('HourGH-FEB'!W35)="","      ",'HourGH-FEB'!W35)</f>
        <v>0.56000000000000005</v>
      </c>
      <c r="E66" s="128">
        <f>IF(TRIM('HourGH-FEB'!W36)="","      ",'HourGH-FEB'!W36)</f>
        <v>0.39</v>
      </c>
      <c r="F66" s="118">
        <f>IF(TRIM('HourGH-FEB'!W37)="","      ",'HourGH-FEB'!W37)</f>
        <v>0.26</v>
      </c>
      <c r="G66" s="118">
        <f>IF(TRIM('HourGH-FEB'!W38)="","      ",'HourGH-FEB'!W38)</f>
        <v>0.25</v>
      </c>
      <c r="H66" s="128">
        <f>IF(TRIM('HourGH-FEB'!W39)="","      ",'HourGH-FEB'!W39)</f>
        <v>0.25</v>
      </c>
      <c r="I66" s="128">
        <f>IF(TRIM('HourGH-FEB'!W40)="","      ",'HourGH-FEB'!W40)</f>
        <v>0.51</v>
      </c>
      <c r="J66" s="128" t="str">
        <f>IF(TRIM('HourGH-FEB'!W41)="","      ",'HourGH-FEB'!W41)</f>
        <v xml:space="preserve">      </v>
      </c>
      <c r="K66" s="128" t="str">
        <f>IF(TRIM('HourGH-FEB'!W42)="","      ",'HourGH-FEB'!W42)</f>
        <v xml:space="preserve">      </v>
      </c>
      <c r="N66" s="117">
        <f>B80</f>
        <v>337.95000000000005</v>
      </c>
      <c r="O66">
        <v>11</v>
      </c>
      <c r="P66" s="117" t="str">
        <f>B83</f>
        <v>1:00</v>
      </c>
      <c r="R66" s="117">
        <f>B86</f>
        <v>337.89000000000004</v>
      </c>
      <c r="S66">
        <v>11</v>
      </c>
      <c r="T66" s="117" t="str">
        <f>B89</f>
        <v>13:00</v>
      </c>
    </row>
    <row r="67" spans="1:20">
      <c r="A67" s="127" t="s">
        <v>209</v>
      </c>
      <c r="B67" s="128">
        <f>IF(TRIM('HourGH-FEB'!X11)="","      ",'HourGH-FEB'!X11)</f>
        <v>0.72</v>
      </c>
      <c r="C67" s="128">
        <f>IF(TRIM('HourGH-FEB'!X12)="","      ",'HourGH-FEB'!X12)</f>
        <v>0.55000000000000004</v>
      </c>
      <c r="D67" s="128">
        <f>IF(TRIM('HourGH-FEB'!X13)="","      ",'HourGH-FEB'!X13)</f>
        <v>0.37</v>
      </c>
      <c r="E67" s="128">
        <f>IF(TRIM('HourGH-FEB'!X14)="","      ",'HourGH-FEB'!X14)</f>
        <v>0.41</v>
      </c>
      <c r="F67" s="118">
        <f>IF(TRIM('HourGH-FEB'!X15)="","      ",'HourGH-FEB'!X15)</f>
        <v>0.32</v>
      </c>
      <c r="G67" s="118">
        <f>IF(TRIM('HourGH-FEB'!X16)="","      ",'HourGH-FEB'!X16)</f>
        <v>0.31</v>
      </c>
      <c r="H67" s="128">
        <f>IF(TRIM('HourGH-FEB'!X17)="","      ",'HourGH-FEB'!X17)</f>
        <v>0.56999999999999995</v>
      </c>
      <c r="I67" s="128">
        <f>IF(TRIM('HourGH-FEB'!X18)="","      ",'HourGH-FEB'!X18)</f>
        <v>0.67</v>
      </c>
      <c r="J67" s="128">
        <f>IF(TRIM('HourGH-FEB'!X19)="","      ",'HourGH-FEB'!X19)</f>
        <v>0.67</v>
      </c>
      <c r="K67" s="128">
        <f>IF(TRIM('HourGH-FEB'!X20)="","      ",'HourGH-FEB'!X20)</f>
        <v>0.39</v>
      </c>
      <c r="N67" s="117">
        <f>C80</f>
        <v>337.89000000000004</v>
      </c>
      <c r="O67">
        <v>12</v>
      </c>
      <c r="P67" s="117" t="str">
        <f>C83</f>
        <v>1:00</v>
      </c>
      <c r="R67" s="117">
        <f>C86</f>
        <v>337.89000000000004</v>
      </c>
      <c r="S67">
        <v>12</v>
      </c>
      <c r="T67" s="117" t="str">
        <f>C89</f>
        <v>1:00</v>
      </c>
    </row>
    <row r="68" spans="1:20">
      <c r="A68" s="127" t="s">
        <v>210</v>
      </c>
      <c r="B68" s="128">
        <f>IF(TRIM('HourGH-FEB'!X22)="","      ",'HourGH-FEB'!X22)</f>
        <v>0.28999999999999998</v>
      </c>
      <c r="C68" s="128">
        <f>IF(TRIM('HourGH-FEB'!X23)="","      ",'HourGH-FEB'!X23)</f>
        <v>0.28999999999999998</v>
      </c>
      <c r="D68" s="128">
        <f>IF(TRIM('HourGH-FEB'!X24)="","      ",'HourGH-FEB'!X24)</f>
        <v>0.3</v>
      </c>
      <c r="E68" s="128">
        <f>IF(TRIM('HourGH-FEB'!X25)="","      ",'HourGH-FEB'!X25)</f>
        <v>0.51</v>
      </c>
      <c r="F68" s="118">
        <f>IF(TRIM('HourGH-FEB'!X26)="","      ",'HourGH-FEB'!X26)</f>
        <v>0.81</v>
      </c>
      <c r="G68" s="118">
        <f>IF(TRIM('HourGH-FEB'!X27)="","      ",'HourGH-FEB'!X27)</f>
        <v>0.84</v>
      </c>
      <c r="H68" s="128">
        <f>IF(TRIM('HourGH-FEB'!X28)="","      ",'HourGH-FEB'!X28)</f>
        <v>0.47</v>
      </c>
      <c r="I68" s="128">
        <f>IF(TRIM('HourGH-FEB'!X29)="","      ",'HourGH-FEB'!X29)</f>
        <v>0.27</v>
      </c>
      <c r="J68" s="128">
        <f>IF(TRIM('HourGH-FEB'!X30)="","      ",'HourGH-FEB'!X30)</f>
        <v>0.27</v>
      </c>
      <c r="K68" s="128">
        <f>IF(TRIM('HourGH-FEB'!X31)="","      ",'HourGH-FEB'!X31)</f>
        <v>0.27</v>
      </c>
      <c r="N68" s="117">
        <f>D80</f>
        <v>337.90000000000003</v>
      </c>
      <c r="O68">
        <v>13</v>
      </c>
      <c r="P68" s="117" t="str">
        <f>D83</f>
        <v>1:00</v>
      </c>
      <c r="R68" s="117">
        <f>D86</f>
        <v>337.90000000000003</v>
      </c>
      <c r="S68">
        <v>13</v>
      </c>
      <c r="T68" s="117" t="str">
        <f>D89</f>
        <v>1:00</v>
      </c>
    </row>
    <row r="69" spans="1:20">
      <c r="A69" s="127" t="s">
        <v>211</v>
      </c>
      <c r="B69" s="128">
        <f>IF(TRIM('HourGH-FEB'!X33)="","      ",'HourGH-FEB'!X33)</f>
        <v>0.53</v>
      </c>
      <c r="C69" s="128">
        <f>IF(TRIM('HourGH-FEB'!X34)="","      ",'HourGH-FEB'!X34)</f>
        <v>0.57999999999999996</v>
      </c>
      <c r="D69" s="128">
        <f>IF(TRIM('HourGH-FEB'!X35)="","      ",'HourGH-FEB'!X35)</f>
        <v>0.59</v>
      </c>
      <c r="E69" s="128">
        <f>IF(TRIM('HourGH-FEB'!X36)="","      ",'HourGH-FEB'!X36)</f>
        <v>0.36</v>
      </c>
      <c r="F69" s="118">
        <f>IF(TRIM('HourGH-FEB'!X37)="","      ",'HourGH-FEB'!X37)</f>
        <v>0.26</v>
      </c>
      <c r="G69" s="118">
        <f>IF(TRIM('HourGH-FEB'!X38)="","      ",'HourGH-FEB'!X38)</f>
        <v>0.25</v>
      </c>
      <c r="H69" s="128">
        <f>IF(TRIM('HourGH-FEB'!X39)="","      ",'HourGH-FEB'!X39)</f>
        <v>0.25</v>
      </c>
      <c r="I69" s="128">
        <f>IF(TRIM('HourGH-FEB'!X40)="","      ",'HourGH-FEB'!X40)</f>
        <v>0.53</v>
      </c>
      <c r="J69" s="128" t="str">
        <f>IF(TRIM('HourGH-FEB'!X41)="","      ",'HourGH-FEB'!X41)</f>
        <v xml:space="preserve">      </v>
      </c>
      <c r="K69" s="128" t="str">
        <f>IF(TRIM('HourGH-FEB'!X42)="","      ",'HourGH-FEB'!X42)</f>
        <v xml:space="preserve">      </v>
      </c>
      <c r="N69" s="117">
        <f>E80</f>
        <v>338.15000000000003</v>
      </c>
      <c r="O69">
        <v>14</v>
      </c>
      <c r="P69" s="117" t="str">
        <f>E83</f>
        <v>24:00</v>
      </c>
      <c r="R69" s="117">
        <f>E86</f>
        <v>337.89000000000004</v>
      </c>
      <c r="S69">
        <v>14</v>
      </c>
      <c r="T69" s="117" t="str">
        <f>E89</f>
        <v>1:00</v>
      </c>
    </row>
    <row r="70" spans="1:20">
      <c r="A70" s="127" t="s">
        <v>212</v>
      </c>
      <c r="B70" s="128">
        <f>IF(TRIM('HourGH-FEB'!Y11)="","      ",'HourGH-FEB'!Y11)</f>
        <v>0.72</v>
      </c>
      <c r="C70" s="128">
        <f>IF(TRIM('HourGH-FEB'!Y12)="","      ",'HourGH-FEB'!Y12)</f>
        <v>0.53</v>
      </c>
      <c r="D70" s="128">
        <f>IF(TRIM('HourGH-FEB'!Y13)="","      ",'HourGH-FEB'!Y13)</f>
        <v>0.38</v>
      </c>
      <c r="E70" s="128">
        <f>IF(TRIM('HourGH-FEB'!Y14)="","      ",'HourGH-FEB'!Y14)</f>
        <v>0.4</v>
      </c>
      <c r="F70" s="118">
        <f>IF(TRIM('HourGH-FEB'!Y15)="","      ",'HourGH-FEB'!Y15)</f>
        <v>0.32</v>
      </c>
      <c r="G70" s="118">
        <f>IF(TRIM('HourGH-FEB'!Y16)="","      ",'HourGH-FEB'!Y16)</f>
        <v>0.31</v>
      </c>
      <c r="H70" s="128">
        <f>IF(TRIM('HourGH-FEB'!Y17)="","      ",'HourGH-FEB'!Y17)</f>
        <v>0.59</v>
      </c>
      <c r="I70" s="128">
        <f>IF(TRIM('HourGH-FEB'!Y18)="","      ",'HourGH-FEB'!Y18)</f>
        <v>0.67</v>
      </c>
      <c r="J70" s="128">
        <f>IF(TRIM('HourGH-FEB'!Y19)="","      ",'HourGH-FEB'!Y19)</f>
        <v>0.67</v>
      </c>
      <c r="K70" s="128">
        <f>IF(TRIM('HourGH-FEB'!Y20)="","      ",'HourGH-FEB'!Y20)</f>
        <v>0.37</v>
      </c>
      <c r="N70" s="117">
        <f>F80</f>
        <v>338.41</v>
      </c>
      <c r="O70">
        <v>15</v>
      </c>
      <c r="P70" s="117" t="str">
        <f>F83</f>
        <v>22:00</v>
      </c>
      <c r="R70" s="117">
        <f>F86</f>
        <v>338.17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IF(TRIM('HourGH-FEB'!Y22)="","      ",'HourGH-FEB'!Y22)</f>
        <v>0.28999999999999998</v>
      </c>
      <c r="C71" s="128">
        <f>IF(TRIM('HourGH-FEB'!Y23)="","      ",'HourGH-FEB'!Y23)</f>
        <v>0.28999999999999998</v>
      </c>
      <c r="D71" s="128">
        <f>IF(TRIM('HourGH-FEB'!Y24)="","      ",'HourGH-FEB'!Y24)</f>
        <v>0.3</v>
      </c>
      <c r="E71" s="128">
        <f>IF(TRIM('HourGH-FEB'!Y25)="","      ",'HourGH-FEB'!Y25)</f>
        <v>0.53</v>
      </c>
      <c r="F71" s="118">
        <f>IF(TRIM('HourGH-FEB'!Y26)="","      ",'HourGH-FEB'!Y26)</f>
        <v>0.81</v>
      </c>
      <c r="G71" s="118">
        <f>IF(TRIM('HourGH-FEB'!Y27)="","      ",'HourGH-FEB'!Y27)</f>
        <v>0.84</v>
      </c>
      <c r="H71" s="128">
        <f>IF(TRIM('HourGH-FEB'!Y28)="","      ",'HourGH-FEB'!Y28)</f>
        <v>0.43</v>
      </c>
      <c r="I71" s="128">
        <f>IF(TRIM('HourGH-FEB'!Y29)="","      ",'HourGH-FEB'!Y29)</f>
        <v>0.27</v>
      </c>
      <c r="J71" s="128">
        <f>IF(TRIM('HourGH-FEB'!Y30)="","      ",'HourGH-FEB'!Y30)</f>
        <v>0.27</v>
      </c>
      <c r="K71" s="128">
        <f>IF(TRIM('HourGH-FEB'!Y31)="","      ",'HourGH-FEB'!Y31)</f>
        <v>0.27</v>
      </c>
      <c r="N71" s="117">
        <f>G80</f>
        <v>338.45000000000005</v>
      </c>
      <c r="O71">
        <v>16</v>
      </c>
      <c r="P71" s="117" t="str">
        <f>G83</f>
        <v>13:00</v>
      </c>
      <c r="R71" s="117">
        <f>G86</f>
        <v>338.42</v>
      </c>
      <c r="S71">
        <v>16</v>
      </c>
      <c r="T71" s="117" t="str">
        <f>G89</f>
        <v>1:00</v>
      </c>
    </row>
    <row r="72" spans="1:20">
      <c r="A72" s="127" t="s">
        <v>214</v>
      </c>
      <c r="B72" s="128">
        <f>IF(TRIM('HourGH-FEB'!Y33)="","      ",'HourGH-FEB'!Y33)</f>
        <v>0.56000000000000005</v>
      </c>
      <c r="C72" s="128">
        <f>IF(TRIM('HourGH-FEB'!Y34)="","      ",'HourGH-FEB'!Y34)</f>
        <v>0.56000000000000005</v>
      </c>
      <c r="D72" s="128">
        <f>IF(TRIM('HourGH-FEB'!Y35)="","      ",'HourGH-FEB'!Y35)</f>
        <v>0.61</v>
      </c>
      <c r="E72" s="128">
        <f>IF(TRIM('HourGH-FEB'!Y36)="","      ",'HourGH-FEB'!Y36)</f>
        <v>0.34</v>
      </c>
      <c r="F72" s="118">
        <f>IF(TRIM('HourGH-FEB'!Y37)="","      ",'HourGH-FEB'!Y37)</f>
        <v>0.26</v>
      </c>
      <c r="G72" s="118">
        <f>IF(TRIM('HourGH-FEB'!Y38)="","      ",'HourGH-FEB'!Y38)</f>
        <v>0.25</v>
      </c>
      <c r="H72" s="128">
        <f>IF(TRIM('HourGH-FEB'!Y39)="","      ",'HourGH-FEB'!Y39)</f>
        <v>0.25</v>
      </c>
      <c r="I72" s="128">
        <f>IF(TRIM('HourGH-FEB'!Y40)="","      ",'HourGH-FEB'!Y40)</f>
        <v>0.55000000000000004</v>
      </c>
      <c r="J72" s="128" t="str">
        <f>IF(TRIM('HourGH-FEB'!Y41)="","      ",'HourGH-FEB'!Y41)</f>
        <v xml:space="preserve">      </v>
      </c>
      <c r="K72" s="128" t="str">
        <f>IF(TRIM('HourGH-FEB'!Y42)="","      ",'HourGH-FEB'!Y42)</f>
        <v xml:space="preserve">      </v>
      </c>
      <c r="N72" s="117">
        <f>H80</f>
        <v>338.43</v>
      </c>
      <c r="O72">
        <v>17</v>
      </c>
      <c r="P72" s="117" t="str">
        <f>H83</f>
        <v>1:00</v>
      </c>
      <c r="R72" s="117">
        <f>H86</f>
        <v>338.01000000000005</v>
      </c>
      <c r="S72">
        <v>17</v>
      </c>
      <c r="T72" s="117" t="str">
        <f>H89</f>
        <v>24:00</v>
      </c>
    </row>
    <row r="73" spans="1:20">
      <c r="A73" s="127" t="s">
        <v>215</v>
      </c>
      <c r="B73" s="128">
        <f>IF(TRIM('HourGH-FEB'!Z11)="","      ",'HourGH-FEB'!Z11)</f>
        <v>0.71</v>
      </c>
      <c r="C73" s="128">
        <f>IF(TRIM('HourGH-FEB'!Z12)="","      ",'HourGH-FEB'!Z12)</f>
        <v>0.51</v>
      </c>
      <c r="D73" s="128">
        <f>IF(TRIM('HourGH-FEB'!Z13)="","      ",'HourGH-FEB'!Z13)</f>
        <v>0.39</v>
      </c>
      <c r="E73" s="128">
        <f>IF(TRIM('HourGH-FEB'!Z14)="","      ",'HourGH-FEB'!Z14)</f>
        <v>0.39</v>
      </c>
      <c r="F73" s="118">
        <f>IF(TRIM('HourGH-FEB'!Z15)="","      ",'HourGH-FEB'!Z15)</f>
        <v>0.32</v>
      </c>
      <c r="G73" s="118">
        <f>IF(TRIM('HourGH-FEB'!Z16)="","      ",'HourGH-FEB'!Z16)</f>
        <v>0.31</v>
      </c>
      <c r="H73" s="128">
        <f>IF(TRIM('HourGH-FEB'!Z17)="","      ",'HourGH-FEB'!Z17)</f>
        <v>0.61</v>
      </c>
      <c r="I73" s="128">
        <f>IF(TRIM('HourGH-FEB'!Z18)="","      ",'HourGH-FEB'!Z18)</f>
        <v>0.67</v>
      </c>
      <c r="J73" s="128">
        <f>IF(TRIM('HourGH-FEB'!Z19)="","      ",'HourGH-FEB'!Z19)</f>
        <v>0.67</v>
      </c>
      <c r="K73" s="128">
        <f>IF(TRIM('HourGH-FEB'!Z20)="","      ",'HourGH-FEB'!Z20)</f>
        <v>0.36</v>
      </c>
      <c r="N73" s="117">
        <f>I80</f>
        <v>337.98</v>
      </c>
      <c r="O73">
        <v>18</v>
      </c>
      <c r="P73" s="117" t="str">
        <f>I83</f>
        <v>1:00</v>
      </c>
      <c r="R73" s="117">
        <f>I86</f>
        <v>337.87</v>
      </c>
      <c r="S73">
        <v>18</v>
      </c>
      <c r="T73" s="117" t="str">
        <f>I89</f>
        <v>6:00</v>
      </c>
    </row>
    <row r="74" spans="1:20">
      <c r="A74" s="127" t="s">
        <v>216</v>
      </c>
      <c r="B74" s="128">
        <f>IF(TRIM('HourGH-FEB'!Z22)="","      ",'HourGH-FEB'!Z22)</f>
        <v>0.28999999999999998</v>
      </c>
      <c r="C74" s="128">
        <f>IF(TRIM('HourGH-FEB'!Z23)="","      ",'HourGH-FEB'!Z23)</f>
        <v>0.28999999999999998</v>
      </c>
      <c r="D74" s="128">
        <f>IF(TRIM('HourGH-FEB'!Z24)="","      ",'HourGH-FEB'!Z24)</f>
        <v>0.3</v>
      </c>
      <c r="E74" s="128">
        <f>IF(TRIM('HourGH-FEB'!Z25)="","      ",'HourGH-FEB'!Z25)</f>
        <v>0.55000000000000004</v>
      </c>
      <c r="F74" s="118">
        <f>IF(TRIM('HourGH-FEB'!Z26)="","      ",'HourGH-FEB'!Z26)</f>
        <v>0.81</v>
      </c>
      <c r="G74" s="118">
        <f>IF(TRIM('HourGH-FEB'!Z27)="","      ",'HourGH-FEB'!Z27)</f>
        <v>0.84</v>
      </c>
      <c r="H74" s="128">
        <f>IF(TRIM('HourGH-FEB'!Z28)="","      ",'HourGH-FEB'!Z28)</f>
        <v>0.41</v>
      </c>
      <c r="I74" s="128">
        <f>IF(TRIM('HourGH-FEB'!Z29)="","      ",'HourGH-FEB'!Z29)</f>
        <v>0.27</v>
      </c>
      <c r="J74" s="128">
        <f>IF(TRIM('HourGH-FEB'!Z30)="","      ",'HourGH-FEB'!Z30)</f>
        <v>0.27</v>
      </c>
      <c r="K74" s="128">
        <f>IF(TRIM('HourGH-FEB'!Z31)="","      ",'HourGH-FEB'!Z31)</f>
        <v>0.27</v>
      </c>
      <c r="N74" s="117">
        <f>J80</f>
        <v>337.87</v>
      </c>
      <c r="O74">
        <v>19</v>
      </c>
      <c r="P74" s="117" t="str">
        <f>J83</f>
        <v>1:00</v>
      </c>
      <c r="R74" s="117">
        <f>J86</f>
        <v>337.87</v>
      </c>
      <c r="S74">
        <v>19</v>
      </c>
      <c r="T74" s="117" t="str">
        <f>J89</f>
        <v>1:00</v>
      </c>
    </row>
    <row r="75" spans="1:20">
      <c r="A75" s="127" t="s">
        <v>217</v>
      </c>
      <c r="B75" s="128">
        <f>IF(TRIM('HourGH-FEB'!Z33)="","      ",'HourGH-FEB'!Z33)</f>
        <v>0.59</v>
      </c>
      <c r="C75" s="128">
        <f>IF(TRIM('HourGH-FEB'!Z34)="","      ",'HourGH-FEB'!Z34)</f>
        <v>0.54</v>
      </c>
      <c r="D75" s="128">
        <f>IF(TRIM('HourGH-FEB'!Z35)="","      ",'HourGH-FEB'!Z35)</f>
        <v>0.63</v>
      </c>
      <c r="E75" s="128">
        <f>IF(TRIM('HourGH-FEB'!Z36)="","      ",'HourGH-FEB'!Z36)</f>
        <v>0.33</v>
      </c>
      <c r="F75" s="118">
        <f>IF(TRIM('HourGH-FEB'!Z37)="","      ",'HourGH-FEB'!Z37)</f>
        <v>0.26</v>
      </c>
      <c r="G75" s="118">
        <f>IF(TRIM('HourGH-FEB'!Z38)="","      ",'HourGH-FEB'!Z38)</f>
        <v>0.25</v>
      </c>
      <c r="H75" s="128">
        <f>IF(TRIM('HourGH-FEB'!Z39)="","      ",'HourGH-FEB'!Z39)</f>
        <v>0.25</v>
      </c>
      <c r="I75" s="128">
        <f>IF(TRIM('HourGH-FEB'!Z40)="","      ",'HourGH-FEB'!Z40)</f>
        <v>0.56999999999999995</v>
      </c>
      <c r="J75" s="128" t="str">
        <f>IF(TRIM('HourGH-FEB'!Z41)="","      ",'HourGH-FEB'!Z41)</f>
        <v xml:space="preserve">      </v>
      </c>
      <c r="K75" s="128" t="str">
        <f>IF(TRIM('HourGH-FEB'!Z42)="","      ",'HourGH-FEB'!Z42)</f>
        <v xml:space="preserve">      </v>
      </c>
      <c r="N75" s="117">
        <f>K80</f>
        <v>337.88</v>
      </c>
      <c r="O75">
        <v>20</v>
      </c>
      <c r="P75" s="117" t="str">
        <f>K83</f>
        <v>1:00</v>
      </c>
      <c r="R75" s="117">
        <f>K86</f>
        <v>337.87</v>
      </c>
      <c r="S75">
        <v>20</v>
      </c>
      <c r="T75" s="117" t="str">
        <f>K89</f>
        <v>13:00</v>
      </c>
    </row>
    <row r="76" spans="1:20">
      <c r="A76" t="s">
        <v>228</v>
      </c>
      <c r="B76" s="119">
        <f>IF(TRIM('HourGH-FEB'!AB11)="","",'HourGH-FEB'!AB11)</f>
        <v>338.3054166666667</v>
      </c>
      <c r="C76" s="119">
        <f>IF(TRIM('HourGH-FEB'!AB12)="","",'HourGH-FEB'!AB12)</f>
        <v>338.23750000000001</v>
      </c>
      <c r="D76" s="119">
        <f>IF(TRIM('HourGH-FEB'!AB13)="","",'HourGH-FEB'!AB13)</f>
        <v>337.98416666666668</v>
      </c>
      <c r="E76" s="119">
        <f>IF(TRIM('HourGH-FEB'!AB14)="","",'HourGH-FEB'!AB14)</f>
        <v>338.04708333333338</v>
      </c>
      <c r="F76" s="119">
        <f>IF(TRIM('HourGH-FEB'!AB15)="","",'HourGH-FEB'!AB15)</f>
        <v>337.92666666666668</v>
      </c>
      <c r="G76" s="119">
        <f>IF(TRIM('HourGH-FEB'!AB16)="","",'HourGH-FEB'!AB16)</f>
        <v>337.91500000000002</v>
      </c>
      <c r="H76" s="119">
        <f>IF(TRIM('HourGH-FEB'!AB17)="","",'HourGH-FEB'!AB17)</f>
        <v>338.01416666666671</v>
      </c>
      <c r="I76" s="119">
        <f>IF(TRIM('HourGH-FEB'!AB18)="","",'HourGH-FEB'!AB18)</f>
        <v>338.26375000000002</v>
      </c>
      <c r="J76" s="119">
        <f>IF(TRIM('HourGH-FEB'!AB19)="","",'HourGH-FEB'!AB19)</f>
        <v>338.27000000000004</v>
      </c>
      <c r="K76" s="119">
        <f>IF(TRIM('HourGH-FEB'!AB20)="","",'HourGH-FEB'!AB20)</f>
        <v>338.16666666666669</v>
      </c>
      <c r="N76" s="117">
        <f>B81</f>
        <v>338.19</v>
      </c>
      <c r="O76">
        <v>21</v>
      </c>
      <c r="P76" s="117" t="str">
        <f>B84</f>
        <v>24:00</v>
      </c>
      <c r="R76" s="117">
        <f>B87</f>
        <v>337.86</v>
      </c>
      <c r="S76">
        <v>21</v>
      </c>
      <c r="T76" s="117" t="str">
        <f>B90</f>
        <v>1:00</v>
      </c>
    </row>
    <row r="77" spans="1:20">
      <c r="A77" t="s">
        <v>229</v>
      </c>
      <c r="B77" s="119">
        <f>IF(TRIM('HourGH-FEB'!AB22)="","",'HourGH-FEB'!AB22)</f>
        <v>337.90125</v>
      </c>
      <c r="C77" s="119">
        <f>IF(TRIM('HourGH-FEB'!AB23)="","",'HourGH-FEB'!AB23)</f>
        <v>337.89000000000004</v>
      </c>
      <c r="D77" s="119">
        <f>IF(TRIM('HourGH-FEB'!AB24)="","",'HourGH-FEB'!AB24)</f>
        <v>337.90000000000003</v>
      </c>
      <c r="E77" s="119">
        <f>IF(TRIM('HourGH-FEB'!AB25)="","",'HourGH-FEB'!AB25)</f>
        <v>337.97375</v>
      </c>
      <c r="F77" s="119">
        <f>IF(TRIM('HourGH-FEB'!AB26)="","",'HourGH-FEB'!AB26)</f>
        <v>338.32875000000001</v>
      </c>
      <c r="G77" s="119">
        <f>IF(TRIM('HourGH-FEB'!AB27)="","",'HourGH-FEB'!AB27)</f>
        <v>338.43791666666669</v>
      </c>
      <c r="H77" s="119">
        <f>IF(TRIM('HourGH-FEB'!AB28)="","",'HourGH-FEB'!AB28)</f>
        <v>338.29041666666672</v>
      </c>
      <c r="I77" s="119">
        <f>IF(TRIM('HourGH-FEB'!AB29)="","",'HourGH-FEB'!AB29)</f>
        <v>337.88291666666669</v>
      </c>
      <c r="J77" s="119">
        <f>IF(TRIM('HourGH-FEB'!AB30)="","",'HourGH-FEB'!AB30)</f>
        <v>337.87</v>
      </c>
      <c r="K77" s="119">
        <f>IF(TRIM('HourGH-FEB'!AB31)="","",'HourGH-FEB'!AB31)</f>
        <v>337.875</v>
      </c>
      <c r="N77" s="117">
        <f>C81</f>
        <v>338.31</v>
      </c>
      <c r="O77">
        <v>22</v>
      </c>
      <c r="P77" s="117" t="str">
        <f>C84</f>
        <v>8:00</v>
      </c>
      <c r="R77" s="117">
        <f>C87</f>
        <v>338.14000000000004</v>
      </c>
      <c r="S77">
        <v>22</v>
      </c>
      <c r="T77" s="117" t="str">
        <f>C90</f>
        <v>24:00</v>
      </c>
    </row>
    <row r="78" spans="1:20">
      <c r="A78" t="s">
        <v>230</v>
      </c>
      <c r="B78" s="119">
        <f>IF(TRIM('HourGH-FEB'!AB33)="","",'HourGH-FEB'!AB33)</f>
        <v>337.96250000000003</v>
      </c>
      <c r="C78" s="119">
        <f>IF(TRIM('HourGH-FEB'!AB34)="","",'HourGH-FEB'!AB34)</f>
        <v>338.25541666666669</v>
      </c>
      <c r="D78" s="119">
        <f>IF(TRIM('HourGH-FEB'!AB35)="","",'HourGH-FEB'!AB35)</f>
        <v>338.09583333333336</v>
      </c>
      <c r="E78" s="119">
        <f>IF(TRIM('HourGH-FEB'!AB36)="","",'HourGH-FEB'!AB36)</f>
        <v>338.15458333333333</v>
      </c>
      <c r="F78" s="119">
        <f>IF(TRIM('HourGH-FEB'!AB37)="","",'HourGH-FEB'!AB37)</f>
        <v>337.86625000000004</v>
      </c>
      <c r="G78" s="119">
        <f>IF(TRIM('HourGH-FEB'!AB38)="","",'HourGH-FEB'!AB38)</f>
        <v>337.85</v>
      </c>
      <c r="H78" s="119">
        <f>IF(TRIM('HourGH-FEB'!AB39)="","",'HourGH-FEB'!AB39)</f>
        <v>337.85</v>
      </c>
      <c r="I78" s="119">
        <f>IF(TRIM('HourGH-FEB'!AB40)="","",'HourGH-FEB'!AB40)</f>
        <v>337.95666666666671</v>
      </c>
      <c r="J78" s="119" t="str">
        <f>IF(TRIM('HourGH-FEB'!AB41)="","",'HourGH-FEB'!AB41)</f>
        <v/>
      </c>
      <c r="K78" s="119" t="str">
        <f>IF(TRIM('HourGH-FEB'!AB42)="","",'HourGH-FEB'!AB42)</f>
        <v/>
      </c>
      <c r="N78" s="117">
        <f>D81</f>
        <v>338.23</v>
      </c>
      <c r="O78">
        <v>23</v>
      </c>
      <c r="P78" s="117" t="str">
        <f>D84</f>
        <v>24:00</v>
      </c>
      <c r="R78" s="117">
        <f>D87</f>
        <v>338.03000000000003</v>
      </c>
      <c r="S78">
        <v>23</v>
      </c>
      <c r="T78" s="117" t="str">
        <f>D90</f>
        <v>11:00</v>
      </c>
    </row>
    <row r="79" spans="1:20">
      <c r="A79" t="s">
        <v>231</v>
      </c>
      <c r="B79" s="119">
        <f>IF(TRIM('HourGH-FEB'!AC11)="","",'HourGH-FEB'!AC11)</f>
        <v>338.33000000000004</v>
      </c>
      <c r="C79" s="119">
        <f>IF(TRIM('HourGH-FEB'!AC12)="","",'HourGH-FEB'!AC12)</f>
        <v>338.31</v>
      </c>
      <c r="D79" s="119">
        <f>IF(TRIM('HourGH-FEB'!AC13)="","",'HourGH-FEB'!AC13)</f>
        <v>338.09000000000003</v>
      </c>
      <c r="E79" s="119">
        <f>IF(TRIM('HourGH-FEB'!AC14)="","",'HourGH-FEB'!AC14)</f>
        <v>338.09000000000003</v>
      </c>
      <c r="F79" s="119">
        <f>IF(TRIM('HourGH-FEB'!AC15)="","",'HourGH-FEB'!AC15)</f>
        <v>337.98</v>
      </c>
      <c r="G79" s="119">
        <f>IF(TRIM('HourGH-FEB'!AC16)="","",'HourGH-FEB'!AC16)</f>
        <v>337.92</v>
      </c>
      <c r="H79" s="119">
        <f>IF(TRIM('HourGH-FEB'!AC17)="","",'HourGH-FEB'!AC17)</f>
        <v>338.21000000000004</v>
      </c>
      <c r="I79" s="119">
        <f>IF(TRIM('HourGH-FEB'!AC18)="","",'HourGH-FEB'!AC18)</f>
        <v>338.27000000000004</v>
      </c>
      <c r="J79" s="119">
        <f>IF(TRIM('HourGH-FEB'!AC19)="","",'HourGH-FEB'!AC19)</f>
        <v>338.27000000000004</v>
      </c>
      <c r="K79" s="119">
        <f>IF(TRIM('HourGH-FEB'!AC20)="","",'HourGH-FEB'!AC20)</f>
        <v>338.27000000000004</v>
      </c>
      <c r="N79" s="117">
        <f>E81</f>
        <v>338.28000000000003</v>
      </c>
      <c r="O79">
        <v>24</v>
      </c>
      <c r="P79" s="117" t="str">
        <f>E84</f>
        <v>6:00</v>
      </c>
      <c r="R79" s="117">
        <f>E87</f>
        <v>337.93</v>
      </c>
      <c r="S79">
        <v>24</v>
      </c>
      <c r="T79" s="117" t="str">
        <f>E90</f>
        <v>24:00</v>
      </c>
    </row>
    <row r="80" spans="1:20">
      <c r="A80" t="s">
        <v>232</v>
      </c>
      <c r="B80" s="119">
        <f>IF(TRIM('HourGH-FEB'!AC22)="","",'HourGH-FEB'!AC22)</f>
        <v>337.95000000000005</v>
      </c>
      <c r="C80" s="119">
        <f>IF(TRIM('HourGH-FEB'!AC23)="","",'HourGH-FEB'!AC23)</f>
        <v>337.89000000000004</v>
      </c>
      <c r="D80" s="119">
        <f>IF(TRIM('HourGH-FEB'!AC24)="","",'HourGH-FEB'!AC24)</f>
        <v>337.90000000000003</v>
      </c>
      <c r="E80" s="119">
        <f>IF(TRIM('HourGH-FEB'!AC25)="","",'HourGH-FEB'!AC25)</f>
        <v>338.15000000000003</v>
      </c>
      <c r="F80" s="119">
        <f>IF(TRIM('HourGH-FEB'!AC26)="","",'HourGH-FEB'!AC26)</f>
        <v>338.41</v>
      </c>
      <c r="G80" s="119">
        <f>IF(TRIM('HourGH-FEB'!AC27)="","",'HourGH-FEB'!AC27)</f>
        <v>338.45000000000005</v>
      </c>
      <c r="H80" s="119">
        <f>IF(TRIM('HourGH-FEB'!AC28)="","",'HourGH-FEB'!AC28)</f>
        <v>338.43</v>
      </c>
      <c r="I80" s="119">
        <f>IF(TRIM('HourGH-FEB'!AC29)="","",'HourGH-FEB'!AC29)</f>
        <v>337.98</v>
      </c>
      <c r="J80" s="119">
        <f>IF(TRIM('HourGH-FEB'!AC30)="","",'HourGH-FEB'!AC30)</f>
        <v>337.87</v>
      </c>
      <c r="K80" s="119">
        <f>IF(TRIM('HourGH-FEB'!AC31)="","",'HourGH-FEB'!AC31)</f>
        <v>337.88</v>
      </c>
      <c r="N80" s="117">
        <f>F81</f>
        <v>337.91</v>
      </c>
      <c r="O80">
        <v>25</v>
      </c>
      <c r="P80" s="117" t="str">
        <f>F84</f>
        <v>1:00</v>
      </c>
      <c r="R80" s="117">
        <f>F87</f>
        <v>337.86</v>
      </c>
      <c r="S80">
        <v>25</v>
      </c>
      <c r="T80" s="117" t="str">
        <f>F90</f>
        <v>6:00</v>
      </c>
    </row>
    <row r="81" spans="1:20">
      <c r="A81" t="s">
        <v>233</v>
      </c>
      <c r="B81" s="119">
        <f>IF(TRIM('HourGH-FEB'!AC33)="","",'HourGH-FEB'!AC33)</f>
        <v>338.19</v>
      </c>
      <c r="C81" s="119">
        <f>IF(TRIM('HourGH-FEB'!AC34)="","",'HourGH-FEB'!AC34)</f>
        <v>338.31</v>
      </c>
      <c r="D81" s="119">
        <f>IF(TRIM('HourGH-FEB'!AC35)="","",'HourGH-FEB'!AC35)</f>
        <v>338.23</v>
      </c>
      <c r="E81" s="119">
        <f>IF(TRIM('HourGH-FEB'!AC36)="","",'HourGH-FEB'!AC36)</f>
        <v>338.28000000000003</v>
      </c>
      <c r="F81" s="119">
        <f>IF(TRIM('HourGH-FEB'!AC37)="","",'HourGH-FEB'!AC37)</f>
        <v>337.91</v>
      </c>
      <c r="G81" s="119">
        <f>IF(TRIM('HourGH-FEB'!AC38)="","",'HourGH-FEB'!AC38)</f>
        <v>337.85</v>
      </c>
      <c r="H81" s="119">
        <f>IF(TRIM('HourGH-FEB'!AC39)="","",'HourGH-FEB'!AC39)</f>
        <v>337.85</v>
      </c>
      <c r="I81" s="119">
        <f>IF(TRIM('HourGH-FEB'!AC40)="","",'HourGH-FEB'!AC40)</f>
        <v>338.17</v>
      </c>
      <c r="J81" s="119" t="str">
        <f>IF(TRIM('HourGH-FEB'!AC41)="","",'HourGH-FEB'!AC41)</f>
        <v/>
      </c>
      <c r="K81" s="119" t="str">
        <f>IF(TRIM('HourGH-FEB'!AC42)="","",'HourGH-FEB'!AC42)</f>
        <v/>
      </c>
      <c r="N81" s="117">
        <f>G81</f>
        <v>337.85</v>
      </c>
      <c r="O81">
        <v>26</v>
      </c>
      <c r="P81" s="117" t="str">
        <f>G84</f>
        <v>1:00</v>
      </c>
      <c r="R81" s="117">
        <f>G87</f>
        <v>337.85</v>
      </c>
      <c r="S81">
        <v>26</v>
      </c>
      <c r="T81" s="117" t="str">
        <f>G90</f>
        <v>1:00</v>
      </c>
    </row>
    <row r="82" spans="1:20">
      <c r="A82" t="s">
        <v>219</v>
      </c>
      <c r="B82" s="119" t="str">
        <f>'HourGH-FEB'!AD11&amp;":00"</f>
        <v>13:00</v>
      </c>
      <c r="C82" s="119" t="str">
        <f>'HourGH-FEB'!AD12&amp;":00"</f>
        <v>1:00</v>
      </c>
      <c r="D82" s="119" t="str">
        <f>'HourGH-FEB'!AD13&amp;":00"</f>
        <v>1:00</v>
      </c>
      <c r="E82" s="119" t="str">
        <f>'HourGH-FEB'!AD14&amp;":00"</f>
        <v>12:00</v>
      </c>
      <c r="F82" s="119" t="str">
        <f>'HourGH-FEB'!AD15&amp;":00"</f>
        <v>1:00</v>
      </c>
      <c r="G82" s="119" t="str">
        <f>'HourGH-FEB'!AD16&amp;":00"</f>
        <v>1:00</v>
      </c>
      <c r="H82" s="119" t="str">
        <f>'HourGH-FEB'!AD17&amp;":00"</f>
        <v>24:00</v>
      </c>
      <c r="I82" s="119" t="str">
        <f>'HourGH-FEB'!AD18&amp;":00"</f>
        <v>6:00</v>
      </c>
      <c r="J82" s="119" t="str">
        <f>'HourGH-FEB'!AD19&amp;":00"</f>
        <v>1:00</v>
      </c>
      <c r="K82" s="119" t="str">
        <f>'HourGH-FEB'!AD20&amp;":00"</f>
        <v>1:00</v>
      </c>
      <c r="N82" s="117">
        <f>H81</f>
        <v>337.85</v>
      </c>
      <c r="O82">
        <v>27</v>
      </c>
      <c r="P82" s="117" t="str">
        <f>H84</f>
        <v>1:00</v>
      </c>
      <c r="R82" s="117">
        <f>H87</f>
        <v>337.85</v>
      </c>
      <c r="S82">
        <v>27</v>
      </c>
      <c r="T82" s="117" t="str">
        <f>H90</f>
        <v>1:00</v>
      </c>
    </row>
    <row r="83" spans="1:20">
      <c r="A83" t="s">
        <v>220</v>
      </c>
      <c r="B83" s="119" t="str">
        <f>'HourGH-FEB'!AD22&amp;":00"</f>
        <v>1:00</v>
      </c>
      <c r="C83" s="119" t="str">
        <f>'HourGH-FEB'!AD23&amp;":00"</f>
        <v>1:00</v>
      </c>
      <c r="D83" s="119" t="str">
        <f>'HourGH-FEB'!AD24&amp;":00"</f>
        <v>1:00</v>
      </c>
      <c r="E83" s="119" t="str">
        <f>'HourGH-FEB'!AD25&amp;":00"</f>
        <v>24:00</v>
      </c>
      <c r="F83" s="119" t="str">
        <f>'HourGH-FEB'!AD26&amp;":00"</f>
        <v>22:00</v>
      </c>
      <c r="G83" s="119" t="str">
        <f>'HourGH-FEB'!AD27&amp;":00"</f>
        <v>13:00</v>
      </c>
      <c r="H83" s="119" t="str">
        <f>'HourGH-FEB'!AD28&amp;":00"</f>
        <v>1:00</v>
      </c>
      <c r="I83" s="119" t="str">
        <f>'HourGH-FEB'!AD29&amp;":00"</f>
        <v>1:00</v>
      </c>
      <c r="J83" s="119" t="str">
        <f>'HourGH-FEB'!AD30&amp;":00"</f>
        <v>1:00</v>
      </c>
      <c r="K83" s="119" t="str">
        <f>'HourGH-FEB'!AD31&amp;":00"</f>
        <v>1:00</v>
      </c>
      <c r="N83" s="117">
        <f>I81</f>
        <v>338.17</v>
      </c>
      <c r="O83">
        <v>28</v>
      </c>
      <c r="P83" s="117" t="str">
        <f>I84</f>
        <v>24:00</v>
      </c>
      <c r="R83" s="117">
        <f>I87</f>
        <v>337.85</v>
      </c>
      <c r="S83">
        <v>28</v>
      </c>
      <c r="T83" s="117" t="str">
        <f>I90</f>
        <v>1:00</v>
      </c>
    </row>
    <row r="84" spans="1:20">
      <c r="A84" t="s">
        <v>221</v>
      </c>
      <c r="B84" s="119" t="str">
        <f>'HourGH-FEB'!AD33&amp;":00"</f>
        <v>24:00</v>
      </c>
      <c r="C84" s="119" t="str">
        <f>'HourGH-FEB'!AD34&amp;":00"</f>
        <v>8:00</v>
      </c>
      <c r="D84" s="119" t="str">
        <f>'HourGH-FEB'!AD35&amp;":00"</f>
        <v>24:00</v>
      </c>
      <c r="E84" s="119" t="str">
        <f>'HourGH-FEB'!AD36&amp;":00"</f>
        <v>6:00</v>
      </c>
      <c r="F84" s="119" t="str">
        <f>'HourGH-FEB'!AD37&amp;":00"</f>
        <v>1:00</v>
      </c>
      <c r="G84" s="119" t="str">
        <f>'HourGH-FEB'!AD38&amp;":00"</f>
        <v>1:00</v>
      </c>
      <c r="H84" s="119" t="str">
        <f>'HourGH-FEB'!AD39&amp;":00"</f>
        <v>1:00</v>
      </c>
      <c r="I84" s="119" t="str">
        <f>'HourGH-FEB'!AD40&amp;":00"</f>
        <v>24:00</v>
      </c>
      <c r="J84" s="119" t="str">
        <f>'HourGH-FEB'!AD41&amp;":00"</f>
        <v xml:space="preserve"> :00</v>
      </c>
      <c r="K84" s="119" t="str">
        <f>'HourGH-FEB'!AD42&amp;":00"</f>
        <v xml:space="preserve"> :00</v>
      </c>
      <c r="N84" s="117" t="str">
        <f>J81</f>
        <v/>
      </c>
      <c r="O84">
        <v>29</v>
      </c>
      <c r="P84" s="117" t="str">
        <f>J84</f>
        <v xml:space="preserve"> :00</v>
      </c>
      <c r="R84" s="117" t="str">
        <f>J87</f>
        <v xml:space="preserve"> </v>
      </c>
      <c r="S84">
        <v>29</v>
      </c>
      <c r="T84" s="117" t="str">
        <f>J90</f>
        <v xml:space="preserve"> :00</v>
      </c>
    </row>
    <row r="85" spans="1:20">
      <c r="A85" t="s">
        <v>234</v>
      </c>
      <c r="B85" s="129">
        <f>'HourGH-FEB'!AE11</f>
        <v>338.20000000000005</v>
      </c>
      <c r="C85" s="129">
        <f>'HourGH-FEB'!AE12</f>
        <v>338.11</v>
      </c>
      <c r="D85" s="129">
        <f>'HourGH-FEB'!AE13</f>
        <v>337.94</v>
      </c>
      <c r="E85" s="129">
        <f>'HourGH-FEB'!AE14</f>
        <v>337.99</v>
      </c>
      <c r="F85" s="129">
        <f>'HourGH-FEB'!AE15</f>
        <v>337.92</v>
      </c>
      <c r="G85" s="129">
        <f>'HourGH-FEB'!AE16</f>
        <v>337.91</v>
      </c>
      <c r="H85" s="129">
        <f>'HourGH-FEB'!AE17</f>
        <v>337.90000000000003</v>
      </c>
      <c r="I85" s="129">
        <f>'HourGH-FEB'!AE18</f>
        <v>338.22</v>
      </c>
      <c r="J85" s="129">
        <f>'HourGH-FEB'!AE19</f>
        <v>338.27000000000004</v>
      </c>
      <c r="K85" s="129">
        <f>'HourGH-FEB'!AE20</f>
        <v>337.96000000000004</v>
      </c>
      <c r="N85" s="117" t="str">
        <f>K81</f>
        <v/>
      </c>
      <c r="O85">
        <v>30</v>
      </c>
      <c r="P85" s="117" t="str">
        <f>K84</f>
        <v xml:space="preserve"> :00</v>
      </c>
      <c r="R85" s="117" t="str">
        <f>K87</f>
        <v xml:space="preserve"> </v>
      </c>
      <c r="S85">
        <v>30</v>
      </c>
      <c r="T85" s="117" t="str">
        <f>K90</f>
        <v xml:space="preserve"> :00</v>
      </c>
    </row>
    <row r="86" spans="1:20">
      <c r="A86" t="s">
        <v>235</v>
      </c>
      <c r="B86" s="129">
        <f>'HourGH-FEB'!AE22</f>
        <v>337.89000000000004</v>
      </c>
      <c r="C86" s="129">
        <f>'HourGH-FEB'!AE23</f>
        <v>337.89000000000004</v>
      </c>
      <c r="D86" s="129">
        <f>'HourGH-FEB'!AE24</f>
        <v>337.90000000000003</v>
      </c>
      <c r="E86" s="129">
        <f>'HourGH-FEB'!AE25</f>
        <v>337.89000000000004</v>
      </c>
      <c r="F86" s="129">
        <f>'HourGH-FEB'!AE26</f>
        <v>338.17</v>
      </c>
      <c r="G86" s="129">
        <f>'HourGH-FEB'!AE27</f>
        <v>338.42</v>
      </c>
      <c r="H86" s="129">
        <f>'HourGH-FEB'!AE28</f>
        <v>338.01000000000005</v>
      </c>
      <c r="I86" s="129">
        <f>'HourGH-FEB'!AE29</f>
        <v>337.87</v>
      </c>
      <c r="J86" s="129">
        <f>'HourGH-FEB'!AE30</f>
        <v>337.87</v>
      </c>
      <c r="K86" s="129">
        <f>'HourGH-FEB'!AE31</f>
        <v>337.87</v>
      </c>
    </row>
    <row r="87" spans="1:20">
      <c r="A87" t="s">
        <v>236</v>
      </c>
      <c r="B87" s="129">
        <f>'HourGH-FEB'!AE33</f>
        <v>337.86</v>
      </c>
      <c r="C87" s="129">
        <f>'HourGH-FEB'!AE34</f>
        <v>338.14000000000004</v>
      </c>
      <c r="D87" s="129">
        <f>'HourGH-FEB'!AE35</f>
        <v>338.03000000000003</v>
      </c>
      <c r="E87" s="129">
        <f>'HourGH-FEB'!AE36</f>
        <v>337.93</v>
      </c>
      <c r="F87" s="129">
        <f>'HourGH-FEB'!AE37</f>
        <v>337.86</v>
      </c>
      <c r="G87" s="129">
        <f>'HourGH-FEB'!AE38</f>
        <v>337.85</v>
      </c>
      <c r="H87" s="129">
        <f>'HourGH-FEB'!AE39</f>
        <v>337.85</v>
      </c>
      <c r="I87" s="129">
        <f>'HourGH-FEB'!AE40</f>
        <v>337.85</v>
      </c>
      <c r="J87" s="129" t="str">
        <f>'HourGH-FEB'!AE41</f>
        <v xml:space="preserve"> </v>
      </c>
      <c r="K87" s="129" t="str">
        <f>'HourGH-FEB'!AE42</f>
        <v xml:space="preserve"> </v>
      </c>
    </row>
    <row r="88" spans="1:20">
      <c r="A88" t="s">
        <v>222</v>
      </c>
      <c r="B88" s="119" t="str">
        <f>'HourGH-FEB'!AF11&amp;":00"</f>
        <v>1:00</v>
      </c>
      <c r="C88" s="119" t="str">
        <f>'HourGH-FEB'!AF12&amp;":00"</f>
        <v>24:00</v>
      </c>
      <c r="D88" s="119" t="str">
        <f>'HourGH-FEB'!AF13&amp;":00"</f>
        <v>13:00</v>
      </c>
      <c r="E88" s="119" t="str">
        <f>'HourGH-FEB'!AF14&amp;":00"</f>
        <v>24:00</v>
      </c>
      <c r="F88" s="119" t="str">
        <f>'HourGH-FEB'!AF15&amp;":00"</f>
        <v>6:00</v>
      </c>
      <c r="G88" s="119" t="str">
        <f>'HourGH-FEB'!AF16&amp;":00"</f>
        <v>13:00</v>
      </c>
      <c r="H88" s="119" t="str">
        <f>'HourGH-FEB'!AF17&amp;":00"</f>
        <v>1:00</v>
      </c>
      <c r="I88" s="119" t="str">
        <f>'HourGH-FEB'!AF18&amp;":00"</f>
        <v>1:00</v>
      </c>
      <c r="J88" s="119" t="str">
        <f>'HourGH-FEB'!AF19&amp;":00"</f>
        <v>1:00</v>
      </c>
      <c r="K88" s="119" t="str">
        <f>'HourGH-FEB'!AF20&amp;":00"</f>
        <v>24:00</v>
      </c>
      <c r="N88" s="118">
        <f>MATCH(N90,N56:N85,0)</f>
        <v>16</v>
      </c>
      <c r="P88">
        <f>MATCH(P89,R56:R85,0)</f>
        <v>26</v>
      </c>
    </row>
    <row r="89" spans="1:20">
      <c r="A89" t="s">
        <v>223</v>
      </c>
      <c r="B89" s="119" t="str">
        <f>'HourGH-FEB'!AF22&amp;":00"</f>
        <v>13:00</v>
      </c>
      <c r="C89" s="119" t="str">
        <f>'HourGH-FEB'!AF23&amp;":00"</f>
        <v>1:00</v>
      </c>
      <c r="D89" s="119" t="str">
        <f>'HourGH-FEB'!AF24&amp;":00"</f>
        <v>1:00</v>
      </c>
      <c r="E89" s="119" t="str">
        <f>'HourGH-FEB'!AF25&amp;":00"</f>
        <v>1:00</v>
      </c>
      <c r="F89" s="119" t="str">
        <f>'HourGH-FEB'!AF26&amp;":00"</f>
        <v>1:00</v>
      </c>
      <c r="G89" s="119" t="str">
        <f>'HourGH-FEB'!AF27&amp;":00"</f>
        <v>1:00</v>
      </c>
      <c r="H89" s="119" t="str">
        <f>'HourGH-FEB'!AF28&amp;":00"</f>
        <v>24:00</v>
      </c>
      <c r="I89" s="119" t="str">
        <f>'HourGH-FEB'!AF29&amp;":00"</f>
        <v>6:00</v>
      </c>
      <c r="J89" s="119" t="str">
        <f>'HourGH-FEB'!AF30&amp;":00"</f>
        <v>1:00</v>
      </c>
      <c r="K89" s="119" t="str">
        <f>'HourGH-FEB'!AF31&amp;":00"</f>
        <v>13:00</v>
      </c>
      <c r="O89" s="118" t="str">
        <f>INDEX(P56:P85,N88)</f>
        <v>13:00</v>
      </c>
      <c r="P89" s="129">
        <f>MIN(B85:K87)</f>
        <v>337.85</v>
      </c>
      <c r="R89" t="str">
        <f>INDEX(T56:T85,P88)</f>
        <v>1:00</v>
      </c>
    </row>
    <row r="90" spans="1:20">
      <c r="A90" t="s">
        <v>224</v>
      </c>
      <c r="B90" s="119" t="str">
        <f>'HourGH-FEB'!AF33&amp;":00"</f>
        <v>1:00</v>
      </c>
      <c r="C90" s="119" t="str">
        <f>'HourGH-FEB'!AF34&amp;":00"</f>
        <v>24:00</v>
      </c>
      <c r="D90" s="119" t="str">
        <f>'HourGH-FEB'!AF35&amp;":00"</f>
        <v>11:00</v>
      </c>
      <c r="E90" s="119" t="str">
        <f>'HourGH-FEB'!AF36&amp;":00"</f>
        <v>24:00</v>
      </c>
      <c r="F90" s="119" t="str">
        <f>'HourGH-FEB'!AF37&amp;":00"</f>
        <v>6:00</v>
      </c>
      <c r="G90" s="119" t="str">
        <f>'HourGH-FEB'!AF38&amp;":00"</f>
        <v>1:00</v>
      </c>
      <c r="H90" s="119" t="str">
        <f>'HourGH-FEB'!AF39&amp;":00"</f>
        <v>1:00</v>
      </c>
      <c r="I90" s="119" t="str">
        <f>'HourGH-FEB'!AF40&amp;":00"</f>
        <v>1:00</v>
      </c>
      <c r="J90" s="119" t="str">
        <f>'HourGH-FEB'!AF41&amp;":00"</f>
        <v xml:space="preserve"> :00</v>
      </c>
      <c r="K90" s="119" t="str">
        <f>'HourGH-FEB'!AF42&amp;":00"</f>
        <v xml:space="preserve"> :00</v>
      </c>
      <c r="N90" s="119">
        <f>MAX(B79:K81)</f>
        <v>338.45000000000005</v>
      </c>
      <c r="O90" s="118">
        <f>N88</f>
        <v>16</v>
      </c>
    </row>
    <row r="91" spans="1:20">
      <c r="A91" t="s">
        <v>218</v>
      </c>
      <c r="B91" s="119">
        <f>AVERAGE(B76:K78)</f>
        <v>338.05255952380952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338.45 DATE 16 TIME 13:00 MIN 337.85 DATE 26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T92"/>
  <sheetViews>
    <sheetView workbookViewId="0">
      <selection sqref="A1:L91"/>
    </sheetView>
  </sheetViews>
  <sheetFormatPr defaultRowHeight="12.75"/>
  <cols>
    <col min="2" max="2" width="7" style="118" customWidth="1"/>
    <col min="3" max="4" width="7.140625" style="118" customWidth="1"/>
    <col min="5" max="5" width="7" style="118" customWidth="1"/>
    <col min="6" max="6" width="7.140625" style="118" customWidth="1"/>
    <col min="7" max="11" width="7.42578125" style="118" customWidth="1"/>
    <col min="12" max="12" width="9.140625" style="118"/>
    <col min="13" max="13" width="0" style="118" hidden="1" customWidth="1"/>
    <col min="14" max="14" width="9.42578125" hidden="1" customWidth="1"/>
    <col min="15" max="15" width="5.85546875" hidden="1" customWidth="1"/>
    <col min="16" max="16" width="6.140625" hidden="1" customWidth="1"/>
    <col min="17" max="17" width="5.140625" hidden="1" customWidth="1"/>
    <col min="18" max="19" width="9" hidden="1" customWidth="1"/>
    <col min="20" max="20" width="5.28515625" hidden="1" customWidth="1"/>
  </cols>
  <sheetData>
    <row r="1" spans="1:15">
      <c r="A1" t="str">
        <f>name</f>
        <v>P.75</v>
      </c>
      <c r="B1" s="118">
        <f>'c-form'!C7</f>
        <v>2013</v>
      </c>
    </row>
    <row r="2" spans="1:15">
      <c r="A2" t="s">
        <v>246</v>
      </c>
      <c r="B2" s="118">
        <f>'HourGH-MAR'!W7</f>
        <v>337.6</v>
      </c>
      <c r="C2" s="118" t="str">
        <f>'HourGH-MAR'!Z7</f>
        <v>MSL.</v>
      </c>
      <c r="D2" s="118">
        <f>'c-form'!C7</f>
        <v>2013</v>
      </c>
      <c r="N2" t="str">
        <f>LEFT(A1,FIND(".",A1)-1)</f>
        <v>P</v>
      </c>
      <c r="O2" t="str">
        <f>MID(A1,FIND(".",A1)+1,LEN(A1))</f>
        <v>75</v>
      </c>
    </row>
    <row r="3" spans="1:15">
      <c r="A3" t="s">
        <v>145</v>
      </c>
    </row>
    <row r="4" spans="1:15">
      <c r="A4" s="127" t="s">
        <v>146</v>
      </c>
      <c r="B4" s="128">
        <f>IF(TRIM('HourGH-MAR'!C11)="","      ",'HourGH-MAR'!C11)</f>
        <v>0.59</v>
      </c>
      <c r="C4" s="128">
        <f>IF(TRIM('HourGH-MAR'!C12)="","      ",'HourGH-MAR'!C12)</f>
        <v>0.65</v>
      </c>
      <c r="D4" s="128">
        <f>IF(TRIM('HourGH-MAR'!C13)="","      ",'HourGH-MAR'!C13)</f>
        <v>0.64</v>
      </c>
      <c r="E4" s="128">
        <f>IF(TRIM('HourGH-MAR'!C14)="","      ",'HourGH-MAR'!C14)</f>
        <v>0.28999999999999998</v>
      </c>
      <c r="F4" s="118">
        <f>IF(TRIM('HourGH-MAR'!C15)="","      ",'HourGH-MAR'!C15)</f>
        <v>0.26</v>
      </c>
      <c r="G4" s="118">
        <f>IF(TRIM('HourGH-MAR'!C16)="","      ",'HourGH-MAR'!C16)</f>
        <v>0.26</v>
      </c>
      <c r="H4" s="118">
        <f>IF(TRIM('HourGH-MAR'!C17)="","      ",'HourGH-MAR'!C17)</f>
        <v>0.24</v>
      </c>
      <c r="I4" s="118">
        <f>IF(TRIM('HourGH-MAR'!C18)="","      ",'HourGH-MAR'!C18)</f>
        <v>0.57999999999999996</v>
      </c>
      <c r="J4" s="118">
        <f>IF(TRIM('HourGH-MAR'!C19)="","      ",'HourGH-MAR'!C19)</f>
        <v>0.65</v>
      </c>
      <c r="K4" s="118">
        <f>IF(TRIM('HourGH-MAR'!C20)="","      ",'HourGH-MAR'!C20)</f>
        <v>0.65</v>
      </c>
    </row>
    <row r="5" spans="1:15">
      <c r="A5" s="127" t="s">
        <v>147</v>
      </c>
      <c r="B5" s="118">
        <f>IF(TRIM('HourGH-MAR'!C22)="","      ",'HourGH-MAR'!C22)</f>
        <v>0.66</v>
      </c>
      <c r="C5" s="118">
        <f>IF(TRIM('HourGH-MAR'!C23)="","      ",'HourGH-MAR'!C23)</f>
        <v>0.33</v>
      </c>
      <c r="D5" s="118">
        <f>IF(TRIM('HourGH-MAR'!C24)="","      ",'HourGH-MAR'!C24)</f>
        <v>0.24</v>
      </c>
      <c r="E5" s="118">
        <f>IF(TRIM('HourGH-MAR'!C25)="","      ",'HourGH-MAR'!C25)</f>
        <v>0.24</v>
      </c>
      <c r="F5" s="118">
        <f>IF(TRIM('HourGH-MAR'!C26)="","      ",'HourGH-MAR'!C26)</f>
        <v>0.63</v>
      </c>
      <c r="G5" s="118">
        <f>IF(TRIM('HourGH-MAR'!C27)="","      ",'HourGH-MAR'!C27)</f>
        <v>0.7</v>
      </c>
      <c r="H5" s="118">
        <f>IF(TRIM('HourGH-MAR'!C28)="","      ",'HourGH-MAR'!C28)</f>
        <v>0.71</v>
      </c>
      <c r="I5" s="118">
        <f>IF(TRIM('HourGH-MAR'!C29)="","      ",'HourGH-MAR'!C29)</f>
        <v>0.7</v>
      </c>
      <c r="J5" s="118">
        <f>IF(TRIM('HourGH-MAR'!C30)="","      ",'HourGH-MAR'!C30)</f>
        <v>0.34</v>
      </c>
      <c r="K5" s="118">
        <f>IF(TRIM('HourGH-MAR'!C31)="","      ",'HourGH-MAR'!C31)</f>
        <v>0.21</v>
      </c>
    </row>
    <row r="6" spans="1:15">
      <c r="A6" s="127" t="s">
        <v>148</v>
      </c>
      <c r="B6" s="118">
        <f>IF(TRIM('HourGH-MAR'!C33)="","      ",'HourGH-MAR'!C33)</f>
        <v>0.19</v>
      </c>
      <c r="C6" s="118">
        <f>IF(TRIM('HourGH-MAR'!C34)="","      ",'HourGH-MAR'!C34)</f>
        <v>0.64</v>
      </c>
      <c r="D6" s="118">
        <f>IF(TRIM('HourGH-MAR'!C35)="","      ",'HourGH-MAR'!C35)</f>
        <v>0.66</v>
      </c>
      <c r="E6" s="118">
        <f>IF(TRIM('HourGH-MAR'!C36)="","      ",'HourGH-MAR'!C36)</f>
        <v>0.63</v>
      </c>
      <c r="F6" s="118">
        <f>IF(TRIM('HourGH-MAR'!C37)="","      ",'HourGH-MAR'!C37)</f>
        <v>0.57999999999999996</v>
      </c>
      <c r="G6" s="118">
        <f>IF(TRIM('HourGH-MAR'!C38)="","      ",'HourGH-MAR'!C38)</f>
        <v>0.24</v>
      </c>
      <c r="H6" s="118">
        <f>IF(TRIM('HourGH-MAR'!C39)="","      ",'HourGH-MAR'!C39)</f>
        <v>0.2</v>
      </c>
      <c r="I6" s="118">
        <f>IF(TRIM('HourGH-MAR'!C40)="","      ",'HourGH-MAR'!C40)</f>
        <v>0.19</v>
      </c>
      <c r="J6" s="118">
        <f>IF(TRIM('HourGH-MAR'!C41)="","      ",'HourGH-MAR'!C41)</f>
        <v>0.63</v>
      </c>
      <c r="K6" s="118">
        <f>IF(TRIM('HourGH-MAR'!C42)="","      ",'HourGH-MAR'!C42)</f>
        <v>0.66</v>
      </c>
      <c r="L6" s="118">
        <f>IF(TRIM('HourGH-MAR'!C43)="","      ",'HourGH-MAR'!C43)</f>
        <v>0.62</v>
      </c>
    </row>
    <row r="7" spans="1:15">
      <c r="A7" s="127" t="s">
        <v>149</v>
      </c>
      <c r="B7" s="128">
        <f>IF(TRIM('HourGH-MAR'!D11)="","      ",'HourGH-MAR'!D11)</f>
        <v>0.61</v>
      </c>
      <c r="C7" s="128">
        <f>IF(TRIM('HourGH-MAR'!D12)="","      ",'HourGH-MAR'!D12)</f>
        <v>0.65</v>
      </c>
      <c r="D7" s="128">
        <f>IF(TRIM('HourGH-MAR'!D13)="","      ",'HourGH-MAR'!D13)</f>
        <v>0.64</v>
      </c>
      <c r="E7" s="128">
        <f>IF(TRIM('HourGH-MAR'!D14)="","      ",'HourGH-MAR'!D14)</f>
        <v>0.28000000000000003</v>
      </c>
      <c r="F7" s="118">
        <f>IF(TRIM('HourGH-MAR'!D15)="","      ",'HourGH-MAR'!D15)</f>
        <v>0.26</v>
      </c>
      <c r="G7" s="118">
        <f>IF(TRIM('HourGH-MAR'!D16)="","      ",'HourGH-MAR'!D16)</f>
        <v>0.26</v>
      </c>
      <c r="H7" s="118">
        <f>IF(TRIM('HourGH-MAR'!D17)="","      ",'HourGH-MAR'!D17)</f>
        <v>0.24</v>
      </c>
      <c r="I7" s="118">
        <f>IF(TRIM('HourGH-MAR'!D18)="","      ",'HourGH-MAR'!D18)</f>
        <v>0.6</v>
      </c>
      <c r="J7" s="118">
        <f>IF(TRIM('HourGH-MAR'!D19)="","      ",'HourGH-MAR'!D19)</f>
        <v>0.65</v>
      </c>
      <c r="K7" s="118">
        <f>IF(TRIM('HourGH-MAR'!D20)="","      ",'HourGH-MAR'!D20)</f>
        <v>0.65</v>
      </c>
    </row>
    <row r="8" spans="1:15">
      <c r="A8" s="127" t="s">
        <v>150</v>
      </c>
      <c r="B8" s="118">
        <f>IF(TRIM('HourGH-MAR'!D22)="","      ",'HourGH-MAR'!D22)</f>
        <v>0.66</v>
      </c>
      <c r="C8" s="118">
        <f>IF(TRIM('HourGH-MAR'!D23)="","      ",'HourGH-MAR'!D23)</f>
        <v>0.31</v>
      </c>
      <c r="D8" s="118">
        <f>IF(TRIM('HourGH-MAR'!D24)="","      ",'HourGH-MAR'!D24)</f>
        <v>0.24</v>
      </c>
      <c r="E8" s="118">
        <f>IF(TRIM('HourGH-MAR'!D25)="","      ",'HourGH-MAR'!D25)</f>
        <v>0.24</v>
      </c>
      <c r="F8" s="118">
        <f>IF(TRIM('HourGH-MAR'!D26)="","      ",'HourGH-MAR'!D26)</f>
        <v>0.65</v>
      </c>
      <c r="G8" s="118">
        <f>IF(TRIM('HourGH-MAR'!D27)="","      ",'HourGH-MAR'!D27)</f>
        <v>0.7</v>
      </c>
      <c r="H8" s="118">
        <f>IF(TRIM('HourGH-MAR'!D28)="","      ",'HourGH-MAR'!D28)</f>
        <v>0.71</v>
      </c>
      <c r="I8" s="118">
        <f>IF(TRIM('HourGH-MAR'!D29)="","      ",'HourGH-MAR'!D29)</f>
        <v>0.7</v>
      </c>
      <c r="J8" s="118">
        <f>IF(TRIM('HourGH-MAR'!D30)="","      ",'HourGH-MAR'!D30)</f>
        <v>0.31</v>
      </c>
      <c r="K8" s="118">
        <f>IF(TRIM('HourGH-MAR'!D31)="","      ",'HourGH-MAR'!D31)</f>
        <v>0.21</v>
      </c>
    </row>
    <row r="9" spans="1:15">
      <c r="A9" s="127" t="s">
        <v>151</v>
      </c>
      <c r="B9" s="118">
        <f>IF(TRIM('HourGH-MAR'!D33)="","      ",'HourGH-MAR'!D33)</f>
        <v>0.19</v>
      </c>
      <c r="C9" s="118">
        <f>IF(TRIM('HourGH-MAR'!D34)="","      ",'HourGH-MAR'!D34)</f>
        <v>0.65</v>
      </c>
      <c r="D9" s="118">
        <f>IF(TRIM('HourGH-MAR'!D35)="","      ",'HourGH-MAR'!D35)</f>
        <v>0.66</v>
      </c>
      <c r="E9" s="118">
        <f>IF(TRIM('HourGH-MAR'!D36)="","      ",'HourGH-MAR'!D36)</f>
        <v>0.63</v>
      </c>
      <c r="F9" s="118">
        <f>IF(TRIM('HourGH-MAR'!D37)="","      ",'HourGH-MAR'!D37)</f>
        <v>0.57999999999999996</v>
      </c>
      <c r="G9" s="118">
        <f>IF(TRIM('HourGH-MAR'!D38)="","      ",'HourGH-MAR'!D38)</f>
        <v>0.23</v>
      </c>
      <c r="H9" s="118">
        <f>IF(TRIM('HourGH-MAR'!D39)="","      ",'HourGH-MAR'!D39)</f>
        <v>0.2</v>
      </c>
      <c r="I9" s="118">
        <f>IF(TRIM('HourGH-MAR'!D40)="","      ",'HourGH-MAR'!D40)</f>
        <v>0.19</v>
      </c>
      <c r="J9" s="118">
        <f>IF(TRIM('HourGH-MAR'!D41)="","      ",'HourGH-MAR'!D41)</f>
        <v>0.64</v>
      </c>
      <c r="K9" s="118">
        <f>IF(TRIM('HourGH-MAR'!D42)="","      ",'HourGH-MAR'!D42)</f>
        <v>0.66</v>
      </c>
      <c r="L9" s="118">
        <f>IF(TRIM('HourGH-MAR'!D43)="","      ",'HourGH-MAR'!D43)</f>
        <v>0.62</v>
      </c>
    </row>
    <row r="10" spans="1:15">
      <c r="A10" s="127" t="s">
        <v>152</v>
      </c>
      <c r="B10" s="128">
        <f>IF(TRIM('HourGH-MAR'!E11)="","      ",'HourGH-MAR'!E11)</f>
        <v>0.62</v>
      </c>
      <c r="C10" s="128">
        <f>IF(TRIM('HourGH-MAR'!E12)="","      ",'HourGH-MAR'!E12)</f>
        <v>0.65</v>
      </c>
      <c r="D10" s="128">
        <f>IF(TRIM('HourGH-MAR'!E13)="","      ",'HourGH-MAR'!E13)</f>
        <v>0.64</v>
      </c>
      <c r="E10" s="128">
        <f>IF(TRIM('HourGH-MAR'!E14)="","      ",'HourGH-MAR'!E14)</f>
        <v>0.27</v>
      </c>
      <c r="F10" s="118">
        <f>IF(TRIM('HourGH-MAR'!E15)="","      ",'HourGH-MAR'!E15)</f>
        <v>0.26</v>
      </c>
      <c r="G10" s="118">
        <f>IF(TRIM('HourGH-MAR'!E16)="","      ",'HourGH-MAR'!E16)</f>
        <v>0.26</v>
      </c>
      <c r="H10" s="118">
        <f>IF(TRIM('HourGH-MAR'!E17)="","      ",'HourGH-MAR'!E17)</f>
        <v>0.24</v>
      </c>
      <c r="I10" s="118">
        <f>IF(TRIM('HourGH-MAR'!E18)="","      ",'HourGH-MAR'!E18)</f>
        <v>0.62</v>
      </c>
      <c r="J10" s="118">
        <f>IF(TRIM('HourGH-MAR'!E19)="","      ",'HourGH-MAR'!E19)</f>
        <v>0.65</v>
      </c>
      <c r="K10" s="118">
        <f>IF(TRIM('HourGH-MAR'!E20)="","      ",'HourGH-MAR'!E20)</f>
        <v>0.65</v>
      </c>
    </row>
    <row r="11" spans="1:15">
      <c r="A11" s="127" t="s">
        <v>153</v>
      </c>
      <c r="B11" s="118">
        <f>IF(TRIM('HourGH-MAR'!E22)="","      ",'HourGH-MAR'!E22)</f>
        <v>0.66</v>
      </c>
      <c r="C11" s="118">
        <f>IF(TRIM('HourGH-MAR'!E23)="","      ",'HourGH-MAR'!E23)</f>
        <v>0.28999999999999998</v>
      </c>
      <c r="D11" s="118">
        <f>IF(TRIM('HourGH-MAR'!E24)="","      ",'HourGH-MAR'!E24)</f>
        <v>0.24</v>
      </c>
      <c r="E11" s="118">
        <f>IF(TRIM('HourGH-MAR'!E25)="","      ",'HourGH-MAR'!E25)</f>
        <v>0.24</v>
      </c>
      <c r="F11" s="118">
        <f>IF(TRIM('HourGH-MAR'!E26)="","      ",'HourGH-MAR'!E26)</f>
        <v>0.67</v>
      </c>
      <c r="G11" s="118">
        <f>IF(TRIM('HourGH-MAR'!E27)="","      ",'HourGH-MAR'!E27)</f>
        <v>0.7</v>
      </c>
      <c r="H11" s="118">
        <f>IF(TRIM('HourGH-MAR'!E28)="","      ",'HourGH-MAR'!E28)</f>
        <v>0.71</v>
      </c>
      <c r="I11" s="118">
        <f>IF(TRIM('HourGH-MAR'!E29)="","      ",'HourGH-MAR'!E29)</f>
        <v>0.7</v>
      </c>
      <c r="J11" s="118">
        <f>IF(TRIM('HourGH-MAR'!E30)="","      ",'HourGH-MAR'!E30)</f>
        <v>0.28000000000000003</v>
      </c>
      <c r="K11" s="118">
        <f>IF(TRIM('HourGH-MAR'!E31)="","      ",'HourGH-MAR'!E31)</f>
        <v>0.21</v>
      </c>
    </row>
    <row r="12" spans="1:15">
      <c r="A12" s="127" t="s">
        <v>154</v>
      </c>
      <c r="B12" s="118">
        <f>IF(TRIM('HourGH-MAR'!E33)="","      ",'HourGH-MAR'!E33)</f>
        <v>0.19</v>
      </c>
      <c r="C12" s="118">
        <f>IF(TRIM('HourGH-MAR'!E34)="","      ",'HourGH-MAR'!E34)</f>
        <v>0.66</v>
      </c>
      <c r="D12" s="118">
        <f>IF(TRIM('HourGH-MAR'!E35)="","      ",'HourGH-MAR'!E35)</f>
        <v>0.65</v>
      </c>
      <c r="E12" s="118">
        <f>IF(TRIM('HourGH-MAR'!E36)="","      ",'HourGH-MAR'!E36)</f>
        <v>0.63</v>
      </c>
      <c r="F12" s="118">
        <f>IF(TRIM('HourGH-MAR'!E37)="","      ",'HourGH-MAR'!E37)</f>
        <v>0.57999999999999996</v>
      </c>
      <c r="G12" s="118">
        <f>IF(TRIM('HourGH-MAR'!E38)="","      ",'HourGH-MAR'!E38)</f>
        <v>0.22</v>
      </c>
      <c r="H12" s="118">
        <f>IF(TRIM('HourGH-MAR'!E39)="","      ",'HourGH-MAR'!E39)</f>
        <v>0.2</v>
      </c>
      <c r="I12" s="118">
        <f>IF(TRIM('HourGH-MAR'!E40)="","      ",'HourGH-MAR'!E40)</f>
        <v>0.19</v>
      </c>
      <c r="J12" s="118">
        <f>IF(TRIM('HourGH-MAR'!E41)="","      ",'HourGH-MAR'!E41)</f>
        <v>0.65</v>
      </c>
      <c r="K12" s="118">
        <f>IF(TRIM('HourGH-MAR'!E42)="","      ",'HourGH-MAR'!E42)</f>
        <v>0.65</v>
      </c>
      <c r="L12" s="118">
        <f>IF(TRIM('HourGH-MAR'!E43)="","      ",'HourGH-MAR'!E43)</f>
        <v>0.62</v>
      </c>
    </row>
    <row r="13" spans="1:15">
      <c r="A13" s="127" t="s">
        <v>155</v>
      </c>
      <c r="B13" s="128">
        <f>IF(TRIM('HourGH-MAR'!F11)="","      ",'HourGH-MAR'!F11)</f>
        <v>0.63</v>
      </c>
      <c r="C13" s="128">
        <f>IF(TRIM('HourGH-MAR'!F12)="","      ",'HourGH-MAR'!F12)</f>
        <v>0.65</v>
      </c>
      <c r="D13" s="128">
        <f>IF(TRIM('HourGH-MAR'!F13)="","      ",'HourGH-MAR'!F13)</f>
        <v>0.64</v>
      </c>
      <c r="E13" s="128">
        <f>IF(TRIM('HourGH-MAR'!F14)="","      ",'HourGH-MAR'!F14)</f>
        <v>0.26</v>
      </c>
      <c r="F13" s="118">
        <f>IF(TRIM('HourGH-MAR'!F15)="","      ",'HourGH-MAR'!F15)</f>
        <v>0.26</v>
      </c>
      <c r="G13" s="118">
        <f>IF(TRIM('HourGH-MAR'!F16)="","      ",'HourGH-MAR'!F16)</f>
        <v>0.26</v>
      </c>
      <c r="H13" s="118">
        <f>IF(TRIM('HourGH-MAR'!F17)="","      ",'HourGH-MAR'!F17)</f>
        <v>0.24</v>
      </c>
      <c r="I13" s="118">
        <f>IF(TRIM('HourGH-MAR'!F18)="","      ",'HourGH-MAR'!F18)</f>
        <v>0.63</v>
      </c>
      <c r="J13" s="118">
        <f>IF(TRIM('HourGH-MAR'!F19)="","      ",'HourGH-MAR'!F19)</f>
        <v>0.65</v>
      </c>
      <c r="K13" s="118">
        <f>IF(TRIM('HourGH-MAR'!F20)="","      ",'HourGH-MAR'!F20)</f>
        <v>0.65</v>
      </c>
    </row>
    <row r="14" spans="1:15">
      <c r="A14" s="127" t="s">
        <v>156</v>
      </c>
      <c r="B14" s="118">
        <f>IF(TRIM('HourGH-MAR'!F22)="","      ",'HourGH-MAR'!F22)</f>
        <v>0.66</v>
      </c>
      <c r="C14" s="118">
        <f>IF(TRIM('HourGH-MAR'!F23)="","      ",'HourGH-MAR'!F23)</f>
        <v>0.27</v>
      </c>
      <c r="D14" s="118">
        <f>IF(TRIM('HourGH-MAR'!F24)="","      ",'HourGH-MAR'!F24)</f>
        <v>0.24</v>
      </c>
      <c r="E14" s="118">
        <f>IF(TRIM('HourGH-MAR'!F25)="","      ",'HourGH-MAR'!F25)</f>
        <v>0.24</v>
      </c>
      <c r="F14" s="118">
        <f>IF(TRIM('HourGH-MAR'!F26)="","      ",'HourGH-MAR'!F26)</f>
        <v>0.68</v>
      </c>
      <c r="G14" s="118">
        <f>IF(TRIM('HourGH-MAR'!F27)="","      ",'HourGH-MAR'!F27)</f>
        <v>0.7</v>
      </c>
      <c r="H14" s="118">
        <f>IF(TRIM('HourGH-MAR'!F28)="","      ",'HourGH-MAR'!F28)</f>
        <v>0.71</v>
      </c>
      <c r="I14" s="118">
        <f>IF(TRIM('HourGH-MAR'!F29)="","      ",'HourGH-MAR'!F29)</f>
        <v>0.7</v>
      </c>
      <c r="J14" s="118">
        <f>IF(TRIM('HourGH-MAR'!F30)="","      ",'HourGH-MAR'!F30)</f>
        <v>0.26</v>
      </c>
      <c r="K14" s="118">
        <f>IF(TRIM('HourGH-MAR'!F31)="","      ",'HourGH-MAR'!F31)</f>
        <v>0.21</v>
      </c>
    </row>
    <row r="15" spans="1:15">
      <c r="A15" s="127" t="s">
        <v>157</v>
      </c>
      <c r="B15" s="118">
        <f>IF(TRIM('HourGH-MAR'!F33)="","      ",'HourGH-MAR'!F33)</f>
        <v>0.19</v>
      </c>
      <c r="C15" s="118">
        <f>IF(TRIM('HourGH-MAR'!F34)="","      ",'HourGH-MAR'!F34)</f>
        <v>0.67</v>
      </c>
      <c r="D15" s="118">
        <f>IF(TRIM('HourGH-MAR'!F35)="","      ",'HourGH-MAR'!F35)</f>
        <v>0.65</v>
      </c>
      <c r="E15" s="118">
        <f>IF(TRIM('HourGH-MAR'!F36)="","      ",'HourGH-MAR'!F36)</f>
        <v>0.63</v>
      </c>
      <c r="F15" s="118">
        <f>IF(TRIM('HourGH-MAR'!F37)="","      ",'HourGH-MAR'!F37)</f>
        <v>0.56999999999999995</v>
      </c>
      <c r="G15" s="118">
        <f>IF(TRIM('HourGH-MAR'!F38)="","      ",'HourGH-MAR'!F38)</f>
        <v>0.21</v>
      </c>
      <c r="H15" s="118">
        <f>IF(TRIM('HourGH-MAR'!F39)="","      ",'HourGH-MAR'!F39)</f>
        <v>0.2</v>
      </c>
      <c r="I15" s="118">
        <f>IF(TRIM('HourGH-MAR'!F40)="","      ",'HourGH-MAR'!F40)</f>
        <v>0.19</v>
      </c>
      <c r="J15" s="118">
        <f>IF(TRIM('HourGH-MAR'!F41)="","      ",'HourGH-MAR'!F41)</f>
        <v>0.66</v>
      </c>
      <c r="K15" s="118">
        <f>IF(TRIM('HourGH-MAR'!F42)="","      ",'HourGH-MAR'!F42)</f>
        <v>0.65</v>
      </c>
      <c r="L15" s="118">
        <f>IF(TRIM('HourGH-MAR'!F43)="","      ",'HourGH-MAR'!F43)</f>
        <v>0.62</v>
      </c>
    </row>
    <row r="16" spans="1:15">
      <c r="A16" s="127" t="s">
        <v>158</v>
      </c>
      <c r="B16" s="128">
        <f>IF(TRIM('HourGH-MAR'!G11)="","      ",'HourGH-MAR'!G11)</f>
        <v>0.64</v>
      </c>
      <c r="C16" s="128">
        <f>IF(TRIM('HourGH-MAR'!G12)="","      ",'HourGH-MAR'!G12)</f>
        <v>0.65</v>
      </c>
      <c r="D16" s="128">
        <f>IF(TRIM('HourGH-MAR'!G13)="","      ",'HourGH-MAR'!G13)</f>
        <v>0.64</v>
      </c>
      <c r="E16" s="128">
        <f>IF(TRIM('HourGH-MAR'!G14)="","      ",'HourGH-MAR'!G14)</f>
        <v>0.25</v>
      </c>
      <c r="F16" s="118">
        <f>IF(TRIM('HourGH-MAR'!G15)="","      ",'HourGH-MAR'!G15)</f>
        <v>0.26</v>
      </c>
      <c r="G16" s="118">
        <f>IF(TRIM('HourGH-MAR'!G16)="","      ",'HourGH-MAR'!G16)</f>
        <v>0.26</v>
      </c>
      <c r="H16" s="118">
        <f>IF(TRIM('HourGH-MAR'!G17)="","      ",'HourGH-MAR'!G17)</f>
        <v>0.24</v>
      </c>
      <c r="I16" s="118">
        <f>IF(TRIM('HourGH-MAR'!G18)="","      ",'HourGH-MAR'!G18)</f>
        <v>0.64</v>
      </c>
      <c r="J16" s="118">
        <f>IF(TRIM('HourGH-MAR'!G19)="","      ",'HourGH-MAR'!G19)</f>
        <v>0.65</v>
      </c>
      <c r="K16" s="118">
        <f>IF(TRIM('HourGH-MAR'!G20)="","      ",'HourGH-MAR'!G20)</f>
        <v>0.65</v>
      </c>
    </row>
    <row r="17" spans="1:12">
      <c r="A17" s="127" t="s">
        <v>159</v>
      </c>
      <c r="B17" s="118">
        <f>IF(TRIM('HourGH-MAR'!G22)="","      ",'HourGH-MAR'!G22)</f>
        <v>0.66</v>
      </c>
      <c r="C17" s="118">
        <f>IF(TRIM('HourGH-MAR'!G23)="","      ",'HourGH-MAR'!G23)</f>
        <v>0.25</v>
      </c>
      <c r="D17" s="118">
        <f>IF(TRIM('HourGH-MAR'!G24)="","      ",'HourGH-MAR'!G24)</f>
        <v>0.24</v>
      </c>
      <c r="E17" s="118">
        <f>IF(TRIM('HourGH-MAR'!G25)="","      ",'HourGH-MAR'!G25)</f>
        <v>0.24</v>
      </c>
      <c r="F17" s="118">
        <f>IF(TRIM('HourGH-MAR'!G26)="","      ",'HourGH-MAR'!G26)</f>
        <v>0.69</v>
      </c>
      <c r="G17" s="118">
        <f>IF(TRIM('HourGH-MAR'!G27)="","      ",'HourGH-MAR'!G27)</f>
        <v>0.7</v>
      </c>
      <c r="H17" s="118">
        <f>IF(TRIM('HourGH-MAR'!G28)="","      ",'HourGH-MAR'!G28)</f>
        <v>0.71</v>
      </c>
      <c r="I17" s="118">
        <f>IF(TRIM('HourGH-MAR'!G29)="","      ",'HourGH-MAR'!G29)</f>
        <v>0.7</v>
      </c>
      <c r="J17" s="118">
        <f>IF(TRIM('HourGH-MAR'!G30)="","      ",'HourGH-MAR'!G30)</f>
        <v>0.24</v>
      </c>
      <c r="K17" s="118">
        <f>IF(TRIM('HourGH-MAR'!G31)="","      ",'HourGH-MAR'!G31)</f>
        <v>0.21</v>
      </c>
    </row>
    <row r="18" spans="1:12">
      <c r="A18" s="127" t="s">
        <v>160</v>
      </c>
      <c r="B18" s="118">
        <f>IF(TRIM('HourGH-MAR'!G33)="","      ",'HourGH-MAR'!G33)</f>
        <v>0.19</v>
      </c>
      <c r="C18" s="118">
        <f>IF(TRIM('HourGH-MAR'!G34)="","      ",'HourGH-MAR'!G34)</f>
        <v>0.67</v>
      </c>
      <c r="D18" s="118">
        <f>IF(TRIM('HourGH-MAR'!G35)="","      ",'HourGH-MAR'!G35)</f>
        <v>0.64</v>
      </c>
      <c r="E18" s="118">
        <f>IF(TRIM('HourGH-MAR'!G36)="","      ",'HourGH-MAR'!G36)</f>
        <v>0.63</v>
      </c>
      <c r="F18" s="118">
        <f>IF(TRIM('HourGH-MAR'!G37)="","      ",'HourGH-MAR'!G37)</f>
        <v>0.56999999999999995</v>
      </c>
      <c r="G18" s="118">
        <f>IF(TRIM('HourGH-MAR'!G38)="","      ",'HourGH-MAR'!G38)</f>
        <v>0.21</v>
      </c>
      <c r="H18" s="118">
        <f>IF(TRIM('HourGH-MAR'!G39)="","      ",'HourGH-MAR'!G39)</f>
        <v>0.2</v>
      </c>
      <c r="I18" s="118">
        <f>IF(TRIM('HourGH-MAR'!G40)="","      ",'HourGH-MAR'!G40)</f>
        <v>0.19</v>
      </c>
      <c r="J18" s="118">
        <f>IF(TRIM('HourGH-MAR'!G41)="","      ",'HourGH-MAR'!G41)</f>
        <v>0.68</v>
      </c>
      <c r="K18" s="118">
        <f>IF(TRIM('HourGH-MAR'!G42)="","      ",'HourGH-MAR'!G42)</f>
        <v>0.65</v>
      </c>
      <c r="L18" s="118">
        <f>IF(TRIM('HourGH-MAR'!G43)="","      ",'HourGH-MAR'!G43)</f>
        <v>0.62</v>
      </c>
    </row>
    <row r="19" spans="1:12">
      <c r="A19" s="127" t="s">
        <v>161</v>
      </c>
      <c r="B19" s="128">
        <f>IF(TRIM('HourGH-MAR'!H11)="","      ",'HourGH-MAR'!H11)</f>
        <v>0.65</v>
      </c>
      <c r="C19" s="128">
        <f>IF(TRIM('HourGH-MAR'!H12)="","      ",'HourGH-MAR'!H12)</f>
        <v>0.65</v>
      </c>
      <c r="D19" s="128">
        <f>IF(TRIM('HourGH-MAR'!H13)="","      ",'HourGH-MAR'!H13)</f>
        <v>0.66</v>
      </c>
      <c r="E19" s="128">
        <f>IF(TRIM('HourGH-MAR'!H14)="","      ",'HourGH-MAR'!H14)</f>
        <v>0.24</v>
      </c>
      <c r="F19" s="118">
        <f>IF(TRIM('HourGH-MAR'!H15)="","      ",'HourGH-MAR'!H15)</f>
        <v>0.26</v>
      </c>
      <c r="G19" s="118">
        <f>IF(TRIM('HourGH-MAR'!H16)="","      ",'HourGH-MAR'!H16)</f>
        <v>0.26</v>
      </c>
      <c r="H19" s="118">
        <f>IF(TRIM('HourGH-MAR'!H17)="","      ",'HourGH-MAR'!H17)</f>
        <v>0.24</v>
      </c>
      <c r="I19" s="118">
        <f>IF(TRIM('HourGH-MAR'!H18)="","      ",'HourGH-MAR'!H18)</f>
        <v>0.65</v>
      </c>
      <c r="J19" s="118">
        <f>IF(TRIM('HourGH-MAR'!H19)="","      ",'HourGH-MAR'!H19)</f>
        <v>0.65</v>
      </c>
      <c r="K19" s="118">
        <f>IF(TRIM('HourGH-MAR'!H20)="","      ",'HourGH-MAR'!H20)</f>
        <v>0.65</v>
      </c>
    </row>
    <row r="20" spans="1:12">
      <c r="A20" s="127" t="s">
        <v>162</v>
      </c>
      <c r="B20" s="118">
        <f>IF(TRIM('HourGH-MAR'!H22)="","      ",'HourGH-MAR'!H22)</f>
        <v>0.66</v>
      </c>
      <c r="C20" s="118">
        <f>IF(TRIM('HourGH-MAR'!H23)="","      ",'HourGH-MAR'!H23)</f>
        <v>0.24</v>
      </c>
      <c r="D20" s="118">
        <f>IF(TRIM('HourGH-MAR'!H24)="","      ",'HourGH-MAR'!H24)</f>
        <v>0.24</v>
      </c>
      <c r="E20" s="118">
        <f>IF(TRIM('HourGH-MAR'!H25)="","      ",'HourGH-MAR'!H25)</f>
        <v>0.24</v>
      </c>
      <c r="F20" s="118">
        <f>IF(TRIM('HourGH-MAR'!H26)="","      ",'HourGH-MAR'!H26)</f>
        <v>0.7</v>
      </c>
      <c r="G20" s="118">
        <f>IF(TRIM('HourGH-MAR'!H27)="","      ",'HourGH-MAR'!H27)</f>
        <v>0.7</v>
      </c>
      <c r="H20" s="118">
        <f>IF(TRIM('HourGH-MAR'!H28)="","      ",'HourGH-MAR'!H28)</f>
        <v>0.71</v>
      </c>
      <c r="I20" s="118">
        <f>IF(TRIM('HourGH-MAR'!H29)="","      ",'HourGH-MAR'!H29)</f>
        <v>0.7</v>
      </c>
      <c r="J20" s="118">
        <f>IF(TRIM('HourGH-MAR'!H30)="","      ",'HourGH-MAR'!H30)</f>
        <v>0.22</v>
      </c>
      <c r="K20" s="118">
        <f>IF(TRIM('HourGH-MAR'!H31)="","      ",'HourGH-MAR'!H31)</f>
        <v>0.21</v>
      </c>
    </row>
    <row r="21" spans="1:12">
      <c r="A21" s="127" t="s">
        <v>163</v>
      </c>
      <c r="B21" s="118">
        <f>IF(TRIM('HourGH-MAR'!H33)="","      ",'HourGH-MAR'!H33)</f>
        <v>0.19</v>
      </c>
      <c r="C21" s="118">
        <f>IF(TRIM('HourGH-MAR'!H34)="","      ",'HourGH-MAR'!H34)</f>
        <v>0.68</v>
      </c>
      <c r="D21" s="118">
        <f>IF(TRIM('HourGH-MAR'!H35)="","      ",'HourGH-MAR'!H35)</f>
        <v>0.64</v>
      </c>
      <c r="E21" s="118">
        <f>IF(TRIM('HourGH-MAR'!H36)="","      ",'HourGH-MAR'!H36)</f>
        <v>0.63</v>
      </c>
      <c r="F21" s="118">
        <f>IF(TRIM('HourGH-MAR'!H37)="","      ",'HourGH-MAR'!H37)</f>
        <v>0.56000000000000005</v>
      </c>
      <c r="G21" s="118">
        <f>IF(TRIM('HourGH-MAR'!H38)="","      ",'HourGH-MAR'!H38)</f>
        <v>0.2</v>
      </c>
      <c r="H21" s="118">
        <f>IF(TRIM('HourGH-MAR'!H39)="","      ",'HourGH-MAR'!H39)</f>
        <v>0.2</v>
      </c>
      <c r="I21" s="118">
        <f>IF(TRIM('HourGH-MAR'!H40)="","      ",'HourGH-MAR'!H40)</f>
        <v>0.19</v>
      </c>
      <c r="J21" s="118">
        <f>IF(TRIM('HourGH-MAR'!H41)="","      ",'HourGH-MAR'!H41)</f>
        <v>0.69</v>
      </c>
      <c r="K21" s="118">
        <f>IF(TRIM('HourGH-MAR'!H42)="","      ",'HourGH-MAR'!H42)</f>
        <v>0.64</v>
      </c>
      <c r="L21" s="118">
        <f>IF(TRIM('HourGH-MAR'!H43)="","      ",'HourGH-MAR'!H43)</f>
        <v>0.62</v>
      </c>
    </row>
    <row r="22" spans="1:12">
      <c r="A22" s="127" t="s">
        <v>164</v>
      </c>
      <c r="B22" s="128">
        <f>IF(TRIM('HourGH-MAR'!I11)="","      ",'HourGH-MAR'!I11)</f>
        <v>0.65</v>
      </c>
      <c r="C22" s="128">
        <f>IF(TRIM('HourGH-MAR'!I12)="","      ",'HourGH-MAR'!I12)</f>
        <v>0.65</v>
      </c>
      <c r="D22" s="128">
        <f>IF(TRIM('HourGH-MAR'!I13)="","      ",'HourGH-MAR'!I13)</f>
        <v>0.63</v>
      </c>
      <c r="E22" s="128">
        <f>IF(TRIM('HourGH-MAR'!I14)="","      ",'HourGH-MAR'!I14)</f>
        <v>0.24</v>
      </c>
      <c r="F22" s="118">
        <f>IF(TRIM('HourGH-MAR'!I15)="","      ",'HourGH-MAR'!I15)</f>
        <v>0.26</v>
      </c>
      <c r="G22" s="118">
        <f>IF(TRIM('HourGH-MAR'!I16)="","      ",'HourGH-MAR'!I16)</f>
        <v>0.25</v>
      </c>
      <c r="H22" s="128">
        <f>IF(TRIM('HourGH-MAR'!I17)="","      ",'HourGH-MAR'!I17)</f>
        <v>0.24</v>
      </c>
      <c r="I22" s="128">
        <f>IF(TRIM('HourGH-MAR'!I18)="","      ",'HourGH-MAR'!I18)</f>
        <v>0.65</v>
      </c>
      <c r="J22" s="128">
        <f>IF(TRIM('HourGH-MAR'!I19)="","      ",'HourGH-MAR'!I19)</f>
        <v>0.65</v>
      </c>
      <c r="K22" s="128">
        <f>IF(TRIM('HourGH-MAR'!I20)="","      ",'HourGH-MAR'!I20)</f>
        <v>0.65</v>
      </c>
    </row>
    <row r="23" spans="1:12">
      <c r="A23" s="127" t="s">
        <v>165</v>
      </c>
      <c r="B23" s="128">
        <f>IF(TRIM('HourGH-MAR'!I22)="","      ",'HourGH-MAR'!I22)</f>
        <v>0.66</v>
      </c>
      <c r="C23" s="128">
        <f>IF(TRIM('HourGH-MAR'!I23)="","      ",'HourGH-MAR'!I23)</f>
        <v>0.24</v>
      </c>
      <c r="D23" s="128">
        <f>IF(TRIM('HourGH-MAR'!I24)="","      ",'HourGH-MAR'!I24)</f>
        <v>0.24</v>
      </c>
      <c r="E23" s="128">
        <f>IF(TRIM('HourGH-MAR'!I25)="","      ",'HourGH-MAR'!I25)</f>
        <v>0.25</v>
      </c>
      <c r="F23" s="118">
        <f>IF(TRIM('HourGH-MAR'!I26)="","      ",'HourGH-MAR'!I26)</f>
        <v>0.7</v>
      </c>
      <c r="G23" s="118">
        <f>IF(TRIM('HourGH-MAR'!I27)="","      ",'HourGH-MAR'!I27)</f>
        <v>0.7</v>
      </c>
      <c r="H23" s="118">
        <f>IF(TRIM('HourGH-MAR'!I28)="","      ",'HourGH-MAR'!I28)</f>
        <v>0.71</v>
      </c>
      <c r="I23" s="118">
        <f>IF(TRIM('HourGH-MAR'!I29)="","      ",'HourGH-MAR'!I29)</f>
        <v>0.69</v>
      </c>
      <c r="J23" s="118">
        <f>IF(TRIM('HourGH-MAR'!I30)="","      ",'HourGH-MAR'!I30)</f>
        <v>0.22</v>
      </c>
      <c r="K23" s="118">
        <f>IF(TRIM('HourGH-MAR'!I31)="","      ",'HourGH-MAR'!I31)</f>
        <v>0.21</v>
      </c>
    </row>
    <row r="24" spans="1:12">
      <c r="A24" s="127" t="s">
        <v>166</v>
      </c>
      <c r="B24" s="128">
        <f>IF(TRIM('HourGH-MAR'!I33)="","      ",'HourGH-MAR'!I33)</f>
        <v>0.19</v>
      </c>
      <c r="C24" s="128">
        <f>IF(TRIM('HourGH-MAR'!I34)="","      ",'HourGH-MAR'!I34)</f>
        <v>0.68</v>
      </c>
      <c r="D24" s="128">
        <f>IF(TRIM('HourGH-MAR'!I35)="","      ",'HourGH-MAR'!I35)</f>
        <v>0.64</v>
      </c>
      <c r="E24" s="128">
        <f>IF(TRIM('HourGH-MAR'!I36)="","      ",'HourGH-MAR'!I36)</f>
        <v>0.61</v>
      </c>
      <c r="F24" s="118">
        <f>IF(TRIM('HourGH-MAR'!I37)="","      ",'HourGH-MAR'!I37)</f>
        <v>0.55000000000000004</v>
      </c>
      <c r="G24" s="118">
        <f>IF(TRIM('HourGH-MAR'!I38)="","      ",'HourGH-MAR'!I38)</f>
        <v>0.2</v>
      </c>
      <c r="H24" s="118">
        <f>IF(TRIM('HourGH-MAR'!I39)="","      ",'HourGH-MAR'!I39)</f>
        <v>0.2</v>
      </c>
      <c r="I24" s="118">
        <f>IF(TRIM('HourGH-MAR'!I40)="","      ",'HourGH-MAR'!I40)</f>
        <v>0.2</v>
      </c>
      <c r="J24" s="118">
        <f>IF(TRIM('HourGH-MAR'!I41)="","      ",'HourGH-MAR'!I41)</f>
        <v>0.69</v>
      </c>
      <c r="K24" s="118">
        <f>IF(TRIM('HourGH-MAR'!I42)="","      ",'HourGH-MAR'!I42)</f>
        <v>0.64</v>
      </c>
      <c r="L24" s="118">
        <f>IF(TRIM('HourGH-MAR'!I43)="","      ",'HourGH-MAR'!I43)</f>
        <v>0.61</v>
      </c>
    </row>
    <row r="25" spans="1:12">
      <c r="A25" s="127" t="s">
        <v>167</v>
      </c>
      <c r="B25" s="128">
        <f>IF(TRIM('HourGH-MAR'!J11)="","      ",'HourGH-MAR'!J11)</f>
        <v>0.65</v>
      </c>
      <c r="C25" s="128">
        <f>IF(TRIM('HourGH-MAR'!J12)="","      ",'HourGH-MAR'!J12)</f>
        <v>0.65</v>
      </c>
      <c r="D25" s="128">
        <f>IF(TRIM('HourGH-MAR'!J13)="","      ",'HourGH-MAR'!J13)</f>
        <v>0.62</v>
      </c>
      <c r="E25" s="128">
        <f>IF(TRIM('HourGH-MAR'!J14)="","      ",'HourGH-MAR'!J14)</f>
        <v>0.24</v>
      </c>
      <c r="F25" s="118">
        <f>IF(TRIM('HourGH-MAR'!J15)="","      ",'HourGH-MAR'!J15)</f>
        <v>0.26</v>
      </c>
      <c r="G25" s="118">
        <f>IF(TRIM('HourGH-MAR'!J16)="","      ",'HourGH-MAR'!J16)</f>
        <v>0.25</v>
      </c>
      <c r="H25" s="128">
        <f>IF(TRIM('HourGH-MAR'!J17)="","      ",'HourGH-MAR'!J17)</f>
        <v>0.25</v>
      </c>
      <c r="I25" s="128">
        <f>IF(TRIM('HourGH-MAR'!J18)="","      ",'HourGH-MAR'!J18)</f>
        <v>0.65</v>
      </c>
      <c r="J25" s="128">
        <f>IF(TRIM('HourGH-MAR'!J19)="","      ",'HourGH-MAR'!J19)</f>
        <v>0.65</v>
      </c>
      <c r="K25" s="128">
        <f>IF(TRIM('HourGH-MAR'!J20)="","      ",'HourGH-MAR'!J20)</f>
        <v>0.65</v>
      </c>
    </row>
    <row r="26" spans="1:12">
      <c r="A26" s="127" t="s">
        <v>168</v>
      </c>
      <c r="B26" s="128">
        <f>IF(TRIM('HourGH-MAR'!J22)="","      ",'HourGH-MAR'!J22)</f>
        <v>0.66</v>
      </c>
      <c r="C26" s="128">
        <f>IF(TRIM('HourGH-MAR'!J23)="","      ",'HourGH-MAR'!J23)</f>
        <v>0.24</v>
      </c>
      <c r="D26" s="128">
        <f>IF(TRIM('HourGH-MAR'!J24)="","      ",'HourGH-MAR'!J24)</f>
        <v>0.24</v>
      </c>
      <c r="E26" s="128">
        <f>IF(TRIM('HourGH-MAR'!J25)="","      ",'HourGH-MAR'!J25)</f>
        <v>0.26</v>
      </c>
      <c r="F26" s="118">
        <f>IF(TRIM('HourGH-MAR'!J26)="","      ",'HourGH-MAR'!J26)</f>
        <v>0.7</v>
      </c>
      <c r="G26" s="118">
        <f>IF(TRIM('HourGH-MAR'!J27)="","      ",'HourGH-MAR'!J27)</f>
        <v>0.7</v>
      </c>
      <c r="H26" s="128">
        <f>IF(TRIM('HourGH-MAR'!J28)="","      ",'HourGH-MAR'!J28)</f>
        <v>0.71</v>
      </c>
      <c r="I26" s="128">
        <f>IF(TRIM('HourGH-MAR'!J29)="","      ",'HourGH-MAR'!J29)</f>
        <v>0.69</v>
      </c>
      <c r="J26" s="128">
        <f>IF(TRIM('HourGH-MAR'!J30)="","      ",'HourGH-MAR'!J30)</f>
        <v>0.22</v>
      </c>
      <c r="K26" s="128">
        <f>IF(TRIM('HourGH-MAR'!J31)="","      ",'HourGH-MAR'!J31)</f>
        <v>0.21</v>
      </c>
    </row>
    <row r="27" spans="1:12">
      <c r="A27" s="127" t="s">
        <v>169</v>
      </c>
      <c r="B27" s="128">
        <f>IF(TRIM('HourGH-MAR'!J33)="","      ",'HourGH-MAR'!J33)</f>
        <v>0.19</v>
      </c>
      <c r="C27" s="128">
        <f>IF(TRIM('HourGH-MAR'!J34)="","      ",'HourGH-MAR'!J34)</f>
        <v>0.69</v>
      </c>
      <c r="D27" s="128">
        <f>IF(TRIM('HourGH-MAR'!J35)="","      ",'HourGH-MAR'!J35)</f>
        <v>0.64</v>
      </c>
      <c r="E27" s="128">
        <f>IF(TRIM('HourGH-MAR'!J36)="","      ",'HourGH-MAR'!J36)</f>
        <v>0.59</v>
      </c>
      <c r="F27" s="118">
        <f>IF(TRIM('HourGH-MAR'!J37)="","      ",'HourGH-MAR'!J37)</f>
        <v>0.54</v>
      </c>
      <c r="G27" s="118">
        <f>IF(TRIM('HourGH-MAR'!J38)="","      ",'HourGH-MAR'!J38)</f>
        <v>0.2</v>
      </c>
      <c r="H27" s="128">
        <f>IF(TRIM('HourGH-MAR'!J39)="","      ",'HourGH-MAR'!J39)</f>
        <v>0.2</v>
      </c>
      <c r="I27" s="128">
        <f>IF(TRIM('HourGH-MAR'!J40)="","      ",'HourGH-MAR'!J40)</f>
        <v>0.21</v>
      </c>
      <c r="J27" s="128">
        <f>IF(TRIM('HourGH-MAR'!J41)="","      ",'HourGH-MAR'!J41)</f>
        <v>0.7</v>
      </c>
      <c r="K27" s="128">
        <f>IF(TRIM('HourGH-MAR'!J42)="","      ",'HourGH-MAR'!J42)</f>
        <v>0.64</v>
      </c>
      <c r="L27" s="118">
        <f>IF(TRIM('HourGH-MAR'!J43)="","      ",'HourGH-MAR'!J43)</f>
        <v>0.61</v>
      </c>
    </row>
    <row r="28" spans="1:12">
      <c r="A28" s="127" t="s">
        <v>170</v>
      </c>
      <c r="B28" s="128">
        <f>IF(TRIM('HourGH-MAR'!K11)="","      ",'HourGH-MAR'!K11)</f>
        <v>0.65</v>
      </c>
      <c r="C28" s="128">
        <f>IF(TRIM('HourGH-MAR'!K12)="","      ",'HourGH-MAR'!K12)</f>
        <v>0.65</v>
      </c>
      <c r="D28" s="128">
        <f>IF(TRIM('HourGH-MAR'!K13)="","      ",'HourGH-MAR'!K13)</f>
        <v>0.61</v>
      </c>
      <c r="E28" s="128">
        <f>IF(TRIM('HourGH-MAR'!K14)="","      ",'HourGH-MAR'!K14)</f>
        <v>0.24</v>
      </c>
      <c r="F28" s="118">
        <f>IF(TRIM('HourGH-MAR'!K15)="","      ",'HourGH-MAR'!K15)</f>
        <v>0.26</v>
      </c>
      <c r="G28" s="118">
        <f>IF(TRIM('HourGH-MAR'!K16)="","      ",'HourGH-MAR'!K16)</f>
        <v>0.25</v>
      </c>
      <c r="H28" s="128">
        <f>IF(TRIM('HourGH-MAR'!K17)="","      ",'HourGH-MAR'!K17)</f>
        <v>0.25</v>
      </c>
      <c r="I28" s="128">
        <f>IF(TRIM('HourGH-MAR'!K18)="","      ",'HourGH-MAR'!K18)</f>
        <v>0.65</v>
      </c>
      <c r="J28" s="128">
        <f>IF(TRIM('HourGH-MAR'!K19)="","      ",'HourGH-MAR'!K19)</f>
        <v>0.65</v>
      </c>
      <c r="K28" s="128">
        <f>IF(TRIM('HourGH-MAR'!K20)="","      ",'HourGH-MAR'!K20)</f>
        <v>0.65</v>
      </c>
    </row>
    <row r="29" spans="1:12">
      <c r="A29" s="127" t="s">
        <v>171</v>
      </c>
      <c r="B29" s="128">
        <f>IF(TRIM('HourGH-MAR'!K22)="","      ",'HourGH-MAR'!K22)</f>
        <v>0.65</v>
      </c>
      <c r="C29" s="128">
        <f>IF(TRIM('HourGH-MAR'!K23)="","      ",'HourGH-MAR'!K23)</f>
        <v>0.24</v>
      </c>
      <c r="D29" s="128">
        <f>IF(TRIM('HourGH-MAR'!K24)="","      ",'HourGH-MAR'!K24)</f>
        <v>0.24</v>
      </c>
      <c r="E29" s="128">
        <f>IF(TRIM('HourGH-MAR'!K25)="","      ",'HourGH-MAR'!K25)</f>
        <v>0.27</v>
      </c>
      <c r="F29" s="118">
        <f>IF(TRIM('HourGH-MAR'!K26)="","      ",'HourGH-MAR'!K26)</f>
        <v>0.7</v>
      </c>
      <c r="G29" s="118">
        <f>IF(TRIM('HourGH-MAR'!K27)="","      ",'HourGH-MAR'!K27)</f>
        <v>0.7</v>
      </c>
      <c r="H29" s="128">
        <f>IF(TRIM('HourGH-MAR'!K28)="","      ",'HourGH-MAR'!K28)</f>
        <v>0.71</v>
      </c>
      <c r="I29" s="128">
        <f>IF(TRIM('HourGH-MAR'!K29)="","      ",'HourGH-MAR'!K29)</f>
        <v>0.68</v>
      </c>
      <c r="J29" s="128">
        <f>IF(TRIM('HourGH-MAR'!K30)="","      ",'HourGH-MAR'!K30)</f>
        <v>0.22</v>
      </c>
      <c r="K29" s="128">
        <f>IF(TRIM('HourGH-MAR'!K31)="","      ",'HourGH-MAR'!K31)</f>
        <v>0.21</v>
      </c>
    </row>
    <row r="30" spans="1:12">
      <c r="A30" s="127" t="s">
        <v>172</v>
      </c>
      <c r="B30" s="128">
        <f>IF(TRIM('HourGH-MAR'!K33)="","      ",'HourGH-MAR'!K33)</f>
        <v>0.2</v>
      </c>
      <c r="C30" s="128">
        <f>IF(TRIM('HourGH-MAR'!K34)="","      ",'HourGH-MAR'!K34)</f>
        <v>0.69</v>
      </c>
      <c r="D30" s="128">
        <f>IF(TRIM('HourGH-MAR'!K35)="","      ",'HourGH-MAR'!K35)</f>
        <v>0.64</v>
      </c>
      <c r="E30" s="128">
        <f>IF(TRIM('HourGH-MAR'!K36)="","      ",'HourGH-MAR'!K36)</f>
        <v>0.57999999999999996</v>
      </c>
      <c r="F30" s="118">
        <f>IF(TRIM('HourGH-MAR'!K37)="","      ",'HourGH-MAR'!K37)</f>
        <v>0.53</v>
      </c>
      <c r="G30" s="118">
        <f>IF(TRIM('HourGH-MAR'!K38)="","      ",'HourGH-MAR'!K38)</f>
        <v>0.2</v>
      </c>
      <c r="H30" s="128">
        <f>IF(TRIM('HourGH-MAR'!K39)="","      ",'HourGH-MAR'!K39)</f>
        <v>0.2</v>
      </c>
      <c r="I30" s="128">
        <f>IF(TRIM('HourGH-MAR'!K40)="","      ",'HourGH-MAR'!K40)</f>
        <v>0.22</v>
      </c>
      <c r="J30" s="128">
        <f>IF(TRIM('HourGH-MAR'!K41)="","      ",'HourGH-MAR'!K41)</f>
        <v>0.7</v>
      </c>
      <c r="K30" s="128">
        <f>IF(TRIM('HourGH-MAR'!K42)="","      ",'HourGH-MAR'!K42)</f>
        <v>0.64</v>
      </c>
      <c r="L30" s="118">
        <f>IF(TRIM('HourGH-MAR'!K43)="","      ",'HourGH-MAR'!K43)</f>
        <v>0.61</v>
      </c>
    </row>
    <row r="31" spans="1:12">
      <c r="A31" s="127" t="s">
        <v>173</v>
      </c>
      <c r="B31" s="128">
        <f>IF(TRIM('HourGH-MAR'!L11)="","      ",'HourGH-MAR'!L11)</f>
        <v>0.65</v>
      </c>
      <c r="C31" s="128">
        <f>IF(TRIM('HourGH-MAR'!L12)="","      ",'HourGH-MAR'!L12)</f>
        <v>0.65</v>
      </c>
      <c r="D31" s="128">
        <f>IF(TRIM('HourGH-MAR'!L13)="","      ",'HourGH-MAR'!L13)</f>
        <v>0.59</v>
      </c>
      <c r="E31" s="128">
        <f>IF(TRIM('HourGH-MAR'!L14)="","      ",'HourGH-MAR'!L14)</f>
        <v>0.24</v>
      </c>
      <c r="F31" s="118">
        <f>IF(TRIM('HourGH-MAR'!L15)="","      ",'HourGH-MAR'!L15)</f>
        <v>0.26</v>
      </c>
      <c r="G31" s="118">
        <f>IF(TRIM('HourGH-MAR'!L16)="","      ",'HourGH-MAR'!L16)</f>
        <v>0.25</v>
      </c>
      <c r="H31" s="128">
        <f>IF(TRIM('HourGH-MAR'!L17)="","      ",'HourGH-MAR'!L17)</f>
        <v>0.26</v>
      </c>
      <c r="I31" s="128">
        <f>IF(TRIM('HourGH-MAR'!L18)="","      ",'HourGH-MAR'!L18)</f>
        <v>0.65</v>
      </c>
      <c r="J31" s="128">
        <f>IF(TRIM('HourGH-MAR'!L19)="","      ",'HourGH-MAR'!L19)</f>
        <v>0.65</v>
      </c>
      <c r="K31" s="128">
        <f>IF(TRIM('HourGH-MAR'!L20)="","      ",'HourGH-MAR'!L20)</f>
        <v>0.65</v>
      </c>
    </row>
    <row r="32" spans="1:12">
      <c r="A32" s="127" t="s">
        <v>174</v>
      </c>
      <c r="B32" s="128">
        <f>IF(TRIM('HourGH-MAR'!L22)="","      ",'HourGH-MAR'!L22)</f>
        <v>0.64</v>
      </c>
      <c r="C32" s="128">
        <f>IF(TRIM('HourGH-MAR'!L23)="","      ",'HourGH-MAR'!L23)</f>
        <v>0.24</v>
      </c>
      <c r="D32" s="128">
        <f>IF(TRIM('HourGH-MAR'!L24)="","      ",'HourGH-MAR'!L24)</f>
        <v>0.24</v>
      </c>
      <c r="E32" s="128">
        <f>IF(TRIM('HourGH-MAR'!L25)="","      ",'HourGH-MAR'!L25)</f>
        <v>0.28000000000000003</v>
      </c>
      <c r="F32" s="118">
        <f>IF(TRIM('HourGH-MAR'!L26)="","      ",'HourGH-MAR'!L26)</f>
        <v>0.7</v>
      </c>
      <c r="G32" s="118">
        <f>IF(TRIM('HourGH-MAR'!L27)="","      ",'HourGH-MAR'!L27)</f>
        <v>0.7</v>
      </c>
      <c r="H32" s="128">
        <f>IF(TRIM('HourGH-MAR'!L28)="","      ",'HourGH-MAR'!L28)</f>
        <v>0.71</v>
      </c>
      <c r="I32" s="128">
        <f>IF(TRIM('HourGH-MAR'!L29)="","      ",'HourGH-MAR'!L29)</f>
        <v>0.67</v>
      </c>
      <c r="J32" s="128">
        <f>IF(TRIM('HourGH-MAR'!L30)="","      ",'HourGH-MAR'!L30)</f>
        <v>0.22</v>
      </c>
      <c r="K32" s="128">
        <f>IF(TRIM('HourGH-MAR'!L31)="","      ",'HourGH-MAR'!L31)</f>
        <v>0.21</v>
      </c>
    </row>
    <row r="33" spans="1:12">
      <c r="A33" s="127" t="s">
        <v>175</v>
      </c>
      <c r="B33" s="128">
        <f>IF(TRIM('HourGH-MAR'!L33)="","      ",'HourGH-MAR'!L33)</f>
        <v>0.21</v>
      </c>
      <c r="C33" s="128">
        <f>IF(TRIM('HourGH-MAR'!L34)="","      ",'HourGH-MAR'!L34)</f>
        <v>0.7</v>
      </c>
      <c r="D33" s="128">
        <f>IF(TRIM('HourGH-MAR'!L35)="","      ",'HourGH-MAR'!L35)</f>
        <v>0.64</v>
      </c>
      <c r="E33" s="128">
        <f>IF(TRIM('HourGH-MAR'!L36)="","      ",'HourGH-MAR'!L36)</f>
        <v>0.56999999999999995</v>
      </c>
      <c r="F33" s="118">
        <f>IF(TRIM('HourGH-MAR'!L37)="","      ",'HourGH-MAR'!L37)</f>
        <v>0.51</v>
      </c>
      <c r="G33" s="118">
        <f>IF(TRIM('HourGH-MAR'!L38)="","      ",'HourGH-MAR'!L38)</f>
        <v>0.2</v>
      </c>
      <c r="H33" s="128">
        <f>IF(TRIM('HourGH-MAR'!L39)="","      ",'HourGH-MAR'!L39)</f>
        <v>0.2</v>
      </c>
      <c r="I33" s="128">
        <f>IF(TRIM('HourGH-MAR'!L40)="","      ",'HourGH-MAR'!L40)</f>
        <v>0.24</v>
      </c>
      <c r="J33" s="128">
        <f>IF(TRIM('HourGH-MAR'!L41)="","      ",'HourGH-MAR'!L41)</f>
        <v>0.71</v>
      </c>
      <c r="K33" s="128">
        <f>IF(TRIM('HourGH-MAR'!L42)="","      ",'HourGH-MAR'!L42)</f>
        <v>0.64</v>
      </c>
      <c r="L33" s="118">
        <f>IF(TRIM('HourGH-MAR'!L43)="","      ",'HourGH-MAR'!L43)</f>
        <v>0.61</v>
      </c>
    </row>
    <row r="34" spans="1:12">
      <c r="A34" s="127" t="s">
        <v>176</v>
      </c>
      <c r="B34" s="128">
        <f>IF(TRIM('HourGH-MAR'!M11)="","      ",'HourGH-MAR'!M11)</f>
        <v>0.65</v>
      </c>
      <c r="C34" s="128">
        <f>IF(TRIM('HourGH-MAR'!M12)="","      ",'HourGH-MAR'!M12)</f>
        <v>0.65</v>
      </c>
      <c r="D34" s="128">
        <f>IF(TRIM('HourGH-MAR'!M13)="","      ",'HourGH-MAR'!M13)</f>
        <v>0.57999999999999996</v>
      </c>
      <c r="E34" s="128">
        <f>IF(TRIM('HourGH-MAR'!M14)="","      ",'HourGH-MAR'!M14)</f>
        <v>0.25</v>
      </c>
      <c r="F34" s="118">
        <f>IF(TRIM('HourGH-MAR'!M15)="","      ",'HourGH-MAR'!M15)</f>
        <v>0.26</v>
      </c>
      <c r="G34" s="118">
        <f>IF(TRIM('HourGH-MAR'!M16)="","      ",'HourGH-MAR'!M16)</f>
        <v>0.25</v>
      </c>
      <c r="H34" s="128">
        <f>IF(TRIM('HourGH-MAR'!M17)="","      ",'HourGH-MAR'!M17)</f>
        <v>0.27</v>
      </c>
      <c r="I34" s="128">
        <f>IF(TRIM('HourGH-MAR'!M18)="","      ",'HourGH-MAR'!M18)</f>
        <v>0.65</v>
      </c>
      <c r="J34" s="128">
        <f>IF(TRIM('HourGH-MAR'!M19)="","      ",'HourGH-MAR'!M19)</f>
        <v>0.65</v>
      </c>
      <c r="K34" s="128">
        <f>IF(TRIM('HourGH-MAR'!M20)="","      ",'HourGH-MAR'!M20)</f>
        <v>0.65</v>
      </c>
    </row>
    <row r="35" spans="1:12">
      <c r="A35" s="127" t="s">
        <v>177</v>
      </c>
      <c r="B35" s="128">
        <f>IF(TRIM('HourGH-MAR'!M22)="","      ",'HourGH-MAR'!M22)</f>
        <v>0.63</v>
      </c>
      <c r="C35" s="128">
        <f>IF(TRIM('HourGH-MAR'!M23)="","      ",'HourGH-MAR'!M23)</f>
        <v>0.24</v>
      </c>
      <c r="D35" s="128">
        <f>IF(TRIM('HourGH-MAR'!M24)="","      ",'HourGH-MAR'!M24)</f>
        <v>0.24</v>
      </c>
      <c r="E35" s="128">
        <f>IF(TRIM('HourGH-MAR'!M25)="","      ",'HourGH-MAR'!M25)</f>
        <v>0.28999999999999998</v>
      </c>
      <c r="F35" s="118">
        <f>IF(TRIM('HourGH-MAR'!M26)="","      ",'HourGH-MAR'!M26)</f>
        <v>0.7</v>
      </c>
      <c r="G35" s="118">
        <f>IF(TRIM('HourGH-MAR'!M27)="","      ",'HourGH-MAR'!M27)</f>
        <v>0.7</v>
      </c>
      <c r="H35" s="128">
        <f>IF(TRIM('HourGH-MAR'!M28)="","      ",'HourGH-MAR'!M28)</f>
        <v>0.71</v>
      </c>
      <c r="I35" s="128">
        <f>IF(TRIM('HourGH-MAR'!M29)="","      ",'HourGH-MAR'!M29)</f>
        <v>0.66</v>
      </c>
      <c r="J35" s="128">
        <f>IF(TRIM('HourGH-MAR'!M30)="","      ",'HourGH-MAR'!M30)</f>
        <v>0.22</v>
      </c>
      <c r="K35" s="128">
        <f>IF(TRIM('HourGH-MAR'!M31)="","      ",'HourGH-MAR'!M31)</f>
        <v>0.21</v>
      </c>
    </row>
    <row r="36" spans="1:12">
      <c r="A36" s="127" t="s">
        <v>178</v>
      </c>
      <c r="B36" s="128">
        <f>IF(TRIM('HourGH-MAR'!M33)="","      ",'HourGH-MAR'!M33)</f>
        <v>0.22</v>
      </c>
      <c r="C36" s="128">
        <f>IF(TRIM('HourGH-MAR'!M34)="","      ",'HourGH-MAR'!M34)</f>
        <v>0.7</v>
      </c>
      <c r="D36" s="128">
        <f>IF(TRIM('HourGH-MAR'!M35)="","      ",'HourGH-MAR'!M35)</f>
        <v>0.64</v>
      </c>
      <c r="E36" s="128">
        <f>IF(TRIM('HourGH-MAR'!M36)="","      ",'HourGH-MAR'!M36)</f>
        <v>0.56000000000000005</v>
      </c>
      <c r="F36" s="118">
        <f>IF(TRIM('HourGH-MAR'!M37)="","      ",'HourGH-MAR'!M37)</f>
        <v>0.49</v>
      </c>
      <c r="G36" s="118">
        <f>IF(TRIM('HourGH-MAR'!M38)="","      ",'HourGH-MAR'!M38)</f>
        <v>0.2</v>
      </c>
      <c r="H36" s="128">
        <f>IF(TRIM('HourGH-MAR'!M39)="","      ",'HourGH-MAR'!M39)</f>
        <v>0.2</v>
      </c>
      <c r="I36" s="128">
        <f>IF(TRIM('HourGH-MAR'!M40)="","      ",'HourGH-MAR'!M40)</f>
        <v>0.26</v>
      </c>
      <c r="J36" s="128">
        <f>IF(TRIM('HourGH-MAR'!M41)="","      ",'HourGH-MAR'!M41)</f>
        <v>0.71</v>
      </c>
      <c r="K36" s="128">
        <f>IF(TRIM('HourGH-MAR'!M42)="","      ",'HourGH-MAR'!M42)</f>
        <v>0.64</v>
      </c>
      <c r="L36" s="118">
        <f>IF(TRIM('HourGH-MAR'!M43)="","      ",'HourGH-MAR'!M43)</f>
        <v>0.61</v>
      </c>
    </row>
    <row r="37" spans="1:12">
      <c r="A37" s="127" t="s">
        <v>179</v>
      </c>
      <c r="B37" s="128">
        <f>IF(TRIM('HourGH-MAR'!N11)="","      ",'HourGH-MAR'!N11)</f>
        <v>0.65</v>
      </c>
      <c r="C37" s="128">
        <f>IF(TRIM('HourGH-MAR'!N12)="","      ",'HourGH-MAR'!N12)</f>
        <v>0.65</v>
      </c>
      <c r="D37" s="128">
        <f>IF(TRIM('HourGH-MAR'!N13)="","      ",'HourGH-MAR'!N13)</f>
        <v>0.56000000000000005</v>
      </c>
      <c r="E37" s="128">
        <f>IF(TRIM('HourGH-MAR'!N14)="","      ",'HourGH-MAR'!N14)</f>
        <v>0.25</v>
      </c>
      <c r="F37" s="118">
        <f>IF(TRIM('HourGH-MAR'!N15)="","      ",'HourGH-MAR'!N15)</f>
        <v>0.26</v>
      </c>
      <c r="G37" s="118">
        <f>IF(TRIM('HourGH-MAR'!N16)="","      ",'HourGH-MAR'!N16)</f>
        <v>0.25</v>
      </c>
      <c r="H37" s="128">
        <f>IF(TRIM('HourGH-MAR'!N17)="","      ",'HourGH-MAR'!N17)</f>
        <v>0.27</v>
      </c>
      <c r="I37" s="128">
        <f>IF(TRIM('HourGH-MAR'!N18)="","      ",'HourGH-MAR'!N18)</f>
        <v>0.65</v>
      </c>
      <c r="J37" s="128">
        <f>IF(TRIM('HourGH-MAR'!N19)="","      ",'HourGH-MAR'!N19)</f>
        <v>0.65</v>
      </c>
      <c r="K37" s="128">
        <f>IF(TRIM('HourGH-MAR'!N20)="","      ",'HourGH-MAR'!N20)</f>
        <v>0.65</v>
      </c>
    </row>
    <row r="38" spans="1:12">
      <c r="A38" s="127" t="s">
        <v>180</v>
      </c>
      <c r="B38" s="128">
        <f>IF(TRIM('HourGH-MAR'!N22)="","      ",'HourGH-MAR'!N22)</f>
        <v>0.62</v>
      </c>
      <c r="C38" s="128">
        <f>IF(TRIM('HourGH-MAR'!N23)="","      ",'HourGH-MAR'!N23)</f>
        <v>0.24</v>
      </c>
      <c r="D38" s="128">
        <f>IF(TRIM('HourGH-MAR'!N24)="","      ",'HourGH-MAR'!N24)</f>
        <v>0.24</v>
      </c>
      <c r="E38" s="128">
        <f>IF(TRIM('HourGH-MAR'!N25)="","      ",'HourGH-MAR'!N25)</f>
        <v>0.3</v>
      </c>
      <c r="F38" s="118">
        <f>IF(TRIM('HourGH-MAR'!N26)="","      ",'HourGH-MAR'!N26)</f>
        <v>0.7</v>
      </c>
      <c r="G38" s="118">
        <f>IF(TRIM('HourGH-MAR'!N27)="","      ",'HourGH-MAR'!N27)</f>
        <v>0.7</v>
      </c>
      <c r="H38" s="128">
        <f>IF(TRIM('HourGH-MAR'!N28)="","      ",'HourGH-MAR'!N28)</f>
        <v>0.71</v>
      </c>
      <c r="I38" s="128">
        <f>IF(TRIM('HourGH-MAR'!N29)="","      ",'HourGH-MAR'!N29)</f>
        <v>0.64</v>
      </c>
      <c r="J38" s="128">
        <f>IF(TRIM('HourGH-MAR'!N30)="","      ",'HourGH-MAR'!N30)</f>
        <v>0.22</v>
      </c>
      <c r="K38" s="128">
        <f>IF(TRIM('HourGH-MAR'!N31)="","      ",'HourGH-MAR'!N31)</f>
        <v>0.21</v>
      </c>
    </row>
    <row r="39" spans="1:12">
      <c r="A39" s="127" t="s">
        <v>181</v>
      </c>
      <c r="B39" s="128">
        <f>IF(TRIM('HourGH-MAR'!N33)="","      ",'HourGH-MAR'!N33)</f>
        <v>0.23</v>
      </c>
      <c r="C39" s="128">
        <f>IF(TRIM('HourGH-MAR'!N34)="","      ",'HourGH-MAR'!N34)</f>
        <v>0.7</v>
      </c>
      <c r="D39" s="128">
        <f>IF(TRIM('HourGH-MAR'!N35)="","      ",'HourGH-MAR'!N35)</f>
        <v>0.64</v>
      </c>
      <c r="E39" s="128">
        <f>IF(TRIM('HourGH-MAR'!N36)="","      ",'HourGH-MAR'!N36)</f>
        <v>0.56000000000000005</v>
      </c>
      <c r="F39" s="118">
        <f>IF(TRIM('HourGH-MAR'!N37)="","      ",'HourGH-MAR'!N37)</f>
        <v>0.47</v>
      </c>
      <c r="G39" s="118">
        <f>IF(TRIM('HourGH-MAR'!N38)="","      ",'HourGH-MAR'!N38)</f>
        <v>0.2</v>
      </c>
      <c r="H39" s="128">
        <f>IF(TRIM('HourGH-MAR'!N39)="","      ",'HourGH-MAR'!N39)</f>
        <v>0.2</v>
      </c>
      <c r="I39" s="128">
        <f>IF(TRIM('HourGH-MAR'!N40)="","      ",'HourGH-MAR'!N40)</f>
        <v>0.28999999999999998</v>
      </c>
      <c r="J39" s="128">
        <f>IF(TRIM('HourGH-MAR'!N41)="","      ",'HourGH-MAR'!N41)</f>
        <v>0.71</v>
      </c>
      <c r="K39" s="128">
        <f>IF(TRIM('HourGH-MAR'!N42)="","      ",'HourGH-MAR'!N42)</f>
        <v>0.64</v>
      </c>
      <c r="L39" s="118">
        <f>IF(TRIM('HourGH-MAR'!N43)="","      ",'HourGH-MAR'!N43)</f>
        <v>0.61</v>
      </c>
    </row>
    <row r="40" spans="1:12">
      <c r="A40" s="127" t="s">
        <v>182</v>
      </c>
      <c r="B40" s="128">
        <f>IF(TRIM('HourGH-MAR'!O11)="","      ",'HourGH-MAR'!O11)</f>
        <v>0.65</v>
      </c>
      <c r="C40" s="128">
        <f>IF(TRIM('HourGH-MAR'!O12)="","      ",'HourGH-MAR'!O12)</f>
        <v>0.65</v>
      </c>
      <c r="D40" s="128">
        <f>IF(TRIM('HourGH-MAR'!O13)="","      ",'HourGH-MAR'!O13)</f>
        <v>0.54</v>
      </c>
      <c r="E40" s="128">
        <f>IF(TRIM('HourGH-MAR'!O14)="","      ",'HourGH-MAR'!O14)</f>
        <v>0.25</v>
      </c>
      <c r="F40" s="118">
        <f>IF(TRIM('HourGH-MAR'!O15)="","      ",'HourGH-MAR'!O15)</f>
        <v>0.26</v>
      </c>
      <c r="G40" s="118">
        <f>IF(TRIM('HourGH-MAR'!O16)="","      ",'HourGH-MAR'!O16)</f>
        <v>0.25</v>
      </c>
      <c r="H40" s="128">
        <f>IF(TRIM('HourGH-MAR'!O17)="","      ",'HourGH-MAR'!O17)</f>
        <v>0.28000000000000003</v>
      </c>
      <c r="I40" s="128">
        <f>IF(TRIM('HourGH-MAR'!O18)="","      ",'HourGH-MAR'!O18)</f>
        <v>0.65</v>
      </c>
      <c r="J40" s="128">
        <f>IF(TRIM('HourGH-MAR'!O19)="","      ",'HourGH-MAR'!O19)</f>
        <v>0.65</v>
      </c>
      <c r="K40" s="128">
        <f>IF(TRIM('HourGH-MAR'!O20)="","      ",'HourGH-MAR'!O20)</f>
        <v>0.65</v>
      </c>
    </row>
    <row r="41" spans="1:12">
      <c r="A41" s="127" t="s">
        <v>183</v>
      </c>
      <c r="B41" s="128">
        <f>IF(TRIM('HourGH-MAR'!O22)="","      ",'HourGH-MAR'!O22)</f>
        <v>0.61</v>
      </c>
      <c r="C41" s="128">
        <f>IF(TRIM('HourGH-MAR'!O23)="","      ",'HourGH-MAR'!O23)</f>
        <v>0.24</v>
      </c>
      <c r="D41" s="128">
        <f>IF(TRIM('HourGH-MAR'!O24)="","      ",'HourGH-MAR'!O24)</f>
        <v>0.24</v>
      </c>
      <c r="E41" s="128">
        <f>IF(TRIM('HourGH-MAR'!O25)="","      ",'HourGH-MAR'!O25)</f>
        <v>0.31</v>
      </c>
      <c r="F41" s="118">
        <f>IF(TRIM('HourGH-MAR'!O26)="","      ",'HourGH-MAR'!O26)</f>
        <v>0.7</v>
      </c>
      <c r="G41" s="118">
        <f>IF(TRIM('HourGH-MAR'!O27)="","      ",'HourGH-MAR'!O27)</f>
        <v>0.7</v>
      </c>
      <c r="H41" s="128">
        <f>IF(TRIM('HourGH-MAR'!O28)="","      ",'HourGH-MAR'!O28)</f>
        <v>0.71</v>
      </c>
      <c r="I41" s="128">
        <f>IF(TRIM('HourGH-MAR'!O29)="","      ",'HourGH-MAR'!O29)</f>
        <v>0.62</v>
      </c>
      <c r="J41" s="128">
        <f>IF(TRIM('HourGH-MAR'!O30)="","      ",'HourGH-MAR'!O30)</f>
        <v>0.22</v>
      </c>
      <c r="K41" s="128">
        <f>IF(TRIM('HourGH-MAR'!O31)="","      ",'HourGH-MAR'!O31)</f>
        <v>0.2</v>
      </c>
    </row>
    <row r="42" spans="1:12">
      <c r="A42" s="127" t="s">
        <v>184</v>
      </c>
      <c r="B42" s="128">
        <f>IF(TRIM('HourGH-MAR'!O33)="","      ",'HourGH-MAR'!O33)</f>
        <v>0.25</v>
      </c>
      <c r="C42" s="128">
        <f>IF(TRIM('HourGH-MAR'!O34)="","      ",'HourGH-MAR'!O34)</f>
        <v>0.7</v>
      </c>
      <c r="D42" s="128">
        <f>IF(TRIM('HourGH-MAR'!O35)="","      ",'HourGH-MAR'!O35)</f>
        <v>0.64</v>
      </c>
      <c r="E42" s="128">
        <f>IF(TRIM('HourGH-MAR'!O36)="","      ",'HourGH-MAR'!O36)</f>
        <v>0.56000000000000005</v>
      </c>
      <c r="F42" s="118">
        <f>IF(TRIM('HourGH-MAR'!O37)="","      ",'HourGH-MAR'!O37)</f>
        <v>0.45</v>
      </c>
      <c r="G42" s="118">
        <f>IF(TRIM('HourGH-MAR'!O38)="","      ",'HourGH-MAR'!O38)</f>
        <v>0.2</v>
      </c>
      <c r="H42" s="128">
        <f>IF(TRIM('HourGH-MAR'!O39)="","      ",'HourGH-MAR'!O39)</f>
        <v>0.2</v>
      </c>
      <c r="I42" s="128">
        <f>IF(TRIM('HourGH-MAR'!O40)="","      ",'HourGH-MAR'!O40)</f>
        <v>0.32</v>
      </c>
      <c r="J42" s="128">
        <f>IF(TRIM('HourGH-MAR'!O41)="","      ",'HourGH-MAR'!O41)</f>
        <v>0.7</v>
      </c>
      <c r="K42" s="128">
        <f>IF(TRIM('HourGH-MAR'!O42)="","      ",'HourGH-MAR'!O42)</f>
        <v>0.63</v>
      </c>
      <c r="L42" s="118">
        <f>IF(TRIM('HourGH-MAR'!O43)="","      ",'HourGH-MAR'!O43)</f>
        <v>0.6</v>
      </c>
    </row>
    <row r="43" spans="1:12">
      <c r="A43" s="127" t="s">
        <v>185</v>
      </c>
      <c r="B43" s="128">
        <f>IF(TRIM('HourGH-MAR'!P11)="","      ",'HourGH-MAR'!P11)</f>
        <v>0.65</v>
      </c>
      <c r="C43" s="128">
        <f>IF(TRIM('HourGH-MAR'!P12)="","      ",'HourGH-MAR'!P12)</f>
        <v>0.65</v>
      </c>
      <c r="D43" s="128">
        <f>IF(TRIM('HourGH-MAR'!P13)="","      ",'HourGH-MAR'!P13)</f>
        <v>0.52</v>
      </c>
      <c r="E43" s="128">
        <f>IF(TRIM('HourGH-MAR'!P14)="","      ",'HourGH-MAR'!P14)</f>
        <v>0.25</v>
      </c>
      <c r="F43" s="118">
        <f>IF(TRIM('HourGH-MAR'!P15)="","      ",'HourGH-MAR'!P15)</f>
        <v>0.26</v>
      </c>
      <c r="G43" s="118">
        <f>IF(TRIM('HourGH-MAR'!P16)="","      ",'HourGH-MAR'!P16)</f>
        <v>0.25</v>
      </c>
      <c r="H43" s="128">
        <f>IF(TRIM('HourGH-MAR'!P17)="","      ",'HourGH-MAR'!P17)</f>
        <v>0.3</v>
      </c>
      <c r="I43" s="128">
        <f>IF(TRIM('HourGH-MAR'!P18)="","      ",'HourGH-MAR'!P18)</f>
        <v>0.65</v>
      </c>
      <c r="J43" s="128">
        <f>IF(TRIM('HourGH-MAR'!P19)="","      ",'HourGH-MAR'!P19)</f>
        <v>0.65</v>
      </c>
      <c r="K43" s="128">
        <f>IF(TRIM('HourGH-MAR'!P20)="","      ",'HourGH-MAR'!P20)</f>
        <v>0.65</v>
      </c>
    </row>
    <row r="44" spans="1:12">
      <c r="A44" s="127" t="s">
        <v>186</v>
      </c>
      <c r="B44" s="128">
        <f>IF(TRIM('HourGH-MAR'!P22)="","      ",'HourGH-MAR'!P22)</f>
        <v>0.6</v>
      </c>
      <c r="C44" s="128">
        <f>IF(TRIM('HourGH-MAR'!P23)="","      ",'HourGH-MAR'!P23)</f>
        <v>0.24</v>
      </c>
      <c r="D44" s="128">
        <f>IF(TRIM('HourGH-MAR'!P24)="","      ",'HourGH-MAR'!P24)</f>
        <v>0.24</v>
      </c>
      <c r="E44" s="128">
        <f>IF(TRIM('HourGH-MAR'!P25)="","      ",'HourGH-MAR'!P25)</f>
        <v>0.33</v>
      </c>
      <c r="F44" s="118">
        <f>IF(TRIM('HourGH-MAR'!P26)="","      ",'HourGH-MAR'!P26)</f>
        <v>0.7</v>
      </c>
      <c r="G44" s="118">
        <f>IF(TRIM('HourGH-MAR'!P27)="","      ",'HourGH-MAR'!P27)</f>
        <v>0.7</v>
      </c>
      <c r="H44" s="128">
        <f>IF(TRIM('HourGH-MAR'!P28)="","      ",'HourGH-MAR'!P28)</f>
        <v>0.71</v>
      </c>
      <c r="I44" s="128">
        <f>IF(TRIM('HourGH-MAR'!P29)="","      ",'HourGH-MAR'!P29)</f>
        <v>0.6</v>
      </c>
      <c r="J44" s="128">
        <f>IF(TRIM('HourGH-MAR'!P30)="","      ",'HourGH-MAR'!P30)</f>
        <v>0.22</v>
      </c>
      <c r="K44" s="128">
        <f>IF(TRIM('HourGH-MAR'!P31)="","      ",'HourGH-MAR'!P31)</f>
        <v>0.2</v>
      </c>
    </row>
    <row r="45" spans="1:12">
      <c r="A45" s="127" t="s">
        <v>187</v>
      </c>
      <c r="B45" s="128">
        <f>IF(TRIM('HourGH-MAR'!P33)="","      ",'HourGH-MAR'!P33)</f>
        <v>0.28000000000000003</v>
      </c>
      <c r="C45" s="128">
        <f>IF(TRIM('HourGH-MAR'!P34)="","      ",'HourGH-MAR'!P34)</f>
        <v>0.7</v>
      </c>
      <c r="D45" s="128">
        <f>IF(TRIM('HourGH-MAR'!P35)="","      ",'HourGH-MAR'!P35)</f>
        <v>0.64</v>
      </c>
      <c r="E45" s="128">
        <f>IF(TRIM('HourGH-MAR'!P36)="","      ",'HourGH-MAR'!P36)</f>
        <v>0.56000000000000005</v>
      </c>
      <c r="F45" s="118">
        <f>IF(TRIM('HourGH-MAR'!P37)="","      ",'HourGH-MAR'!P37)</f>
        <v>0.43</v>
      </c>
      <c r="G45" s="118">
        <f>IF(TRIM('HourGH-MAR'!P38)="","      ",'HourGH-MAR'!P38)</f>
        <v>0.2</v>
      </c>
      <c r="H45" s="128">
        <f>IF(TRIM('HourGH-MAR'!P39)="","      ",'HourGH-MAR'!P39)</f>
        <v>0.2</v>
      </c>
      <c r="I45" s="128">
        <f>IF(TRIM('HourGH-MAR'!P40)="","      ",'HourGH-MAR'!P40)</f>
        <v>0.35</v>
      </c>
      <c r="J45" s="128">
        <f>IF(TRIM('HourGH-MAR'!P41)="","      ",'HourGH-MAR'!P41)</f>
        <v>0.7</v>
      </c>
      <c r="K45" s="128">
        <f>IF(TRIM('HourGH-MAR'!P42)="","      ",'HourGH-MAR'!P42)</f>
        <v>0.63</v>
      </c>
      <c r="L45" s="118">
        <f>IF(TRIM('HourGH-MAR'!P43)="","      ",'HourGH-MAR'!P43)</f>
        <v>0.6</v>
      </c>
    </row>
    <row r="46" spans="1:12">
      <c r="A46" s="127" t="s">
        <v>188</v>
      </c>
      <c r="B46" s="128">
        <f>IF(TRIM('HourGH-MAR'!Q11)="","      ",'HourGH-MAR'!Q11)</f>
        <v>0.65</v>
      </c>
      <c r="C46" s="128">
        <f>IF(TRIM('HourGH-MAR'!Q12)="","      ",'HourGH-MAR'!Q12)</f>
        <v>0.65</v>
      </c>
      <c r="D46" s="128">
        <f>IF(TRIM('HourGH-MAR'!Q13)="","      ",'HourGH-MAR'!Q13)</f>
        <v>0.5</v>
      </c>
      <c r="E46" s="128">
        <f>IF(TRIM('HourGH-MAR'!Q14)="","      ",'HourGH-MAR'!Q14)</f>
        <v>0.25</v>
      </c>
      <c r="F46" s="118">
        <f>IF(TRIM('HourGH-MAR'!Q15)="","      ",'HourGH-MAR'!Q15)</f>
        <v>0.26</v>
      </c>
      <c r="G46" s="118">
        <f>IF(TRIM('HourGH-MAR'!Q16)="","      ",'HourGH-MAR'!Q16)</f>
        <v>0.25</v>
      </c>
      <c r="H46" s="128">
        <f>IF(TRIM('HourGH-MAR'!Q17)="","      ",'HourGH-MAR'!Q17)</f>
        <v>0.32</v>
      </c>
      <c r="I46" s="128">
        <f>IF(TRIM('HourGH-MAR'!Q18)="","      ",'HourGH-MAR'!Q18)</f>
        <v>0.65</v>
      </c>
      <c r="J46" s="128">
        <f>IF(TRIM('HourGH-MAR'!Q19)="","      ",'HourGH-MAR'!Q19)</f>
        <v>0.65</v>
      </c>
      <c r="K46" s="128">
        <f>IF(TRIM('HourGH-MAR'!Q20)="","      ",'HourGH-MAR'!Q20)</f>
        <v>0.65</v>
      </c>
    </row>
    <row r="47" spans="1:12">
      <c r="A47" s="127" t="s">
        <v>189</v>
      </c>
      <c r="B47" s="128">
        <f>IF(TRIM('HourGH-MAR'!Q22)="","      ",'HourGH-MAR'!Q22)</f>
        <v>0.57999999999999996</v>
      </c>
      <c r="C47" s="128">
        <f>IF(TRIM('HourGH-MAR'!Q23)="","      ",'HourGH-MAR'!Q23)</f>
        <v>0.24</v>
      </c>
      <c r="D47" s="128">
        <f>IF(TRIM('HourGH-MAR'!Q24)="","      ",'HourGH-MAR'!Q24)</f>
        <v>0.24</v>
      </c>
      <c r="E47" s="128">
        <f>IF(TRIM('HourGH-MAR'!Q25)="","      ",'HourGH-MAR'!Q25)</f>
        <v>0.34</v>
      </c>
      <c r="F47" s="118">
        <f>IF(TRIM('HourGH-MAR'!Q26)="","      ",'HourGH-MAR'!Q26)</f>
        <v>0.7</v>
      </c>
      <c r="G47" s="118">
        <f>IF(TRIM('HourGH-MAR'!Q27)="","      ",'HourGH-MAR'!Q27)</f>
        <v>0.7</v>
      </c>
      <c r="H47" s="128">
        <f>IF(TRIM('HourGH-MAR'!Q28)="","      ",'HourGH-MAR'!Q28)</f>
        <v>0.71</v>
      </c>
      <c r="I47" s="128">
        <f>IF(TRIM('HourGH-MAR'!Q29)="","      ",'HourGH-MAR'!Q29)</f>
        <v>0.57999999999999996</v>
      </c>
      <c r="J47" s="128">
        <f>IF(TRIM('HourGH-MAR'!Q30)="","      ",'HourGH-MAR'!Q30)</f>
        <v>0.22</v>
      </c>
      <c r="K47" s="128">
        <f>IF(TRIM('HourGH-MAR'!Q31)="","      ",'HourGH-MAR'!Q31)</f>
        <v>0.2</v>
      </c>
    </row>
    <row r="48" spans="1:12">
      <c r="A48" s="127" t="s">
        <v>190</v>
      </c>
      <c r="B48" s="128">
        <f>IF(TRIM('HourGH-MAR'!Q33)="","      ",'HourGH-MAR'!Q33)</f>
        <v>0.32</v>
      </c>
      <c r="C48" s="128">
        <f>IF(TRIM('HourGH-MAR'!Q34)="","      ",'HourGH-MAR'!Q34)</f>
        <v>0.7</v>
      </c>
      <c r="D48" s="128">
        <f>IF(TRIM('HourGH-MAR'!Q35)="","      ",'HourGH-MAR'!Q35)</f>
        <v>0.64</v>
      </c>
      <c r="E48" s="128">
        <f>IF(TRIM('HourGH-MAR'!Q36)="","      ",'HourGH-MAR'!Q36)</f>
        <v>0.56999999999999995</v>
      </c>
      <c r="F48" s="118">
        <f>IF(TRIM('HourGH-MAR'!Q37)="","      ",'HourGH-MAR'!Q37)</f>
        <v>0.41</v>
      </c>
      <c r="G48" s="118">
        <f>IF(TRIM('HourGH-MAR'!Q38)="","      ",'HourGH-MAR'!Q38)</f>
        <v>0.2</v>
      </c>
      <c r="H48" s="128">
        <f>IF(TRIM('HourGH-MAR'!Q39)="","      ",'HourGH-MAR'!Q39)</f>
        <v>0.2</v>
      </c>
      <c r="I48" s="128">
        <f>IF(TRIM('HourGH-MAR'!Q40)="","      ",'HourGH-MAR'!Q40)</f>
        <v>0.38</v>
      </c>
      <c r="J48" s="128">
        <f>IF(TRIM('HourGH-MAR'!Q41)="","      ",'HourGH-MAR'!Q41)</f>
        <v>0.7</v>
      </c>
      <c r="K48" s="128">
        <f>IF(TRIM('HourGH-MAR'!Q42)="","      ",'HourGH-MAR'!Q42)</f>
        <v>0.63</v>
      </c>
      <c r="L48" s="118">
        <f>IF(TRIM('HourGH-MAR'!Q43)="","      ",'HourGH-MAR'!Q43)</f>
        <v>0.6</v>
      </c>
    </row>
    <row r="49" spans="1:20">
      <c r="A49" s="127" t="s">
        <v>191</v>
      </c>
      <c r="B49" s="128">
        <f>IF(TRIM('HourGH-MAR'!R11)="","      ",'HourGH-MAR'!R11)</f>
        <v>0.65</v>
      </c>
      <c r="C49" s="128">
        <f>IF(TRIM('HourGH-MAR'!R12)="","      ",'HourGH-MAR'!R12)</f>
        <v>0.65</v>
      </c>
      <c r="D49" s="128">
        <f>IF(TRIM('HourGH-MAR'!R13)="","      ",'HourGH-MAR'!R13)</f>
        <v>0.47</v>
      </c>
      <c r="E49" s="128">
        <f>IF(TRIM('HourGH-MAR'!R14)="","      ",'HourGH-MAR'!R14)</f>
        <v>0.25</v>
      </c>
      <c r="F49" s="118">
        <f>IF(TRIM('HourGH-MAR'!R15)="","      ",'HourGH-MAR'!R15)</f>
        <v>0.26</v>
      </c>
      <c r="G49" s="118">
        <f>IF(TRIM('HourGH-MAR'!R16)="","      ",'HourGH-MAR'!R16)</f>
        <v>0.25</v>
      </c>
      <c r="H49" s="128">
        <f>IF(TRIM('HourGH-MAR'!R17)="","      ",'HourGH-MAR'!R17)</f>
        <v>0.34</v>
      </c>
      <c r="I49" s="128">
        <f>IF(TRIM('HourGH-MAR'!R18)="","      ",'HourGH-MAR'!R18)</f>
        <v>0.65</v>
      </c>
      <c r="J49" s="128">
        <f>IF(TRIM('HourGH-MAR'!R19)="","      ",'HourGH-MAR'!R19)</f>
        <v>0.65</v>
      </c>
      <c r="K49" s="128">
        <f>IF(TRIM('HourGH-MAR'!R20)="","      ",'HourGH-MAR'!R20)</f>
        <v>0.65</v>
      </c>
    </row>
    <row r="50" spans="1:20">
      <c r="A50" s="127" t="s">
        <v>192</v>
      </c>
      <c r="B50" s="128">
        <f>IF(TRIM('HourGH-MAR'!R22)="","      ",'HourGH-MAR'!R22)</f>
        <v>0.56000000000000005</v>
      </c>
      <c r="C50" s="128">
        <f>IF(TRIM('HourGH-MAR'!R23)="","      ",'HourGH-MAR'!R23)</f>
        <v>0.24</v>
      </c>
      <c r="D50" s="128">
        <f>IF(TRIM('HourGH-MAR'!R24)="","      ",'HourGH-MAR'!R24)</f>
        <v>0.24</v>
      </c>
      <c r="E50" s="128">
        <f>IF(TRIM('HourGH-MAR'!R25)="","      ",'HourGH-MAR'!R25)</f>
        <v>0.35</v>
      </c>
      <c r="F50" s="118">
        <f>IF(TRIM('HourGH-MAR'!R26)="","      ",'HourGH-MAR'!R26)</f>
        <v>0.7</v>
      </c>
      <c r="G50" s="118">
        <f>IF(TRIM('HourGH-MAR'!R27)="","      ",'HourGH-MAR'!R27)</f>
        <v>0.7</v>
      </c>
      <c r="H50" s="128">
        <f>IF(TRIM('HourGH-MAR'!R28)="","      ",'HourGH-MAR'!R28)</f>
        <v>0.71</v>
      </c>
      <c r="I50" s="128">
        <f>IF(TRIM('HourGH-MAR'!R29)="","      ",'HourGH-MAR'!R29)</f>
        <v>0.51</v>
      </c>
      <c r="J50" s="128">
        <f>IF(TRIM('HourGH-MAR'!R30)="","      ",'HourGH-MAR'!R30)</f>
        <v>0.22</v>
      </c>
      <c r="K50" s="128">
        <f>IF(TRIM('HourGH-MAR'!R31)="","      ",'HourGH-MAR'!R31)</f>
        <v>0.2</v>
      </c>
    </row>
    <row r="51" spans="1:20">
      <c r="A51" s="127" t="s">
        <v>193</v>
      </c>
      <c r="B51" s="128">
        <f>IF(TRIM('HourGH-MAR'!R33)="","      ",'HourGH-MAR'!R33)</f>
        <v>0.36</v>
      </c>
      <c r="C51" s="128">
        <f>IF(TRIM('HourGH-MAR'!R34)="","      ",'HourGH-MAR'!R34)</f>
        <v>0.7</v>
      </c>
      <c r="D51" s="128">
        <f>IF(TRIM('HourGH-MAR'!R35)="","      ",'HourGH-MAR'!R35)</f>
        <v>0.64</v>
      </c>
      <c r="E51" s="128">
        <f>IF(TRIM('HourGH-MAR'!R36)="","      ",'HourGH-MAR'!R36)</f>
        <v>0.57999999999999996</v>
      </c>
      <c r="F51" s="118">
        <f>IF(TRIM('HourGH-MAR'!R37)="","      ",'HourGH-MAR'!R37)</f>
        <v>0.39</v>
      </c>
      <c r="G51" s="118">
        <f>IF(TRIM('HourGH-MAR'!R38)="","      ",'HourGH-MAR'!R38)</f>
        <v>0.2</v>
      </c>
      <c r="H51" s="128">
        <f>IF(TRIM('HourGH-MAR'!R39)="","      ",'HourGH-MAR'!R39)</f>
        <v>0.2</v>
      </c>
      <c r="I51" s="128">
        <f>IF(TRIM('HourGH-MAR'!R40)="","      ",'HourGH-MAR'!R40)</f>
        <v>0.41</v>
      </c>
      <c r="J51" s="128">
        <f>IF(TRIM('HourGH-MAR'!R41)="","      ",'HourGH-MAR'!R41)</f>
        <v>0.7</v>
      </c>
      <c r="K51" s="128">
        <f>IF(TRIM('HourGH-MAR'!R42)="","      ",'HourGH-MAR'!R42)</f>
        <v>0.63</v>
      </c>
      <c r="L51" s="118">
        <f>IF(TRIM('HourGH-MAR'!R43)="","      ",'HourGH-MAR'!R43)</f>
        <v>0.6</v>
      </c>
    </row>
    <row r="52" spans="1:20">
      <c r="A52" s="127" t="s">
        <v>194</v>
      </c>
      <c r="B52" s="128">
        <f>IF(TRIM('HourGH-MAR'!S11)="","      ",'HourGH-MAR'!S11)</f>
        <v>0.65</v>
      </c>
      <c r="C52" s="128">
        <f>IF(TRIM('HourGH-MAR'!S12)="","      ",'HourGH-MAR'!S12)</f>
        <v>0.65</v>
      </c>
      <c r="D52" s="128">
        <f>IF(TRIM('HourGH-MAR'!S13)="","      ",'HourGH-MAR'!S13)</f>
        <v>0.45</v>
      </c>
      <c r="E52" s="128">
        <f>IF(TRIM('HourGH-MAR'!S14)="","      ",'HourGH-MAR'!S14)</f>
        <v>0.25</v>
      </c>
      <c r="F52" s="118">
        <f>IF(TRIM('HourGH-MAR'!S15)="","      ",'HourGH-MAR'!S15)</f>
        <v>0.26</v>
      </c>
      <c r="G52" s="118">
        <f>IF(TRIM('HourGH-MAR'!S16)="","      ",'HourGH-MAR'!S16)</f>
        <v>0.25</v>
      </c>
      <c r="H52" s="128">
        <f>IF(TRIM('HourGH-MAR'!S17)="","      ",'HourGH-MAR'!S17)</f>
        <v>0.37</v>
      </c>
      <c r="I52" s="128">
        <f>IF(TRIM('HourGH-MAR'!S18)="","      ",'HourGH-MAR'!S18)</f>
        <v>0.65</v>
      </c>
      <c r="J52" s="128">
        <f>IF(TRIM('HourGH-MAR'!S19)="","      ",'HourGH-MAR'!S19)</f>
        <v>0.65</v>
      </c>
      <c r="K52" s="128">
        <f>IF(TRIM('HourGH-MAR'!S20)="","      ",'HourGH-MAR'!S20)</f>
        <v>0.65</v>
      </c>
    </row>
    <row r="53" spans="1:20">
      <c r="A53" s="127" t="s">
        <v>195</v>
      </c>
      <c r="B53" s="128">
        <f>IF(TRIM('HourGH-MAR'!S22)="","      ",'HourGH-MAR'!S22)</f>
        <v>0.54</v>
      </c>
      <c r="C53" s="128">
        <f>IF(TRIM('HourGH-MAR'!S23)="","      ",'HourGH-MAR'!S23)</f>
        <v>0.24</v>
      </c>
      <c r="D53" s="128">
        <f>IF(TRIM('HourGH-MAR'!S24)="","      ",'HourGH-MAR'!S24)</f>
        <v>0.24</v>
      </c>
      <c r="E53" s="128">
        <f>IF(TRIM('HourGH-MAR'!S25)="","      ",'HourGH-MAR'!S25)</f>
        <v>0.37</v>
      </c>
      <c r="F53" s="118">
        <f>IF(TRIM('HourGH-MAR'!S26)="","      ",'HourGH-MAR'!S26)</f>
        <v>0.7</v>
      </c>
      <c r="G53" s="118">
        <f>IF(TRIM('HourGH-MAR'!S27)="","      ",'HourGH-MAR'!S27)</f>
        <v>0.7</v>
      </c>
      <c r="H53" s="128">
        <f>IF(TRIM('HourGH-MAR'!S28)="","      ",'HourGH-MAR'!S28)</f>
        <v>0.71</v>
      </c>
      <c r="I53" s="128">
        <f>IF(TRIM('HourGH-MAR'!S29)="","      ",'HourGH-MAR'!S29)</f>
        <v>0.49</v>
      </c>
      <c r="J53" s="128">
        <f>IF(TRIM('HourGH-MAR'!S30)="","      ",'HourGH-MAR'!S30)</f>
        <v>0.22</v>
      </c>
      <c r="K53" s="128">
        <f>IF(TRIM('HourGH-MAR'!S31)="","      ",'HourGH-MAR'!S31)</f>
        <v>0.2</v>
      </c>
    </row>
    <row r="54" spans="1:20">
      <c r="A54" s="127" t="s">
        <v>196</v>
      </c>
      <c r="B54" s="128">
        <f>IF(TRIM('HourGH-MAR'!S33)="","      ",'HourGH-MAR'!S33)</f>
        <v>0.4</v>
      </c>
      <c r="C54" s="128">
        <f>IF(TRIM('HourGH-MAR'!S34)="","      ",'HourGH-MAR'!S34)</f>
        <v>0.7</v>
      </c>
      <c r="D54" s="128">
        <f>IF(TRIM('HourGH-MAR'!S35)="","      ",'HourGH-MAR'!S35)</f>
        <v>0.64</v>
      </c>
      <c r="E54" s="128">
        <f>IF(TRIM('HourGH-MAR'!S36)="","      ",'HourGH-MAR'!S36)</f>
        <v>0.59</v>
      </c>
      <c r="F54" s="118">
        <f>IF(TRIM('HourGH-MAR'!S37)="","      ",'HourGH-MAR'!S37)</f>
        <v>0.38</v>
      </c>
      <c r="G54" s="118">
        <f>IF(TRIM('HourGH-MAR'!S38)="","      ",'HourGH-MAR'!S38)</f>
        <v>0.2</v>
      </c>
      <c r="H54" s="128">
        <f>IF(TRIM('HourGH-MAR'!S39)="","      ",'HourGH-MAR'!S39)</f>
        <v>0.2</v>
      </c>
      <c r="I54" s="128">
        <f>IF(TRIM('HourGH-MAR'!S40)="","      ",'HourGH-MAR'!S40)</f>
        <v>0.44</v>
      </c>
      <c r="J54" s="128">
        <f>IF(TRIM('HourGH-MAR'!S41)="","      ",'HourGH-MAR'!S41)</f>
        <v>0.7</v>
      </c>
      <c r="K54" s="128">
        <f>IF(TRIM('HourGH-MAR'!S42)="","      ",'HourGH-MAR'!S42)</f>
        <v>0.63</v>
      </c>
      <c r="L54" s="118">
        <f>IF(TRIM('HourGH-MAR'!S43)="","      ",'HourGH-MAR'!S43)</f>
        <v>0.6</v>
      </c>
    </row>
    <row r="55" spans="1:20">
      <c r="A55" s="127" t="s">
        <v>197</v>
      </c>
      <c r="B55" s="128">
        <f>IF(TRIM('HourGH-MAR'!T11)="","      ",'HourGH-MAR'!T11)</f>
        <v>0.65</v>
      </c>
      <c r="C55" s="128">
        <f>IF(TRIM('HourGH-MAR'!T12)="","      ",'HourGH-MAR'!T12)</f>
        <v>0.65</v>
      </c>
      <c r="D55" s="128">
        <f>IF(TRIM('HourGH-MAR'!T13)="","      ",'HourGH-MAR'!T13)</f>
        <v>0.43</v>
      </c>
      <c r="E55" s="128">
        <f>IF(TRIM('HourGH-MAR'!T14)="","      ",'HourGH-MAR'!T14)</f>
        <v>0.25</v>
      </c>
      <c r="F55" s="118">
        <f>IF(TRIM('HourGH-MAR'!T15)="","      ",'HourGH-MAR'!T15)</f>
        <v>0.26</v>
      </c>
      <c r="G55" s="118">
        <f>IF(TRIM('HourGH-MAR'!T16)="","      ",'HourGH-MAR'!T16)</f>
        <v>0.24</v>
      </c>
      <c r="H55" s="128">
        <f>IF(TRIM('HourGH-MAR'!T17)="","      ",'HourGH-MAR'!T17)</f>
        <v>0.4</v>
      </c>
      <c r="I55" s="128">
        <f>IF(TRIM('HourGH-MAR'!T18)="","      ",'HourGH-MAR'!T18)</f>
        <v>0.65</v>
      </c>
      <c r="J55" s="128">
        <f>IF(TRIM('HourGH-MAR'!T19)="","      ",'HourGH-MAR'!T19)</f>
        <v>0.65</v>
      </c>
      <c r="K55" s="128">
        <f>IF(TRIM('HourGH-MAR'!T20)="","      ",'HourGH-MAR'!T20)</f>
        <v>0.65</v>
      </c>
    </row>
    <row r="56" spans="1:20">
      <c r="A56" s="127" t="s">
        <v>198</v>
      </c>
      <c r="B56" s="128">
        <f>IF(TRIM('HourGH-MAR'!T22)="","      ",'HourGH-MAR'!T22)</f>
        <v>0.51</v>
      </c>
      <c r="C56" s="128">
        <f>IF(TRIM('HourGH-MAR'!T23)="","      ",'HourGH-MAR'!T23)</f>
        <v>0.24</v>
      </c>
      <c r="D56" s="128">
        <f>IF(TRIM('HourGH-MAR'!T24)="","      ",'HourGH-MAR'!T24)</f>
        <v>0.24</v>
      </c>
      <c r="E56" s="128">
        <f>IF(TRIM('HourGH-MAR'!T25)="","      ",'HourGH-MAR'!T25)</f>
        <v>0.39</v>
      </c>
      <c r="F56" s="118">
        <f>IF(TRIM('HourGH-MAR'!T26)="","      ",'HourGH-MAR'!T26)</f>
        <v>0.7</v>
      </c>
      <c r="G56" s="118">
        <f>IF(TRIM('HourGH-MAR'!T27)="","      ",'HourGH-MAR'!T27)</f>
        <v>0.7</v>
      </c>
      <c r="H56" s="128">
        <f>IF(TRIM('HourGH-MAR'!T28)="","      ",'HourGH-MAR'!T28)</f>
        <v>0.71</v>
      </c>
      <c r="I56" s="128">
        <f>IF(TRIM('HourGH-MAR'!T29)="","      ",'HourGH-MAR'!T29)</f>
        <v>0.47</v>
      </c>
      <c r="J56" s="128">
        <f>IF(TRIM('HourGH-MAR'!T30)="","      ",'HourGH-MAR'!T30)</f>
        <v>0.22</v>
      </c>
      <c r="K56" s="128">
        <f>IF(TRIM('HourGH-MAR'!T31)="","      ",'HourGH-MAR'!T31)</f>
        <v>0.2</v>
      </c>
      <c r="N56" s="117">
        <f>B79</f>
        <v>338.25</v>
      </c>
      <c r="O56">
        <v>1</v>
      </c>
      <c r="P56" s="117" t="str">
        <f>B82</f>
        <v>6:00</v>
      </c>
      <c r="R56" s="117">
        <f>B85</f>
        <v>338.19</v>
      </c>
      <c r="S56">
        <v>1</v>
      </c>
      <c r="T56" s="117" t="str">
        <f>B88</f>
        <v>1:00</v>
      </c>
    </row>
    <row r="57" spans="1:20">
      <c r="A57" s="127" t="s">
        <v>199</v>
      </c>
      <c r="B57" s="128">
        <f>IF(TRIM('HourGH-MAR'!T33)="","      ",'HourGH-MAR'!T33)</f>
        <v>0.44</v>
      </c>
      <c r="C57" s="128">
        <f>IF(TRIM('HourGH-MAR'!T34)="","      ",'HourGH-MAR'!T34)</f>
        <v>0.69</v>
      </c>
      <c r="D57" s="128">
        <f>IF(TRIM('HourGH-MAR'!T35)="","      ",'HourGH-MAR'!T35)</f>
        <v>0.64</v>
      </c>
      <c r="E57" s="128">
        <f>IF(TRIM('HourGH-MAR'!T36)="","      ",'HourGH-MAR'!T36)</f>
        <v>0.59</v>
      </c>
      <c r="F57" s="118">
        <f>IF(TRIM('HourGH-MAR'!T37)="","      ",'HourGH-MAR'!T37)</f>
        <v>0.37</v>
      </c>
      <c r="G57" s="118">
        <f>IF(TRIM('HourGH-MAR'!T38)="","      ",'HourGH-MAR'!T38)</f>
        <v>0.2</v>
      </c>
      <c r="H57" s="128">
        <f>IF(TRIM('HourGH-MAR'!T39)="","      ",'HourGH-MAR'!T39)</f>
        <v>0.2</v>
      </c>
      <c r="I57" s="128">
        <f>IF(TRIM('HourGH-MAR'!T40)="","      ",'HourGH-MAR'!T40)</f>
        <v>0.48</v>
      </c>
      <c r="J57" s="128">
        <f>IF(TRIM('HourGH-MAR'!T41)="","      ",'HourGH-MAR'!T41)</f>
        <v>0.7</v>
      </c>
      <c r="K57" s="128">
        <f>IF(TRIM('HourGH-MAR'!T42)="","      ",'HourGH-MAR'!T42)</f>
        <v>0.63</v>
      </c>
      <c r="L57" s="118">
        <f>IF(TRIM('HourGH-MAR'!T43)="","      ",'HourGH-MAR'!T43)</f>
        <v>0.6</v>
      </c>
      <c r="N57" s="117">
        <f>C79</f>
        <v>338.25</v>
      </c>
      <c r="O57">
        <v>2</v>
      </c>
      <c r="P57" s="117" t="str">
        <f>C82</f>
        <v>1:00</v>
      </c>
      <c r="R57" s="117">
        <f>C85</f>
        <v>338.25</v>
      </c>
      <c r="S57">
        <v>2</v>
      </c>
      <c r="T57" s="117" t="str">
        <f>C88</f>
        <v>1:00</v>
      </c>
    </row>
    <row r="58" spans="1:20">
      <c r="A58" s="127" t="s">
        <v>200</v>
      </c>
      <c r="B58" s="128">
        <f>IF(TRIM('HourGH-MAR'!U11)="","      ",'HourGH-MAR'!U11)</f>
        <v>0.65</v>
      </c>
      <c r="C58" s="128">
        <f>IF(TRIM('HourGH-MAR'!U12)="","      ",'HourGH-MAR'!U12)</f>
        <v>0.65</v>
      </c>
      <c r="D58" s="128">
        <f>IF(TRIM('HourGH-MAR'!U13)="","      ",'HourGH-MAR'!U13)</f>
        <v>0.4</v>
      </c>
      <c r="E58" s="128">
        <f>IF(TRIM('HourGH-MAR'!U14)="","      ",'HourGH-MAR'!U14)</f>
        <v>0.25</v>
      </c>
      <c r="F58" s="118">
        <f>IF(TRIM('HourGH-MAR'!U15)="","      ",'HourGH-MAR'!U15)</f>
        <v>0.26</v>
      </c>
      <c r="G58" s="118">
        <f>IF(TRIM('HourGH-MAR'!U16)="","      ",'HourGH-MAR'!U16)</f>
        <v>0.24</v>
      </c>
      <c r="H58" s="128">
        <f>IF(TRIM('HourGH-MAR'!U17)="","      ",'HourGH-MAR'!U17)</f>
        <v>0.43</v>
      </c>
      <c r="I58" s="128">
        <f>IF(TRIM('HourGH-MAR'!U18)="","      ",'HourGH-MAR'!U18)</f>
        <v>0.65</v>
      </c>
      <c r="J58" s="128">
        <f>IF(TRIM('HourGH-MAR'!U19)="","      ",'HourGH-MAR'!U19)</f>
        <v>0.65</v>
      </c>
      <c r="K58" s="128">
        <f>IF(TRIM('HourGH-MAR'!U20)="","      ",'HourGH-MAR'!U20)</f>
        <v>0.65</v>
      </c>
      <c r="N58" s="117">
        <f>D79</f>
        <v>338.26000000000005</v>
      </c>
      <c r="O58">
        <v>3</v>
      </c>
      <c r="P58" s="117" t="str">
        <f>D82</f>
        <v>6:00</v>
      </c>
      <c r="R58" s="117">
        <f>D85</f>
        <v>337.91</v>
      </c>
      <c r="S58">
        <v>3</v>
      </c>
      <c r="T58" s="117" t="str">
        <f>D88</f>
        <v>24:00</v>
      </c>
    </row>
    <row r="59" spans="1:20">
      <c r="A59" s="127" t="s">
        <v>201</v>
      </c>
      <c r="B59" s="128">
        <f>IF(TRIM('HourGH-MAR'!U22)="","      ",'HourGH-MAR'!U22)</f>
        <v>0.49</v>
      </c>
      <c r="C59" s="128">
        <f>IF(TRIM('HourGH-MAR'!U23)="","      ",'HourGH-MAR'!U23)</f>
        <v>0.24</v>
      </c>
      <c r="D59" s="128">
        <f>IF(TRIM('HourGH-MAR'!U24)="","      ",'HourGH-MAR'!U24)</f>
        <v>0.24</v>
      </c>
      <c r="E59" s="128">
        <f>IF(TRIM('HourGH-MAR'!U25)="","      ",'HourGH-MAR'!U25)</f>
        <v>0.41</v>
      </c>
      <c r="F59" s="118">
        <f>IF(TRIM('HourGH-MAR'!U26)="","      ",'HourGH-MAR'!U26)</f>
        <v>0.7</v>
      </c>
      <c r="G59" s="118">
        <f>IF(TRIM('HourGH-MAR'!U27)="","      ",'HourGH-MAR'!U27)</f>
        <v>0.7</v>
      </c>
      <c r="H59" s="128">
        <f>IF(TRIM('HourGH-MAR'!U28)="","      ",'HourGH-MAR'!U28)</f>
        <v>0.71</v>
      </c>
      <c r="I59" s="128">
        <f>IF(TRIM('HourGH-MAR'!U29)="","      ",'HourGH-MAR'!U29)</f>
        <v>0.46</v>
      </c>
      <c r="J59" s="128">
        <f>IF(TRIM('HourGH-MAR'!U30)="","      ",'HourGH-MAR'!U30)</f>
        <v>0.22</v>
      </c>
      <c r="K59" s="128">
        <f>IF(TRIM('HourGH-MAR'!U31)="","      ",'HourGH-MAR'!U31)</f>
        <v>0.2</v>
      </c>
      <c r="N59" s="117">
        <f>E79</f>
        <v>337.89000000000004</v>
      </c>
      <c r="O59">
        <v>4</v>
      </c>
      <c r="P59" s="117" t="str">
        <f>E82</f>
        <v>1:00</v>
      </c>
      <c r="R59" s="117">
        <f>E85</f>
        <v>337.84000000000003</v>
      </c>
      <c r="S59">
        <v>4</v>
      </c>
      <c r="T59" s="117" t="str">
        <f>E88</f>
        <v>6:00</v>
      </c>
    </row>
    <row r="60" spans="1:20">
      <c r="A60" s="127" t="s">
        <v>202</v>
      </c>
      <c r="B60" s="128">
        <f>IF(TRIM('HourGH-MAR'!U33)="","      ",'HourGH-MAR'!U33)</f>
        <v>0.48</v>
      </c>
      <c r="C60" s="128">
        <f>IF(TRIM('HourGH-MAR'!U34)="","      ",'HourGH-MAR'!U34)</f>
        <v>0.69</v>
      </c>
      <c r="D60" s="128">
        <f>IF(TRIM('HourGH-MAR'!U35)="","      ",'HourGH-MAR'!U35)</f>
        <v>0.64</v>
      </c>
      <c r="E60" s="128">
        <f>IF(TRIM('HourGH-MAR'!U36)="","      ",'HourGH-MAR'!U36)</f>
        <v>0.59</v>
      </c>
      <c r="F60" s="118">
        <f>IF(TRIM('HourGH-MAR'!U37)="","      ",'HourGH-MAR'!U37)</f>
        <v>0.35</v>
      </c>
      <c r="G60" s="118">
        <f>IF(TRIM('HourGH-MAR'!U38)="","      ",'HourGH-MAR'!U38)</f>
        <v>0.2</v>
      </c>
      <c r="H60" s="128">
        <f>IF(TRIM('HourGH-MAR'!U39)="","      ",'HourGH-MAR'!U39)</f>
        <v>0.2</v>
      </c>
      <c r="I60" s="128">
        <f>IF(TRIM('HourGH-MAR'!U40)="","      ",'HourGH-MAR'!U40)</f>
        <v>0.51</v>
      </c>
      <c r="J60" s="128">
        <f>IF(TRIM('HourGH-MAR'!U41)="","      ",'HourGH-MAR'!U41)</f>
        <v>0.69</v>
      </c>
      <c r="K60" s="128">
        <f>IF(TRIM('HourGH-MAR'!U42)="","      ",'HourGH-MAR'!U42)</f>
        <v>0.63</v>
      </c>
      <c r="L60" s="118">
        <f>IF(TRIM('HourGH-MAR'!U43)="","      ",'HourGH-MAR'!U43)</f>
        <v>0.59</v>
      </c>
      <c r="N60" s="117">
        <f>F79</f>
        <v>337.86</v>
      </c>
      <c r="O60">
        <v>5</v>
      </c>
      <c r="P60" s="117" t="str">
        <f>F82</f>
        <v>1:00</v>
      </c>
      <c r="R60" s="117">
        <f>F85</f>
        <v>337.86</v>
      </c>
      <c r="S60">
        <v>5</v>
      </c>
      <c r="T60" s="117" t="str">
        <f>F88</f>
        <v>1:00</v>
      </c>
    </row>
    <row r="61" spans="1:20">
      <c r="A61" s="127" t="s">
        <v>203</v>
      </c>
      <c r="B61" s="128">
        <f>IF(TRIM('HourGH-MAR'!V11)="","      ",'HourGH-MAR'!V11)</f>
        <v>0.65</v>
      </c>
      <c r="C61" s="128">
        <f>IF(TRIM('HourGH-MAR'!V12)="","      ",'HourGH-MAR'!V12)</f>
        <v>0.65</v>
      </c>
      <c r="D61" s="128">
        <f>IF(TRIM('HourGH-MAR'!V13)="","      ",'HourGH-MAR'!V13)</f>
        <v>0.38</v>
      </c>
      <c r="E61" s="128">
        <f>IF(TRIM('HourGH-MAR'!V14)="","      ",'HourGH-MAR'!V14)</f>
        <v>0.25</v>
      </c>
      <c r="F61" s="118">
        <f>IF(TRIM('HourGH-MAR'!V15)="","      ",'HourGH-MAR'!V15)</f>
        <v>0.26</v>
      </c>
      <c r="G61" s="118">
        <f>IF(TRIM('HourGH-MAR'!V16)="","      ",'HourGH-MAR'!V16)</f>
        <v>0.24</v>
      </c>
      <c r="H61" s="128">
        <f>IF(TRIM('HourGH-MAR'!V17)="","      ",'HourGH-MAR'!V17)</f>
        <v>0.46</v>
      </c>
      <c r="I61" s="128">
        <f>IF(TRIM('HourGH-MAR'!V18)="","      ",'HourGH-MAR'!V18)</f>
        <v>0.65</v>
      </c>
      <c r="J61" s="128">
        <f>IF(TRIM('HourGH-MAR'!V19)="","      ",'HourGH-MAR'!V19)</f>
        <v>0.65</v>
      </c>
      <c r="K61" s="128">
        <f>IF(TRIM('HourGH-MAR'!V20)="","      ",'HourGH-MAR'!V20)</f>
        <v>0.65</v>
      </c>
      <c r="N61" s="117">
        <f>G79</f>
        <v>337.86</v>
      </c>
      <c r="O61">
        <v>6</v>
      </c>
      <c r="P61" s="117" t="str">
        <f>G82</f>
        <v>1:00</v>
      </c>
      <c r="R61" s="117">
        <f>G85</f>
        <v>337.84000000000003</v>
      </c>
      <c r="S61">
        <v>6</v>
      </c>
      <c r="T61" s="117" t="str">
        <f>G88</f>
        <v>18:00</v>
      </c>
    </row>
    <row r="62" spans="1:20">
      <c r="A62" s="127" t="s">
        <v>204</v>
      </c>
      <c r="B62" s="128">
        <f>IF(TRIM('HourGH-MAR'!V22)="","      ",'HourGH-MAR'!V22)</f>
        <v>0.46</v>
      </c>
      <c r="C62" s="128">
        <f>IF(TRIM('HourGH-MAR'!V23)="","      ",'HourGH-MAR'!V23)</f>
        <v>0.24</v>
      </c>
      <c r="D62" s="128">
        <f>IF(TRIM('HourGH-MAR'!V24)="","      ",'HourGH-MAR'!V24)</f>
        <v>0.24</v>
      </c>
      <c r="E62" s="128">
        <f>IF(TRIM('HourGH-MAR'!V25)="","      ",'HourGH-MAR'!V25)</f>
        <v>0.43</v>
      </c>
      <c r="F62" s="118">
        <f>IF(TRIM('HourGH-MAR'!V26)="","      ",'HourGH-MAR'!V26)</f>
        <v>0.7</v>
      </c>
      <c r="G62" s="118">
        <f>IF(TRIM('HourGH-MAR'!V27)="","      ",'HourGH-MAR'!V27)</f>
        <v>0.7</v>
      </c>
      <c r="H62" s="128">
        <f>IF(TRIM('HourGH-MAR'!V28)="","      ",'HourGH-MAR'!V28)</f>
        <v>0.71</v>
      </c>
      <c r="I62" s="128">
        <f>IF(TRIM('HourGH-MAR'!V29)="","      ",'HourGH-MAR'!V29)</f>
        <v>0.45</v>
      </c>
      <c r="J62" s="128">
        <f>IF(TRIM('HourGH-MAR'!V30)="","      ",'HourGH-MAR'!V30)</f>
        <v>0.22</v>
      </c>
      <c r="K62" s="128">
        <f>IF(TRIM('HourGH-MAR'!V31)="","      ",'HourGH-MAR'!V31)</f>
        <v>0.2</v>
      </c>
      <c r="N62" s="117">
        <f>H79</f>
        <v>338.16</v>
      </c>
      <c r="O62">
        <v>7</v>
      </c>
      <c r="P62" s="117" t="str">
        <f>H82</f>
        <v>24:00</v>
      </c>
      <c r="R62" s="117">
        <f>H85</f>
        <v>337.84000000000003</v>
      </c>
      <c r="S62">
        <v>7</v>
      </c>
      <c r="T62" s="117" t="str">
        <f>H88</f>
        <v>1:00</v>
      </c>
    </row>
    <row r="63" spans="1:20">
      <c r="A63" s="127" t="s">
        <v>205</v>
      </c>
      <c r="B63" s="128">
        <f>IF(TRIM('HourGH-MAR'!V33)="","      ",'HourGH-MAR'!V33)</f>
        <v>0.53</v>
      </c>
      <c r="C63" s="128">
        <f>IF(TRIM('HourGH-MAR'!V34)="","      ",'HourGH-MAR'!V34)</f>
        <v>0.69</v>
      </c>
      <c r="D63" s="128">
        <f>IF(TRIM('HourGH-MAR'!V35)="","      ",'HourGH-MAR'!V35)</f>
        <v>0.64</v>
      </c>
      <c r="E63" s="128">
        <f>IF(TRIM('HourGH-MAR'!V36)="","      ",'HourGH-MAR'!V36)</f>
        <v>0.59</v>
      </c>
      <c r="F63" s="118">
        <f>IF(TRIM('HourGH-MAR'!V37)="","      ",'HourGH-MAR'!V37)</f>
        <v>0.33</v>
      </c>
      <c r="G63" s="118">
        <f>IF(TRIM('HourGH-MAR'!V38)="","      ",'HourGH-MAR'!V38)</f>
        <v>0.2</v>
      </c>
      <c r="H63" s="128">
        <f>IF(TRIM('HourGH-MAR'!V39)="","      ",'HourGH-MAR'!V39)</f>
        <v>0.2</v>
      </c>
      <c r="I63" s="128">
        <f>IF(TRIM('HourGH-MAR'!V40)="","      ",'HourGH-MAR'!V40)</f>
        <v>0.53</v>
      </c>
      <c r="J63" s="128">
        <f>IF(TRIM('HourGH-MAR'!V41)="","      ",'HourGH-MAR'!V41)</f>
        <v>0.69</v>
      </c>
      <c r="K63" s="128">
        <f>IF(TRIM('HourGH-MAR'!V42)="","      ",'HourGH-MAR'!V42)</f>
        <v>0.63</v>
      </c>
      <c r="L63" s="118">
        <f>IF(TRIM('HourGH-MAR'!V43)="","      ",'HourGH-MAR'!V43)</f>
        <v>0.59</v>
      </c>
      <c r="N63" s="117">
        <f>I79</f>
        <v>338.25</v>
      </c>
      <c r="O63">
        <v>8</v>
      </c>
      <c r="P63" s="117" t="str">
        <f>I82</f>
        <v>6:00</v>
      </c>
      <c r="R63" s="117">
        <f>I85</f>
        <v>338.18</v>
      </c>
      <c r="S63">
        <v>8</v>
      </c>
      <c r="T63" s="117" t="str">
        <f>I88</f>
        <v>1:00</v>
      </c>
    </row>
    <row r="64" spans="1:20">
      <c r="A64" s="127" t="s">
        <v>206</v>
      </c>
      <c r="B64" s="128">
        <f>IF(TRIM('HourGH-MAR'!W11)="","      ",'HourGH-MAR'!W11)</f>
        <v>0.65</v>
      </c>
      <c r="C64" s="128">
        <f>IF(TRIM('HourGH-MAR'!W12)="","      ",'HourGH-MAR'!W12)</f>
        <v>0.65</v>
      </c>
      <c r="D64" s="128">
        <f>IF(TRIM('HourGH-MAR'!W13)="","      ",'HourGH-MAR'!W13)</f>
        <v>0.36</v>
      </c>
      <c r="E64" s="128">
        <f>IF(TRIM('HourGH-MAR'!W14)="","      ",'HourGH-MAR'!W14)</f>
        <v>0.25</v>
      </c>
      <c r="F64" s="118">
        <f>IF(TRIM('HourGH-MAR'!W15)="","      ",'HourGH-MAR'!W15)</f>
        <v>0.26</v>
      </c>
      <c r="G64" s="118">
        <f>IF(TRIM('HourGH-MAR'!W16)="","      ",'HourGH-MAR'!W16)</f>
        <v>0.24</v>
      </c>
      <c r="H64" s="128">
        <f>IF(TRIM('HourGH-MAR'!W17)="","      ",'HourGH-MAR'!W17)</f>
        <v>0.49</v>
      </c>
      <c r="I64" s="128">
        <f>IF(TRIM('HourGH-MAR'!W18)="","      ",'HourGH-MAR'!W18)</f>
        <v>0.65</v>
      </c>
      <c r="J64" s="128">
        <f>IF(TRIM('HourGH-MAR'!W19)="","      ",'HourGH-MAR'!W19)</f>
        <v>0.65</v>
      </c>
      <c r="K64" s="128">
        <f>IF(TRIM('HourGH-MAR'!W20)="","      ",'HourGH-MAR'!W20)</f>
        <v>0.65</v>
      </c>
      <c r="N64" s="117">
        <f>J79</f>
        <v>338.25</v>
      </c>
      <c r="O64">
        <v>9</v>
      </c>
      <c r="P64" s="117" t="str">
        <f>J82</f>
        <v>1:00</v>
      </c>
      <c r="R64" s="117">
        <f>J85</f>
        <v>338.25</v>
      </c>
      <c r="S64">
        <v>9</v>
      </c>
      <c r="T64" s="117" t="str">
        <f>J88</f>
        <v>1:00</v>
      </c>
    </row>
    <row r="65" spans="1:20">
      <c r="A65" s="127" t="s">
        <v>207</v>
      </c>
      <c r="B65" s="128">
        <f>IF(TRIM('HourGH-MAR'!W22)="","      ",'HourGH-MAR'!W22)</f>
        <v>0.42</v>
      </c>
      <c r="C65" s="128">
        <f>IF(TRIM('HourGH-MAR'!W23)="","      ",'HourGH-MAR'!W23)</f>
        <v>0.24</v>
      </c>
      <c r="D65" s="128">
        <f>IF(TRIM('HourGH-MAR'!W24)="","      ",'HourGH-MAR'!W24)</f>
        <v>0.24</v>
      </c>
      <c r="E65" s="128">
        <f>IF(TRIM('HourGH-MAR'!W25)="","      ",'HourGH-MAR'!W25)</f>
        <v>0.45</v>
      </c>
      <c r="F65" s="118">
        <f>IF(TRIM('HourGH-MAR'!W26)="","      ",'HourGH-MAR'!W26)</f>
        <v>0.7</v>
      </c>
      <c r="G65" s="118">
        <f>IF(TRIM('HourGH-MAR'!W27)="","      ",'HourGH-MAR'!W27)</f>
        <v>0.7</v>
      </c>
      <c r="H65" s="128">
        <f>IF(TRIM('HourGH-MAR'!W28)="","      ",'HourGH-MAR'!W28)</f>
        <v>0.71</v>
      </c>
      <c r="I65" s="128">
        <f>IF(TRIM('HourGH-MAR'!W29)="","      ",'HourGH-MAR'!W29)</f>
        <v>0.43</v>
      </c>
      <c r="J65" s="128">
        <f>IF(TRIM('HourGH-MAR'!W30)="","      ",'HourGH-MAR'!W30)</f>
        <v>0.22</v>
      </c>
      <c r="K65" s="128">
        <f>IF(TRIM('HourGH-MAR'!W31)="","      ",'HourGH-MAR'!W31)</f>
        <v>0.2</v>
      </c>
      <c r="N65" s="117">
        <f>K79</f>
        <v>338.25</v>
      </c>
      <c r="O65">
        <v>10</v>
      </c>
      <c r="P65" s="117" t="str">
        <f>K82</f>
        <v>1:00</v>
      </c>
      <c r="R65" s="117">
        <f>K85</f>
        <v>338.25</v>
      </c>
      <c r="S65">
        <v>10</v>
      </c>
      <c r="T65" s="117" t="str">
        <f>K88</f>
        <v>1:00</v>
      </c>
    </row>
    <row r="66" spans="1:20">
      <c r="A66" s="127" t="s">
        <v>208</v>
      </c>
      <c r="B66" s="128">
        <f>IF(TRIM('HourGH-MAR'!W33)="","      ",'HourGH-MAR'!W33)</f>
        <v>0.56000000000000005</v>
      </c>
      <c r="C66" s="128">
        <f>IF(TRIM('HourGH-MAR'!W34)="","      ",'HourGH-MAR'!W34)</f>
        <v>0.68</v>
      </c>
      <c r="D66" s="128">
        <f>IF(TRIM('HourGH-MAR'!W35)="","      ",'HourGH-MAR'!W35)</f>
        <v>0.64</v>
      </c>
      <c r="E66" s="128">
        <f>IF(TRIM('HourGH-MAR'!W36)="","      ",'HourGH-MAR'!W36)</f>
        <v>0.59</v>
      </c>
      <c r="F66" s="118">
        <f>IF(TRIM('HourGH-MAR'!W37)="","      ",'HourGH-MAR'!W37)</f>
        <v>0.3</v>
      </c>
      <c r="G66" s="118">
        <f>IF(TRIM('HourGH-MAR'!W38)="","      ",'HourGH-MAR'!W38)</f>
        <v>0.2</v>
      </c>
      <c r="H66" s="128">
        <f>IF(TRIM('HourGH-MAR'!W39)="","      ",'HourGH-MAR'!W39)</f>
        <v>0.2</v>
      </c>
      <c r="I66" s="128">
        <f>IF(TRIM('HourGH-MAR'!W40)="","      ",'HourGH-MAR'!W40)</f>
        <v>0.56000000000000005</v>
      </c>
      <c r="J66" s="128">
        <f>IF(TRIM('HourGH-MAR'!W41)="","      ",'HourGH-MAR'!W41)</f>
        <v>0.68</v>
      </c>
      <c r="K66" s="128">
        <f>IF(TRIM('HourGH-MAR'!W42)="","      ",'HourGH-MAR'!W42)</f>
        <v>0.63</v>
      </c>
      <c r="L66" s="118">
        <f>IF(TRIM('HourGH-MAR'!W43)="","      ",'HourGH-MAR'!W43)</f>
        <v>0.59</v>
      </c>
      <c r="N66" s="117">
        <f>B80</f>
        <v>338.26000000000005</v>
      </c>
      <c r="O66">
        <v>11</v>
      </c>
      <c r="P66" s="117" t="str">
        <f>B83</f>
        <v>1:00</v>
      </c>
      <c r="R66" s="117">
        <f>B86</f>
        <v>337.95000000000005</v>
      </c>
      <c r="S66">
        <v>11</v>
      </c>
      <c r="T66" s="117" t="str">
        <f>B89</f>
        <v>24:00</v>
      </c>
    </row>
    <row r="67" spans="1:20">
      <c r="A67" s="127" t="s">
        <v>209</v>
      </c>
      <c r="B67" s="128">
        <f>IF(TRIM('HourGH-MAR'!X11)="","      ",'HourGH-MAR'!X11)</f>
        <v>0.65</v>
      </c>
      <c r="C67" s="128">
        <f>IF(TRIM('HourGH-MAR'!X12)="","      ",'HourGH-MAR'!X12)</f>
        <v>0.65</v>
      </c>
      <c r="D67" s="128">
        <f>IF(TRIM('HourGH-MAR'!X13)="","      ",'HourGH-MAR'!X13)</f>
        <v>0.34</v>
      </c>
      <c r="E67" s="128">
        <f>IF(TRIM('HourGH-MAR'!X14)="","      ",'HourGH-MAR'!X14)</f>
        <v>0.25</v>
      </c>
      <c r="F67" s="118">
        <f>IF(TRIM('HourGH-MAR'!X15)="","      ",'HourGH-MAR'!X15)</f>
        <v>0.26</v>
      </c>
      <c r="G67" s="118">
        <f>IF(TRIM('HourGH-MAR'!X16)="","      ",'HourGH-MAR'!X16)</f>
        <v>0.24</v>
      </c>
      <c r="H67" s="128">
        <f>IF(TRIM('HourGH-MAR'!X17)="","      ",'HourGH-MAR'!X17)</f>
        <v>0.52</v>
      </c>
      <c r="I67" s="128">
        <f>IF(TRIM('HourGH-MAR'!X18)="","      ",'HourGH-MAR'!X18)</f>
        <v>0.65</v>
      </c>
      <c r="J67" s="128">
        <f>IF(TRIM('HourGH-MAR'!X19)="","      ",'HourGH-MAR'!X19)</f>
        <v>0.65</v>
      </c>
      <c r="K67" s="128">
        <f>IF(TRIM('HourGH-MAR'!X20)="","      ",'HourGH-MAR'!X20)</f>
        <v>0.65</v>
      </c>
      <c r="N67" s="117">
        <f>C80</f>
        <v>337.93</v>
      </c>
      <c r="O67">
        <v>12</v>
      </c>
      <c r="P67" s="117" t="str">
        <f>C83</f>
        <v>1:00</v>
      </c>
      <c r="R67" s="117">
        <f>C86</f>
        <v>337.84000000000003</v>
      </c>
      <c r="S67">
        <v>12</v>
      </c>
      <c r="T67" s="117" t="str">
        <f>C89</f>
        <v>6:00</v>
      </c>
    </row>
    <row r="68" spans="1:20">
      <c r="A68" s="127" t="s">
        <v>210</v>
      </c>
      <c r="B68" s="128">
        <f>IF(TRIM('HourGH-MAR'!X22)="","      ",'HourGH-MAR'!X22)</f>
        <v>0.39</v>
      </c>
      <c r="C68" s="128">
        <f>IF(TRIM('HourGH-MAR'!X23)="","      ",'HourGH-MAR'!X23)</f>
        <v>0.24</v>
      </c>
      <c r="D68" s="128">
        <f>IF(TRIM('HourGH-MAR'!X24)="","      ",'HourGH-MAR'!X24)</f>
        <v>0.24</v>
      </c>
      <c r="E68" s="128">
        <f>IF(TRIM('HourGH-MAR'!X25)="","      ",'HourGH-MAR'!X25)</f>
        <v>0.48</v>
      </c>
      <c r="F68" s="118">
        <f>IF(TRIM('HourGH-MAR'!X26)="","      ",'HourGH-MAR'!X26)</f>
        <v>0.7</v>
      </c>
      <c r="G68" s="118">
        <f>IF(TRIM('HourGH-MAR'!X27)="","      ",'HourGH-MAR'!X27)</f>
        <v>0.7</v>
      </c>
      <c r="H68" s="128">
        <f>IF(TRIM('HourGH-MAR'!X28)="","      ",'HourGH-MAR'!X28)</f>
        <v>0.71</v>
      </c>
      <c r="I68" s="128">
        <f>IF(TRIM('HourGH-MAR'!X29)="","      ",'HourGH-MAR'!X29)</f>
        <v>0.41</v>
      </c>
      <c r="J68" s="128">
        <f>IF(TRIM('HourGH-MAR'!X30)="","      ",'HourGH-MAR'!X30)</f>
        <v>0.22</v>
      </c>
      <c r="K68" s="128">
        <f>IF(TRIM('HourGH-MAR'!X31)="","      ",'HourGH-MAR'!X31)</f>
        <v>0.2</v>
      </c>
      <c r="N68" s="117">
        <f>D80</f>
        <v>337.84000000000003</v>
      </c>
      <c r="O68">
        <v>13</v>
      </c>
      <c r="P68" s="117" t="str">
        <f>D83</f>
        <v>1:00</v>
      </c>
      <c r="R68" s="117">
        <f>D86</f>
        <v>337.84000000000003</v>
      </c>
      <c r="S68">
        <v>13</v>
      </c>
      <c r="T68" s="117" t="str">
        <f>D89</f>
        <v>1:00</v>
      </c>
    </row>
    <row r="69" spans="1:20">
      <c r="A69" s="127" t="s">
        <v>211</v>
      </c>
      <c r="B69" s="128">
        <f>IF(TRIM('HourGH-MAR'!X33)="","      ",'HourGH-MAR'!X33)</f>
        <v>0.59</v>
      </c>
      <c r="C69" s="128">
        <f>IF(TRIM('HourGH-MAR'!X34)="","      ",'HourGH-MAR'!X34)</f>
        <v>0.68</v>
      </c>
      <c r="D69" s="128">
        <f>IF(TRIM('HourGH-MAR'!X35)="","      ",'HourGH-MAR'!X35)</f>
        <v>0.64</v>
      </c>
      <c r="E69" s="128">
        <f>IF(TRIM('HourGH-MAR'!X36)="","      ",'HourGH-MAR'!X36)</f>
        <v>0.59</v>
      </c>
      <c r="F69" s="118">
        <f>IF(TRIM('HourGH-MAR'!X37)="","      ",'HourGH-MAR'!X37)</f>
        <v>0.28000000000000003</v>
      </c>
      <c r="G69" s="118">
        <f>IF(TRIM('HourGH-MAR'!X38)="","      ",'HourGH-MAR'!X38)</f>
        <v>0.2</v>
      </c>
      <c r="H69" s="128">
        <f>IF(TRIM('HourGH-MAR'!X39)="","      ",'HourGH-MAR'!X39)</f>
        <v>0.2</v>
      </c>
      <c r="I69" s="128">
        <f>IF(TRIM('HourGH-MAR'!X40)="","      ",'HourGH-MAR'!X40)</f>
        <v>0.57999999999999996</v>
      </c>
      <c r="J69" s="128">
        <f>IF(TRIM('HourGH-MAR'!X41)="","      ",'HourGH-MAR'!X41)</f>
        <v>0.68</v>
      </c>
      <c r="K69" s="128">
        <f>IF(TRIM('HourGH-MAR'!X42)="","      ",'HourGH-MAR'!X42)</f>
        <v>0.63</v>
      </c>
      <c r="L69" s="118">
        <f>IF(TRIM('HourGH-MAR'!X43)="","      ",'HourGH-MAR'!X43)</f>
        <v>0.59</v>
      </c>
      <c r="N69" s="117">
        <f>E80</f>
        <v>338.12</v>
      </c>
      <c r="O69">
        <v>14</v>
      </c>
      <c r="P69" s="117" t="str">
        <f>E83</f>
        <v>24:00</v>
      </c>
      <c r="R69" s="117">
        <f>E86</f>
        <v>337.84000000000003</v>
      </c>
      <c r="S69">
        <v>14</v>
      </c>
      <c r="T69" s="117" t="str">
        <f>E89</f>
        <v>1:00</v>
      </c>
    </row>
    <row r="70" spans="1:20">
      <c r="A70" s="127" t="s">
        <v>212</v>
      </c>
      <c r="B70" s="128">
        <f>IF(TRIM('HourGH-MAR'!Y11)="","      ",'HourGH-MAR'!Y11)</f>
        <v>0.65</v>
      </c>
      <c r="C70" s="128">
        <f>IF(TRIM('HourGH-MAR'!Y12)="","      ",'HourGH-MAR'!Y12)</f>
        <v>0.65</v>
      </c>
      <c r="D70" s="128">
        <f>IF(TRIM('HourGH-MAR'!Y13)="","      ",'HourGH-MAR'!Y13)</f>
        <v>0.32</v>
      </c>
      <c r="E70" s="128">
        <f>IF(TRIM('HourGH-MAR'!Y14)="","      ",'HourGH-MAR'!Y14)</f>
        <v>0.25</v>
      </c>
      <c r="F70" s="118">
        <f>IF(TRIM('HourGH-MAR'!Y15)="","      ",'HourGH-MAR'!Y15)</f>
        <v>0.26</v>
      </c>
      <c r="G70" s="118">
        <f>IF(TRIM('HourGH-MAR'!Y16)="","      ",'HourGH-MAR'!Y16)</f>
        <v>0.24</v>
      </c>
      <c r="H70" s="128">
        <f>IF(TRIM('HourGH-MAR'!Y17)="","      ",'HourGH-MAR'!Y17)</f>
        <v>0.54</v>
      </c>
      <c r="I70" s="128">
        <f>IF(TRIM('HourGH-MAR'!Y18)="","      ",'HourGH-MAR'!Y18)</f>
        <v>0.65</v>
      </c>
      <c r="J70" s="128">
        <f>IF(TRIM('HourGH-MAR'!Y19)="","      ",'HourGH-MAR'!Y19)</f>
        <v>0.65</v>
      </c>
      <c r="K70" s="128">
        <f>IF(TRIM('HourGH-MAR'!Y20)="","      ",'HourGH-MAR'!Y20)</f>
        <v>0.65</v>
      </c>
      <c r="N70" s="117">
        <f>F80</f>
        <v>338.3</v>
      </c>
      <c r="O70">
        <v>15</v>
      </c>
      <c r="P70" s="117" t="str">
        <f>F83</f>
        <v>6:00</v>
      </c>
      <c r="R70" s="117">
        <f>F86</f>
        <v>338.23</v>
      </c>
      <c r="S70">
        <v>15</v>
      </c>
      <c r="T70" s="117" t="str">
        <f>F89</f>
        <v>1:00</v>
      </c>
    </row>
    <row r="71" spans="1:20">
      <c r="A71" s="127" t="s">
        <v>213</v>
      </c>
      <c r="B71" s="128">
        <f>IF(TRIM('HourGH-MAR'!Y22)="","      ",'HourGH-MAR'!Y22)</f>
        <v>0.37</v>
      </c>
      <c r="C71" s="128">
        <f>IF(TRIM('HourGH-MAR'!Y23)="","      ",'HourGH-MAR'!Y23)</f>
        <v>0.24</v>
      </c>
      <c r="D71" s="128">
        <f>IF(TRIM('HourGH-MAR'!Y24)="","      ",'HourGH-MAR'!Y24)</f>
        <v>0.24</v>
      </c>
      <c r="E71" s="128">
        <f>IF(TRIM('HourGH-MAR'!Y25)="","      ",'HourGH-MAR'!Y25)</f>
        <v>0.5</v>
      </c>
      <c r="F71" s="118">
        <f>IF(TRIM('HourGH-MAR'!Y26)="","      ",'HourGH-MAR'!Y26)</f>
        <v>0.7</v>
      </c>
      <c r="G71" s="118">
        <f>IF(TRIM('HourGH-MAR'!Y27)="","      ",'HourGH-MAR'!Y27)</f>
        <v>0.7</v>
      </c>
      <c r="H71" s="128">
        <f>IF(TRIM('HourGH-MAR'!Y28)="","      ",'HourGH-MAR'!Y28)</f>
        <v>0.71</v>
      </c>
      <c r="I71" s="128">
        <f>IF(TRIM('HourGH-MAR'!Y29)="","      ",'HourGH-MAR'!Y29)</f>
        <v>0.39</v>
      </c>
      <c r="J71" s="128">
        <f>IF(TRIM('HourGH-MAR'!Y30)="","      ",'HourGH-MAR'!Y30)</f>
        <v>0.22</v>
      </c>
      <c r="K71" s="128">
        <f>IF(TRIM('HourGH-MAR'!Y31)="","      ",'HourGH-MAR'!Y31)</f>
        <v>0.2</v>
      </c>
      <c r="N71" s="117">
        <f>G80</f>
        <v>338.3</v>
      </c>
      <c r="O71">
        <v>16</v>
      </c>
      <c r="P71" s="117" t="str">
        <f>G83</f>
        <v>1:00</v>
      </c>
      <c r="R71" s="117">
        <f>G86</f>
        <v>338.3</v>
      </c>
      <c r="S71">
        <v>16</v>
      </c>
      <c r="T71" s="117" t="str">
        <f>G89</f>
        <v>1:00</v>
      </c>
    </row>
    <row r="72" spans="1:20">
      <c r="A72" s="127" t="s">
        <v>214</v>
      </c>
      <c r="B72" s="128">
        <f>IF(TRIM('HourGH-MAR'!Y33)="","      ",'HourGH-MAR'!Y33)</f>
        <v>0.61</v>
      </c>
      <c r="C72" s="128">
        <f>IF(TRIM('HourGH-MAR'!Y34)="","      ",'HourGH-MAR'!Y34)</f>
        <v>0.67</v>
      </c>
      <c r="D72" s="128">
        <f>IF(TRIM('HourGH-MAR'!Y35)="","      ",'HourGH-MAR'!Y35)</f>
        <v>0.64</v>
      </c>
      <c r="E72" s="128">
        <f>IF(TRIM('HourGH-MAR'!Y36)="","      ",'HourGH-MAR'!Y36)</f>
        <v>0.57999999999999996</v>
      </c>
      <c r="F72" s="118">
        <f>IF(TRIM('HourGH-MAR'!Y37)="","      ",'HourGH-MAR'!Y37)</f>
        <v>0.26</v>
      </c>
      <c r="G72" s="118">
        <f>IF(TRIM('HourGH-MAR'!Y38)="","      ",'HourGH-MAR'!Y38)</f>
        <v>0.2</v>
      </c>
      <c r="H72" s="128">
        <f>IF(TRIM('HourGH-MAR'!Y39)="","      ",'HourGH-MAR'!Y39)</f>
        <v>0.2</v>
      </c>
      <c r="I72" s="128">
        <f>IF(TRIM('HourGH-MAR'!Y40)="","      ",'HourGH-MAR'!Y40)</f>
        <v>0.6</v>
      </c>
      <c r="J72" s="128">
        <f>IF(TRIM('HourGH-MAR'!Y41)="","      ",'HourGH-MAR'!Y41)</f>
        <v>0.67</v>
      </c>
      <c r="K72" s="128">
        <f>IF(TRIM('HourGH-MAR'!Y42)="","      ",'HourGH-MAR'!Y42)</f>
        <v>0.63</v>
      </c>
      <c r="L72" s="118">
        <f>IF(TRIM('HourGH-MAR'!Y43)="","      ",'HourGH-MAR'!Y43)</f>
        <v>0.59</v>
      </c>
      <c r="N72" s="117">
        <f>H80</f>
        <v>338.31</v>
      </c>
      <c r="O72">
        <v>17</v>
      </c>
      <c r="P72" s="117" t="str">
        <f>H83</f>
        <v>1:00</v>
      </c>
      <c r="R72" s="117">
        <f>H86</f>
        <v>338.31</v>
      </c>
      <c r="S72">
        <v>17</v>
      </c>
      <c r="T72" s="117" t="str">
        <f>H89</f>
        <v>1:00</v>
      </c>
    </row>
    <row r="73" spans="1:20">
      <c r="A73" s="127" t="s">
        <v>215</v>
      </c>
      <c r="B73" s="128">
        <f>IF(TRIM('HourGH-MAR'!Z11)="","      ",'HourGH-MAR'!Z11)</f>
        <v>0.65</v>
      </c>
      <c r="C73" s="128">
        <f>IF(TRIM('HourGH-MAR'!Z12)="","      ",'HourGH-MAR'!Z12)</f>
        <v>0.65</v>
      </c>
      <c r="D73" s="128">
        <f>IF(TRIM('HourGH-MAR'!Z13)="","      ",'HourGH-MAR'!Z13)</f>
        <v>0.31</v>
      </c>
      <c r="E73" s="128">
        <f>IF(TRIM('HourGH-MAR'!Z14)="","      ",'HourGH-MAR'!Z14)</f>
        <v>0.25</v>
      </c>
      <c r="F73" s="118">
        <f>IF(TRIM('HourGH-MAR'!Z15)="","      ",'HourGH-MAR'!Z15)</f>
        <v>0.26</v>
      </c>
      <c r="G73" s="118">
        <f>IF(TRIM('HourGH-MAR'!Z16)="","      ",'HourGH-MAR'!Z16)</f>
        <v>0.24</v>
      </c>
      <c r="H73" s="128">
        <f>IF(TRIM('HourGH-MAR'!Z17)="","      ",'HourGH-MAR'!Z17)</f>
        <v>0.56000000000000005</v>
      </c>
      <c r="I73" s="128">
        <f>IF(TRIM('HourGH-MAR'!Z18)="","      ",'HourGH-MAR'!Z18)</f>
        <v>0.65</v>
      </c>
      <c r="J73" s="128">
        <f>IF(TRIM('HourGH-MAR'!Z19)="","      ",'HourGH-MAR'!Z19)</f>
        <v>0.65</v>
      </c>
      <c r="K73" s="128">
        <f>IF(TRIM('HourGH-MAR'!Z20)="","      ",'HourGH-MAR'!Z20)</f>
        <v>0.65</v>
      </c>
      <c r="N73" s="117">
        <f>I80</f>
        <v>338.3</v>
      </c>
      <c r="O73">
        <v>18</v>
      </c>
      <c r="P73" s="117" t="str">
        <f>I83</f>
        <v>1:00</v>
      </c>
      <c r="R73" s="117">
        <f>I86</f>
        <v>337.96000000000004</v>
      </c>
      <c r="S73">
        <v>18</v>
      </c>
      <c r="T73" s="117" t="str">
        <f>I89</f>
        <v>24:00</v>
      </c>
    </row>
    <row r="74" spans="1:20">
      <c r="A74" s="127" t="s">
        <v>216</v>
      </c>
      <c r="B74" s="128">
        <f>IF(TRIM('HourGH-MAR'!Z22)="","      ",'HourGH-MAR'!Z22)</f>
        <v>0.35</v>
      </c>
      <c r="C74" s="128">
        <f>IF(TRIM('HourGH-MAR'!Z23)="","      ",'HourGH-MAR'!Z23)</f>
        <v>0.24</v>
      </c>
      <c r="D74" s="128">
        <f>IF(TRIM('HourGH-MAR'!Z24)="","      ",'HourGH-MAR'!Z24)</f>
        <v>0.24</v>
      </c>
      <c r="E74" s="128">
        <f>IF(TRIM('HourGH-MAR'!Z25)="","      ",'HourGH-MAR'!Z25)</f>
        <v>0.52</v>
      </c>
      <c r="F74" s="118">
        <f>IF(TRIM('HourGH-MAR'!Z26)="","      ",'HourGH-MAR'!Z26)</f>
        <v>0.7</v>
      </c>
      <c r="G74" s="118">
        <f>IF(TRIM('HourGH-MAR'!Z27)="","      ",'HourGH-MAR'!Z27)</f>
        <v>0.7</v>
      </c>
      <c r="H74" s="128">
        <f>IF(TRIM('HourGH-MAR'!Z28)="","      ",'HourGH-MAR'!Z28)</f>
        <v>0.71</v>
      </c>
      <c r="I74" s="128">
        <f>IF(TRIM('HourGH-MAR'!Z29)="","      ",'HourGH-MAR'!Z29)</f>
        <v>0.36</v>
      </c>
      <c r="J74" s="128">
        <f>IF(TRIM('HourGH-MAR'!Z30)="","      ",'HourGH-MAR'!Z30)</f>
        <v>0.22</v>
      </c>
      <c r="K74" s="128">
        <f>IF(TRIM('HourGH-MAR'!Z31)="","      ",'HourGH-MAR'!Z31)</f>
        <v>0.2</v>
      </c>
      <c r="N74" s="117">
        <f>J80</f>
        <v>337.94</v>
      </c>
      <c r="O74">
        <v>19</v>
      </c>
      <c r="P74" s="117" t="str">
        <f>J83</f>
        <v>1:00</v>
      </c>
      <c r="R74" s="117">
        <f>J86</f>
        <v>337.82000000000005</v>
      </c>
      <c r="S74">
        <v>19</v>
      </c>
      <c r="T74" s="117" t="str">
        <f>J89</f>
        <v>6:00</v>
      </c>
    </row>
    <row r="75" spans="1:20">
      <c r="A75" s="127" t="s">
        <v>217</v>
      </c>
      <c r="B75" s="128">
        <f>IF(TRIM('HourGH-MAR'!Z33)="","      ",'HourGH-MAR'!Z33)</f>
        <v>0.63</v>
      </c>
      <c r="C75" s="128">
        <f>IF(TRIM('HourGH-MAR'!Z34)="","      ",'HourGH-MAR'!Z34)</f>
        <v>0.67</v>
      </c>
      <c r="D75" s="128">
        <f>IF(TRIM('HourGH-MAR'!Z35)="","      ",'HourGH-MAR'!Z35)</f>
        <v>0.64</v>
      </c>
      <c r="E75" s="128">
        <f>IF(TRIM('HourGH-MAR'!Z36)="","      ",'HourGH-MAR'!Z36)</f>
        <v>0.57999999999999996</v>
      </c>
      <c r="F75" s="118">
        <f>IF(TRIM('HourGH-MAR'!Z37)="","      ",'HourGH-MAR'!Z37)</f>
        <v>0.25</v>
      </c>
      <c r="G75" s="118">
        <f>IF(TRIM('HourGH-MAR'!Z38)="","      ",'HourGH-MAR'!Z38)</f>
        <v>0.2</v>
      </c>
      <c r="H75" s="128">
        <f>IF(TRIM('HourGH-MAR'!Z39)="","      ",'HourGH-MAR'!Z39)</f>
        <v>0.2</v>
      </c>
      <c r="I75" s="128">
        <f>IF(TRIM('HourGH-MAR'!Z40)="","      ",'HourGH-MAR'!Z40)</f>
        <v>0.62</v>
      </c>
      <c r="J75" s="128">
        <f>IF(TRIM('HourGH-MAR'!Z41)="","      ",'HourGH-MAR'!Z41)</f>
        <v>0.67</v>
      </c>
      <c r="K75" s="128">
        <f>IF(TRIM('HourGH-MAR'!Z42)="","      ",'HourGH-MAR'!Z42)</f>
        <v>0.63</v>
      </c>
      <c r="L75" s="118">
        <f>IF(TRIM('HourGH-MAR'!Z43)="","      ",'HourGH-MAR'!Z43)</f>
        <v>0.59</v>
      </c>
      <c r="N75" s="117">
        <f>K80</f>
        <v>337.81</v>
      </c>
      <c r="O75">
        <v>20</v>
      </c>
      <c r="P75" s="117" t="str">
        <f>K83</f>
        <v>1:00</v>
      </c>
      <c r="R75" s="117">
        <f>K86</f>
        <v>337.8</v>
      </c>
      <c r="S75">
        <v>20</v>
      </c>
      <c r="T75" s="117" t="str">
        <f>K89</f>
        <v>13:00</v>
      </c>
    </row>
    <row r="76" spans="1:20">
      <c r="A76" t="s">
        <v>228</v>
      </c>
      <c r="B76" s="119">
        <f>IF(TRIM('HourGH-MAR'!AB11)="","",'HourGH-MAR'!AB11)</f>
        <v>338.24333333333334</v>
      </c>
      <c r="C76" s="119">
        <f>IF(TRIM('HourGH-MAR'!AB12)="","",'HourGH-MAR'!AB12)</f>
        <v>338.25</v>
      </c>
      <c r="D76" s="119">
        <f>IF(TRIM('HourGH-MAR'!AB13)="","",'HourGH-MAR'!AB13)</f>
        <v>338.11958333333337</v>
      </c>
      <c r="E76" s="119">
        <f>IF(TRIM('HourGH-MAR'!AB14)="","",'HourGH-MAR'!AB14)</f>
        <v>337.85208333333338</v>
      </c>
      <c r="F76" s="119">
        <f>IF(TRIM('HourGH-MAR'!AB15)="","",'HourGH-MAR'!AB15)</f>
        <v>337.86</v>
      </c>
      <c r="G76" s="119">
        <f>IF(TRIM('HourGH-MAR'!AB16)="","",'HourGH-MAR'!AB16)</f>
        <v>337.84958333333333</v>
      </c>
      <c r="H76" s="119">
        <f>IF(TRIM('HourGH-MAR'!AB17)="","",'HourGH-MAR'!AB17)</f>
        <v>337.9329166666667</v>
      </c>
      <c r="I76" s="119">
        <f>IF(TRIM('HourGH-MAR'!AB18)="","",'HourGH-MAR'!AB18)</f>
        <v>338.24250000000001</v>
      </c>
      <c r="J76" s="119">
        <f>IF(TRIM('HourGH-MAR'!AB19)="","",'HourGH-MAR'!AB19)</f>
        <v>338.25</v>
      </c>
      <c r="K76" s="119">
        <f>IF(TRIM('HourGH-MAR'!AB20)="","",'HourGH-MAR'!AB20)</f>
        <v>338.25</v>
      </c>
      <c r="N76" s="117">
        <f>B81</f>
        <v>338.23</v>
      </c>
      <c r="O76">
        <v>21</v>
      </c>
      <c r="P76" s="117" t="str">
        <f>B84</f>
        <v>24:00</v>
      </c>
      <c r="R76" s="117">
        <f>B87</f>
        <v>337.79</v>
      </c>
      <c r="S76">
        <v>21</v>
      </c>
      <c r="T76" s="117" t="str">
        <f>B90</f>
        <v>1:00</v>
      </c>
    </row>
    <row r="77" spans="1:20">
      <c r="A77" t="s">
        <v>229</v>
      </c>
      <c r="B77" s="119">
        <f>IF(TRIM('HourGH-MAR'!AB22)="","",'HourGH-MAR'!AB22)</f>
        <v>338.17083333333335</v>
      </c>
      <c r="C77" s="119">
        <f>IF(TRIM('HourGH-MAR'!AB23)="","",'HourGH-MAR'!AB23)</f>
        <v>337.85041666666672</v>
      </c>
      <c r="D77" s="119">
        <f>IF(TRIM('HourGH-MAR'!AB24)="","",'HourGH-MAR'!AB24)</f>
        <v>337.84000000000003</v>
      </c>
      <c r="E77" s="119">
        <f>IF(TRIM('HourGH-MAR'!AB25)="","",'HourGH-MAR'!AB25)</f>
        <v>337.93208333333337</v>
      </c>
      <c r="F77" s="119">
        <f>IF(TRIM('HourGH-MAR'!AB26)="","",'HourGH-MAR'!AB26)</f>
        <v>338.29250000000002</v>
      </c>
      <c r="G77" s="119">
        <f>IF(TRIM('HourGH-MAR'!AB27)="","",'HourGH-MAR'!AB27)</f>
        <v>338.3</v>
      </c>
      <c r="H77" s="119">
        <f>IF(TRIM('HourGH-MAR'!AB28)="","",'HourGH-MAR'!AB28)</f>
        <v>338.31</v>
      </c>
      <c r="I77" s="119">
        <f>IF(TRIM('HourGH-MAR'!AB29)="","",'HourGH-MAR'!AB29)</f>
        <v>338.18333333333334</v>
      </c>
      <c r="J77" s="119">
        <f>IF(TRIM('HourGH-MAR'!AB30)="","",'HourGH-MAR'!AB30)</f>
        <v>337.83375000000001</v>
      </c>
      <c r="K77" s="119">
        <f>IF(TRIM('HourGH-MAR'!AB31)="","",'HourGH-MAR'!AB31)</f>
        <v>337.80500000000001</v>
      </c>
      <c r="N77" s="117">
        <f>C81</f>
        <v>338.3</v>
      </c>
      <c r="O77">
        <v>22</v>
      </c>
      <c r="P77" s="117" t="str">
        <f>C84</f>
        <v>10:00</v>
      </c>
      <c r="R77" s="117">
        <f>C87</f>
        <v>338.24</v>
      </c>
      <c r="S77">
        <v>22</v>
      </c>
      <c r="T77" s="117" t="str">
        <f>C90</f>
        <v>1:00</v>
      </c>
    </row>
    <row r="78" spans="1:20">
      <c r="A78" t="s">
        <v>230</v>
      </c>
      <c r="B78" s="119">
        <f>IF(TRIM('HourGH-MAR'!AB33)="","",'HourGH-MAR'!AB33)</f>
        <v>337.92625000000004</v>
      </c>
      <c r="C78" s="119">
        <f>IF(TRIM('HourGH-MAR'!AB34)="","",'HourGH-MAR'!AB34)</f>
        <v>338.28333333333336</v>
      </c>
      <c r="D78" s="119">
        <f>IF(TRIM('HourGH-MAR'!AB35)="","",'HourGH-MAR'!AB35)</f>
        <v>338.24250000000001</v>
      </c>
      <c r="E78" s="119">
        <f>IF(TRIM('HourGH-MAR'!AB36)="","",'HourGH-MAR'!AB36)</f>
        <v>338.1925</v>
      </c>
      <c r="F78" s="119">
        <f>IF(TRIM('HourGH-MAR'!AB37)="","",'HourGH-MAR'!AB37)</f>
        <v>338.04708333333338</v>
      </c>
      <c r="G78" s="119">
        <f>IF(TRIM('HourGH-MAR'!AB38)="","",'HourGH-MAR'!AB38)</f>
        <v>337.80458333333337</v>
      </c>
      <c r="H78" s="119">
        <f>IF(TRIM('HourGH-MAR'!AB39)="","",'HourGH-MAR'!AB39)</f>
        <v>337.8</v>
      </c>
      <c r="I78" s="119">
        <f>IF(TRIM('HourGH-MAR'!AB40)="","",'HourGH-MAR'!AB40)</f>
        <v>337.94750000000005</v>
      </c>
      <c r="J78" s="119">
        <f>IF(TRIM('HourGH-MAR'!AB41)="","",'HourGH-MAR'!AB41)</f>
        <v>338.28541666666666</v>
      </c>
      <c r="K78" s="119">
        <f>IF(TRIM('HourGH-MAR'!AB42)="","",'HourGH-MAR'!AB42)</f>
        <v>338.23791666666671</v>
      </c>
      <c r="N78" s="117">
        <f>D81</f>
        <v>338.26000000000005</v>
      </c>
      <c r="O78">
        <v>23</v>
      </c>
      <c r="P78" s="117" t="str">
        <f>D84</f>
        <v>1:00</v>
      </c>
      <c r="R78" s="117">
        <f>D87</f>
        <v>338.24</v>
      </c>
      <c r="S78">
        <v>23</v>
      </c>
      <c r="T78" s="117" t="str">
        <f>D90</f>
        <v>5:00</v>
      </c>
    </row>
    <row r="79" spans="1:20">
      <c r="A79" t="s">
        <v>231</v>
      </c>
      <c r="B79" s="119">
        <f>IF(TRIM('HourGH-MAR'!AC11)="","",'HourGH-MAR'!AC11)</f>
        <v>338.25</v>
      </c>
      <c r="C79" s="119">
        <f>IF(TRIM('HourGH-MAR'!AC12)="","",'HourGH-MAR'!AC12)</f>
        <v>338.25</v>
      </c>
      <c r="D79" s="119">
        <f>IF(TRIM('HourGH-MAR'!AC13)="","",'HourGH-MAR'!AC13)</f>
        <v>338.26000000000005</v>
      </c>
      <c r="E79" s="119">
        <f>IF(TRIM('HourGH-MAR'!AC14)="","",'HourGH-MAR'!AC14)</f>
        <v>337.89000000000004</v>
      </c>
      <c r="F79" s="119">
        <f>IF(TRIM('HourGH-MAR'!AC15)="","",'HourGH-MAR'!AC15)</f>
        <v>337.86</v>
      </c>
      <c r="G79" s="119">
        <f>IF(TRIM('HourGH-MAR'!AC16)="","",'HourGH-MAR'!AC16)</f>
        <v>337.86</v>
      </c>
      <c r="H79" s="119">
        <f>IF(TRIM('HourGH-MAR'!AC17)="","",'HourGH-MAR'!AC17)</f>
        <v>338.16</v>
      </c>
      <c r="I79" s="119">
        <f>IF(TRIM('HourGH-MAR'!AC18)="","",'HourGH-MAR'!AC18)</f>
        <v>338.25</v>
      </c>
      <c r="J79" s="119">
        <f>IF(TRIM('HourGH-MAR'!AC19)="","",'HourGH-MAR'!AC19)</f>
        <v>338.25</v>
      </c>
      <c r="K79" s="119">
        <f>IF(TRIM('HourGH-MAR'!AC20)="","",'HourGH-MAR'!AC20)</f>
        <v>338.25</v>
      </c>
      <c r="N79" s="117">
        <f>E81</f>
        <v>338.23</v>
      </c>
      <c r="O79">
        <v>24</v>
      </c>
      <c r="P79" s="117" t="str">
        <f>E84</f>
        <v>1:00</v>
      </c>
      <c r="R79" s="117">
        <f>E87</f>
        <v>338.16</v>
      </c>
      <c r="S79">
        <v>24</v>
      </c>
      <c r="T79" s="117" t="str">
        <f>E90</f>
        <v>11:00</v>
      </c>
    </row>
    <row r="80" spans="1:20">
      <c r="A80" t="s">
        <v>232</v>
      </c>
      <c r="B80" s="119">
        <f>IF(TRIM('HourGH-MAR'!AC22)="","",'HourGH-MAR'!AC22)</f>
        <v>338.26000000000005</v>
      </c>
      <c r="C80" s="119">
        <f>IF(TRIM('HourGH-MAR'!AC23)="","",'HourGH-MAR'!AC23)</f>
        <v>337.93</v>
      </c>
      <c r="D80" s="119">
        <f>IF(TRIM('HourGH-MAR'!AC24)="","",'HourGH-MAR'!AC24)</f>
        <v>337.84000000000003</v>
      </c>
      <c r="E80" s="119">
        <f>IF(TRIM('HourGH-MAR'!AC25)="","",'HourGH-MAR'!AC25)</f>
        <v>338.12</v>
      </c>
      <c r="F80" s="119">
        <f>IF(TRIM('HourGH-MAR'!AC26)="","",'HourGH-MAR'!AC26)</f>
        <v>338.3</v>
      </c>
      <c r="G80" s="119">
        <f>IF(TRIM('HourGH-MAR'!AC27)="","",'HourGH-MAR'!AC27)</f>
        <v>338.3</v>
      </c>
      <c r="H80" s="119">
        <f>IF(TRIM('HourGH-MAR'!AC28)="","",'HourGH-MAR'!AC28)</f>
        <v>338.31</v>
      </c>
      <c r="I80" s="119">
        <f>IF(TRIM('HourGH-MAR'!AC29)="","",'HourGH-MAR'!AC29)</f>
        <v>338.3</v>
      </c>
      <c r="J80" s="119">
        <f>IF(TRIM('HourGH-MAR'!AC30)="","",'HourGH-MAR'!AC30)</f>
        <v>337.94</v>
      </c>
      <c r="K80" s="119">
        <f>IF(TRIM('HourGH-MAR'!AC31)="","",'HourGH-MAR'!AC31)</f>
        <v>337.81</v>
      </c>
      <c r="N80" s="117">
        <f>F81</f>
        <v>338.18</v>
      </c>
      <c r="O80">
        <v>25</v>
      </c>
      <c r="P80" s="117" t="str">
        <f>F84</f>
        <v>1:00</v>
      </c>
      <c r="R80" s="117">
        <f>F87</f>
        <v>337.85</v>
      </c>
      <c r="S80">
        <v>25</v>
      </c>
      <c r="T80" s="117" t="str">
        <f>F90</f>
        <v>24:00</v>
      </c>
    </row>
    <row r="81" spans="1:20">
      <c r="A81" t="s">
        <v>233</v>
      </c>
      <c r="B81" s="119">
        <f>IF(TRIM('HourGH-MAR'!AC33)="","",'HourGH-MAR'!AC33)</f>
        <v>338.23</v>
      </c>
      <c r="C81" s="119">
        <f>IF(TRIM('HourGH-MAR'!AC34)="","",'HourGH-MAR'!AC34)</f>
        <v>338.3</v>
      </c>
      <c r="D81" s="119">
        <f>IF(TRIM('HourGH-MAR'!AC35)="","",'HourGH-MAR'!AC35)</f>
        <v>338.26000000000005</v>
      </c>
      <c r="E81" s="119">
        <f>IF(TRIM('HourGH-MAR'!AC36)="","",'HourGH-MAR'!AC36)</f>
        <v>338.23</v>
      </c>
      <c r="F81" s="119">
        <f>IF(TRIM('HourGH-MAR'!AC37)="","",'HourGH-MAR'!AC37)</f>
        <v>338.18</v>
      </c>
      <c r="G81" s="119">
        <f>IF(TRIM('HourGH-MAR'!AC38)="","",'HourGH-MAR'!AC38)</f>
        <v>337.84000000000003</v>
      </c>
      <c r="H81" s="119">
        <f>IF(TRIM('HourGH-MAR'!AC39)="","",'HourGH-MAR'!AC39)</f>
        <v>337.8</v>
      </c>
      <c r="I81" s="119">
        <f>IF(TRIM('HourGH-MAR'!AC40)="","",'HourGH-MAR'!AC40)</f>
        <v>338.22</v>
      </c>
      <c r="J81" s="119">
        <f>IF(TRIM('HourGH-MAR'!AC41)="","",'HourGH-MAR'!AC41)</f>
        <v>338.31</v>
      </c>
      <c r="K81" s="119">
        <f>IF(TRIM('HourGH-MAR'!AC42)="","",'HourGH-MAR'!AC42)</f>
        <v>338.26000000000005</v>
      </c>
      <c r="N81" s="117">
        <f>G81</f>
        <v>337.84000000000003</v>
      </c>
      <c r="O81">
        <v>26</v>
      </c>
      <c r="P81" s="117" t="str">
        <f>G84</f>
        <v>1:00</v>
      </c>
      <c r="R81" s="117">
        <f>G87</f>
        <v>337.8</v>
      </c>
      <c r="S81">
        <v>26</v>
      </c>
      <c r="T81" s="117" t="str">
        <f>G90</f>
        <v>6:00</v>
      </c>
    </row>
    <row r="82" spans="1:20">
      <c r="A82" t="s">
        <v>219</v>
      </c>
      <c r="B82" s="119" t="str">
        <f>'HourGH-MAR'!AD11&amp;":00"</f>
        <v>6:00</v>
      </c>
      <c r="C82" s="119" t="str">
        <f>'HourGH-MAR'!AD12&amp;":00"</f>
        <v>1:00</v>
      </c>
      <c r="D82" s="119" t="str">
        <f>'HourGH-MAR'!AD13&amp;":00"</f>
        <v>6:00</v>
      </c>
      <c r="E82" s="119" t="str">
        <f>'HourGH-MAR'!AD14&amp;":00"</f>
        <v>1:00</v>
      </c>
      <c r="F82" s="119" t="str">
        <f>'HourGH-MAR'!AD15&amp;":00"</f>
        <v>1:00</v>
      </c>
      <c r="G82" s="119" t="str">
        <f>'HourGH-MAR'!AD16&amp;":00"</f>
        <v>1:00</v>
      </c>
      <c r="H82" s="119" t="str">
        <f>'HourGH-MAR'!AD17&amp;":00"</f>
        <v>24:00</v>
      </c>
      <c r="I82" s="119" t="str">
        <f>'HourGH-MAR'!AD18&amp;":00"</f>
        <v>6:00</v>
      </c>
      <c r="J82" s="119" t="str">
        <f>'HourGH-MAR'!AD19&amp;":00"</f>
        <v>1:00</v>
      </c>
      <c r="K82" s="119" t="str">
        <f>'HourGH-MAR'!AD20&amp;":00"</f>
        <v>1:00</v>
      </c>
      <c r="N82" s="117">
        <f>H81</f>
        <v>337.8</v>
      </c>
      <c r="O82">
        <v>27</v>
      </c>
      <c r="P82" s="117" t="str">
        <f>H84</f>
        <v>1:00</v>
      </c>
      <c r="R82" s="117">
        <f>H87</f>
        <v>337.8</v>
      </c>
      <c r="S82">
        <v>27</v>
      </c>
      <c r="T82" s="117" t="str">
        <f>H90</f>
        <v>1:00</v>
      </c>
    </row>
    <row r="83" spans="1:20">
      <c r="A83" t="s">
        <v>220</v>
      </c>
      <c r="B83" s="119" t="str">
        <f>'HourGH-MAR'!AD22&amp;":00"</f>
        <v>1:00</v>
      </c>
      <c r="C83" s="119" t="str">
        <f>'HourGH-MAR'!AD23&amp;":00"</f>
        <v>1:00</v>
      </c>
      <c r="D83" s="119" t="str">
        <f>'HourGH-MAR'!AD24&amp;":00"</f>
        <v>1:00</v>
      </c>
      <c r="E83" s="119" t="str">
        <f>'HourGH-MAR'!AD25&amp;":00"</f>
        <v>24:00</v>
      </c>
      <c r="F83" s="119" t="str">
        <f>'HourGH-MAR'!AD26&amp;":00"</f>
        <v>6:00</v>
      </c>
      <c r="G83" s="119" t="str">
        <f>'HourGH-MAR'!AD27&amp;":00"</f>
        <v>1:00</v>
      </c>
      <c r="H83" s="119" t="str">
        <f>'HourGH-MAR'!AD28&amp;":00"</f>
        <v>1:00</v>
      </c>
      <c r="I83" s="119" t="str">
        <f>'HourGH-MAR'!AD29&amp;":00"</f>
        <v>1:00</v>
      </c>
      <c r="J83" s="119" t="str">
        <f>'HourGH-MAR'!AD30&amp;":00"</f>
        <v>1:00</v>
      </c>
      <c r="K83" s="119" t="str">
        <f>'HourGH-MAR'!AD31&amp;":00"</f>
        <v>1:00</v>
      </c>
      <c r="N83" s="117">
        <f>I81</f>
        <v>338.22</v>
      </c>
      <c r="O83">
        <v>28</v>
      </c>
      <c r="P83" s="117" t="str">
        <f>I84</f>
        <v>24:00</v>
      </c>
      <c r="R83" s="117">
        <f>I87</f>
        <v>337.79</v>
      </c>
      <c r="S83">
        <v>28</v>
      </c>
      <c r="T83" s="117" t="str">
        <f>I90</f>
        <v>1:00</v>
      </c>
    </row>
    <row r="84" spans="1:20">
      <c r="A84" t="s">
        <v>221</v>
      </c>
      <c r="B84" s="119" t="str">
        <f>'HourGH-MAR'!AD33&amp;":00"</f>
        <v>24:00</v>
      </c>
      <c r="C84" s="119" t="str">
        <f>'HourGH-MAR'!AD34&amp;":00"</f>
        <v>10:00</v>
      </c>
      <c r="D84" s="119" t="str">
        <f>'HourGH-MAR'!AD35&amp;":00"</f>
        <v>1:00</v>
      </c>
      <c r="E84" s="119" t="str">
        <f>'HourGH-MAR'!AD36&amp;":00"</f>
        <v>1:00</v>
      </c>
      <c r="F84" s="119" t="str">
        <f>'HourGH-MAR'!AD37&amp;":00"</f>
        <v>1:00</v>
      </c>
      <c r="G84" s="119" t="str">
        <f>'HourGH-MAR'!AD38&amp;":00"</f>
        <v>1:00</v>
      </c>
      <c r="H84" s="119" t="str">
        <f>'HourGH-MAR'!AD39&amp;":00"</f>
        <v>1:00</v>
      </c>
      <c r="I84" s="119" t="str">
        <f>'HourGH-MAR'!AD40&amp;":00"</f>
        <v>24:00</v>
      </c>
      <c r="J84" s="119" t="str">
        <f>'HourGH-MAR'!AD41&amp;":00"</f>
        <v>10:00</v>
      </c>
      <c r="K84" s="119" t="str">
        <f>'HourGH-MAR'!AD42&amp;":00"</f>
        <v>1:00</v>
      </c>
      <c r="N84" s="117">
        <f>J81</f>
        <v>338.31</v>
      </c>
      <c r="O84">
        <v>29</v>
      </c>
      <c r="P84" s="117" t="str">
        <f>J84</f>
        <v>10:00</v>
      </c>
      <c r="R84" s="117">
        <f>J87</f>
        <v>338.23</v>
      </c>
      <c r="S84">
        <v>29</v>
      </c>
      <c r="T84" s="117" t="str">
        <f>J90</f>
        <v>1:00</v>
      </c>
    </row>
    <row r="85" spans="1:20">
      <c r="A85" t="s">
        <v>234</v>
      </c>
      <c r="B85" s="129">
        <f>'HourGH-MAR'!AE11</f>
        <v>338.19</v>
      </c>
      <c r="C85" s="129">
        <f>'HourGH-MAR'!AE12</f>
        <v>338.25</v>
      </c>
      <c r="D85" s="129">
        <f>'HourGH-MAR'!AE13</f>
        <v>337.91</v>
      </c>
      <c r="E85" s="129">
        <f>'HourGH-MAR'!AE14</f>
        <v>337.84000000000003</v>
      </c>
      <c r="F85" s="129">
        <f>'HourGH-MAR'!AE15</f>
        <v>337.86</v>
      </c>
      <c r="G85" s="129">
        <f>'HourGH-MAR'!AE16</f>
        <v>337.84000000000003</v>
      </c>
      <c r="H85" s="129">
        <f>'HourGH-MAR'!AE17</f>
        <v>337.84000000000003</v>
      </c>
      <c r="I85" s="129">
        <f>'HourGH-MAR'!AE18</f>
        <v>338.18</v>
      </c>
      <c r="J85" s="129">
        <f>'HourGH-MAR'!AE19</f>
        <v>338.25</v>
      </c>
      <c r="K85" s="129">
        <f>'HourGH-MAR'!AE20</f>
        <v>338.25</v>
      </c>
      <c r="N85" s="117">
        <f>K81</f>
        <v>338.26000000000005</v>
      </c>
      <c r="O85">
        <v>30</v>
      </c>
      <c r="P85" s="117" t="str">
        <f>K84</f>
        <v>1:00</v>
      </c>
      <c r="R85" s="117">
        <f>K87</f>
        <v>338.23</v>
      </c>
      <c r="S85">
        <v>30</v>
      </c>
      <c r="T85" s="117" t="str">
        <f>K90</f>
        <v>13:00</v>
      </c>
    </row>
    <row r="86" spans="1:20">
      <c r="A86" t="s">
        <v>235</v>
      </c>
      <c r="B86" s="129">
        <f>'HourGH-MAR'!AE22</f>
        <v>337.95000000000005</v>
      </c>
      <c r="C86" s="129">
        <f>'HourGH-MAR'!AE23</f>
        <v>337.84000000000003</v>
      </c>
      <c r="D86" s="129">
        <f>'HourGH-MAR'!AE24</f>
        <v>337.84000000000003</v>
      </c>
      <c r="E86" s="129">
        <f>'HourGH-MAR'!AE25</f>
        <v>337.84000000000003</v>
      </c>
      <c r="F86" s="129">
        <f>'HourGH-MAR'!AE26</f>
        <v>338.23</v>
      </c>
      <c r="G86" s="129">
        <f>'HourGH-MAR'!AE27</f>
        <v>338.3</v>
      </c>
      <c r="H86" s="129">
        <f>'HourGH-MAR'!AE28</f>
        <v>338.31</v>
      </c>
      <c r="I86" s="129">
        <f>'HourGH-MAR'!AE29</f>
        <v>337.96000000000004</v>
      </c>
      <c r="J86" s="129">
        <f>'HourGH-MAR'!AE30</f>
        <v>337.82000000000005</v>
      </c>
      <c r="K86" s="129">
        <f>'HourGH-MAR'!AE31</f>
        <v>337.8</v>
      </c>
    </row>
    <row r="87" spans="1:20">
      <c r="A87" t="s">
        <v>236</v>
      </c>
      <c r="B87" s="129">
        <f>'HourGH-MAR'!AE33</f>
        <v>337.79</v>
      </c>
      <c r="C87" s="129">
        <f>'HourGH-MAR'!AE34</f>
        <v>338.24</v>
      </c>
      <c r="D87" s="129">
        <f>'HourGH-MAR'!AE35</f>
        <v>338.24</v>
      </c>
      <c r="E87" s="129">
        <f>'HourGH-MAR'!AE36</f>
        <v>338.16</v>
      </c>
      <c r="F87" s="129">
        <f>'HourGH-MAR'!AE37</f>
        <v>337.85</v>
      </c>
      <c r="G87" s="129">
        <f>'HourGH-MAR'!AE38</f>
        <v>337.8</v>
      </c>
      <c r="H87" s="129">
        <f>'HourGH-MAR'!AE39</f>
        <v>337.8</v>
      </c>
      <c r="I87" s="129">
        <f>'HourGH-MAR'!AE40</f>
        <v>337.79</v>
      </c>
      <c r="J87" s="129">
        <f>'HourGH-MAR'!AE41</f>
        <v>338.23</v>
      </c>
      <c r="K87" s="129">
        <f>'HourGH-MAR'!AE42</f>
        <v>338.23</v>
      </c>
    </row>
    <row r="88" spans="1:20">
      <c r="A88" t="s">
        <v>222</v>
      </c>
      <c r="B88" s="119" t="str">
        <f>'HourGH-MAR'!AF11&amp;":00"</f>
        <v>1:00</v>
      </c>
      <c r="C88" s="119" t="str">
        <f>'HourGH-MAR'!AF12&amp;":00"</f>
        <v>1:00</v>
      </c>
      <c r="D88" s="119" t="str">
        <f>'HourGH-MAR'!AF13&amp;":00"</f>
        <v>24:00</v>
      </c>
      <c r="E88" s="119" t="str">
        <f>'HourGH-MAR'!AF14&amp;":00"</f>
        <v>6:00</v>
      </c>
      <c r="F88" s="119" t="str">
        <f>'HourGH-MAR'!AF15&amp;":00"</f>
        <v>1:00</v>
      </c>
      <c r="G88" s="119" t="str">
        <f>'HourGH-MAR'!AF16&amp;":00"</f>
        <v>18:00</v>
      </c>
      <c r="H88" s="119" t="str">
        <f>'HourGH-MAR'!AF17&amp;":00"</f>
        <v>1:00</v>
      </c>
      <c r="I88" s="119" t="str">
        <f>'HourGH-MAR'!AF18&amp;":00"</f>
        <v>1:00</v>
      </c>
      <c r="J88" s="119" t="str">
        <f>'HourGH-MAR'!AF19&amp;":00"</f>
        <v>1:00</v>
      </c>
      <c r="K88" s="119" t="str">
        <f>'HourGH-MAR'!AF20&amp;":00"</f>
        <v>1:00</v>
      </c>
      <c r="N88" s="118">
        <f>MATCH(N90,N56:N85,0)</f>
        <v>17</v>
      </c>
      <c r="P88">
        <f>MATCH(P89,R56:R85,0)</f>
        <v>21</v>
      </c>
    </row>
    <row r="89" spans="1:20">
      <c r="A89" t="s">
        <v>223</v>
      </c>
      <c r="B89" s="119" t="str">
        <f>'HourGH-MAR'!AF22&amp;":00"</f>
        <v>24:00</v>
      </c>
      <c r="C89" s="119" t="str">
        <f>'HourGH-MAR'!AF23&amp;":00"</f>
        <v>6:00</v>
      </c>
      <c r="D89" s="119" t="str">
        <f>'HourGH-MAR'!AF24&amp;":00"</f>
        <v>1:00</v>
      </c>
      <c r="E89" s="119" t="str">
        <f>'HourGH-MAR'!AF25&amp;":00"</f>
        <v>1:00</v>
      </c>
      <c r="F89" s="119" t="str">
        <f>'HourGH-MAR'!AF26&amp;":00"</f>
        <v>1:00</v>
      </c>
      <c r="G89" s="119" t="str">
        <f>'HourGH-MAR'!AF27&amp;":00"</f>
        <v>1:00</v>
      </c>
      <c r="H89" s="119" t="str">
        <f>'HourGH-MAR'!AF28&amp;":00"</f>
        <v>1:00</v>
      </c>
      <c r="I89" s="119" t="str">
        <f>'HourGH-MAR'!AF29&amp;":00"</f>
        <v>24:00</v>
      </c>
      <c r="J89" s="119" t="str">
        <f>'HourGH-MAR'!AF30&amp;":00"</f>
        <v>6:00</v>
      </c>
      <c r="K89" s="119" t="str">
        <f>'HourGH-MAR'!AF31&amp;":00"</f>
        <v>13:00</v>
      </c>
      <c r="O89" s="118" t="str">
        <f>INDEX(P56:P85,N88)</f>
        <v>1:00</v>
      </c>
      <c r="P89" s="129">
        <f>MIN(B85:K87)</f>
        <v>337.79</v>
      </c>
      <c r="R89" t="str">
        <f>INDEX(T56:T85,P88)</f>
        <v>1:00</v>
      </c>
    </row>
    <row r="90" spans="1:20">
      <c r="A90" t="s">
        <v>224</v>
      </c>
      <c r="B90" s="119" t="str">
        <f>'HourGH-MAR'!AF33&amp;":00"</f>
        <v>1:00</v>
      </c>
      <c r="C90" s="119" t="str">
        <f>'HourGH-MAR'!AF34&amp;":00"</f>
        <v>1:00</v>
      </c>
      <c r="D90" s="119" t="str">
        <f>'HourGH-MAR'!AF35&amp;":00"</f>
        <v>5:00</v>
      </c>
      <c r="E90" s="119" t="str">
        <f>'HourGH-MAR'!AF36&amp;":00"</f>
        <v>11:00</v>
      </c>
      <c r="F90" s="119" t="str">
        <f>'HourGH-MAR'!AF37&amp;":00"</f>
        <v>24:00</v>
      </c>
      <c r="G90" s="119" t="str">
        <f>'HourGH-MAR'!AF38&amp;":00"</f>
        <v>6:00</v>
      </c>
      <c r="H90" s="119" t="str">
        <f>'HourGH-MAR'!AF39&amp;":00"</f>
        <v>1:00</v>
      </c>
      <c r="I90" s="119" t="str">
        <f>'HourGH-MAR'!AF40&amp;":00"</f>
        <v>1:00</v>
      </c>
      <c r="J90" s="119" t="str">
        <f>'HourGH-MAR'!AF41&amp;":00"</f>
        <v>1:00</v>
      </c>
      <c r="K90" s="119" t="str">
        <f>'HourGH-MAR'!AF42&amp;":00"</f>
        <v>13:00</v>
      </c>
      <c r="N90" s="119">
        <f>MAX(B79:K81)</f>
        <v>338.31</v>
      </c>
      <c r="O90" s="118">
        <f>N88</f>
        <v>17</v>
      </c>
    </row>
    <row r="91" spans="1:20">
      <c r="A91" t="s">
        <v>218</v>
      </c>
      <c r="B91" s="119">
        <f>AVERAGE(B76:K78)</f>
        <v>338.07116666666673</v>
      </c>
      <c r="C91" s="311" t="str">
        <f>"MAX"&amp;" "&amp;N90&amp;" "&amp;"DATE"&amp;" " &amp;O90&amp;" "&amp;"TIME"&amp;" "&amp;O89&amp;" "&amp;"MIN"&amp;" "&amp;P89&amp;" "&amp;"DATE"&amp;" "&amp;P88&amp;" "&amp;"TIME"&amp;" "&amp;R89</f>
        <v>MAX 338.31 DATE 17 TIME 1:00 MIN 337.79 DATE 21 TIME 1:00</v>
      </c>
      <c r="D91" s="311"/>
      <c r="E91" s="311"/>
      <c r="F91" s="311"/>
      <c r="G91" s="311"/>
      <c r="H91" s="311"/>
      <c r="I91" s="311"/>
      <c r="J91" s="311"/>
      <c r="K91" s="311"/>
    </row>
    <row r="92" spans="1:20">
      <c r="B92" s="119"/>
      <c r="C92" s="136"/>
      <c r="D92" s="136"/>
      <c r="E92" s="136"/>
      <c r="F92" s="136"/>
      <c r="G92" s="136"/>
      <c r="H92" s="136"/>
      <c r="I92" s="136"/>
      <c r="J92" s="136"/>
      <c r="K92" s="136"/>
    </row>
  </sheetData>
  <mergeCells count="1">
    <mergeCell ref="C91:K91"/>
  </mergeCells>
  <phoneticPr fontId="71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4"/>
  <sheetViews>
    <sheetView workbookViewId="0">
      <selection sqref="A1:F4"/>
    </sheetView>
  </sheetViews>
  <sheetFormatPr defaultRowHeight="12.75"/>
  <cols>
    <col min="1" max="1" width="8.28515625" customWidth="1"/>
    <col min="2" max="2" width="7.7109375" style="121" customWidth="1"/>
    <col min="3" max="3" width="11.85546875" style="121" customWidth="1"/>
    <col min="4" max="4" width="15.5703125" style="206" customWidth="1"/>
    <col min="5" max="5" width="10.5703125" style="206" customWidth="1"/>
    <col min="6" max="6" width="9.140625" style="206"/>
    <col min="7" max="7" width="0" hidden="1" customWidth="1"/>
    <col min="8" max="9" width="9.140625" hidden="1" customWidth="1"/>
  </cols>
  <sheetData>
    <row r="1" spans="1:9">
      <c r="A1" t="str">
        <f>name</f>
        <v>P.75</v>
      </c>
      <c r="B1" s="212" t="s">
        <v>311</v>
      </c>
      <c r="C1" s="121" t="s">
        <v>310</v>
      </c>
    </row>
    <row r="2" spans="1:9">
      <c r="A2" t="str">
        <f>name</f>
        <v>P.75</v>
      </c>
      <c r="B2" s="121">
        <f>'c-form'!C7</f>
        <v>2013</v>
      </c>
      <c r="C2" s="121" t="str">
        <f>Sediment!J4</f>
        <v>Log C  =</v>
      </c>
      <c r="D2" s="213">
        <f>Sediment!K4</f>
        <v>0</v>
      </c>
      <c r="E2" s="206" t="str">
        <f>Sediment!M4</f>
        <v>M Value =</v>
      </c>
      <c r="F2" s="206">
        <f>Sediment!N4</f>
        <v>0</v>
      </c>
      <c r="H2" t="str">
        <f>LEFT(A2,FIND(".",A2)-1)</f>
        <v>P</v>
      </c>
      <c r="I2" t="str">
        <f>MID(A2,FIND(".",A2)+1,LEN(A2))</f>
        <v>75</v>
      </c>
    </row>
    <row r="3" spans="1:9">
      <c r="A3" t="str">
        <f>name</f>
        <v>P.75</v>
      </c>
      <c r="B3" s="121">
        <f>'c-form'!C7</f>
        <v>2013</v>
      </c>
      <c r="C3" s="121" t="s">
        <v>307</v>
      </c>
      <c r="D3" s="206">
        <f>Sediment!L5</f>
        <v>0</v>
      </c>
      <c r="E3" s="206" t="s">
        <v>308</v>
      </c>
      <c r="F3" s="206">
        <f>Sediment!N5</f>
        <v>0</v>
      </c>
    </row>
    <row r="4" spans="1:9">
      <c r="A4" t="str">
        <f>name</f>
        <v>P.75</v>
      </c>
      <c r="B4" s="121">
        <f>'c-form'!C7</f>
        <v>2013</v>
      </c>
      <c r="D4" s="206" t="s">
        <v>309</v>
      </c>
      <c r="E4" s="214">
        <f>Sediment!P5</f>
        <v>36</v>
      </c>
    </row>
  </sheetData>
  <phoneticPr fontId="71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C63"/>
  <sheetViews>
    <sheetView workbookViewId="0">
      <selection sqref="A1:M66"/>
    </sheetView>
  </sheetViews>
  <sheetFormatPr defaultRowHeight="12.75"/>
  <cols>
    <col min="1" max="1" width="8.140625" style="121" customWidth="1"/>
    <col min="2" max="2" width="8.85546875" customWidth="1"/>
    <col min="3" max="11" width="7" style="118" customWidth="1"/>
    <col min="12" max="12" width="7.7109375" style="118" customWidth="1"/>
    <col min="13" max="13" width="7.7109375" customWidth="1"/>
    <col min="14" max="21" width="9.140625" hidden="1" customWidth="1"/>
  </cols>
  <sheetData>
    <row r="1" spans="1:29">
      <c r="A1" s="121" t="s">
        <v>139</v>
      </c>
      <c r="B1" t="s">
        <v>140</v>
      </c>
      <c r="C1" s="118">
        <v>1</v>
      </c>
      <c r="D1" s="118">
        <v>2</v>
      </c>
      <c r="E1" s="118">
        <v>3</v>
      </c>
      <c r="F1" s="118">
        <v>4</v>
      </c>
    </row>
    <row r="2" spans="1:29">
      <c r="A2" s="121" t="str">
        <f t="shared" ref="A2:A44" si="0">name</f>
        <v>P.75</v>
      </c>
      <c r="B2" t="str">
        <f>'c-form'!C7:C7&amp;"0010"</f>
        <v>20130010</v>
      </c>
      <c r="C2" s="504" t="str">
        <f>IF(TRIM(stampv)=""," ",stampv)</f>
        <v>Ban Cho Lae,  Mae Taeng, Chiang Mai,P.75</v>
      </c>
      <c r="D2" s="504"/>
      <c r="E2" s="504"/>
      <c r="F2" s="504"/>
      <c r="G2" s="504"/>
      <c r="H2" s="504"/>
      <c r="I2" s="504"/>
      <c r="J2" s="504"/>
      <c r="K2" s="504"/>
      <c r="L2" s="504"/>
      <c r="N2" t="str">
        <f>LEFT(A2,FIND(".",A2)-1)</f>
        <v>P</v>
      </c>
      <c r="O2" t="str">
        <f>MID(A2,FIND(".",A2)+1,LEN(A1))</f>
        <v>75</v>
      </c>
    </row>
    <row r="3" spans="1:29">
      <c r="A3" s="121" t="str">
        <f t="shared" si="0"/>
        <v>P.75</v>
      </c>
      <c r="B3" t="str">
        <f>'c-form'!C7:C7&amp;"0020"</f>
        <v>20130020</v>
      </c>
      <c r="C3" s="504" t="str">
        <f>IF(TRIM('c-form'!C12:C12)=""," ",'c-form'!C12:C12)</f>
        <v>Nam  Ping</v>
      </c>
      <c r="D3" s="504"/>
      <c r="E3" s="504"/>
      <c r="F3" s="118" t="str">
        <f>IF(TRIM('c-form'!N12:N12)=""," ",'c-form'!N12:N12)</f>
        <v>Ping</v>
      </c>
      <c r="H3" s="118" t="str">
        <f>IF(TRIM(rsteam)=""," ",rsteam)</f>
        <v>Nam  Ping</v>
      </c>
    </row>
    <row r="4" spans="1:29">
      <c r="A4" s="121" t="str">
        <f t="shared" si="0"/>
        <v>P.75</v>
      </c>
      <c r="B4" t="str">
        <f>'c-form'!C7:C7&amp;"0030"</f>
        <v>20130030</v>
      </c>
      <c r="C4" s="124">
        <f>IF(TRIM('c-form'!AE15:AE15)=""," ",'c-form'!AE15:AE15)</f>
        <v>337.6</v>
      </c>
      <c r="D4" s="125" t="str">
        <f>'c-form'!AE23&amp;'c-form'!AF24&amp;'c-form'!AG24&amp;'c-form'!AH24&amp;'c-form'!AI24&amp;'c-form'!AJ24&amp;'c-form'!AK24&amp;'c-form'!AL24&amp;'c-form'!AM24&amp;'c-form'!AN24&amp;'c-form'!AO24&amp;'c-form'!AP24</f>
        <v>MSL.      3090345.12345.16337.34 337.61340.2310    OCT192</v>
      </c>
      <c r="E4" s="124"/>
      <c r="F4" s="124"/>
      <c r="G4" s="124"/>
      <c r="H4" s="124"/>
      <c r="I4" s="124"/>
      <c r="J4" s="124"/>
      <c r="K4" s="124"/>
      <c r="L4" s="124"/>
      <c r="Q4" s="118"/>
      <c r="R4" s="118"/>
      <c r="S4" s="118"/>
      <c r="T4" s="118"/>
      <c r="U4" s="118"/>
      <c r="V4" s="118"/>
      <c r="W4" s="118"/>
      <c r="X4" s="118"/>
      <c r="Y4" s="118"/>
      <c r="Z4" s="123"/>
      <c r="AA4" s="118"/>
      <c r="AB4" s="118"/>
      <c r="AC4" s="118"/>
    </row>
    <row r="5" spans="1:29">
      <c r="A5" s="121" t="str">
        <f t="shared" si="0"/>
        <v>P.75</v>
      </c>
      <c r="B5" t="str">
        <f>'c-form'!C7:C7&amp;"0031"</f>
        <v>20130031</v>
      </c>
      <c r="C5" s="124" t="str">
        <f>IF(COUNT('c-form'!D21:AB30)&gt;0,IF(TRIM('RatingCurve-R2'!I1)=""," ",'RatingCurve-R2'!I1),IF(TRIM('RatingCurve-R1'!I1)=""," ",'RatingCurve-R1'!I1))</f>
        <v xml:space="preserve"> </v>
      </c>
      <c r="D5" s="124" t="str">
        <f>IF(COUNT('c-form'!D21:AB30)&gt;0,IF(TRIM('RatingCurve-R2'!E1)=""," ",'RatingCurve-R2'!E1),IF(TRIM('RatingCurve-R1'!E1)=""," ",'RatingCurve-R1'!E1))</f>
        <v xml:space="preserve"> </v>
      </c>
      <c r="E5" s="124" t="str">
        <f>IF(COUNT('c-form'!D21:AB30)&gt;0,IF(TRIM('RatingCurve-R2'!G1)=""," ",'RatingCurve-R2'!G1),IF(TRIM('RatingCurve-R1'!G1)=""," ",'RatingCurve-R1'!G1))</f>
        <v xml:space="preserve"> </v>
      </c>
      <c r="F5" s="124" t="str">
        <f>IF(COUNT('c-form'!D21:AB30)&gt;0,IF(TRIM('RatingCurve-R2'!C1)=""," ",'RatingCurve-R2'!C1),IF(TRIM('RatingCurve-R1'!C1)=""," ",'RatingCurve-R1'!C1))</f>
        <v xml:space="preserve"> </v>
      </c>
      <c r="G5" s="124"/>
      <c r="H5" s="124"/>
      <c r="I5" s="124"/>
      <c r="J5" s="124"/>
      <c r="K5" s="124"/>
      <c r="L5" s="124"/>
    </row>
    <row r="6" spans="1:29">
      <c r="A6" s="121" t="str">
        <f t="shared" si="0"/>
        <v>P.75</v>
      </c>
      <c r="B6" t="str">
        <f>'c-form'!C7:C7&amp;"0040"</f>
        <v>20130040</v>
      </c>
      <c r="C6" s="505" t="str">
        <f>IF(TRIM('c-form'!AE21)=""," ",'c-form'!AE21)</f>
        <v xml:space="preserve">HC.1/2424      HC.1/242414 01013112                                </v>
      </c>
      <c r="D6" s="504"/>
      <c r="E6" s="504"/>
      <c r="F6" s="504"/>
      <c r="G6" s="504"/>
      <c r="H6" s="504"/>
      <c r="I6" s="504"/>
      <c r="J6" s="504"/>
      <c r="K6" s="504"/>
      <c r="L6" s="504"/>
    </row>
    <row r="7" spans="1:29">
      <c r="A7" s="121" t="str">
        <f t="shared" si="0"/>
        <v>P.75</v>
      </c>
      <c r="B7" t="str">
        <f>'c-form'!C7:C7&amp;"0050"</f>
        <v>20130050</v>
      </c>
      <c r="C7" s="119">
        <f>IF(TRIM('c-form'!D21:D21)=""," ",'c-form'!D21:D21)</f>
        <v>337.6</v>
      </c>
      <c r="D7" s="119">
        <f>IF(TRIM('c-form'!F21:F21)=""," ",'c-form'!F21:F21)</f>
        <v>0</v>
      </c>
      <c r="E7" s="119">
        <f>IF(TRIM('c-form'!H21:H21)=""," ",'c-form'!H21:H21)</f>
        <v>337.7</v>
      </c>
      <c r="F7" s="119">
        <f>IF(TRIM('c-form'!J21:J21)=""," ",'c-form'!J21:J21)</f>
        <v>0.5</v>
      </c>
      <c r="G7" s="119">
        <f>IF(TRIM('c-form'!M21:M21)=""," ",'c-form'!M21:M21)</f>
        <v>337.8</v>
      </c>
      <c r="H7" s="119">
        <f>IF(TRIM('c-form'!P21:P21)=""," ",'c-form'!P21:P21)</f>
        <v>2</v>
      </c>
      <c r="I7" s="119">
        <f>IF(TRIM('c-form'!R21:R21)=""," ",'c-form'!R21:R21)</f>
        <v>337.9</v>
      </c>
      <c r="J7" s="119">
        <f>IF(TRIM('c-form'!T21:T21)=""," ",'c-form'!T21:T21)</f>
        <v>4</v>
      </c>
      <c r="K7" s="119">
        <f>IF(TRIM('c-form'!W21:W21)=""," ",'c-form'!W21:W21)</f>
        <v>338</v>
      </c>
      <c r="L7" s="119">
        <f>IF(TRIM('c-form'!AA21:AA21)=""," ",'c-form'!AA21:AA21)</f>
        <v>6.5</v>
      </c>
    </row>
    <row r="8" spans="1:29">
      <c r="A8" s="121" t="str">
        <f t="shared" si="0"/>
        <v>P.75</v>
      </c>
      <c r="B8" t="str">
        <f>'c-form'!C7:C7&amp;"0051"</f>
        <v>20130051</v>
      </c>
      <c r="C8" s="119">
        <f>IF(TRIM('c-form'!D22:D22)=""," ",'c-form'!D22:D22)</f>
        <v>338.2</v>
      </c>
      <c r="D8" s="119">
        <f>IF(TRIM('c-form'!F22:F22)=""," ",'c-form'!F22:F22)</f>
        <v>13</v>
      </c>
      <c r="E8" s="119">
        <f>IF(TRIM('c-form'!H22:H22)=""," ",'c-form'!H22:H22)</f>
        <v>338.4</v>
      </c>
      <c r="F8" s="119">
        <f>IF(TRIM('c-form'!J22:J22)=""," ",'c-form'!J22:J22)</f>
        <v>22</v>
      </c>
      <c r="G8" s="119">
        <f>IF(TRIM('c-form'!M22:M22)=""," ",'c-form'!M22:M22)</f>
        <v>338.8</v>
      </c>
      <c r="H8" s="119">
        <f>IF(TRIM('c-form'!P22:P22)=""," ",'c-form'!P22:P22)</f>
        <v>42</v>
      </c>
      <c r="I8" s="119">
        <f>IF(TRIM('c-form'!R22:R22)=""," ",'c-form'!R22:R22)</f>
        <v>339</v>
      </c>
      <c r="J8" s="119">
        <f>IF(TRIM('c-form'!T22:T22)=""," ",'c-form'!T22:T22)</f>
        <v>53.5</v>
      </c>
      <c r="K8" s="119">
        <f>IF(TRIM('c-form'!W22:W22)=""," ",'c-form'!W22:W22)</f>
        <v>339.2</v>
      </c>
      <c r="L8" s="119">
        <f>IF(TRIM('c-form'!AA22:AA22)=""," ",'c-form'!AA22:AA22)</f>
        <v>66</v>
      </c>
    </row>
    <row r="9" spans="1:29">
      <c r="A9" s="121" t="str">
        <f t="shared" si="0"/>
        <v>P.75</v>
      </c>
      <c r="B9" t="str">
        <f>'c-form'!C7:C7&amp;"0052"</f>
        <v>20130052</v>
      </c>
      <c r="C9" s="119">
        <f>IF(TRIM('c-form'!D23:D23)=""," ",'c-form'!D23:D23)</f>
        <v>339.4</v>
      </c>
      <c r="D9" s="119">
        <f>IF(TRIM('c-form'!F23:F23)=""," ",'c-form'!F23:F23)</f>
        <v>79</v>
      </c>
      <c r="E9" s="119">
        <f>IF(TRIM('c-form'!H23:H23)=""," ",'c-form'!H23:H23)</f>
        <v>339.6</v>
      </c>
      <c r="F9" s="119">
        <f>IF(TRIM('c-form'!J23:J23)=""," ",'c-form'!J23:J23)</f>
        <v>92.5</v>
      </c>
      <c r="G9" s="119">
        <f>IF(TRIM('c-form'!M23:M23)=""," ",'c-form'!M23:M23)</f>
        <v>340.2</v>
      </c>
      <c r="H9" s="119">
        <f>IF(TRIM('c-form'!P23:P23)=""," ",'c-form'!P23:P23)</f>
        <v>134.5</v>
      </c>
      <c r="I9" s="119">
        <f>IF(TRIM('c-form'!R23:R23)=""," ",'c-form'!R23:R23)</f>
        <v>340.3</v>
      </c>
      <c r="J9" s="119">
        <f>IF(TRIM('c-form'!T23:T23)=""," ",'c-form'!T23:T23)</f>
        <v>142</v>
      </c>
      <c r="K9" s="119" t="str">
        <f>IF(TRIM('c-form'!W23:W23)=""," ",'c-form'!W23:W23)</f>
        <v xml:space="preserve"> </v>
      </c>
      <c r="L9" s="119" t="str">
        <f>IF(TRIM('c-form'!AA23:AA23)=""," ",'c-form'!AA23:AA23)</f>
        <v xml:space="preserve"> </v>
      </c>
    </row>
    <row r="10" spans="1:29">
      <c r="A10" s="121" t="str">
        <f t="shared" si="0"/>
        <v>P.75</v>
      </c>
      <c r="B10" t="str">
        <f>'c-form'!C7:C7&amp;"0053"</f>
        <v>20130053</v>
      </c>
      <c r="C10" s="119" t="str">
        <f>IF(TRIM('c-form'!D24:D24)=""," ",'c-form'!D24:D24)</f>
        <v xml:space="preserve"> </v>
      </c>
      <c r="D10" s="119" t="str">
        <f>IF(TRIM('c-form'!F24:F24)=""," ",'c-form'!F24:F24)</f>
        <v xml:space="preserve"> </v>
      </c>
      <c r="E10" s="119" t="str">
        <f>IF(TRIM('c-form'!H24:H24)=""," ",'c-form'!H24:H24)</f>
        <v xml:space="preserve"> </v>
      </c>
      <c r="F10" s="119" t="str">
        <f>IF(TRIM('c-form'!J24:J24)=""," ",'c-form'!J24:J24)</f>
        <v xml:space="preserve"> </v>
      </c>
      <c r="G10" s="119" t="str">
        <f>IF(TRIM('c-form'!M24:M24)=""," ",'c-form'!M24:M24)</f>
        <v xml:space="preserve"> </v>
      </c>
      <c r="H10" s="119" t="str">
        <f>IF(TRIM('c-form'!P24:P24)=""," ",'c-form'!P24:P24)</f>
        <v xml:space="preserve"> </v>
      </c>
      <c r="I10" s="119" t="str">
        <f>IF(TRIM('c-form'!R24:R24)=""," ",'c-form'!R24:R24)</f>
        <v xml:space="preserve"> </v>
      </c>
      <c r="J10" s="119" t="str">
        <f>IF(TRIM('c-form'!T24:T24)=""," ",'c-form'!T24:T24)</f>
        <v xml:space="preserve"> </v>
      </c>
      <c r="K10" s="119" t="str">
        <f>IF(TRIM('c-form'!W24:W24)=""," ",'c-form'!W24:W24)</f>
        <v xml:space="preserve"> </v>
      </c>
      <c r="L10" s="119" t="str">
        <f>IF(TRIM('c-form'!AA24:AA24)=""," ",'c-form'!AA24:AA24)</f>
        <v xml:space="preserve"> </v>
      </c>
    </row>
    <row r="11" spans="1:29">
      <c r="A11" s="121" t="str">
        <f t="shared" si="0"/>
        <v>P.75</v>
      </c>
      <c r="B11" t="str">
        <f>'c-form'!C7:C7&amp;"0054"</f>
        <v>20130054</v>
      </c>
      <c r="C11" s="119" t="str">
        <f>IF(TRIM('c-form'!D25:D25)=""," ",'c-form'!D25:D25)</f>
        <v xml:space="preserve"> </v>
      </c>
      <c r="D11" s="119" t="str">
        <f>IF(TRIM('c-form'!F25:F25)=""," ",'c-form'!F25:F25)</f>
        <v xml:space="preserve"> </v>
      </c>
      <c r="E11" s="119" t="str">
        <f>IF(TRIM('c-form'!H25:H25)=""," ",'c-form'!H25:H25)</f>
        <v xml:space="preserve"> </v>
      </c>
      <c r="F11" s="119" t="str">
        <f>IF(TRIM('c-form'!J25:J25)=""," ",'c-form'!J25:J25)</f>
        <v xml:space="preserve"> </v>
      </c>
      <c r="G11" s="119" t="str">
        <f>IF(TRIM('c-form'!M25:M25)=""," ",'c-form'!M25:M25)</f>
        <v xml:space="preserve"> </v>
      </c>
      <c r="H11" s="119" t="str">
        <f>IF(TRIM('c-form'!P25:P25)=""," ",'c-form'!P25:P25)</f>
        <v xml:space="preserve"> </v>
      </c>
      <c r="I11" s="119" t="str">
        <f>IF(TRIM('c-form'!R25:R25)=""," ",'c-form'!R25:R25)</f>
        <v xml:space="preserve"> </v>
      </c>
      <c r="J11" s="119" t="str">
        <f>IF(TRIM('c-form'!T25:T25)=""," ",'c-form'!T25:T25)</f>
        <v xml:space="preserve"> </v>
      </c>
      <c r="K11" s="119" t="str">
        <f>IF(TRIM('c-form'!W25:W25)=""," ",'c-form'!W25:W25)</f>
        <v xml:space="preserve"> </v>
      </c>
      <c r="L11" s="119" t="str">
        <f>IF(TRIM('c-form'!AA25:AA25)=""," ",'c-form'!AA25:AA25)</f>
        <v xml:space="preserve"> </v>
      </c>
    </row>
    <row r="12" spans="1:29">
      <c r="A12" s="121" t="str">
        <f t="shared" si="0"/>
        <v>P.75</v>
      </c>
      <c r="B12" t="str">
        <f>'c-form'!C7:C7&amp;"0055"</f>
        <v>20130055</v>
      </c>
      <c r="C12" s="119" t="str">
        <f>IF(TRIM('c-form'!D26:D26)=""," ",'c-form'!D26:D26)</f>
        <v xml:space="preserve"> </v>
      </c>
      <c r="D12" s="119" t="str">
        <f>IF(TRIM('c-form'!F26:F26)=""," ",'c-form'!F26:F26)</f>
        <v xml:space="preserve"> </v>
      </c>
      <c r="E12" s="119" t="str">
        <f>IF(TRIM('c-form'!H26:H26)=""," ",'c-form'!H26:H26)</f>
        <v xml:space="preserve"> </v>
      </c>
      <c r="F12" s="119" t="str">
        <f>IF(TRIM('c-form'!J26:J26)=""," ",'c-form'!J26:J26)</f>
        <v xml:space="preserve"> </v>
      </c>
      <c r="G12" s="119" t="str">
        <f>IF(TRIM('c-form'!M26:M26)=""," ",'c-form'!M26:M26)</f>
        <v xml:space="preserve"> </v>
      </c>
      <c r="H12" s="119" t="str">
        <f>IF(TRIM('c-form'!P26:P26)=""," ",'c-form'!P26:P26)</f>
        <v xml:space="preserve"> </v>
      </c>
      <c r="I12" s="119" t="str">
        <f>IF(TRIM('c-form'!R26:R26)=""," ",'c-form'!R26:R26)</f>
        <v xml:space="preserve"> </v>
      </c>
      <c r="J12" s="119" t="str">
        <f>IF(TRIM('c-form'!T26:T26)=""," ",'c-form'!T26:T26)</f>
        <v xml:space="preserve"> </v>
      </c>
      <c r="K12" s="119" t="str">
        <f>IF(TRIM('c-form'!W26:W26)=""," ",'c-form'!W26:W26)</f>
        <v xml:space="preserve"> </v>
      </c>
      <c r="L12" s="119" t="str">
        <f>IF(TRIM('c-form'!AA26:AA26)=""," ",'c-form'!AA26:AA26)</f>
        <v xml:space="preserve"> </v>
      </c>
    </row>
    <row r="13" spans="1:29">
      <c r="A13" s="121" t="str">
        <f t="shared" si="0"/>
        <v>P.75</v>
      </c>
      <c r="B13" t="str">
        <f>'c-form'!C7:C7&amp;"0056"</f>
        <v>20130056</v>
      </c>
      <c r="C13" s="119" t="str">
        <f>IF(TRIM('c-form'!D27:D27)=""," ",'c-form'!D27:D27)</f>
        <v xml:space="preserve"> </v>
      </c>
      <c r="D13" s="119" t="str">
        <f>IF(TRIM('c-form'!F27:F27)=""," ",'c-form'!F27:F27)</f>
        <v xml:space="preserve"> </v>
      </c>
      <c r="E13" s="119" t="str">
        <f>IF(TRIM('c-form'!H27:H27)=""," ",'c-form'!H27:H27)</f>
        <v xml:space="preserve"> </v>
      </c>
      <c r="F13" s="119" t="str">
        <f>IF(TRIM('c-form'!J27:J27)=""," ",'c-form'!J27:J27)</f>
        <v xml:space="preserve"> </v>
      </c>
      <c r="G13" s="119" t="str">
        <f>IF(TRIM('c-form'!M27:M27)=""," ",'c-form'!M27:M27)</f>
        <v xml:space="preserve"> </v>
      </c>
      <c r="H13" s="119" t="str">
        <f>IF(TRIM('c-form'!P27:P27)=""," ",'c-form'!P27:P27)</f>
        <v xml:space="preserve"> </v>
      </c>
      <c r="I13" s="119" t="str">
        <f>IF(TRIM('c-form'!R27:R27)=""," ",'c-form'!R27:R27)</f>
        <v xml:space="preserve"> </v>
      </c>
      <c r="J13" s="119" t="str">
        <f>IF(TRIM('c-form'!T27:T27)=""," ",'c-form'!T27:T27)</f>
        <v xml:space="preserve"> </v>
      </c>
      <c r="K13" s="119" t="str">
        <f>IF(TRIM('c-form'!W27:W27)=""," ",'c-form'!W27:W27)</f>
        <v xml:space="preserve"> </v>
      </c>
      <c r="L13" s="119" t="str">
        <f>IF(TRIM('c-form'!AA27:AA27)=""," ",'c-form'!AA27:AA27)</f>
        <v xml:space="preserve"> </v>
      </c>
    </row>
    <row r="14" spans="1:29">
      <c r="A14" s="121" t="str">
        <f t="shared" si="0"/>
        <v>P.75</v>
      </c>
      <c r="B14" t="str">
        <f>'c-form'!C7:C7&amp;"0057"</f>
        <v>20130057</v>
      </c>
      <c r="C14" s="119" t="str">
        <f>IF(TRIM('c-form'!D28:D28)=""," ",'c-form'!D28:D28)</f>
        <v xml:space="preserve"> </v>
      </c>
      <c r="D14" s="119" t="str">
        <f>IF(TRIM('c-form'!F28:F28)=""," ",'c-form'!F28:F28)</f>
        <v xml:space="preserve"> </v>
      </c>
      <c r="E14" s="119" t="str">
        <f>IF(TRIM('c-form'!H28:H28)=""," ",'c-form'!H28:H28)</f>
        <v xml:space="preserve"> </v>
      </c>
      <c r="F14" s="119" t="str">
        <f>IF(TRIM('c-form'!J28:J28)=""," ",'c-form'!J28:J28)</f>
        <v xml:space="preserve"> </v>
      </c>
      <c r="G14" s="119" t="str">
        <f>IF(TRIM('c-form'!M28:M28)=""," ",'c-form'!M28:M28)</f>
        <v xml:space="preserve"> </v>
      </c>
      <c r="H14" s="119" t="str">
        <f>IF(TRIM('c-form'!P28:P28)=""," ",'c-form'!P28:P28)</f>
        <v xml:space="preserve"> </v>
      </c>
      <c r="I14" s="119" t="str">
        <f>IF(TRIM('c-form'!R28:R28)=""," ",'c-form'!R28:R28)</f>
        <v xml:space="preserve"> </v>
      </c>
      <c r="J14" s="119" t="str">
        <f>IF(TRIM('c-form'!T28:T28)=""," ",'c-form'!T28:T28)</f>
        <v xml:space="preserve"> </v>
      </c>
      <c r="K14" s="119" t="str">
        <f>IF(TRIM('c-form'!W28:W28)=""," ",'c-form'!W28:W28)</f>
        <v xml:space="preserve"> </v>
      </c>
      <c r="L14" s="119" t="str">
        <f>IF(TRIM('c-form'!AA28:AA28)=""," ",'c-form'!AA28:AA28)</f>
        <v xml:space="preserve"> </v>
      </c>
    </row>
    <row r="15" spans="1:29">
      <c r="A15" s="121" t="str">
        <f t="shared" si="0"/>
        <v>P.75</v>
      </c>
      <c r="B15" t="str">
        <f>'c-form'!C7:C7&amp;"0058"</f>
        <v>20130058</v>
      </c>
      <c r="C15" s="119" t="str">
        <f>IF(TRIM('c-form'!D29:D29)=""," ",'c-form'!D29:D29)</f>
        <v xml:space="preserve"> </v>
      </c>
      <c r="D15" s="119" t="str">
        <f>IF(TRIM('c-form'!F29:F29)=""," ",'c-form'!F29:F29)</f>
        <v xml:space="preserve"> </v>
      </c>
      <c r="E15" s="119" t="str">
        <f>IF(TRIM('c-form'!H29:H29)=""," ",'c-form'!H29:H29)</f>
        <v xml:space="preserve"> </v>
      </c>
      <c r="F15" s="119" t="str">
        <f>IF(TRIM('c-form'!J29:J29)=""," ",'c-form'!J29:J29)</f>
        <v xml:space="preserve"> </v>
      </c>
      <c r="G15" s="119" t="str">
        <f>IF(TRIM('c-form'!M29:M29)=""," ",'c-form'!M29:M29)</f>
        <v xml:space="preserve"> </v>
      </c>
      <c r="H15" s="119" t="str">
        <f>IF(TRIM('c-form'!P29:P29)=""," ",'c-form'!P29:P29)</f>
        <v xml:space="preserve"> </v>
      </c>
      <c r="I15" s="119" t="str">
        <f>IF(TRIM('c-form'!R29:R29)=""," ",'c-form'!R29:R29)</f>
        <v xml:space="preserve"> </v>
      </c>
      <c r="J15" s="119" t="str">
        <f>IF(TRIM('c-form'!T29:T29)=""," ",'c-form'!T29:T29)</f>
        <v xml:space="preserve"> </v>
      </c>
      <c r="K15" s="119" t="str">
        <f>IF(TRIM('c-form'!W29:W29)=""," ",'c-form'!W29:W29)</f>
        <v xml:space="preserve"> </v>
      </c>
      <c r="L15" s="119" t="str">
        <f>IF(TRIM('c-form'!AA29:AA29)=""," ",'c-form'!AA29:AA29)</f>
        <v xml:space="preserve"> </v>
      </c>
    </row>
    <row r="16" spans="1:29">
      <c r="A16" s="121" t="str">
        <f t="shared" si="0"/>
        <v>P.75</v>
      </c>
      <c r="B16" t="str">
        <f>'c-form'!C7:C7&amp;"0059"</f>
        <v>20130059</v>
      </c>
      <c r="C16" s="119" t="str">
        <f>IF(TRIM('c-form'!D30:D30)=""," ",'c-form'!D30:D30)</f>
        <v xml:space="preserve"> </v>
      </c>
      <c r="D16" s="119" t="str">
        <f>IF(TRIM('c-form'!F30:F30)=""," ",'c-form'!F30:F30)</f>
        <v xml:space="preserve"> </v>
      </c>
      <c r="E16" s="119" t="str">
        <f>IF(TRIM('c-form'!H30:H30)=""," ",'c-form'!H30:H30)</f>
        <v xml:space="preserve"> </v>
      </c>
      <c r="F16" s="119" t="str">
        <f>IF(TRIM('c-form'!J30:J30)=""," ",'c-form'!J30:J30)</f>
        <v xml:space="preserve"> </v>
      </c>
      <c r="G16" s="119" t="str">
        <f>IF(TRIM('c-form'!M30:M30)=""," ",'c-form'!M30:M30)</f>
        <v xml:space="preserve"> </v>
      </c>
      <c r="H16" s="119" t="str">
        <f>IF(TRIM('c-form'!P30:P30)=""," ",'c-form'!P30:P30)</f>
        <v xml:space="preserve"> </v>
      </c>
      <c r="I16" s="119" t="str">
        <f>IF(TRIM('c-form'!R30:R30)=""," ",'c-form'!R30:R30)</f>
        <v xml:space="preserve"> </v>
      </c>
      <c r="J16" s="119" t="str">
        <f>IF(TRIM('c-form'!T30:T30)=""," ",'c-form'!T30:T30)</f>
        <v xml:space="preserve"> </v>
      </c>
      <c r="K16" s="119" t="str">
        <f>IF(TRIM('c-form'!W30:W30)=""," ",'c-form'!W30:W30)</f>
        <v xml:space="preserve"> </v>
      </c>
      <c r="L16" s="119" t="str">
        <f>IF(TRIM('c-form'!AA30:AA30)=""," ",'c-form'!AA30:AA30)</f>
        <v xml:space="preserve"> </v>
      </c>
    </row>
    <row r="17" spans="1:13">
      <c r="A17" s="121" t="str">
        <f t="shared" si="0"/>
        <v>P.75</v>
      </c>
      <c r="B17" t="str">
        <f>'c-form'!C7:C7&amp;"0070"</f>
        <v>20130070</v>
      </c>
      <c r="C17" s="119" t="str">
        <f>IF(TRIM('c-form'!D63:D63)=""," ",'c-form'!D63:D63)</f>
        <v xml:space="preserve"> </v>
      </c>
      <c r="D17" s="119" t="str">
        <f>IF(TRIM('c-form'!F63:F63)=""," ",'c-form'!F63:F63)</f>
        <v xml:space="preserve"> </v>
      </c>
      <c r="E17" s="119" t="str">
        <f>IF(TRIM('c-form'!H63:H63)=""," ",'c-form'!H63:H63)</f>
        <v xml:space="preserve"> </v>
      </c>
      <c r="F17" s="119" t="str">
        <f>IF(TRIM('c-form'!J63:J63)=""," ",'c-form'!J63:J63)</f>
        <v xml:space="preserve"> </v>
      </c>
      <c r="G17" s="119" t="str">
        <f>IF(TRIM('c-form'!M63:M63)=""," ",'c-form'!M63:M63)</f>
        <v xml:space="preserve"> </v>
      </c>
      <c r="H17" s="119" t="str">
        <f>IF(TRIM('c-form'!P63:P63)=""," ",'c-form'!P63:P63)</f>
        <v xml:space="preserve"> </v>
      </c>
      <c r="I17" s="119" t="str">
        <f>IF(TRIM('c-form'!R63:R63)=""," ",'c-form'!R63:R63)</f>
        <v xml:space="preserve"> </v>
      </c>
      <c r="J17" s="119" t="str">
        <f>IF(TRIM('c-form'!T63:T63)=""," ",'c-form'!T63:T63)</f>
        <v xml:space="preserve"> </v>
      </c>
      <c r="K17" s="119" t="str">
        <f>IF(TRIM('c-form'!W63:W63)=""," ",'c-form'!W63:W63)</f>
        <v xml:space="preserve"> </v>
      </c>
      <c r="L17" s="119" t="str">
        <f>IF(TRIM('c-form'!AA63:AA63)=""," ",'c-form'!AA63:AA63)</f>
        <v xml:space="preserve"> </v>
      </c>
    </row>
    <row r="18" spans="1:13">
      <c r="A18" s="121" t="str">
        <f t="shared" si="0"/>
        <v>P.75</v>
      </c>
      <c r="B18" t="str">
        <f>'c-form'!C7:C7&amp;"0071"</f>
        <v>20130071</v>
      </c>
      <c r="C18" s="119" t="str">
        <f>IF(TRIM('c-form'!D64:D64)=""," ",'c-form'!D64:D64)</f>
        <v xml:space="preserve"> </v>
      </c>
      <c r="D18" s="119" t="str">
        <f>IF(TRIM('c-form'!F64:F64)=""," ",'c-form'!F64:F64)</f>
        <v xml:space="preserve"> </v>
      </c>
      <c r="E18" s="119" t="str">
        <f>IF(TRIM('c-form'!H64:H64)=""," ",'c-form'!H64:H64)</f>
        <v xml:space="preserve"> </v>
      </c>
      <c r="F18" s="119" t="str">
        <f>IF(TRIM('c-form'!J64:J64)=""," ",'c-form'!J64:J64)</f>
        <v xml:space="preserve"> </v>
      </c>
      <c r="G18" s="119" t="str">
        <f>IF(TRIM('c-form'!M64:M64)=""," ",'c-form'!M64:M64)</f>
        <v xml:space="preserve"> </v>
      </c>
      <c r="H18" s="119" t="str">
        <f>IF(TRIM('c-form'!P64:P64)=""," ",'c-form'!P64:P64)</f>
        <v xml:space="preserve"> </v>
      </c>
      <c r="I18" s="119" t="str">
        <f>IF(TRIM('c-form'!R64:R64)=""," ",'c-form'!R64:R64)</f>
        <v xml:space="preserve"> </v>
      </c>
      <c r="J18" s="119" t="str">
        <f>IF(TRIM('c-form'!T64:T64)=""," ",'c-form'!T64:T64)</f>
        <v xml:space="preserve"> </v>
      </c>
      <c r="K18" s="119" t="str">
        <f>IF(TRIM('c-form'!W64:W64)=""," ",'c-form'!W64:W64)</f>
        <v xml:space="preserve"> </v>
      </c>
      <c r="L18" s="119" t="str">
        <f>IF(TRIM('c-form'!AA64:AA64)=""," ",'c-form'!AA64:AA64)</f>
        <v xml:space="preserve"> </v>
      </c>
    </row>
    <row r="19" spans="1:13">
      <c r="A19" s="121" t="str">
        <f t="shared" si="0"/>
        <v>P.75</v>
      </c>
      <c r="B19" t="str">
        <f>'c-form'!C7:C7&amp;"0072"</f>
        <v>20130072</v>
      </c>
      <c r="C19" s="119" t="str">
        <f>IF(TRIM('c-form'!D65:D65)=""," ",'c-form'!D65:D65)</f>
        <v xml:space="preserve"> </v>
      </c>
      <c r="D19" s="119" t="str">
        <f>IF(TRIM('c-form'!F65:F65)=""," ",'c-form'!F65:F65)</f>
        <v xml:space="preserve"> </v>
      </c>
      <c r="E19" s="119" t="str">
        <f>IF(TRIM('c-form'!H65:H65)=""," ",'c-form'!H65:H65)</f>
        <v xml:space="preserve"> </v>
      </c>
      <c r="F19" s="119" t="str">
        <f>IF(TRIM('c-form'!J65:J65)=""," ",'c-form'!J65:J65)</f>
        <v xml:space="preserve"> </v>
      </c>
      <c r="G19" s="119" t="str">
        <f>IF(TRIM('c-form'!M65:M65)=""," ",'c-form'!M65:M65)</f>
        <v xml:space="preserve"> </v>
      </c>
      <c r="H19" s="119" t="str">
        <f>IF(TRIM('c-form'!P65:P65)=""," ",'c-form'!P65:P65)</f>
        <v xml:space="preserve"> </v>
      </c>
      <c r="I19" s="119" t="str">
        <f>IF(TRIM('c-form'!R65:R65)=""," ",'c-form'!R65:R65)</f>
        <v xml:space="preserve"> </v>
      </c>
      <c r="J19" s="119" t="str">
        <f>IF(TRIM('c-form'!T65:T65)=""," ",'c-form'!T65:T65)</f>
        <v xml:space="preserve"> </v>
      </c>
      <c r="K19" s="119" t="str">
        <f>IF(TRIM('c-form'!W65:W65)=""," ",'c-form'!W65:W65)</f>
        <v xml:space="preserve"> </v>
      </c>
      <c r="L19" s="119" t="str">
        <f>IF(TRIM('c-form'!AA65:AA65)=""," ",'c-form'!AA65:AA65)</f>
        <v xml:space="preserve"> </v>
      </c>
    </row>
    <row r="20" spans="1:13">
      <c r="A20" s="121" t="str">
        <f t="shared" si="0"/>
        <v>P.75</v>
      </c>
      <c r="B20" t="str">
        <f>'c-form'!C7:C7&amp;"0073"</f>
        <v>20130073</v>
      </c>
      <c r="C20" s="119" t="str">
        <f>IF(TRIM('c-form'!D66:D66)=""," ",'c-form'!D66:D66)</f>
        <v xml:space="preserve"> </v>
      </c>
      <c r="D20" s="119" t="str">
        <f>IF(TRIM('c-form'!F66:F66)=""," ",'c-form'!F66:F66)</f>
        <v xml:space="preserve"> </v>
      </c>
      <c r="E20" s="119" t="str">
        <f>IF(TRIM('c-form'!H66:H66)=""," ",'c-form'!H66:H66)</f>
        <v xml:space="preserve"> </v>
      </c>
      <c r="F20" s="119" t="str">
        <f>IF(TRIM('c-form'!J66:J66)=""," ",'c-form'!J66:J66)</f>
        <v xml:space="preserve"> </v>
      </c>
      <c r="G20" s="119" t="str">
        <f>IF(TRIM('c-form'!M66:M66)=""," ",'c-form'!M66:M66)</f>
        <v xml:space="preserve"> </v>
      </c>
      <c r="H20" s="119" t="str">
        <f>IF(TRIM('c-form'!P66:P66)=""," ",'c-form'!P66:P66)</f>
        <v xml:space="preserve"> </v>
      </c>
      <c r="I20" s="119" t="str">
        <f>IF(TRIM('c-form'!R66:R66)=""," ",'c-form'!R66:R66)</f>
        <v xml:space="preserve"> </v>
      </c>
      <c r="J20" s="119" t="str">
        <f>IF(TRIM('c-form'!T66:T66)=""," ",'c-form'!T66:T66)</f>
        <v xml:space="preserve"> </v>
      </c>
      <c r="K20" s="119" t="str">
        <f>IF(TRIM('c-form'!W66:W66)=""," ",'c-form'!W66:W66)</f>
        <v xml:space="preserve"> </v>
      </c>
      <c r="L20" s="119" t="str">
        <f>IF(TRIM('c-form'!AA66:AA66)=""," ",'c-form'!AA66:AA66)</f>
        <v xml:space="preserve"> </v>
      </c>
    </row>
    <row r="21" spans="1:13">
      <c r="A21" s="121" t="str">
        <f t="shared" si="0"/>
        <v>P.75</v>
      </c>
      <c r="B21" t="str">
        <f>'c-form'!C7:C7&amp;"0074"</f>
        <v>20130074</v>
      </c>
      <c r="C21" s="119" t="str">
        <f>IF(TRIM('c-form'!D67:D67)=""," ",'c-form'!D67:D67)</f>
        <v xml:space="preserve"> </v>
      </c>
      <c r="D21" s="119" t="str">
        <f>IF(TRIM('c-form'!F67:F67)=""," ",'c-form'!F67:F67)</f>
        <v xml:space="preserve"> </v>
      </c>
      <c r="E21" s="119" t="str">
        <f>IF(TRIM('c-form'!H67:H67)=""," ",'c-form'!H67:H67)</f>
        <v xml:space="preserve"> </v>
      </c>
      <c r="F21" s="119" t="str">
        <f>IF(TRIM('c-form'!J67:J67)=""," ",'c-form'!J67:J67)</f>
        <v xml:space="preserve"> </v>
      </c>
      <c r="G21" s="119" t="str">
        <f>IF(TRIM('c-form'!M67:M67)=""," ",'c-form'!M67:M67)</f>
        <v xml:space="preserve"> </v>
      </c>
      <c r="H21" s="119" t="str">
        <f>IF(TRIM('c-form'!P67:P67)=""," ",'c-form'!P67:P67)</f>
        <v xml:space="preserve"> </v>
      </c>
      <c r="I21" s="119" t="str">
        <f>IF(TRIM('c-form'!R67:R67)=""," ",'c-form'!R67:R67)</f>
        <v xml:space="preserve"> </v>
      </c>
      <c r="J21" s="119" t="str">
        <f>IF(TRIM('c-form'!T67:T67)=""," ",'c-form'!T67:T67)</f>
        <v xml:space="preserve"> </v>
      </c>
      <c r="K21" s="119" t="str">
        <f>IF(TRIM('c-form'!W67:W67)=""," ",'c-form'!W67:W67)</f>
        <v xml:space="preserve"> </v>
      </c>
      <c r="L21" s="119" t="str">
        <f>IF(TRIM('c-form'!AA67:AA67)=""," ",'c-form'!AA67:AA67)</f>
        <v xml:space="preserve"> </v>
      </c>
    </row>
    <row r="22" spans="1:13">
      <c r="A22" s="121" t="str">
        <f t="shared" si="0"/>
        <v>P.75</v>
      </c>
      <c r="B22" t="str">
        <f>'c-form'!C7:C7&amp;"0075"</f>
        <v>20130075</v>
      </c>
      <c r="C22" s="119" t="str">
        <f>IF(TRIM('c-form'!D68:D68)=""," ",'c-form'!D68:D68)</f>
        <v xml:space="preserve"> </v>
      </c>
      <c r="D22" s="119" t="str">
        <f>IF(TRIM('c-form'!F68:F68)=""," ",'c-form'!F68:F68)</f>
        <v xml:space="preserve"> </v>
      </c>
      <c r="E22" s="119" t="str">
        <f>IF(TRIM('c-form'!H68:H68)=""," ",'c-form'!H68:H68)</f>
        <v xml:space="preserve"> </v>
      </c>
      <c r="F22" s="119" t="str">
        <f>IF(TRIM('c-form'!J68:J68)=""," ",'c-form'!J68:J68)</f>
        <v xml:space="preserve"> </v>
      </c>
      <c r="G22" s="119" t="str">
        <f>IF(TRIM('c-form'!M68:M68)=""," ",'c-form'!M68:M68)</f>
        <v xml:space="preserve"> </v>
      </c>
      <c r="H22" s="119" t="str">
        <f>IF(TRIM('c-form'!P68:P68)=""," ",'c-form'!P68:P68)</f>
        <v xml:space="preserve"> </v>
      </c>
      <c r="I22" s="119" t="str">
        <f>IF(TRIM('c-form'!R68:R68)=""," ",'c-form'!R68:R68)</f>
        <v xml:space="preserve"> </v>
      </c>
      <c r="J22" s="119" t="str">
        <f>IF(TRIM('c-form'!T68:T68)=""," ",'c-form'!T68:T68)</f>
        <v xml:space="preserve"> </v>
      </c>
      <c r="K22" s="119" t="str">
        <f>IF(TRIM('c-form'!W68:W68)=""," ",'c-form'!W68:W68)</f>
        <v xml:space="preserve"> </v>
      </c>
      <c r="L22" s="119" t="str">
        <f>IF(TRIM('c-form'!AA68:AA68)=""," ",'c-form'!AA68:AA68)</f>
        <v xml:space="preserve"> </v>
      </c>
    </row>
    <row r="23" spans="1:13">
      <c r="A23" s="121" t="str">
        <f t="shared" si="0"/>
        <v>P.75</v>
      </c>
      <c r="B23" t="str">
        <f>'c-form'!C7:C7&amp;"0076"</f>
        <v>20130076</v>
      </c>
      <c r="C23" s="119" t="str">
        <f>IF(TRIM('c-form'!D69:D69)=""," ",'c-form'!D69:D69)</f>
        <v xml:space="preserve"> </v>
      </c>
      <c r="D23" s="119" t="str">
        <f>IF(TRIM('c-form'!F69:F69)=""," ",'c-form'!F69:F69)</f>
        <v xml:space="preserve"> </v>
      </c>
      <c r="E23" s="119" t="str">
        <f>IF(TRIM('c-form'!H69:H69)=""," ",'c-form'!H69:H69)</f>
        <v xml:space="preserve"> </v>
      </c>
      <c r="F23" s="119" t="str">
        <f>IF(TRIM('c-form'!J69:J69)=""," ",'c-form'!J69:J69)</f>
        <v xml:space="preserve"> </v>
      </c>
      <c r="G23" s="119" t="str">
        <f>IF(TRIM('c-form'!M69:M69)=""," ",'c-form'!M69:M69)</f>
        <v xml:space="preserve"> </v>
      </c>
      <c r="H23" s="119" t="str">
        <f>IF(TRIM('c-form'!P69:P69)=""," ",'c-form'!P69:P69)</f>
        <v xml:space="preserve"> </v>
      </c>
      <c r="I23" s="119" t="str">
        <f>IF(TRIM('c-form'!R69:R69)=""," ",'c-form'!R69:R69)</f>
        <v xml:space="preserve"> </v>
      </c>
      <c r="J23" s="119" t="str">
        <f>IF(TRIM('c-form'!T69:T69)=""," ",'c-form'!T69:T69)</f>
        <v xml:space="preserve"> </v>
      </c>
      <c r="K23" s="119" t="str">
        <f>IF(TRIM('c-form'!W69:W69)=""," ",'c-form'!W69:W69)</f>
        <v xml:space="preserve"> </v>
      </c>
      <c r="L23" s="119" t="str">
        <f>IF(TRIM('c-form'!AA69:AA69)=""," ",'c-form'!AA69:AA69)</f>
        <v xml:space="preserve"> </v>
      </c>
    </row>
    <row r="24" spans="1:13">
      <c r="A24" s="121" t="str">
        <f t="shared" si="0"/>
        <v>P.75</v>
      </c>
      <c r="B24" t="str">
        <f>'c-form'!C7:C7&amp;"0077"</f>
        <v>20130077</v>
      </c>
      <c r="C24" s="119" t="str">
        <f>IF(TRIM('c-form'!D70:D70)=""," ",'c-form'!D70:D70)</f>
        <v xml:space="preserve"> </v>
      </c>
      <c r="D24" s="119" t="str">
        <f>IF(TRIM('c-form'!F70:F70)=""," ",'c-form'!F70:F70)</f>
        <v xml:space="preserve"> </v>
      </c>
      <c r="E24" s="119" t="str">
        <f>IF(TRIM('c-form'!H70:H70)=""," ",'c-form'!H70:H70)</f>
        <v xml:space="preserve"> </v>
      </c>
      <c r="F24" s="119" t="str">
        <f>IF(TRIM('c-form'!J70:J70)=""," ",'c-form'!J70:J70)</f>
        <v xml:space="preserve"> </v>
      </c>
      <c r="G24" s="119" t="str">
        <f>IF(TRIM('c-form'!M70:M70)=""," ",'c-form'!M70:M70)</f>
        <v xml:space="preserve"> </v>
      </c>
      <c r="H24" s="119" t="str">
        <f>IF(TRIM('c-form'!P70:P70)=""," ",'c-form'!P70:P70)</f>
        <v xml:space="preserve"> </v>
      </c>
      <c r="I24" s="119" t="str">
        <f>IF(TRIM('c-form'!R70:R70)=""," ",'c-form'!R70:R70)</f>
        <v xml:space="preserve"> </v>
      </c>
      <c r="J24" s="119" t="str">
        <f>IF(TRIM('c-form'!T70:T70)=""," ",'c-form'!T70:T70)</f>
        <v xml:space="preserve"> </v>
      </c>
      <c r="K24" s="119" t="str">
        <f>IF(TRIM('c-form'!W70:W70)=""," ",'c-form'!W70:W70)</f>
        <v xml:space="preserve"> </v>
      </c>
      <c r="L24" s="119" t="str">
        <f>IF(TRIM('c-form'!AA70:AA70)=""," ",'c-form'!AA70:AA70)</f>
        <v xml:space="preserve"> </v>
      </c>
    </row>
    <row r="25" spans="1:13">
      <c r="A25" s="121" t="str">
        <f t="shared" si="0"/>
        <v>P.75</v>
      </c>
      <c r="B25" t="str">
        <f>'c-form'!C7:C7&amp;"0078"</f>
        <v>20130078</v>
      </c>
      <c r="C25" s="119" t="str">
        <f>IF(TRIM('c-form'!D71:D71)=""," ",'c-form'!D71:D71)</f>
        <v xml:space="preserve"> </v>
      </c>
      <c r="D25" s="119" t="str">
        <f>IF(TRIM('c-form'!F71:F71)=""," ",'c-form'!F71:F71)</f>
        <v xml:space="preserve"> </v>
      </c>
      <c r="E25" s="119" t="str">
        <f>IF(TRIM('c-form'!H71:H71)=""," ",'c-form'!H71:H71)</f>
        <v xml:space="preserve"> </v>
      </c>
      <c r="F25" s="119" t="str">
        <f>IF(TRIM('c-form'!J71:J71)=""," ",'c-form'!J71:J71)</f>
        <v xml:space="preserve"> </v>
      </c>
      <c r="G25" s="119" t="str">
        <f>IF(TRIM('c-form'!M71:M71)=""," ",'c-form'!M71:M71)</f>
        <v xml:space="preserve"> </v>
      </c>
      <c r="H25" s="119" t="str">
        <f>IF(TRIM('c-form'!P71:P71)=""," ",'c-form'!P71:P71)</f>
        <v xml:space="preserve"> </v>
      </c>
      <c r="I25" s="119" t="str">
        <f>IF(TRIM('c-form'!R71:R71)=""," ",'c-form'!R71:R71)</f>
        <v xml:space="preserve"> </v>
      </c>
      <c r="J25" s="119" t="str">
        <f>IF(TRIM('c-form'!T71:T71)=""," ",'c-form'!T71:T71)</f>
        <v xml:space="preserve"> </v>
      </c>
      <c r="K25" s="119" t="str">
        <f>IF(TRIM('c-form'!W71:W71)=""," ",'c-form'!W71:W71)</f>
        <v xml:space="preserve"> </v>
      </c>
      <c r="L25" s="119" t="str">
        <f>IF(TRIM('c-form'!AA71:AA71)=""," ",'c-form'!AA71:AA71)</f>
        <v xml:space="preserve"> </v>
      </c>
    </row>
    <row r="26" spans="1:13">
      <c r="A26" s="121" t="str">
        <f t="shared" si="0"/>
        <v>P.75</v>
      </c>
      <c r="B26" t="str">
        <f>'c-form'!C7:C7&amp;"0079"</f>
        <v>20130079</v>
      </c>
      <c r="C26" s="119" t="str">
        <f>IF(TRIM('c-form'!D72:D72)=""," ",'c-form'!D72:D72)</f>
        <v xml:space="preserve"> </v>
      </c>
      <c r="D26" s="119" t="str">
        <f>IF(TRIM('c-form'!F72:F72)=""," ",'c-form'!F72:F72)</f>
        <v xml:space="preserve"> </v>
      </c>
      <c r="E26" s="119" t="str">
        <f>IF(TRIM('c-form'!H72:H72)=""," ",'c-form'!H72:H72)</f>
        <v xml:space="preserve"> </v>
      </c>
      <c r="F26" s="119" t="str">
        <f>IF(TRIM('c-form'!J72:J72)=""," ",'c-form'!J72:J72)</f>
        <v xml:space="preserve"> </v>
      </c>
      <c r="G26" s="119" t="str">
        <f>IF(TRIM('c-form'!M72:M72)=""," ",'c-form'!M72:M72)</f>
        <v xml:space="preserve"> </v>
      </c>
      <c r="H26" s="119" t="str">
        <f>IF(TRIM('c-form'!P72:P72)=""," ",'c-form'!P72:P72)</f>
        <v xml:space="preserve"> </v>
      </c>
      <c r="I26" s="119" t="str">
        <f>IF(TRIM('c-form'!R72:R72)=""," ",'c-form'!R72:R72)</f>
        <v xml:space="preserve"> </v>
      </c>
      <c r="J26" s="119" t="str">
        <f>IF(TRIM('c-form'!T72:T72)=""," ",'c-form'!T72:T72)</f>
        <v xml:space="preserve"> </v>
      </c>
      <c r="K26" s="119" t="str">
        <f>IF(TRIM('c-form'!W72:W72)=""," ",'c-form'!W72:W72)</f>
        <v xml:space="preserve"> </v>
      </c>
      <c r="L26" s="119" t="str">
        <f>IF(TRIM('c-form'!AA72:AA72)=""," ",'c-form'!AA72:AA72)</f>
        <v xml:space="preserve"> </v>
      </c>
    </row>
    <row r="27" spans="1:13">
      <c r="A27" s="121" t="str">
        <f t="shared" si="0"/>
        <v>P.75</v>
      </c>
      <c r="B27" t="str">
        <f>'c-form'!C7:C7&amp;"0101"</f>
        <v>20130101</v>
      </c>
      <c r="C27" s="119">
        <f>IF(TRIM(DailyMeanGH!C9)=""," ",DailyMeanGH!C9)</f>
        <v>338.05</v>
      </c>
      <c r="D27" s="119">
        <f>IF(TRIM(DailyMeanGH!C10)=""," ",DailyMeanGH!C10)</f>
        <v>338.32</v>
      </c>
      <c r="E27" s="119">
        <f>IF(TRIM(DailyMeanGH!C11)=""," ",DailyMeanGH!C11)</f>
        <v>338.21</v>
      </c>
      <c r="F27" s="119">
        <f>IF(TRIM(DailyMeanGH!C12)=""," ",DailyMeanGH!C12)</f>
        <v>338.15</v>
      </c>
      <c r="G27" s="119">
        <f>IF(TRIM(DailyMeanGH!C13)=""," ",DailyMeanGH!C13)</f>
        <v>338.18</v>
      </c>
      <c r="H27" s="119">
        <f>IF(TRIM(DailyMeanGH!C14)=""," ",DailyMeanGH!C14)</f>
        <v>338.2</v>
      </c>
      <c r="I27" s="119">
        <f>IF(TRIM(DailyMeanGH!C15)=""," ",DailyMeanGH!C15)</f>
        <v>338.29</v>
      </c>
      <c r="J27" s="119">
        <f>IF(TRIM(DailyMeanGH!C16)=""," ",DailyMeanGH!C16)</f>
        <v>338.23</v>
      </c>
      <c r="K27" s="119">
        <f>IF(TRIM(DailyMeanGH!C17)=""," ",DailyMeanGH!C17)</f>
        <v>338.2</v>
      </c>
      <c r="L27" s="119">
        <f>IF(TRIM(DailyMeanGH!C18)=""," ",DailyMeanGH!C18)</f>
        <v>338.21</v>
      </c>
    </row>
    <row r="28" spans="1:13">
      <c r="A28" s="121" t="str">
        <f t="shared" si="0"/>
        <v>P.75</v>
      </c>
      <c r="B28" t="str">
        <f>'c-form'!C7:C7&amp;"0102"</f>
        <v>20130102</v>
      </c>
      <c r="C28" s="119">
        <f>IF(TRIM(DailyMeanGH!C20)=""," ",DailyMeanGH!C20)</f>
        <v>338.22</v>
      </c>
      <c r="D28" s="119">
        <f>IF(TRIM(DailyMeanGH!C21)=""," ",DailyMeanGH!C21)</f>
        <v>338.18</v>
      </c>
      <c r="E28" s="119">
        <f>IF(TRIM(DailyMeanGH!C22)=""," ",DailyMeanGH!C22)</f>
        <v>338.16</v>
      </c>
      <c r="F28" s="119">
        <f>IF(TRIM(DailyMeanGH!C23)=""," ",DailyMeanGH!C23)</f>
        <v>338.2</v>
      </c>
      <c r="G28" s="119">
        <f>IF(TRIM(DailyMeanGH!C24)=""," ",DailyMeanGH!C24)</f>
        <v>338.2</v>
      </c>
      <c r="H28" s="119">
        <f>IF(TRIM(DailyMeanGH!C25)=""," ",DailyMeanGH!C25)</f>
        <v>338.2</v>
      </c>
      <c r="I28" s="119">
        <f>IF(TRIM(DailyMeanGH!C26)=""," ",DailyMeanGH!C26)</f>
        <v>338.2</v>
      </c>
      <c r="J28" s="119">
        <f>IF(TRIM(DailyMeanGH!C27)=""," ",DailyMeanGH!C27)</f>
        <v>338.2</v>
      </c>
      <c r="K28" s="119">
        <f>IF(TRIM(DailyMeanGH!C28)=""," ",DailyMeanGH!C28)</f>
        <v>338.19</v>
      </c>
      <c r="L28" s="119">
        <f>IF(TRIM(DailyMeanGH!C29)=""," ",DailyMeanGH!C29)</f>
        <v>338.17</v>
      </c>
    </row>
    <row r="29" spans="1:13">
      <c r="A29" s="121" t="str">
        <f t="shared" si="0"/>
        <v>P.75</v>
      </c>
      <c r="B29" t="str">
        <f>'c-form'!C7:C7&amp;"0103"</f>
        <v>20130103</v>
      </c>
      <c r="C29" s="119">
        <f>IF(TRIM(DailyMeanGH!C31)=""," ",DailyMeanGH!C31)</f>
        <v>338.17</v>
      </c>
      <c r="D29" s="119">
        <f>IF(TRIM(DailyMeanGH!C32)=""," ",DailyMeanGH!C32)</f>
        <v>338.18</v>
      </c>
      <c r="E29" s="119">
        <f>IF(TRIM(DailyMeanGH!C33)=""," ",DailyMeanGH!C33)</f>
        <v>338.17</v>
      </c>
      <c r="F29" s="119">
        <f>IF(TRIM(DailyMeanGH!C34)=""," ",DailyMeanGH!C34)</f>
        <v>338.17</v>
      </c>
      <c r="G29" s="119">
        <f>IF(TRIM(DailyMeanGH!C35)=""," ",DailyMeanGH!C35)</f>
        <v>338.17</v>
      </c>
      <c r="H29" s="119">
        <f>IF(TRIM(DailyMeanGH!C36)=""," ",DailyMeanGH!C36)</f>
        <v>338.16</v>
      </c>
      <c r="I29" s="119">
        <f>IF(TRIM(DailyMeanGH!C37)=""," ",DailyMeanGH!C37)</f>
        <v>338.16</v>
      </c>
      <c r="J29" s="119">
        <f>IF(TRIM(DailyMeanGH!C38)=""," ",DailyMeanGH!C38)</f>
        <v>338.16</v>
      </c>
      <c r="K29" s="119">
        <f>IF(TRIM(DailyMeanGH!C39)=""," ",DailyMeanGH!C39)</f>
        <v>338.16</v>
      </c>
      <c r="L29" s="119">
        <f>IF(TRIM(DailyMeanGH!C40)=""," ",DailyMeanGH!C40)</f>
        <v>338.16</v>
      </c>
      <c r="M29" t="str">
        <f>IF(TRIM(DailyMeanGH!C41)=""," ",DailyMeanGH!C41)</f>
        <v xml:space="preserve"> </v>
      </c>
    </row>
    <row r="30" spans="1:13">
      <c r="A30" s="121" t="str">
        <f t="shared" si="0"/>
        <v>P.75</v>
      </c>
      <c r="B30" t="str">
        <f>'c-form'!C7:C7&amp;"0201"</f>
        <v>20130201</v>
      </c>
      <c r="C30" s="119">
        <f>IF(TRIM(DailyMeanGH!D9)=""," ",DailyMeanGH!D9)</f>
        <v>338.17</v>
      </c>
      <c r="D30" s="119">
        <f>IF(TRIM(DailyMeanGH!D10)=""," ",DailyMeanGH!D10)</f>
        <v>338.17</v>
      </c>
      <c r="E30" s="119">
        <f>IF(TRIM(DailyMeanGH!D11)=""," ",DailyMeanGH!D11)</f>
        <v>338.18</v>
      </c>
      <c r="F30" s="119">
        <f>IF(TRIM(DailyMeanGH!D12)=""," ",DailyMeanGH!D12)</f>
        <v>338.16</v>
      </c>
      <c r="G30" s="119">
        <f>IF(TRIM(DailyMeanGH!D13)=""," ",DailyMeanGH!D13)</f>
        <v>338.16</v>
      </c>
      <c r="H30" s="119">
        <f>IF(TRIM(DailyMeanGH!D14)=""," ",DailyMeanGH!D14)</f>
        <v>338.12</v>
      </c>
      <c r="I30" s="119">
        <f>IF(TRIM(DailyMeanGH!D15)=""," ",DailyMeanGH!D15)</f>
        <v>338.08</v>
      </c>
      <c r="J30" s="119">
        <f>IF(TRIM(DailyMeanGH!D16)=""," ",DailyMeanGH!D16)</f>
        <v>338.09</v>
      </c>
      <c r="K30" s="119">
        <f>IF(TRIM(DailyMeanGH!D17)=""," ",DailyMeanGH!D17)</f>
        <v>338.11</v>
      </c>
      <c r="L30" s="119">
        <f>IF(TRIM(DailyMeanGH!D18)=""," ",DailyMeanGH!D18)</f>
        <v>338.18</v>
      </c>
      <c r="M30" s="117"/>
    </row>
    <row r="31" spans="1:13">
      <c r="A31" s="121" t="str">
        <f t="shared" si="0"/>
        <v>P.75</v>
      </c>
      <c r="B31" t="str">
        <f>'c-form'!C7:C7&amp;"0202"</f>
        <v>20130202</v>
      </c>
      <c r="C31" s="119">
        <f>IF(TRIM(DailyMeanGH!D20)=""," ",DailyMeanGH!D20)</f>
        <v>338.18</v>
      </c>
      <c r="D31" s="119">
        <f>IF(TRIM(DailyMeanGH!D21)=""," ",DailyMeanGH!D21)</f>
        <v>338.17</v>
      </c>
      <c r="E31" s="119">
        <f>IF(TRIM(DailyMeanGH!D22)=""," ",DailyMeanGH!D22)</f>
        <v>338.15</v>
      </c>
      <c r="F31" s="119">
        <f>IF(TRIM(DailyMeanGH!D23)=""," ",DailyMeanGH!D23)</f>
        <v>338.1</v>
      </c>
      <c r="G31" s="119">
        <f>IF(TRIM(DailyMeanGH!D24)=""," ",DailyMeanGH!D24)</f>
        <v>338.1</v>
      </c>
      <c r="H31" s="119">
        <f>IF(TRIM(DailyMeanGH!D25)=""," ",DailyMeanGH!D25)</f>
        <v>338.09</v>
      </c>
      <c r="I31" s="119">
        <f>IF(TRIM(DailyMeanGH!D26)=""," ",DailyMeanGH!D26)</f>
        <v>338.08</v>
      </c>
      <c r="J31" s="119">
        <f>IF(TRIM(DailyMeanGH!D27)=""," ",DailyMeanGH!D27)</f>
        <v>338.08</v>
      </c>
      <c r="K31" s="119">
        <f>IF(TRIM(DailyMeanGH!D28)=""," ",DailyMeanGH!D28)</f>
        <v>337.99</v>
      </c>
      <c r="L31" s="119">
        <f>IF(TRIM(DailyMeanGH!D29)=""," ",DailyMeanGH!D29)</f>
        <v>337.75</v>
      </c>
      <c r="M31" s="117"/>
    </row>
    <row r="32" spans="1:13">
      <c r="A32" s="121" t="str">
        <f t="shared" si="0"/>
        <v>P.75</v>
      </c>
      <c r="B32" t="str">
        <f>'c-form'!C7:C7&amp;"0203"</f>
        <v>20130203</v>
      </c>
      <c r="C32" s="119">
        <f>IF(TRIM(DailyMeanGH!D31)=""," ",DailyMeanGH!D31)</f>
        <v>337.82</v>
      </c>
      <c r="D32" s="119">
        <f>IF(TRIM(DailyMeanGH!D32)=""," ",DailyMeanGH!D32)</f>
        <v>337.8</v>
      </c>
      <c r="E32" s="119">
        <f>IF(TRIM(DailyMeanGH!D33)=""," ",DailyMeanGH!D33)</f>
        <v>337.79</v>
      </c>
      <c r="F32" s="119">
        <f>IF(TRIM(DailyMeanGH!D34)=""," ",DailyMeanGH!D34)</f>
        <v>337.81</v>
      </c>
      <c r="G32" s="119">
        <f>IF(TRIM(DailyMeanGH!D35)=""," ",DailyMeanGH!D35)</f>
        <v>337.78</v>
      </c>
      <c r="H32" s="119">
        <f>IF(TRIM(DailyMeanGH!D36)=""," ",DailyMeanGH!D36)</f>
        <v>337.75</v>
      </c>
      <c r="I32" s="119">
        <f>IF(TRIM(DailyMeanGH!D37)=""," ",DailyMeanGH!D37)</f>
        <v>337.78</v>
      </c>
      <c r="J32" s="119">
        <f>IF(TRIM(DailyMeanGH!D38)=""," ",DailyMeanGH!D38)</f>
        <v>337.78</v>
      </c>
      <c r="K32" s="119">
        <f>IF(TRIM(DailyMeanGH!D39)=""," ",DailyMeanGH!D39)</f>
        <v>337.79</v>
      </c>
      <c r="L32" s="119">
        <f>IF(TRIM(DailyMeanGH!D40)=""," ",DailyMeanGH!D40)</f>
        <v>337.81</v>
      </c>
      <c r="M32" s="117">
        <f>IF(TRIM(DailyMeanGH!D41)=""," ",DailyMeanGH!D41)</f>
        <v>337.83</v>
      </c>
    </row>
    <row r="33" spans="1:13">
      <c r="A33" s="121" t="str">
        <f t="shared" si="0"/>
        <v>P.75</v>
      </c>
      <c r="B33" t="str">
        <f>'c-form'!C7:C7&amp;"0301"</f>
        <v>20130301</v>
      </c>
      <c r="C33" s="119">
        <f>IF(TRIM(DailyMeanGH!E9)=""," ",DailyMeanGH!E9)</f>
        <v>337.83</v>
      </c>
      <c r="D33" s="119">
        <f>IF(TRIM(DailyMeanGH!E10)=""," ",DailyMeanGH!E10)</f>
        <v>337.83</v>
      </c>
      <c r="E33" s="119">
        <f>IF(TRIM(DailyMeanGH!E11)=""," ",DailyMeanGH!E11)</f>
        <v>337.82</v>
      </c>
      <c r="F33" s="119">
        <f>IF(TRIM(DailyMeanGH!E12)=""," ",DailyMeanGH!E12)</f>
        <v>337.81</v>
      </c>
      <c r="G33" s="119">
        <f>IF(TRIM(DailyMeanGH!E13)=""," ",DailyMeanGH!E13)</f>
        <v>337.8</v>
      </c>
      <c r="H33" s="119">
        <f>IF(TRIM(DailyMeanGH!E14)=""," ",DailyMeanGH!E14)</f>
        <v>337.82</v>
      </c>
      <c r="I33" s="119">
        <f>IF(TRIM(DailyMeanGH!E15)=""," ",DailyMeanGH!E15)</f>
        <v>337.84</v>
      </c>
      <c r="J33" s="119">
        <f>IF(TRIM(DailyMeanGH!E16)=""," ",DailyMeanGH!E16)</f>
        <v>337.84</v>
      </c>
      <c r="K33" s="119">
        <f>IF(TRIM(DailyMeanGH!E17)=""," ",DailyMeanGH!E17)</f>
        <v>337.82</v>
      </c>
      <c r="L33" s="119">
        <f>IF(TRIM(DailyMeanGH!E18)=""," ",DailyMeanGH!E18)</f>
        <v>337.77</v>
      </c>
      <c r="M33" s="117"/>
    </row>
    <row r="34" spans="1:13">
      <c r="A34" s="121" t="str">
        <f t="shared" si="0"/>
        <v>P.75</v>
      </c>
      <c r="B34" t="str">
        <f>'c-form'!C7:C7&amp;"0302"</f>
        <v>20130302</v>
      </c>
      <c r="C34" s="119">
        <f>IF(TRIM(DailyMeanGH!E20)=""," ",DailyMeanGH!E20)</f>
        <v>337.9</v>
      </c>
      <c r="D34" s="119">
        <f>IF(TRIM(DailyMeanGH!E21)=""," ",DailyMeanGH!E21)</f>
        <v>338.27</v>
      </c>
      <c r="E34" s="119">
        <f>IF(TRIM(DailyMeanGH!E22)=""," ",DailyMeanGH!E22)</f>
        <v>338.01</v>
      </c>
      <c r="F34" s="119">
        <f>IF(TRIM(DailyMeanGH!E23)=""," ",DailyMeanGH!E23)</f>
        <v>337.88</v>
      </c>
      <c r="G34" s="119">
        <f>IF(TRIM(DailyMeanGH!E24)=""," ",DailyMeanGH!E24)</f>
        <v>337.82</v>
      </c>
      <c r="H34" s="119">
        <f>IF(TRIM(DailyMeanGH!E25)=""," ",DailyMeanGH!E25)</f>
        <v>337.8</v>
      </c>
      <c r="I34" s="119">
        <f>IF(TRIM(DailyMeanGH!E26)=""," ",DailyMeanGH!E26)</f>
        <v>337.8</v>
      </c>
      <c r="J34" s="119">
        <f>IF(TRIM(DailyMeanGH!E27)=""," ",DailyMeanGH!E27)</f>
        <v>337.81</v>
      </c>
      <c r="K34" s="119">
        <f>IF(TRIM(DailyMeanGH!E28)=""," ",DailyMeanGH!E28)</f>
        <v>337.81</v>
      </c>
      <c r="L34" s="119">
        <f>IF(TRIM(DailyMeanGH!E29)=""," ",DailyMeanGH!E29)</f>
        <v>337.85</v>
      </c>
      <c r="M34" s="117"/>
    </row>
    <row r="35" spans="1:13">
      <c r="A35" s="121" t="str">
        <f t="shared" si="0"/>
        <v>P.75</v>
      </c>
      <c r="B35" t="str">
        <f>'c-form'!C7:C7&amp;"0303"</f>
        <v>20130303</v>
      </c>
      <c r="C35" s="119">
        <f>IF(TRIM(DailyMeanGH!E31)=""," ",DailyMeanGH!E31)</f>
        <v>337.86</v>
      </c>
      <c r="D35" s="119">
        <f>IF(TRIM(DailyMeanGH!E32)=""," ",DailyMeanGH!E32)</f>
        <v>337.84</v>
      </c>
      <c r="E35" s="119">
        <f>IF(TRIM(DailyMeanGH!E33)=""," ",DailyMeanGH!E33)</f>
        <v>337.96</v>
      </c>
      <c r="F35" s="119">
        <f>IF(TRIM(DailyMeanGH!E34)=""," ",DailyMeanGH!E34)</f>
        <v>338.16</v>
      </c>
      <c r="G35" s="119">
        <f>IF(TRIM(DailyMeanGH!E35)=""," ",DailyMeanGH!E35)</f>
        <v>337.84</v>
      </c>
      <c r="H35" s="119">
        <f>IF(TRIM(DailyMeanGH!E36)=""," ",DailyMeanGH!E36)</f>
        <v>337.86</v>
      </c>
      <c r="I35" s="119">
        <f>IF(TRIM(DailyMeanGH!E37)=""," ",DailyMeanGH!E37)</f>
        <v>337.85</v>
      </c>
      <c r="J35" s="119">
        <f>IF(TRIM(DailyMeanGH!E38)=""," ",DailyMeanGH!E38)</f>
        <v>337.83</v>
      </c>
      <c r="K35" s="119">
        <f>IF(TRIM(DailyMeanGH!E39)=""," ",DailyMeanGH!E39)</f>
        <v>337.84</v>
      </c>
      <c r="L35" s="119">
        <f>IF(TRIM(DailyMeanGH!E40)=""," ",DailyMeanGH!E40)</f>
        <v>337.85</v>
      </c>
      <c r="M35" s="117" t="str">
        <f>IF(TRIM(DailyMeanGH!E41)=""," ",DailyMeanGH!E41)</f>
        <v xml:space="preserve"> </v>
      </c>
    </row>
    <row r="36" spans="1:13">
      <c r="A36" s="121" t="str">
        <f t="shared" si="0"/>
        <v>P.75</v>
      </c>
      <c r="B36" t="str">
        <f>'c-form'!C7:C7&amp;"0401"</f>
        <v>20130401</v>
      </c>
      <c r="C36" s="119">
        <f>IF(TRIM(DailyMeanGH!F9)=""," ",DailyMeanGH!F9)</f>
        <v>337.83</v>
      </c>
      <c r="D36" s="119">
        <f>IF(TRIM(DailyMeanGH!F10)=""," ",DailyMeanGH!F10)</f>
        <v>337.83</v>
      </c>
      <c r="E36" s="119">
        <f>IF(TRIM(DailyMeanGH!F11)=""," ",DailyMeanGH!F11)</f>
        <v>337.83</v>
      </c>
      <c r="F36" s="119">
        <f>IF(TRIM(DailyMeanGH!F12)=""," ",DailyMeanGH!F12)</f>
        <v>337.85</v>
      </c>
      <c r="G36" s="119">
        <f>IF(TRIM(DailyMeanGH!F13)=""," ",DailyMeanGH!F13)</f>
        <v>337.87</v>
      </c>
      <c r="H36" s="119">
        <f>IF(TRIM(DailyMeanGH!F14)=""," ",DailyMeanGH!F14)</f>
        <v>337.86</v>
      </c>
      <c r="I36" s="119">
        <f>IF(TRIM(DailyMeanGH!F15)=""," ",DailyMeanGH!F15)</f>
        <v>337.86</v>
      </c>
      <c r="J36" s="119">
        <f>IF(TRIM(DailyMeanGH!F16)=""," ",DailyMeanGH!F16)</f>
        <v>337.88</v>
      </c>
      <c r="K36" s="119">
        <f>IF(TRIM(DailyMeanGH!F17)=""," ",DailyMeanGH!F17)</f>
        <v>337.88</v>
      </c>
      <c r="L36" s="119">
        <f>IF(TRIM(DailyMeanGH!F18)=""," ",DailyMeanGH!F18)</f>
        <v>338.01</v>
      </c>
      <c r="M36" s="117"/>
    </row>
    <row r="37" spans="1:13">
      <c r="A37" s="121" t="str">
        <f t="shared" si="0"/>
        <v>P.75</v>
      </c>
      <c r="B37" t="str">
        <f>'c-form'!C7:C7&amp;"0402"</f>
        <v>20130402</v>
      </c>
      <c r="C37" s="119">
        <f>IF(TRIM(DailyMeanGH!F20)=""," ",DailyMeanGH!F20)</f>
        <v>338.07</v>
      </c>
      <c r="D37" s="119">
        <f>IF(TRIM(DailyMeanGH!F21)=""," ",DailyMeanGH!F21)</f>
        <v>338.06</v>
      </c>
      <c r="E37" s="119">
        <f>IF(TRIM(DailyMeanGH!F22)=""," ",DailyMeanGH!F22)</f>
        <v>338.01</v>
      </c>
      <c r="F37" s="119">
        <f>IF(TRIM(DailyMeanGH!F23)=""," ",DailyMeanGH!F23)</f>
        <v>337.99</v>
      </c>
      <c r="G37" s="119">
        <f>IF(TRIM(DailyMeanGH!F24)=""," ",DailyMeanGH!F24)</f>
        <v>338.17</v>
      </c>
      <c r="H37" s="119">
        <f>IF(TRIM(DailyMeanGH!F25)=""," ",DailyMeanGH!F25)</f>
        <v>338.11</v>
      </c>
      <c r="I37" s="119">
        <f>IF(TRIM(DailyMeanGH!F26)=""," ",DailyMeanGH!F26)</f>
        <v>338.08</v>
      </c>
      <c r="J37" s="119">
        <f>IF(TRIM(DailyMeanGH!F27)=""," ",DailyMeanGH!F27)</f>
        <v>338.08</v>
      </c>
      <c r="K37" s="119">
        <f>IF(TRIM(DailyMeanGH!F28)=""," ",DailyMeanGH!F28)</f>
        <v>338.04</v>
      </c>
      <c r="L37" s="119">
        <f>IF(TRIM(DailyMeanGH!F29)=""," ",DailyMeanGH!F29)</f>
        <v>337.97</v>
      </c>
      <c r="M37" s="117"/>
    </row>
    <row r="38" spans="1:13">
      <c r="A38" s="121" t="str">
        <f t="shared" si="0"/>
        <v>P.75</v>
      </c>
      <c r="B38" t="str">
        <f>'c-form'!C7:C7&amp;"0403"</f>
        <v>20130403</v>
      </c>
      <c r="C38" s="119">
        <f>IF(TRIM(DailyMeanGH!F31)=""," ",DailyMeanGH!F31)</f>
        <v>337.94</v>
      </c>
      <c r="D38" s="119">
        <f>IF(TRIM(DailyMeanGH!F32)=""," ",DailyMeanGH!F32)</f>
        <v>337.94</v>
      </c>
      <c r="E38" s="119">
        <f>IF(TRIM(DailyMeanGH!F33)=""," ",DailyMeanGH!F33)</f>
        <v>337.96</v>
      </c>
      <c r="F38" s="119">
        <f>IF(TRIM(DailyMeanGH!F34)=""," ",DailyMeanGH!F34)</f>
        <v>338.18</v>
      </c>
      <c r="G38" s="119">
        <f>IF(TRIM(DailyMeanGH!F35)=""," ",DailyMeanGH!F35)</f>
        <v>338.06</v>
      </c>
      <c r="H38" s="119">
        <f>IF(TRIM(DailyMeanGH!F36)=""," ",DailyMeanGH!F36)</f>
        <v>338.01</v>
      </c>
      <c r="I38" s="119">
        <f>IF(TRIM(DailyMeanGH!F37)=""," ",DailyMeanGH!F37)</f>
        <v>337.96</v>
      </c>
      <c r="J38" s="119">
        <f>IF(TRIM(DailyMeanGH!F38)=""," ",DailyMeanGH!F38)</f>
        <v>337.98</v>
      </c>
      <c r="K38" s="119">
        <f>IF(TRIM(DailyMeanGH!F39)=""," ",DailyMeanGH!F39)</f>
        <v>338.04</v>
      </c>
      <c r="L38" s="119">
        <f>IF(TRIM(DailyMeanGH!F40)=""," ",DailyMeanGH!F40)</f>
        <v>338.16</v>
      </c>
      <c r="M38" s="117">
        <f>IF(TRIM(DailyMeanGH!F41)=""," ",DailyMeanGH!F41)</f>
        <v>338.2</v>
      </c>
    </row>
    <row r="39" spans="1:13">
      <c r="A39" s="121" t="str">
        <f t="shared" si="0"/>
        <v>P.75</v>
      </c>
      <c r="B39" t="str">
        <f>'c-form'!C7:C7&amp;"0501"</f>
        <v>20130501</v>
      </c>
      <c r="C39" s="119">
        <f>IF(TRIM(DailyMeanGH!G9)=""," ",DailyMeanGH!G9)</f>
        <v>338.18</v>
      </c>
      <c r="D39" s="119">
        <f>IF(TRIM(DailyMeanGH!G10)=""," ",DailyMeanGH!G10)</f>
        <v>338.15</v>
      </c>
      <c r="E39" s="119">
        <f>IF(TRIM(DailyMeanGH!G11)=""," ",DailyMeanGH!G11)</f>
        <v>338.11</v>
      </c>
      <c r="F39" s="119">
        <f>IF(TRIM(DailyMeanGH!G12)=""," ",DailyMeanGH!G12)</f>
        <v>338.09</v>
      </c>
      <c r="G39" s="119">
        <f>IF(TRIM(DailyMeanGH!G13)=""," ",DailyMeanGH!G13)</f>
        <v>338.12</v>
      </c>
      <c r="H39" s="119">
        <f>IF(TRIM(DailyMeanGH!G14)=""," ",DailyMeanGH!G14)</f>
        <v>338.26</v>
      </c>
      <c r="I39" s="119">
        <f>IF(TRIM(DailyMeanGH!G15)=""," ",DailyMeanGH!G15)</f>
        <v>338.18</v>
      </c>
      <c r="J39" s="119">
        <f>IF(TRIM(DailyMeanGH!G16)=""," ",DailyMeanGH!G16)</f>
        <v>338.17</v>
      </c>
      <c r="K39" s="119">
        <f>IF(TRIM(DailyMeanGH!G17)=""," ",DailyMeanGH!G17)</f>
        <v>338.44</v>
      </c>
      <c r="L39" s="119">
        <f>IF(TRIM(DailyMeanGH!G18)=""," ",DailyMeanGH!G18)</f>
        <v>339.68</v>
      </c>
      <c r="M39" s="117"/>
    </row>
    <row r="40" spans="1:13">
      <c r="A40" s="121" t="str">
        <f t="shared" si="0"/>
        <v>P.75</v>
      </c>
      <c r="B40" t="str">
        <f>'c-form'!C7:C7&amp;"0502"</f>
        <v>20130502</v>
      </c>
      <c r="C40" s="119">
        <f>IF(TRIM(DailyMeanGH!G20)=""," ",DailyMeanGH!G20)</f>
        <v>340.05</v>
      </c>
      <c r="D40" s="119">
        <f>IF(TRIM(DailyMeanGH!G21)=""," ",DailyMeanGH!G21)</f>
        <v>339.58</v>
      </c>
      <c r="E40" s="119">
        <f>IF(TRIM(DailyMeanGH!G22)=""," ",DailyMeanGH!G22)</f>
        <v>339.06</v>
      </c>
      <c r="F40" s="119">
        <f>IF(TRIM(DailyMeanGH!G23)=""," ",DailyMeanGH!G23)</f>
        <v>338.65</v>
      </c>
      <c r="G40" s="119">
        <f>IF(TRIM(DailyMeanGH!G24)=""," ",DailyMeanGH!G24)</f>
        <v>338.7</v>
      </c>
      <c r="H40" s="119">
        <f>IF(TRIM(DailyMeanGH!G25)=""," ",DailyMeanGH!G25)</f>
        <v>338.53</v>
      </c>
      <c r="I40" s="119">
        <f>IF(TRIM(DailyMeanGH!G26)=""," ",DailyMeanGH!G26)</f>
        <v>338.41</v>
      </c>
      <c r="J40" s="119">
        <f>IF(TRIM(DailyMeanGH!G27)=""," ",DailyMeanGH!G27)</f>
        <v>338.27</v>
      </c>
      <c r="K40" s="119">
        <f>IF(TRIM(DailyMeanGH!G28)=""," ",DailyMeanGH!G28)</f>
        <v>338.22</v>
      </c>
      <c r="L40" s="119">
        <f>IF(TRIM(DailyMeanGH!G29)=""," ",DailyMeanGH!G29)</f>
        <v>338.21</v>
      </c>
      <c r="M40" s="117"/>
    </row>
    <row r="41" spans="1:13">
      <c r="A41" s="121" t="str">
        <f t="shared" si="0"/>
        <v>P.75</v>
      </c>
      <c r="B41" t="str">
        <f>'c-form'!C7:C7&amp;"0503"</f>
        <v>20130503</v>
      </c>
      <c r="C41" s="119">
        <f>IF(TRIM(DailyMeanGH!G31)=""," ",DailyMeanGH!G31)</f>
        <v>338.21</v>
      </c>
      <c r="D41" s="119">
        <f>IF(TRIM(DailyMeanGH!G32)=""," ",DailyMeanGH!G32)</f>
        <v>338.31</v>
      </c>
      <c r="E41" s="119">
        <f>IF(TRIM(DailyMeanGH!G33)=""," ",DailyMeanGH!G33)</f>
        <v>338.58</v>
      </c>
      <c r="F41" s="119">
        <f>IF(TRIM(DailyMeanGH!G34)=""," ",DailyMeanGH!G34)</f>
        <v>338.55</v>
      </c>
      <c r="G41" s="119">
        <f>IF(TRIM(DailyMeanGH!G35)=""," ",DailyMeanGH!G35)</f>
        <v>338.35</v>
      </c>
      <c r="H41" s="119">
        <f>IF(TRIM(DailyMeanGH!G36)=""," ",DailyMeanGH!G36)</f>
        <v>338.31</v>
      </c>
      <c r="I41" s="119">
        <f>IF(TRIM(DailyMeanGH!G37)=""," ",DailyMeanGH!G37)</f>
        <v>338.27</v>
      </c>
      <c r="J41" s="119">
        <f>IF(TRIM(DailyMeanGH!G38)=""," ",DailyMeanGH!G38)</f>
        <v>338.23</v>
      </c>
      <c r="K41" s="119">
        <f>IF(TRIM(DailyMeanGH!G39)=""," ",DailyMeanGH!G39)</f>
        <v>338.18</v>
      </c>
      <c r="L41" s="119">
        <f>IF(TRIM(DailyMeanGH!G40)=""," ",DailyMeanGH!G40)</f>
        <v>338.15</v>
      </c>
      <c r="M41" s="117">
        <f>IF(TRIM(DailyMeanGH!G41)=""," ",DailyMeanGH!G41)</f>
        <v>338.21</v>
      </c>
    </row>
    <row r="42" spans="1:13">
      <c r="A42" s="121" t="str">
        <f t="shared" si="0"/>
        <v>P.75</v>
      </c>
      <c r="B42" t="str">
        <f>'c-form'!C7:C7&amp;"0601"</f>
        <v>20130601</v>
      </c>
      <c r="C42" s="119">
        <f>IF(TRIM(DailyMeanGH!H9)=""," ",DailyMeanGH!H9)</f>
        <v>338.89</v>
      </c>
      <c r="D42" s="119">
        <f>IF(TRIM(DailyMeanGH!H10)=""," ",DailyMeanGH!H10)</f>
        <v>338.76</v>
      </c>
      <c r="E42" s="119">
        <f>IF(TRIM(DailyMeanGH!H11)=""," ",DailyMeanGH!H11)</f>
        <v>338.41</v>
      </c>
      <c r="F42" s="119">
        <f>IF(TRIM(DailyMeanGH!H12)=""," ",DailyMeanGH!H12)</f>
        <v>338.27</v>
      </c>
      <c r="G42" s="119">
        <f>IF(TRIM(DailyMeanGH!H13)=""," ",DailyMeanGH!H13)</f>
        <v>338.21</v>
      </c>
      <c r="H42" s="119">
        <f>IF(TRIM(DailyMeanGH!H14)=""," ",DailyMeanGH!H14)</f>
        <v>338.29</v>
      </c>
      <c r="I42" s="119">
        <f>IF(TRIM(DailyMeanGH!H15)=""," ",DailyMeanGH!H15)</f>
        <v>338.78</v>
      </c>
      <c r="J42" s="119">
        <f>IF(TRIM(DailyMeanGH!H16)=""," ",DailyMeanGH!H16)</f>
        <v>339.31</v>
      </c>
      <c r="K42" s="119">
        <f>IF(TRIM(DailyMeanGH!H17)=""," ",DailyMeanGH!H17)</f>
        <v>340</v>
      </c>
      <c r="L42" s="119">
        <f>IF(TRIM(DailyMeanGH!H18)=""," ",DailyMeanGH!H18)</f>
        <v>339.72</v>
      </c>
      <c r="M42" s="117"/>
    </row>
    <row r="43" spans="1:13">
      <c r="A43" s="121" t="str">
        <f t="shared" si="0"/>
        <v>P.75</v>
      </c>
      <c r="B43" t="str">
        <f>'c-form'!C7:C7&amp;"0602"</f>
        <v>20130602</v>
      </c>
      <c r="C43" s="119">
        <f>IF(TRIM(DailyMeanGH!H20)=""," ",DailyMeanGH!H20)</f>
        <v>339.01</v>
      </c>
      <c r="D43" s="119">
        <f>IF(TRIM(DailyMeanGH!H21)=""," ",DailyMeanGH!H21)</f>
        <v>338.8</v>
      </c>
      <c r="E43" s="119">
        <f>IF(TRIM(DailyMeanGH!H22)=""," ",DailyMeanGH!H22)</f>
        <v>339.01</v>
      </c>
      <c r="F43" s="119">
        <f>IF(TRIM(DailyMeanGH!H23)=""," ",DailyMeanGH!H23)</f>
        <v>339.07</v>
      </c>
      <c r="G43" s="119">
        <f>IF(TRIM(DailyMeanGH!H24)=""," ",DailyMeanGH!H24)</f>
        <v>339.46</v>
      </c>
      <c r="H43" s="119">
        <f>IF(TRIM(DailyMeanGH!H25)=""," ",DailyMeanGH!H25)</f>
        <v>339.28</v>
      </c>
      <c r="I43" s="119">
        <f>IF(TRIM(DailyMeanGH!H26)=""," ",DailyMeanGH!H26)</f>
        <v>339.51</v>
      </c>
      <c r="J43" s="119">
        <f>IF(TRIM(DailyMeanGH!H27)=""," ",DailyMeanGH!H27)</f>
        <v>339.46</v>
      </c>
      <c r="K43" s="119">
        <f>IF(TRIM(DailyMeanGH!H28)=""," ",DailyMeanGH!H28)</f>
        <v>338.98</v>
      </c>
      <c r="L43" s="119">
        <f>IF(TRIM(DailyMeanGH!H29)=""," ",DailyMeanGH!H29)</f>
        <v>338.83</v>
      </c>
      <c r="M43" s="117"/>
    </row>
    <row r="44" spans="1:13">
      <c r="A44" s="121" t="str">
        <f t="shared" si="0"/>
        <v>P.75</v>
      </c>
      <c r="B44" t="str">
        <f>'c-form'!C7:C7&amp;"0603"</f>
        <v>20130603</v>
      </c>
      <c r="C44" s="119">
        <f>IF(TRIM(DailyMeanGH!H31)=""," ",DailyMeanGH!H31)</f>
        <v>338.73</v>
      </c>
      <c r="D44" s="119">
        <f>IF(TRIM(DailyMeanGH!H32)=""," ",DailyMeanGH!H32)</f>
        <v>338.55</v>
      </c>
      <c r="E44" s="119">
        <f>IF(TRIM(DailyMeanGH!H33)=""," ",DailyMeanGH!H33)</f>
        <v>338.46</v>
      </c>
      <c r="F44" s="119">
        <f>IF(TRIM(DailyMeanGH!H34)=""," ",DailyMeanGH!H34)</f>
        <v>338.42</v>
      </c>
      <c r="G44" s="119">
        <f>IF(TRIM(DailyMeanGH!H35)=""," ",DailyMeanGH!H35)</f>
        <v>338.42</v>
      </c>
      <c r="H44" s="119">
        <f>IF(TRIM(DailyMeanGH!H36)=""," ",DailyMeanGH!H36)</f>
        <v>338.69</v>
      </c>
      <c r="I44" s="119">
        <f>IF(TRIM(DailyMeanGH!H37)=""," ",DailyMeanGH!H37)</f>
        <v>339.5</v>
      </c>
      <c r="J44" s="119">
        <f>IF(TRIM(DailyMeanGH!H38)=""," ",DailyMeanGH!H38)</f>
        <v>339.1</v>
      </c>
      <c r="K44" s="119">
        <f>IF(TRIM(DailyMeanGH!H39)=""," ",DailyMeanGH!H39)</f>
        <v>339.37</v>
      </c>
      <c r="L44" s="119">
        <f>IF(TRIM(DailyMeanGH!H40)=""," ",DailyMeanGH!H40)</f>
        <v>338.79</v>
      </c>
      <c r="M44" s="117" t="str">
        <f>IF(TRIM(DailyMeanGH!H41)=""," ",DailyMeanGH!H41)</f>
        <v xml:space="preserve"> </v>
      </c>
    </row>
    <row r="45" spans="1:13">
      <c r="A45" s="121" t="str">
        <f t="shared" ref="A45:A63" si="1">name</f>
        <v>P.75</v>
      </c>
      <c r="B45" t="str">
        <f>'c-form'!C7:C7&amp;"0701"</f>
        <v>20130701</v>
      </c>
      <c r="C45" s="119">
        <f>IF(TRIM(DailyMeanGH!I9)=""," ",DailyMeanGH!I9)</f>
        <v>338.61</v>
      </c>
      <c r="D45" s="119">
        <f>IF(TRIM(DailyMeanGH!I10)=""," ",DailyMeanGH!I10)</f>
        <v>338.57</v>
      </c>
      <c r="E45" s="119">
        <f>IF(TRIM(DailyMeanGH!I11)=""," ",DailyMeanGH!I11)</f>
        <v>338.59</v>
      </c>
      <c r="F45" s="119">
        <f>IF(TRIM(DailyMeanGH!I12)=""," ",DailyMeanGH!I12)</f>
        <v>338.55</v>
      </c>
      <c r="G45" s="119">
        <f>IF(TRIM(DailyMeanGH!I13)=""," ",DailyMeanGH!I13)</f>
        <v>338.49</v>
      </c>
      <c r="H45" s="119">
        <f>IF(TRIM(DailyMeanGH!I14)=""," ",DailyMeanGH!I14)</f>
        <v>338.61</v>
      </c>
      <c r="I45" s="119">
        <f>IF(TRIM(DailyMeanGH!I15)=""," ",DailyMeanGH!I15)</f>
        <v>338.49</v>
      </c>
      <c r="J45" s="119">
        <f>IF(TRIM(DailyMeanGH!I16)=""," ",DailyMeanGH!I16)</f>
        <v>338.42</v>
      </c>
      <c r="K45" s="119">
        <f>IF(TRIM(DailyMeanGH!I17)=""," ",DailyMeanGH!I17)</f>
        <v>338.35</v>
      </c>
      <c r="L45" s="119">
        <f>IF(TRIM(DailyMeanGH!I18)=""," ",DailyMeanGH!I18)</f>
        <v>338.29</v>
      </c>
      <c r="M45" s="117"/>
    </row>
    <row r="46" spans="1:13">
      <c r="A46" s="121" t="str">
        <f t="shared" si="1"/>
        <v>P.75</v>
      </c>
      <c r="B46" t="str">
        <f>'c-form'!C7:C7&amp;"0702"</f>
        <v>20130702</v>
      </c>
      <c r="C46" s="119">
        <f>IF(TRIM(DailyMeanGH!I20)=""," ",DailyMeanGH!I20)</f>
        <v>338.25</v>
      </c>
      <c r="D46" s="119">
        <f>IF(TRIM(DailyMeanGH!I21)=""," ",DailyMeanGH!I21)</f>
        <v>338.24</v>
      </c>
      <c r="E46" s="119">
        <f>IF(TRIM(DailyMeanGH!I22)=""," ",DailyMeanGH!I22)</f>
        <v>338.24</v>
      </c>
      <c r="F46" s="119">
        <f>IF(TRIM(DailyMeanGH!I23)=""," ",DailyMeanGH!I23)</f>
        <v>338.22</v>
      </c>
      <c r="G46" s="119">
        <f>IF(TRIM(DailyMeanGH!I24)=""," ",DailyMeanGH!I24)</f>
        <v>338.2</v>
      </c>
      <c r="H46" s="119">
        <f>IF(TRIM(DailyMeanGH!I25)=""," ",DailyMeanGH!I25)</f>
        <v>338.18</v>
      </c>
      <c r="I46" s="119">
        <f>IF(TRIM(DailyMeanGH!I26)=""," ",DailyMeanGH!I26)</f>
        <v>338.19</v>
      </c>
      <c r="J46" s="119">
        <f>IF(TRIM(DailyMeanGH!I27)=""," ",DailyMeanGH!I27)</f>
        <v>338.96</v>
      </c>
      <c r="K46" s="119">
        <f>IF(TRIM(DailyMeanGH!I28)=""," ",DailyMeanGH!I28)</f>
        <v>340.15</v>
      </c>
      <c r="L46" s="119">
        <f>IF(TRIM(DailyMeanGH!I29)=""," ",DailyMeanGH!I29)</f>
        <v>339.59</v>
      </c>
      <c r="M46" s="117"/>
    </row>
    <row r="47" spans="1:13">
      <c r="A47" s="121" t="str">
        <f t="shared" si="1"/>
        <v>P.75</v>
      </c>
      <c r="B47" t="str">
        <f>'c-form'!C7:C7&amp;"0703"</f>
        <v>20130703</v>
      </c>
      <c r="C47" s="119">
        <f>IF(TRIM(DailyMeanGH!I31)=""," ",DailyMeanGH!I31)</f>
        <v>339.32</v>
      </c>
      <c r="D47" s="119">
        <f>IF(TRIM(DailyMeanGH!I32)=""," ",DailyMeanGH!I32)</f>
        <v>339.63</v>
      </c>
      <c r="E47" s="119">
        <f>IF(TRIM(DailyMeanGH!I33)=""," ",DailyMeanGH!I33)</f>
        <v>339.36</v>
      </c>
      <c r="F47" s="119">
        <f>IF(TRIM(DailyMeanGH!I34)=""," ",DailyMeanGH!I34)</f>
        <v>339.21</v>
      </c>
      <c r="G47" s="119">
        <f>IF(TRIM(DailyMeanGH!I35)=""," ",DailyMeanGH!I35)</f>
        <v>339.05</v>
      </c>
      <c r="H47" s="119">
        <f>IF(TRIM(DailyMeanGH!I36)=""," ",DailyMeanGH!I36)</f>
        <v>338.88</v>
      </c>
      <c r="I47" s="119">
        <f>IF(TRIM(DailyMeanGH!I37)=""," ",DailyMeanGH!I37)</f>
        <v>338.78</v>
      </c>
      <c r="J47" s="119">
        <f>IF(TRIM(DailyMeanGH!I38)=""," ",DailyMeanGH!I38)</f>
        <v>338.76</v>
      </c>
      <c r="K47" s="119">
        <f>IF(TRIM(DailyMeanGH!I39)=""," ",DailyMeanGH!I39)</f>
        <v>339.01</v>
      </c>
      <c r="L47" s="119">
        <f>IF(TRIM(DailyMeanGH!I40)=""," ",DailyMeanGH!I40)</f>
        <v>338.75</v>
      </c>
      <c r="M47" s="117">
        <f>IF(TRIM(DailyMeanGH!I41)=""," ",DailyMeanGH!I41)</f>
        <v>338.68</v>
      </c>
    </row>
    <row r="48" spans="1:13">
      <c r="A48" s="121" t="str">
        <f t="shared" si="1"/>
        <v>P.75</v>
      </c>
      <c r="B48" t="str">
        <f>'c-form'!C7:C7&amp;"0801"</f>
        <v>20130801</v>
      </c>
      <c r="C48" s="119">
        <f>IF(TRIM(DailyMeanGH!J9)=""," ",DailyMeanGH!J9)</f>
        <v>338.62</v>
      </c>
      <c r="D48" s="119">
        <f>IF(TRIM(DailyMeanGH!J10)=""," ",DailyMeanGH!J10)</f>
        <v>338.55</v>
      </c>
      <c r="E48" s="119">
        <f>IF(TRIM(DailyMeanGH!J11)=""," ",DailyMeanGH!J11)</f>
        <v>338.49</v>
      </c>
      <c r="F48" s="119">
        <f>IF(TRIM(DailyMeanGH!J12)=""," ",DailyMeanGH!J12)</f>
        <v>338.45</v>
      </c>
      <c r="G48" s="119">
        <f>IF(TRIM(DailyMeanGH!J13)=""," ",DailyMeanGH!J13)</f>
        <v>338.4</v>
      </c>
      <c r="H48" s="119">
        <f>IF(TRIM(DailyMeanGH!J14)=""," ",DailyMeanGH!J14)</f>
        <v>338.37</v>
      </c>
      <c r="I48" s="119">
        <f>IF(TRIM(DailyMeanGH!J15)=""," ",DailyMeanGH!J15)</f>
        <v>338.34</v>
      </c>
      <c r="J48" s="119">
        <f>IF(TRIM(DailyMeanGH!J16)=""," ",DailyMeanGH!J16)</f>
        <v>338.32</v>
      </c>
      <c r="K48" s="119">
        <f>IF(TRIM(DailyMeanGH!J17)=""," ",DailyMeanGH!J17)</f>
        <v>338.3</v>
      </c>
      <c r="L48" s="119">
        <f>IF(TRIM(DailyMeanGH!J18)=""," ",DailyMeanGH!J18)</f>
        <v>338.28</v>
      </c>
      <c r="M48" s="117"/>
    </row>
    <row r="49" spans="1:13">
      <c r="A49" s="121" t="str">
        <f t="shared" si="1"/>
        <v>P.75</v>
      </c>
      <c r="B49" t="str">
        <f>'c-form'!C7:C7&amp;"0802"</f>
        <v>20130802</v>
      </c>
      <c r="C49" s="119">
        <f>IF(TRIM(DailyMeanGH!J20)=""," ",DailyMeanGH!J20)</f>
        <v>338.26</v>
      </c>
      <c r="D49" s="119">
        <f>IF(TRIM(DailyMeanGH!J21)=""," ",DailyMeanGH!J21)</f>
        <v>338.26</v>
      </c>
      <c r="E49" s="119">
        <f>IF(TRIM(DailyMeanGH!J22)=""," ",DailyMeanGH!J22)</f>
        <v>338.24</v>
      </c>
      <c r="F49" s="119">
        <f>IF(TRIM(DailyMeanGH!J23)=""," ",DailyMeanGH!J23)</f>
        <v>338.26</v>
      </c>
      <c r="G49" s="119">
        <f>IF(TRIM(DailyMeanGH!J24)=""," ",DailyMeanGH!J24)</f>
        <v>338.43</v>
      </c>
      <c r="H49" s="119">
        <f>IF(TRIM(DailyMeanGH!J25)=""," ",DailyMeanGH!J25)</f>
        <v>338.28</v>
      </c>
      <c r="I49" s="119">
        <f>IF(TRIM(DailyMeanGH!J26)=""," ",DailyMeanGH!J26)</f>
        <v>338.26</v>
      </c>
      <c r="J49" s="119">
        <f>IF(TRIM(DailyMeanGH!J27)=""," ",DailyMeanGH!J27)</f>
        <v>338.27</v>
      </c>
      <c r="K49" s="119">
        <f>IF(TRIM(DailyMeanGH!J28)=""," ",DailyMeanGH!J28)</f>
        <v>338.34</v>
      </c>
      <c r="L49" s="119">
        <f>IF(TRIM(DailyMeanGH!J29)=""," ",DailyMeanGH!J29)</f>
        <v>338.46</v>
      </c>
      <c r="M49" s="117"/>
    </row>
    <row r="50" spans="1:13">
      <c r="A50" s="121" t="str">
        <f t="shared" si="1"/>
        <v>P.75</v>
      </c>
      <c r="B50" t="str">
        <f>'c-form'!C7:C7&amp;"0803"</f>
        <v>20130803</v>
      </c>
      <c r="C50" s="119">
        <f>IF(TRIM(DailyMeanGH!J31)=""," ",DailyMeanGH!J31)</f>
        <v>338.35</v>
      </c>
      <c r="D50" s="119">
        <f>IF(TRIM(DailyMeanGH!J32)=""," ",DailyMeanGH!J32)</f>
        <v>338.28</v>
      </c>
      <c r="E50" s="119">
        <f>IF(TRIM(DailyMeanGH!J33)=""," ",DailyMeanGH!J33)</f>
        <v>338.23</v>
      </c>
      <c r="F50" s="119">
        <f>IF(TRIM(DailyMeanGH!J34)=""," ",DailyMeanGH!J34)</f>
        <v>338.22</v>
      </c>
      <c r="G50" s="119">
        <f>IF(TRIM(DailyMeanGH!J35)=""," ",DailyMeanGH!J35)</f>
        <v>338.2</v>
      </c>
      <c r="H50" s="119">
        <f>IF(TRIM(DailyMeanGH!J36)=""," ",DailyMeanGH!J36)</f>
        <v>338.18</v>
      </c>
      <c r="I50" s="119">
        <f>IF(TRIM(DailyMeanGH!J37)=""," ",DailyMeanGH!J37)</f>
        <v>338.18</v>
      </c>
      <c r="J50" s="119">
        <f>IF(TRIM(DailyMeanGH!J38)=""," ",DailyMeanGH!J38)</f>
        <v>338.18</v>
      </c>
      <c r="K50" s="119">
        <f>IF(TRIM(DailyMeanGH!J39)=""," ",DailyMeanGH!J39)</f>
        <v>338.17</v>
      </c>
      <c r="L50" s="119">
        <f>IF(TRIM(DailyMeanGH!J40)=""," ",DailyMeanGH!J40)</f>
        <v>338.18</v>
      </c>
      <c r="M50" s="117" t="str">
        <f>IF(TRIM(DailyMeanGH!J41)=""," ",DailyMeanGH!J41)</f>
        <v xml:space="preserve"> </v>
      </c>
    </row>
    <row r="51" spans="1:13">
      <c r="A51" s="121" t="str">
        <f t="shared" si="1"/>
        <v>P.75</v>
      </c>
      <c r="B51" t="str">
        <f>'c-form'!C7:C7&amp;"0901"</f>
        <v>20130901</v>
      </c>
      <c r="C51" s="119">
        <f>IF(TRIM(DailyMeanGH!K9)=""," ",DailyMeanGH!K9)</f>
        <v>338.16</v>
      </c>
      <c r="D51" s="119">
        <f>IF(TRIM(DailyMeanGH!K10)=""," ",DailyMeanGH!K10)</f>
        <v>338.14</v>
      </c>
      <c r="E51" s="119">
        <f>IF(TRIM(DailyMeanGH!K11)=""," ",DailyMeanGH!K11)</f>
        <v>338.14</v>
      </c>
      <c r="F51" s="119">
        <f>IF(TRIM(DailyMeanGH!K12)=""," ",DailyMeanGH!K12)</f>
        <v>338.13</v>
      </c>
      <c r="G51" s="119">
        <f>IF(TRIM(DailyMeanGH!K13)=""," ",DailyMeanGH!K13)</f>
        <v>338.12</v>
      </c>
      <c r="H51" s="119">
        <f>IF(TRIM(DailyMeanGH!K14)=""," ",DailyMeanGH!K14)</f>
        <v>338.11</v>
      </c>
      <c r="I51" s="119">
        <f>IF(TRIM(DailyMeanGH!K15)=""," ",DailyMeanGH!K15)</f>
        <v>338.1</v>
      </c>
      <c r="J51" s="119">
        <f>IF(TRIM(DailyMeanGH!K16)=""," ",DailyMeanGH!K16)</f>
        <v>338.1</v>
      </c>
      <c r="K51" s="119">
        <f>IF(TRIM(DailyMeanGH!K17)=""," ",DailyMeanGH!K17)</f>
        <v>338.09</v>
      </c>
      <c r="L51" s="119">
        <f>IF(TRIM(DailyMeanGH!K18)=""," ",DailyMeanGH!K18)</f>
        <v>338.08</v>
      </c>
      <c r="M51" s="117"/>
    </row>
    <row r="52" spans="1:13">
      <c r="A52" s="121" t="str">
        <f t="shared" si="1"/>
        <v>P.75</v>
      </c>
      <c r="B52" t="str">
        <f>'c-form'!C7:C7&amp;"0902"</f>
        <v>20130902</v>
      </c>
      <c r="C52" s="119">
        <f>IF(TRIM(DailyMeanGH!K20)=""," ",DailyMeanGH!K20)</f>
        <v>338.08</v>
      </c>
      <c r="D52" s="119">
        <f>IF(TRIM(DailyMeanGH!K21)=""," ",DailyMeanGH!K21)</f>
        <v>338.09</v>
      </c>
      <c r="E52" s="119">
        <f>IF(TRIM(DailyMeanGH!K22)=""," ",DailyMeanGH!K22)</f>
        <v>338.12</v>
      </c>
      <c r="F52" s="119">
        <f>IF(TRIM(DailyMeanGH!K23)=""," ",DailyMeanGH!K23)</f>
        <v>338.34</v>
      </c>
      <c r="G52" s="119">
        <f>IF(TRIM(DailyMeanGH!K24)=""," ",DailyMeanGH!K24)</f>
        <v>338.54</v>
      </c>
      <c r="H52" s="119">
        <f>IF(TRIM(DailyMeanGH!K25)=""," ",DailyMeanGH!K25)</f>
        <v>338.51</v>
      </c>
      <c r="I52" s="119">
        <f>IF(TRIM(DailyMeanGH!K26)=""," ",DailyMeanGH!K26)</f>
        <v>338.27</v>
      </c>
      <c r="J52" s="119">
        <f>IF(TRIM(DailyMeanGH!K27)=""," ",DailyMeanGH!K27)</f>
        <v>338.2</v>
      </c>
      <c r="K52" s="119">
        <f>IF(TRIM(DailyMeanGH!K28)=""," ",DailyMeanGH!K28)</f>
        <v>338.17</v>
      </c>
      <c r="L52" s="119">
        <f>IF(TRIM(DailyMeanGH!K29)=""," ",DailyMeanGH!K29)</f>
        <v>338.13</v>
      </c>
      <c r="M52" s="117"/>
    </row>
    <row r="53" spans="1:13">
      <c r="A53" s="121" t="str">
        <f t="shared" si="1"/>
        <v>P.75</v>
      </c>
      <c r="B53" t="str">
        <f>'c-form'!C7:C7&amp;"0903"</f>
        <v>20130903</v>
      </c>
      <c r="C53" s="119">
        <f>IF(TRIM(DailyMeanGH!K31)=""," ",DailyMeanGH!K31)</f>
        <v>338.1</v>
      </c>
      <c r="D53" s="119">
        <f>IF(TRIM(DailyMeanGH!K32)=""," ",DailyMeanGH!K32)</f>
        <v>338.08</v>
      </c>
      <c r="E53" s="119">
        <f>IF(TRIM(DailyMeanGH!K33)=""," ",DailyMeanGH!K33)</f>
        <v>338.07</v>
      </c>
      <c r="F53" s="119">
        <f>IF(TRIM(DailyMeanGH!K34)=""," ",DailyMeanGH!K34)</f>
        <v>338.05</v>
      </c>
      <c r="G53" s="119">
        <f>IF(TRIM(DailyMeanGH!K35)=""," ",DailyMeanGH!K35)</f>
        <v>338.14</v>
      </c>
      <c r="H53" s="119">
        <f>IF(TRIM(DailyMeanGH!K36)=""," ",DailyMeanGH!K36)</f>
        <v>338.05</v>
      </c>
      <c r="I53" s="119">
        <f>IF(TRIM(DailyMeanGH!K37)=""," ",DailyMeanGH!K37)</f>
        <v>338.03</v>
      </c>
      <c r="J53" s="119">
        <f>IF(TRIM(DailyMeanGH!K38)=""," ",DailyMeanGH!K38)</f>
        <v>338.03</v>
      </c>
      <c r="K53" s="119">
        <f>IF(TRIM(DailyMeanGH!K39)=""," ",DailyMeanGH!K39)</f>
        <v>338.04</v>
      </c>
      <c r="L53" s="119">
        <f>IF(TRIM(DailyMeanGH!K40)=""," ",DailyMeanGH!K40)</f>
        <v>338.04</v>
      </c>
      <c r="M53" s="117">
        <f>IF(TRIM(DailyMeanGH!K41)=""," ",DailyMeanGH!K41)</f>
        <v>338.04</v>
      </c>
    </row>
    <row r="54" spans="1:13">
      <c r="A54" s="121" t="str">
        <f t="shared" si="1"/>
        <v>P.75</v>
      </c>
      <c r="B54" t="str">
        <f>'c-form'!C7:C7&amp;"1001"</f>
        <v>20131001</v>
      </c>
      <c r="C54" s="119">
        <f>IF(TRIM(DailyMeanGH!L9)=""," ",DailyMeanGH!L9)</f>
        <v>338.04</v>
      </c>
      <c r="D54" s="119">
        <f>IF(TRIM(DailyMeanGH!L10)=""," ",DailyMeanGH!L10)</f>
        <v>338.03</v>
      </c>
      <c r="E54" s="119">
        <f>IF(TRIM(DailyMeanGH!L11)=""," ",DailyMeanGH!L11)</f>
        <v>338.03</v>
      </c>
      <c r="F54" s="119">
        <f>IF(TRIM(DailyMeanGH!L12)=""," ",DailyMeanGH!L12)</f>
        <v>338.03</v>
      </c>
      <c r="G54" s="119">
        <f>IF(TRIM(DailyMeanGH!L13)=""," ",DailyMeanGH!L13)</f>
        <v>338.03</v>
      </c>
      <c r="H54" s="119">
        <f>IF(TRIM(DailyMeanGH!L14)=""," ",DailyMeanGH!L14)</f>
        <v>338.01</v>
      </c>
      <c r="I54" s="119">
        <f>IF(TRIM(DailyMeanGH!L15)=""," ",DailyMeanGH!L15)</f>
        <v>338.02</v>
      </c>
      <c r="J54" s="119">
        <f>IF(TRIM(DailyMeanGH!L16)=""," ",DailyMeanGH!L16)</f>
        <v>338.02</v>
      </c>
      <c r="K54" s="119">
        <f>IF(TRIM(DailyMeanGH!L17)=""," ",DailyMeanGH!L17)</f>
        <v>338.01</v>
      </c>
      <c r="L54" s="119">
        <f>IF(TRIM(DailyMeanGH!L18)=""," ",DailyMeanGH!L18)</f>
        <v>338.01</v>
      </c>
      <c r="M54" s="117"/>
    </row>
    <row r="55" spans="1:13">
      <c r="A55" s="121" t="str">
        <f t="shared" si="1"/>
        <v>P.75</v>
      </c>
      <c r="B55" t="str">
        <f>'c-form'!C7:C7&amp;"1002"</f>
        <v>20131002</v>
      </c>
      <c r="C55" s="119">
        <f>IF(TRIM(DailyMeanGH!L20)=""," ",DailyMeanGH!L20)</f>
        <v>338</v>
      </c>
      <c r="D55" s="119">
        <f>IF(TRIM(DailyMeanGH!L21)=""," ",DailyMeanGH!L21)</f>
        <v>338</v>
      </c>
      <c r="E55" s="119">
        <f>IF(TRIM(DailyMeanGH!L22)=""," ",DailyMeanGH!L22)</f>
        <v>337.99</v>
      </c>
      <c r="F55" s="119">
        <f>IF(TRIM(DailyMeanGH!L23)=""," ",DailyMeanGH!L23)</f>
        <v>338</v>
      </c>
      <c r="G55" s="119">
        <f>IF(TRIM(DailyMeanGH!L24)=""," ",DailyMeanGH!L24)</f>
        <v>338</v>
      </c>
      <c r="H55" s="119">
        <f>IF(TRIM(DailyMeanGH!L25)=""," ",DailyMeanGH!L25)</f>
        <v>338</v>
      </c>
      <c r="I55" s="119">
        <f>IF(TRIM(DailyMeanGH!L26)=""," ",DailyMeanGH!L26)</f>
        <v>338.07</v>
      </c>
      <c r="J55" s="119">
        <f>IF(TRIM(DailyMeanGH!L27)=""," ",DailyMeanGH!L27)</f>
        <v>338.31</v>
      </c>
      <c r="K55" s="119">
        <f>IF(TRIM(DailyMeanGH!L28)=""," ",DailyMeanGH!L28)</f>
        <v>338.33</v>
      </c>
      <c r="L55" s="119">
        <f>IF(TRIM(DailyMeanGH!L29)=""," ",DailyMeanGH!L29)</f>
        <v>338.24</v>
      </c>
      <c r="M55" s="117"/>
    </row>
    <row r="56" spans="1:13">
      <c r="A56" s="121" t="str">
        <f t="shared" si="1"/>
        <v>P.75</v>
      </c>
      <c r="B56" t="str">
        <f>'c-form'!C7:C7&amp;"1003"</f>
        <v>20131003</v>
      </c>
      <c r="C56" s="119">
        <f>IF(TRIM(DailyMeanGH!L31)=""," ",DailyMeanGH!L31)</f>
        <v>337.97</v>
      </c>
      <c r="D56" s="119">
        <f>IF(TRIM(DailyMeanGH!L32)=""," ",DailyMeanGH!L32)</f>
        <v>337.96</v>
      </c>
      <c r="E56" s="119">
        <f>IF(TRIM(DailyMeanGH!L33)=""," ",DailyMeanGH!L33)</f>
        <v>337.96</v>
      </c>
      <c r="F56" s="119">
        <f>IF(TRIM(DailyMeanGH!L34)=""," ",DailyMeanGH!L34)</f>
        <v>338</v>
      </c>
      <c r="G56" s="119">
        <f>IF(TRIM(DailyMeanGH!L35)=""," ",DailyMeanGH!L35)</f>
        <v>338.31</v>
      </c>
      <c r="H56" s="119">
        <f>IF(TRIM(DailyMeanGH!L36)=""," ",DailyMeanGH!L36)</f>
        <v>338.32</v>
      </c>
      <c r="I56" s="119">
        <f>IF(TRIM(DailyMeanGH!L37)=""," ",DailyMeanGH!L37)</f>
        <v>338.2</v>
      </c>
      <c r="J56" s="119">
        <f>IF(TRIM(DailyMeanGH!L38)=""," ",DailyMeanGH!L38)</f>
        <v>337.94</v>
      </c>
      <c r="K56" s="119">
        <f>IF(TRIM(DailyMeanGH!L39)=""," ",DailyMeanGH!L39)</f>
        <v>337.92</v>
      </c>
      <c r="L56" s="119">
        <f>IF(TRIM(DailyMeanGH!L40)=""," ",DailyMeanGH!L40)</f>
        <v>337.93</v>
      </c>
      <c r="M56" s="117">
        <f>IF(TRIM(DailyMeanGH!L41)=""," ",DailyMeanGH!L41)</f>
        <v>338.01</v>
      </c>
    </row>
    <row r="57" spans="1:13">
      <c r="A57" s="121" t="str">
        <f t="shared" si="1"/>
        <v>P.75</v>
      </c>
      <c r="B57" t="str">
        <f>'c-form'!C7:C7&amp;"1101"</f>
        <v>20131101</v>
      </c>
      <c r="C57" s="119">
        <f>IF(TRIM(DailyMeanGH!M9)=""," ",DailyMeanGH!M9)</f>
        <v>338.31</v>
      </c>
      <c r="D57" s="119">
        <f>IF(TRIM(DailyMeanGH!M10)=""," ",DailyMeanGH!M10)</f>
        <v>338.24</v>
      </c>
      <c r="E57" s="119">
        <f>IF(TRIM(DailyMeanGH!M11)=""," ",DailyMeanGH!M11)</f>
        <v>337.98</v>
      </c>
      <c r="F57" s="119">
        <f>IF(TRIM(DailyMeanGH!M12)=""," ",DailyMeanGH!M12)</f>
        <v>338.05</v>
      </c>
      <c r="G57" s="119">
        <f>IF(TRIM(DailyMeanGH!M13)=""," ",DailyMeanGH!M13)</f>
        <v>337.93</v>
      </c>
      <c r="H57" s="119">
        <f>IF(TRIM(DailyMeanGH!M14)=""," ",DailyMeanGH!M14)</f>
        <v>337.92</v>
      </c>
      <c r="I57" s="119">
        <f>IF(TRIM(DailyMeanGH!M15)=""," ",DailyMeanGH!M15)</f>
        <v>338.01</v>
      </c>
      <c r="J57" s="119">
        <f>IF(TRIM(DailyMeanGH!M16)=""," ",DailyMeanGH!M16)</f>
        <v>338.26</v>
      </c>
      <c r="K57" s="119">
        <f>IF(TRIM(DailyMeanGH!M17)=""," ",DailyMeanGH!M17)</f>
        <v>338.27</v>
      </c>
      <c r="L57" s="119">
        <f>IF(TRIM(DailyMeanGH!M18)=""," ",DailyMeanGH!M18)</f>
        <v>338.17</v>
      </c>
      <c r="M57" s="117"/>
    </row>
    <row r="58" spans="1:13">
      <c r="A58" s="121" t="str">
        <f t="shared" si="1"/>
        <v>P.75</v>
      </c>
      <c r="B58" t="str">
        <f>'c-form'!C7:C7&amp;"1102"</f>
        <v>20131102</v>
      </c>
      <c r="C58" s="119">
        <f>IF(TRIM(DailyMeanGH!M20)=""," ",DailyMeanGH!M20)</f>
        <v>337.9</v>
      </c>
      <c r="D58" s="119">
        <f>IF(TRIM(DailyMeanGH!M21)=""," ",DailyMeanGH!M21)</f>
        <v>337.89</v>
      </c>
      <c r="E58" s="119">
        <f>IF(TRIM(DailyMeanGH!M22)=""," ",DailyMeanGH!M22)</f>
        <v>337.9</v>
      </c>
      <c r="F58" s="119">
        <f>IF(TRIM(DailyMeanGH!M23)=""," ",DailyMeanGH!M23)</f>
        <v>337.97</v>
      </c>
      <c r="G58" s="119">
        <f>IF(TRIM(DailyMeanGH!M24)=""," ",DailyMeanGH!M24)</f>
        <v>338.33</v>
      </c>
      <c r="H58" s="119">
        <f>IF(TRIM(DailyMeanGH!M25)=""," ",DailyMeanGH!M25)</f>
        <v>338.44</v>
      </c>
      <c r="I58" s="119">
        <f>IF(TRIM(DailyMeanGH!M26)=""," ",DailyMeanGH!M26)</f>
        <v>338.29</v>
      </c>
      <c r="J58" s="119">
        <f>IF(TRIM(DailyMeanGH!M27)=""," ",DailyMeanGH!M27)</f>
        <v>337.88</v>
      </c>
      <c r="K58" s="119">
        <f>IF(TRIM(DailyMeanGH!M28)=""," ",DailyMeanGH!M28)</f>
        <v>337.87</v>
      </c>
      <c r="L58" s="119">
        <f>IF(TRIM(DailyMeanGH!M29)=""," ",DailyMeanGH!M29)</f>
        <v>337.88</v>
      </c>
      <c r="M58" s="117"/>
    </row>
    <row r="59" spans="1:13">
      <c r="A59" s="121" t="str">
        <f t="shared" si="1"/>
        <v>P.75</v>
      </c>
      <c r="B59" t="str">
        <f>'c-form'!C7:C7&amp;"1103"</f>
        <v>20131103</v>
      </c>
      <c r="C59" s="119">
        <f>IF(TRIM(DailyMeanGH!M31)=""," ",DailyMeanGH!M31)</f>
        <v>337.96</v>
      </c>
      <c r="D59" s="119">
        <f>IF(TRIM(DailyMeanGH!M32)=""," ",DailyMeanGH!M32)</f>
        <v>338.26</v>
      </c>
      <c r="E59" s="119">
        <f>IF(TRIM(DailyMeanGH!M33)=""," ",DailyMeanGH!M33)</f>
        <v>338.1</v>
      </c>
      <c r="F59" s="119">
        <f>IF(TRIM(DailyMeanGH!M34)=""," ",DailyMeanGH!M34)</f>
        <v>338.15</v>
      </c>
      <c r="G59" s="119">
        <f>IF(TRIM(DailyMeanGH!M35)=""," ",DailyMeanGH!M35)</f>
        <v>337.87</v>
      </c>
      <c r="H59" s="119">
        <f>IF(TRIM(DailyMeanGH!M36)=""," ",DailyMeanGH!M36)</f>
        <v>337.85</v>
      </c>
      <c r="I59" s="119">
        <f>IF(TRIM(DailyMeanGH!M37)=""," ",DailyMeanGH!M37)</f>
        <v>337.85</v>
      </c>
      <c r="J59" s="119">
        <f>IF(TRIM(DailyMeanGH!M38)=""," ",DailyMeanGH!M38)</f>
        <v>337.96</v>
      </c>
      <c r="K59" s="119" t="str">
        <f>IF(TRIM(DailyMeanGH!M39)=""," ",DailyMeanGH!M39)</f>
        <v xml:space="preserve"> </v>
      </c>
      <c r="L59" s="119">
        <f>IF(TRIM(DailyMeanGH!C9)=""," ",DailyMeanGH!C9)</f>
        <v>338.05</v>
      </c>
      <c r="M59" s="117">
        <f>IF(TRIM(DailyMeanGH!C9)=""," ",DailyMeanGH!C9)</f>
        <v>338.05</v>
      </c>
    </row>
    <row r="60" spans="1:13">
      <c r="A60" s="121" t="str">
        <f t="shared" si="1"/>
        <v>P.75</v>
      </c>
      <c r="B60" t="str">
        <f>'c-form'!C7:C7&amp;"1201"</f>
        <v>20131201</v>
      </c>
      <c r="C60" s="119">
        <f>IF(TRIM(DailyMeanGH!N9)=""," ",DailyMeanGH!N9)</f>
        <v>338.24</v>
      </c>
      <c r="D60" s="119">
        <f>IF(TRIM(DailyMeanGH!N10)=""," ",DailyMeanGH!N10)</f>
        <v>338.25</v>
      </c>
      <c r="E60" s="119">
        <f>IF(TRIM(DailyMeanGH!N11)=""," ",DailyMeanGH!N11)</f>
        <v>338.12</v>
      </c>
      <c r="F60" s="119">
        <f>IF(TRIM(DailyMeanGH!N12)=""," ",DailyMeanGH!N12)</f>
        <v>337.85</v>
      </c>
      <c r="G60" s="119">
        <f>IF(TRIM(DailyMeanGH!N13)=""," ",DailyMeanGH!N13)</f>
        <v>337.86</v>
      </c>
      <c r="H60" s="119">
        <f>IF(TRIM(DailyMeanGH!N14)=""," ",DailyMeanGH!N14)</f>
        <v>337.85</v>
      </c>
      <c r="I60" s="119">
        <f>IF(TRIM(DailyMeanGH!N15)=""," ",DailyMeanGH!N15)</f>
        <v>337.93</v>
      </c>
      <c r="J60" s="119">
        <f>IF(TRIM(DailyMeanGH!N16)=""," ",DailyMeanGH!N16)</f>
        <v>338.24</v>
      </c>
      <c r="K60" s="119">
        <f>IF(TRIM(DailyMeanGH!N17)=""," ",DailyMeanGH!N17)</f>
        <v>338.25</v>
      </c>
      <c r="L60" s="119">
        <f>IF(TRIM(DailyMeanGH!N18)=""," ",DailyMeanGH!N18)</f>
        <v>338.25</v>
      </c>
      <c r="M60" s="117"/>
    </row>
    <row r="61" spans="1:13">
      <c r="A61" s="121" t="str">
        <f t="shared" si="1"/>
        <v>P.75</v>
      </c>
      <c r="B61" t="str">
        <f>'c-form'!C7:C7&amp;"1202"</f>
        <v>20131202</v>
      </c>
      <c r="C61" s="119">
        <f>IF(TRIM(DailyMeanGH!N20)=""," ",DailyMeanGH!N20)</f>
        <v>338.17</v>
      </c>
      <c r="D61" s="119">
        <f>IF(TRIM(DailyMeanGH!N21)=""," ",DailyMeanGH!N21)</f>
        <v>337.85</v>
      </c>
      <c r="E61" s="119">
        <f>IF(TRIM(DailyMeanGH!N22)=""," ",DailyMeanGH!N22)</f>
        <v>337.84</v>
      </c>
      <c r="F61" s="119">
        <f>IF(TRIM(DailyMeanGH!N23)=""," ",DailyMeanGH!N23)</f>
        <v>337.93</v>
      </c>
      <c r="G61" s="119">
        <f>IF(TRIM(DailyMeanGH!N24)=""," ",DailyMeanGH!N24)</f>
        <v>338.29</v>
      </c>
      <c r="H61" s="119">
        <f>IF(TRIM(DailyMeanGH!N25)=""," ",DailyMeanGH!N25)</f>
        <v>338.3</v>
      </c>
      <c r="I61" s="119">
        <f>IF(TRIM(DailyMeanGH!N26)=""," ",DailyMeanGH!N26)</f>
        <v>338.31</v>
      </c>
      <c r="J61" s="119">
        <f>IF(TRIM(DailyMeanGH!N27)=""," ",DailyMeanGH!N27)</f>
        <v>338.18</v>
      </c>
      <c r="K61" s="119">
        <f>IF(TRIM(DailyMeanGH!N28)=""," ",DailyMeanGH!N28)</f>
        <v>337.83</v>
      </c>
      <c r="L61" s="119">
        <f>IF(TRIM(DailyMeanGH!N29)=""," ",DailyMeanGH!N29)</f>
        <v>337.81</v>
      </c>
      <c r="M61" s="117"/>
    </row>
    <row r="62" spans="1:13">
      <c r="A62" s="121" t="str">
        <f t="shared" si="1"/>
        <v>P.75</v>
      </c>
      <c r="B62" t="str">
        <f>'c-form'!C7:C7&amp;"1203"</f>
        <v>20131203</v>
      </c>
      <c r="C62" s="119">
        <f>IF(TRIM(DailyMeanGH!N31)=""," ",DailyMeanGH!N31)</f>
        <v>337.93</v>
      </c>
      <c r="D62" s="119">
        <f>IF(TRIM(DailyMeanGH!N32)=""," ",DailyMeanGH!N32)</f>
        <v>338.28</v>
      </c>
      <c r="E62" s="119">
        <f>IF(TRIM(DailyMeanGH!N33)=""," ",DailyMeanGH!N33)</f>
        <v>338.24</v>
      </c>
      <c r="F62" s="119">
        <f>IF(TRIM(DailyMeanGH!N34)=""," ",DailyMeanGH!N34)</f>
        <v>338.19</v>
      </c>
      <c r="G62" s="119">
        <f>IF(TRIM(DailyMeanGH!N35)=""," ",DailyMeanGH!N35)</f>
        <v>338.05</v>
      </c>
      <c r="H62" s="119">
        <f>IF(TRIM(DailyMeanGH!N36)=""," ",DailyMeanGH!N36)</f>
        <v>337.8</v>
      </c>
      <c r="I62" s="119">
        <f>IF(TRIM(DailyMeanGH!N37)=""," ",DailyMeanGH!N37)</f>
        <v>337.8</v>
      </c>
      <c r="J62" s="119">
        <f>IF(TRIM(DailyMeanGH!N38)=""," ",DailyMeanGH!N38)</f>
        <v>337.95</v>
      </c>
      <c r="K62" s="119">
        <f>IF(TRIM(DailyMeanGH!N39)=""," ",DailyMeanGH!N39)</f>
        <v>338.29</v>
      </c>
      <c r="L62" s="117">
        <f>IF(TRIM(DailyMeanGH!N40)=""," ",DailyMeanGH!N40)</f>
        <v>338.24</v>
      </c>
      <c r="M62" s="117">
        <f>IF(TRIM(DailyMeanGH!N41)=""," ",DailyMeanGH!N41)</f>
        <v>338.21</v>
      </c>
    </row>
    <row r="63" spans="1:13">
      <c r="A63" s="121" t="str">
        <f t="shared" si="1"/>
        <v>P.75</v>
      </c>
      <c r="B63" t="str">
        <f>'c-form'!C7:C7&amp;"9999"</f>
        <v>20139999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7"/>
    </row>
  </sheetData>
  <sheetProtection password="D965" sheet="1" objects="1" scenarios="1"/>
  <mergeCells count="3">
    <mergeCell ref="C3:E3"/>
    <mergeCell ref="C2:L2"/>
    <mergeCell ref="C6:L6"/>
  </mergeCells>
  <phoneticPr fontId="7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C4:M28"/>
  <sheetViews>
    <sheetView showGridLines="0" topLeftCell="A4" workbookViewId="0">
      <selection activeCell="M51" sqref="M51:M53"/>
    </sheetView>
  </sheetViews>
  <sheetFormatPr defaultRowHeight="12.75"/>
  <cols>
    <col min="1" max="6" width="9.140625" style="115"/>
    <col min="7" max="7" width="8.28515625" style="115" customWidth="1"/>
    <col min="8" max="8" width="4.7109375" style="115" customWidth="1"/>
    <col min="9" max="16384" width="9.140625" style="115"/>
  </cols>
  <sheetData>
    <row r="4" spans="3:13"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3:13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3:13">
      <c r="C6" s="506" t="str">
        <f>name &amp;"   " &amp; stampv &amp; "    " &amp; "Year  "&amp; 'c-form'!C7:C7</f>
        <v>P.75   Ban Cho Lae,  Mae Taeng, Chiang Mai,P.75    Year  2013</v>
      </c>
      <c r="D6" s="507"/>
      <c r="E6" s="507"/>
      <c r="F6" s="507"/>
      <c r="G6" s="507"/>
      <c r="H6" s="507"/>
      <c r="I6" s="507"/>
      <c r="J6" s="507"/>
      <c r="K6" s="507"/>
      <c r="L6" s="507"/>
      <c r="M6" s="116"/>
    </row>
    <row r="7" spans="3:13"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3:13"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3:13">
      <c r="C9" s="116"/>
      <c r="D9" s="116"/>
      <c r="E9" s="116"/>
      <c r="F9" s="116"/>
      <c r="G9" s="116"/>
      <c r="H9" s="116"/>
      <c r="I9" s="508" t="s">
        <v>141</v>
      </c>
      <c r="J9" s="509"/>
      <c r="K9" s="509"/>
      <c r="L9" s="116"/>
      <c r="M9" s="116"/>
    </row>
    <row r="10" spans="3:13"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3:13"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3:13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3:13"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</row>
    <row r="14" spans="3:13"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</row>
    <row r="15" spans="3:13"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pans="3:13"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3:13"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</row>
    <row r="18" spans="3:13" ht="15" customHeight="1"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3:13"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3:13"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3:13"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3:13"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3:13"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</row>
    <row r="24" spans="3:13"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3:13"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</row>
    <row r="26" spans="3:13"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3:13"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3:13"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</sheetData>
  <sheetProtection formatCells="0" formatColumns="0" selectLockedCells="1" selectUnlockedCells="1"/>
  <mergeCells count="2">
    <mergeCell ref="C6:L6"/>
    <mergeCell ref="I9:K9"/>
  </mergeCells>
  <phoneticPr fontId="0" type="noConversion"/>
  <hyperlinks>
    <hyperlink ref="I9" r:id="rId1"/>
    <hyperlink ref="I9:K9" r:id="rId2" display="UpLoadWeb-Hydroweb"/>
  </hyperlinks>
  <pageMargins left="0.75" right="0.75" top="1" bottom="1" header="0.5" footer="0.5"/>
  <pageSetup orientation="landscape" verticalDpi="180" r:id="rId3"/>
  <headerFooter alignWithMargins="0"/>
  <cellWatches>
    <cellWatch r="F25"/>
  </cellWatches>
  <drawing r:id="rId4"/>
  <legacyDrawing r:id="rId5"/>
  <controls>
    <mc:AlternateContent xmlns:mc="http://schemas.openxmlformats.org/markup-compatibility/2006">
      <mc:Choice Requires="x14">
        <control shapeId="17409" r:id="rId6" name="Csav30">
          <controlPr defaultSize="0" autoFill="0" autoLine="0" r:id="rId7">
            <anchor moveWithCells="1" sizeWithCells="1">
              <from>
                <xdr:col>3</xdr:col>
                <xdr:colOff>276225</xdr:colOff>
                <xdr:row>7</xdr:row>
                <xdr:rowOff>76200</xdr:rowOff>
              </from>
              <to>
                <xdr:col>6</xdr:col>
                <xdr:colOff>466725</xdr:colOff>
                <xdr:row>10</xdr:row>
                <xdr:rowOff>0</xdr:rowOff>
              </to>
            </anchor>
          </controlPr>
        </control>
      </mc:Choice>
      <mc:Fallback>
        <control shapeId="17409" r:id="rId6" name="Csav30"/>
      </mc:Fallback>
    </mc:AlternateContent>
    <mc:AlternateContent xmlns:mc="http://schemas.openxmlformats.org/markup-compatibility/2006">
      <mc:Choice Requires="x14">
        <control shapeId="17411" r:id="rId8" name="CBApr">
          <controlPr defaultSize="0" autoFill="0" autoLine="0" r:id="rId9">
            <anchor moveWithCells="1" sizeWithCells="1">
              <from>
                <xdr:col>2</xdr:col>
                <xdr:colOff>161925</xdr:colOff>
                <xdr:row>11</xdr:row>
                <xdr:rowOff>104775</xdr:rowOff>
              </from>
              <to>
                <xdr:col>5</xdr:col>
                <xdr:colOff>276225</xdr:colOff>
                <xdr:row>13</xdr:row>
                <xdr:rowOff>152400</xdr:rowOff>
              </to>
            </anchor>
          </controlPr>
        </control>
      </mc:Choice>
      <mc:Fallback>
        <control shapeId="17411" r:id="rId8" name="CBApr"/>
      </mc:Fallback>
    </mc:AlternateContent>
    <mc:AlternateContent xmlns:mc="http://schemas.openxmlformats.org/markup-compatibility/2006">
      <mc:Choice Requires="x14">
        <control shapeId="17412" r:id="rId10" name="CBMay">
          <controlPr defaultSize="0" autoFill="0" autoLine="0" r:id="rId11">
            <anchor moveWithCells="1" sizeWithCells="1">
              <from>
                <xdr:col>5</xdr:col>
                <xdr:colOff>466725</xdr:colOff>
                <xdr:row>11</xdr:row>
                <xdr:rowOff>114300</xdr:rowOff>
              </from>
              <to>
                <xdr:col>9</xdr:col>
                <xdr:colOff>342900</xdr:colOff>
                <xdr:row>13</xdr:row>
                <xdr:rowOff>152400</xdr:rowOff>
              </to>
            </anchor>
          </controlPr>
        </control>
      </mc:Choice>
      <mc:Fallback>
        <control shapeId="17412" r:id="rId10" name="CBMay"/>
      </mc:Fallback>
    </mc:AlternateContent>
    <mc:AlternateContent xmlns:mc="http://schemas.openxmlformats.org/markup-compatibility/2006">
      <mc:Choice Requires="x14">
        <control shapeId="17413" r:id="rId12" name="CBJun">
          <controlPr defaultSize="0" autoFill="0" autoLine="0" r:id="rId13">
            <anchor moveWithCells="1" sizeWithCells="1">
              <from>
                <xdr:col>9</xdr:col>
                <xdr:colOff>504825</xdr:colOff>
                <xdr:row>11</xdr:row>
                <xdr:rowOff>114300</xdr:rowOff>
              </from>
              <to>
                <xdr:col>12</xdr:col>
                <xdr:colOff>523875</xdr:colOff>
                <xdr:row>14</xdr:row>
                <xdr:rowOff>0</xdr:rowOff>
              </to>
            </anchor>
          </controlPr>
        </control>
      </mc:Choice>
      <mc:Fallback>
        <control shapeId="17413" r:id="rId12" name="CBJun"/>
      </mc:Fallback>
    </mc:AlternateContent>
    <mc:AlternateContent xmlns:mc="http://schemas.openxmlformats.org/markup-compatibility/2006">
      <mc:Choice Requires="x14">
        <control shapeId="17414" r:id="rId14" name="CBJul">
          <controlPr defaultSize="0" autoFill="0" autoLine="0" r:id="rId15">
            <anchor moveWithCells="1" sizeWithCells="1">
              <from>
                <xdr:col>2</xdr:col>
                <xdr:colOff>171450</xdr:colOff>
                <xdr:row>15</xdr:row>
                <xdr:rowOff>38100</xdr:rowOff>
              </from>
              <to>
                <xdr:col>5</xdr:col>
                <xdr:colOff>266700</xdr:colOff>
                <xdr:row>17</xdr:row>
                <xdr:rowOff>66675</xdr:rowOff>
              </to>
            </anchor>
          </controlPr>
        </control>
      </mc:Choice>
      <mc:Fallback>
        <control shapeId="17414" r:id="rId14" name="CBJul"/>
      </mc:Fallback>
    </mc:AlternateContent>
    <mc:AlternateContent xmlns:mc="http://schemas.openxmlformats.org/markup-compatibility/2006">
      <mc:Choice Requires="x14">
        <control shapeId="17415" r:id="rId16" name="CBAug">
          <controlPr defaultSize="0" autoFill="0" autoLine="0" r:id="rId17">
            <anchor moveWithCells="1" sizeWithCells="1">
              <from>
                <xdr:col>5</xdr:col>
                <xdr:colOff>476250</xdr:colOff>
                <xdr:row>15</xdr:row>
                <xdr:rowOff>38100</xdr:rowOff>
              </from>
              <to>
                <xdr:col>9</xdr:col>
                <xdr:colOff>381000</xdr:colOff>
                <xdr:row>17</xdr:row>
                <xdr:rowOff>76200</xdr:rowOff>
              </to>
            </anchor>
          </controlPr>
        </control>
      </mc:Choice>
      <mc:Fallback>
        <control shapeId="17415" r:id="rId16" name="CBAug"/>
      </mc:Fallback>
    </mc:AlternateContent>
    <mc:AlternateContent xmlns:mc="http://schemas.openxmlformats.org/markup-compatibility/2006">
      <mc:Choice Requires="x14">
        <control shapeId="17416" r:id="rId18" name="CBSep">
          <controlPr defaultSize="0" autoFill="0" autoLine="0" r:id="rId19">
            <anchor moveWithCells="1" sizeWithCells="1">
              <from>
                <xdr:col>9</xdr:col>
                <xdr:colOff>523875</xdr:colOff>
                <xdr:row>15</xdr:row>
                <xdr:rowOff>47625</xdr:rowOff>
              </from>
              <to>
                <xdr:col>12</xdr:col>
                <xdr:colOff>533400</xdr:colOff>
                <xdr:row>17</xdr:row>
                <xdr:rowOff>95250</xdr:rowOff>
              </to>
            </anchor>
          </controlPr>
        </control>
      </mc:Choice>
      <mc:Fallback>
        <control shapeId="17416" r:id="rId18" name="CBSep"/>
      </mc:Fallback>
    </mc:AlternateContent>
    <mc:AlternateContent xmlns:mc="http://schemas.openxmlformats.org/markup-compatibility/2006">
      <mc:Choice Requires="x14">
        <control shapeId="17417" r:id="rId20" name="CBOct">
          <controlPr defaultSize="0" autoFill="0" autoLine="0" r:id="rId21">
            <anchor moveWithCells="1" sizeWithCells="1">
              <from>
                <xdr:col>2</xdr:col>
                <xdr:colOff>171450</xdr:colOff>
                <xdr:row>18</xdr:row>
                <xdr:rowOff>66675</xdr:rowOff>
              </from>
              <to>
                <xdr:col>5</xdr:col>
                <xdr:colOff>247650</xdr:colOff>
                <xdr:row>20</xdr:row>
                <xdr:rowOff>114300</xdr:rowOff>
              </to>
            </anchor>
          </controlPr>
        </control>
      </mc:Choice>
      <mc:Fallback>
        <control shapeId="17417" r:id="rId20" name="CBOct"/>
      </mc:Fallback>
    </mc:AlternateContent>
    <mc:AlternateContent xmlns:mc="http://schemas.openxmlformats.org/markup-compatibility/2006">
      <mc:Choice Requires="x14">
        <control shapeId="17418" r:id="rId22" name="CBNov">
          <controlPr defaultSize="0" autoFill="0" autoLine="0" r:id="rId23">
            <anchor moveWithCells="1" sizeWithCells="1">
              <from>
                <xdr:col>5</xdr:col>
                <xdr:colOff>504825</xdr:colOff>
                <xdr:row>18</xdr:row>
                <xdr:rowOff>85725</xdr:rowOff>
              </from>
              <to>
                <xdr:col>9</xdr:col>
                <xdr:colOff>390525</xdr:colOff>
                <xdr:row>20</xdr:row>
                <xdr:rowOff>133350</xdr:rowOff>
              </to>
            </anchor>
          </controlPr>
        </control>
      </mc:Choice>
      <mc:Fallback>
        <control shapeId="17418" r:id="rId22" name="CBNov"/>
      </mc:Fallback>
    </mc:AlternateContent>
    <mc:AlternateContent xmlns:mc="http://schemas.openxmlformats.org/markup-compatibility/2006">
      <mc:Choice Requires="x14">
        <control shapeId="17419" r:id="rId24" name="CBDec">
          <controlPr defaultSize="0" autoFill="0" autoLine="0" r:id="rId25">
            <anchor moveWithCells="1" sizeWithCells="1">
              <from>
                <xdr:col>9</xdr:col>
                <xdr:colOff>523875</xdr:colOff>
                <xdr:row>18</xdr:row>
                <xdr:rowOff>85725</xdr:rowOff>
              </from>
              <to>
                <xdr:col>12</xdr:col>
                <xdr:colOff>523875</xdr:colOff>
                <xdr:row>20</xdr:row>
                <xdr:rowOff>133350</xdr:rowOff>
              </to>
            </anchor>
          </controlPr>
        </control>
      </mc:Choice>
      <mc:Fallback>
        <control shapeId="17419" r:id="rId24" name="CBDec"/>
      </mc:Fallback>
    </mc:AlternateContent>
    <mc:AlternateContent xmlns:mc="http://schemas.openxmlformats.org/markup-compatibility/2006">
      <mc:Choice Requires="x14">
        <control shapeId="17420" r:id="rId26" name="CBJan">
          <controlPr defaultSize="0" autoFill="0" autoLine="0" r:id="rId27">
            <anchor moveWithCells="1" sizeWithCells="1">
              <from>
                <xdr:col>2</xdr:col>
                <xdr:colOff>190500</xdr:colOff>
                <xdr:row>22</xdr:row>
                <xdr:rowOff>0</xdr:rowOff>
              </from>
              <to>
                <xdr:col>5</xdr:col>
                <xdr:colOff>209550</xdr:colOff>
                <xdr:row>24</xdr:row>
                <xdr:rowOff>38100</xdr:rowOff>
              </to>
            </anchor>
          </controlPr>
        </control>
      </mc:Choice>
      <mc:Fallback>
        <control shapeId="17420" r:id="rId26" name="CBJan"/>
      </mc:Fallback>
    </mc:AlternateContent>
    <mc:AlternateContent xmlns:mc="http://schemas.openxmlformats.org/markup-compatibility/2006">
      <mc:Choice Requires="x14">
        <control shapeId="17421" r:id="rId28" name="CBFeb">
          <controlPr defaultSize="0" autoFill="0" autoLine="0" r:id="rId29">
            <anchor moveWithCells="1" sizeWithCells="1">
              <from>
                <xdr:col>5</xdr:col>
                <xdr:colOff>514350</xdr:colOff>
                <xdr:row>22</xdr:row>
                <xdr:rowOff>19050</xdr:rowOff>
              </from>
              <to>
                <xdr:col>9</xdr:col>
                <xdr:colOff>361950</xdr:colOff>
                <xdr:row>24</xdr:row>
                <xdr:rowOff>38100</xdr:rowOff>
              </to>
            </anchor>
          </controlPr>
        </control>
      </mc:Choice>
      <mc:Fallback>
        <control shapeId="17421" r:id="rId28" name="CBFeb"/>
      </mc:Fallback>
    </mc:AlternateContent>
    <mc:AlternateContent xmlns:mc="http://schemas.openxmlformats.org/markup-compatibility/2006">
      <mc:Choice Requires="x14">
        <control shapeId="17422" r:id="rId30" name="CBMar">
          <controlPr defaultSize="0" autoFill="0" autoLine="0" r:id="rId31">
            <anchor moveWithCells="1" sizeWithCells="1">
              <from>
                <xdr:col>9</xdr:col>
                <xdr:colOff>504825</xdr:colOff>
                <xdr:row>22</xdr:row>
                <xdr:rowOff>19050</xdr:rowOff>
              </from>
              <to>
                <xdr:col>12</xdr:col>
                <xdr:colOff>504825</xdr:colOff>
                <xdr:row>24</xdr:row>
                <xdr:rowOff>28575</xdr:rowOff>
              </to>
            </anchor>
          </controlPr>
        </control>
      </mc:Choice>
      <mc:Fallback>
        <control shapeId="17422" r:id="rId30" name="CBMar"/>
      </mc:Fallback>
    </mc:AlternateContent>
    <mc:AlternateContent xmlns:mc="http://schemas.openxmlformats.org/markup-compatibility/2006">
      <mc:Choice Requires="x14">
        <control shapeId="17424" r:id="rId32" name="CSavSedi">
          <controlPr defaultSize="0" autoFill="0" autoLine="0" r:id="rId33">
            <anchor moveWithCells="1" sizeWithCells="1">
              <from>
                <xdr:col>2</xdr:col>
                <xdr:colOff>219075</xdr:colOff>
                <xdr:row>25</xdr:row>
                <xdr:rowOff>19050</xdr:rowOff>
              </from>
              <to>
                <xdr:col>5</xdr:col>
                <xdr:colOff>209550</xdr:colOff>
                <xdr:row>27</xdr:row>
                <xdr:rowOff>38100</xdr:rowOff>
              </to>
            </anchor>
          </controlPr>
        </control>
      </mc:Choice>
      <mc:Fallback>
        <control shapeId="17424" r:id="rId32" name="CSavSedi"/>
      </mc:Fallback>
    </mc:AlternateContent>
    <mc:AlternateContent xmlns:mc="http://schemas.openxmlformats.org/markup-compatibility/2006">
      <mc:Choice Requires="x14">
        <control shapeId="17425" r:id="rId34" name="SavDisc_Exc">
          <controlPr defaultSize="0" autoFill="0" autoLine="0" r:id="rId35">
            <anchor moveWithCells="1" sizeWithCells="1">
              <from>
                <xdr:col>5</xdr:col>
                <xdr:colOff>523875</xdr:colOff>
                <xdr:row>25</xdr:row>
                <xdr:rowOff>0</xdr:rowOff>
              </from>
              <to>
                <xdr:col>9</xdr:col>
                <xdr:colOff>361950</xdr:colOff>
                <xdr:row>27</xdr:row>
                <xdr:rowOff>38100</xdr:rowOff>
              </to>
            </anchor>
          </controlPr>
        </control>
      </mc:Choice>
      <mc:Fallback>
        <control shapeId="17425" r:id="rId34" name="SavDisc_Exc"/>
      </mc:Fallback>
    </mc:AlternateContent>
    <mc:AlternateContent xmlns:mc="http://schemas.openxmlformats.org/markup-compatibility/2006">
      <mc:Choice Requires="x14">
        <control shapeId="17426" r:id="rId36" name="SavSedi_Exc">
          <controlPr defaultSize="0" autoFill="0" autoLine="0" r:id="rId37">
            <anchor moveWithCells="1" sizeWithCells="1">
              <from>
                <xdr:col>9</xdr:col>
                <xdr:colOff>533400</xdr:colOff>
                <xdr:row>24</xdr:row>
                <xdr:rowOff>142875</xdr:rowOff>
              </from>
              <to>
                <xdr:col>12</xdr:col>
                <xdr:colOff>504825</xdr:colOff>
                <xdr:row>27</xdr:row>
                <xdr:rowOff>28575</xdr:rowOff>
              </to>
            </anchor>
          </controlPr>
        </control>
      </mc:Choice>
      <mc:Fallback>
        <control shapeId="17426" r:id="rId36" name="SavSedi_Exc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35</vt:i4>
      </vt:variant>
      <vt:variant>
        <vt:lpstr>ช่วงที่มีชื่อ</vt:lpstr>
      </vt:variant>
      <vt:variant>
        <vt:i4>23</vt:i4>
      </vt:variant>
    </vt:vector>
  </HeadingPairs>
  <TitlesOfParts>
    <vt:vector size="58" baseType="lpstr">
      <vt:lpstr>RatingCurve-R2</vt:lpstr>
      <vt:lpstr>RatingCurve-R1</vt:lpstr>
      <vt:lpstr>Graph-Hou</vt:lpstr>
      <vt:lpstr>Graph-GH</vt:lpstr>
      <vt:lpstr>Sediment</vt:lpstr>
      <vt:lpstr>Discharge</vt:lpstr>
      <vt:lpstr>DailyMeanGH</vt:lpstr>
      <vt:lpstr>HourGH-MAR</vt:lpstr>
      <vt:lpstr>HourGH-FEB</vt:lpstr>
      <vt:lpstr>HourGH-JAN</vt:lpstr>
      <vt:lpstr>HourGH-DEC</vt:lpstr>
      <vt:lpstr>HourGH-NOV</vt:lpstr>
      <vt:lpstr>HourGH-OCT</vt:lpstr>
      <vt:lpstr>HourGH-SEP</vt:lpstr>
      <vt:lpstr>HourGH-AUG</vt:lpstr>
      <vt:lpstr>HourGH-JUL</vt:lpstr>
      <vt:lpstr>HourGH-JUN</vt:lpstr>
      <vt:lpstr>HourGH-MAY</vt:lpstr>
      <vt:lpstr>HourGH-APR</vt:lpstr>
      <vt:lpstr>c-form</vt:lpstr>
      <vt:lpstr>HText-Apr</vt:lpstr>
      <vt:lpstr>HText-May</vt:lpstr>
      <vt:lpstr>HText-Jun</vt:lpstr>
      <vt:lpstr>HText-Jul</vt:lpstr>
      <vt:lpstr>HText-Aug</vt:lpstr>
      <vt:lpstr>HText-Sep</vt:lpstr>
      <vt:lpstr>HText-Oct</vt:lpstr>
      <vt:lpstr>HText-Nov</vt:lpstr>
      <vt:lpstr>HText-Dec</vt:lpstr>
      <vt:lpstr>HText-Jan</vt:lpstr>
      <vt:lpstr>HText-Feb</vt:lpstr>
      <vt:lpstr>HText-Mar</vt:lpstr>
      <vt:lpstr>fText-Sed</vt:lpstr>
      <vt:lpstr>fText-R1</vt:lpstr>
      <vt:lpstr>save-text</vt:lpstr>
      <vt:lpstr>APRSheet</vt:lpstr>
      <vt:lpstr>AUGSheet</vt:lpstr>
      <vt:lpstr>CFORMSheet</vt:lpstr>
      <vt:lpstr>DECSheet</vt:lpstr>
      <vt:lpstr>FEBSheet</vt:lpstr>
      <vt:lpstr>JANSheet</vt:lpstr>
      <vt:lpstr>JULSheet</vt:lpstr>
      <vt:lpstr>JUNSheet</vt:lpstr>
      <vt:lpstr>MARSheet</vt:lpstr>
      <vt:lpstr>MAYSheet</vt:lpstr>
      <vt:lpstr>name</vt:lpstr>
      <vt:lpstr>NName</vt:lpstr>
      <vt:lpstr>NOVSheet</vt:lpstr>
      <vt:lpstr>OCTSheet</vt:lpstr>
      <vt:lpstr>'HourGH-DEC'!Print_Area</vt:lpstr>
      <vt:lpstr>'HourGH-FEB'!Print_Area</vt:lpstr>
      <vt:lpstr>'HourGH-JAN'!Print_Area</vt:lpstr>
      <vt:lpstr>rating</vt:lpstr>
      <vt:lpstr>RName</vt:lpstr>
      <vt:lpstr>rsteam</vt:lpstr>
      <vt:lpstr>SEPSheet</vt:lpstr>
      <vt:lpstr>stampv</vt:lpstr>
      <vt:lpstr>Stream</vt:lpstr>
    </vt:vector>
  </TitlesOfParts>
  <Company>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dpd0406</dc:creator>
  <cp:lastModifiedBy>noom</cp:lastModifiedBy>
  <cp:lastPrinted>2011-08-04T08:43:42Z</cp:lastPrinted>
  <dcterms:created xsi:type="dcterms:W3CDTF">2005-10-10T21:06:06Z</dcterms:created>
  <dcterms:modified xsi:type="dcterms:W3CDTF">2014-05-14T07:12:11Z</dcterms:modified>
</cp:coreProperties>
</file>