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6450" activeTab="0"/>
  </bookViews>
  <sheets>
    <sheet name="EQU2000" sheetId="1" r:id="rId1"/>
  </sheets>
  <definedNames>
    <definedName name="_xlnm.Print_Titles" localSheetId="0">'EQU2000'!$1:$3</definedName>
  </definedNames>
  <calcPr fullCalcOnLoad="1"/>
</workbook>
</file>

<file path=xl/sharedStrings.xml><?xml version="1.0" encoding="utf-8"?>
<sst xmlns="http://schemas.openxmlformats.org/spreadsheetml/2006/main" count="120" uniqueCount="106">
  <si>
    <t>CODE</t>
  </si>
  <si>
    <t>EQUATION</t>
  </si>
  <si>
    <t>b</t>
  </si>
  <si>
    <t>Log(a)</t>
  </si>
  <si>
    <t>R-Square</t>
  </si>
  <si>
    <t>No. of Samples</t>
  </si>
  <si>
    <t>Water year</t>
  </si>
  <si>
    <t>ที่</t>
  </si>
  <si>
    <t>Good</t>
  </si>
  <si>
    <t>Total</t>
  </si>
  <si>
    <t>N/A</t>
  </si>
  <si>
    <t>P.1</t>
  </si>
  <si>
    <t>P.4A</t>
  </si>
  <si>
    <t>P.24A</t>
  </si>
  <si>
    <t>P.64</t>
  </si>
  <si>
    <t>P.65</t>
  </si>
  <si>
    <t>P.70</t>
  </si>
  <si>
    <t>W.3A</t>
  </si>
  <si>
    <t>W.17</t>
  </si>
  <si>
    <t>W.21</t>
  </si>
  <si>
    <t>Y.1C</t>
  </si>
  <si>
    <t>Y.24</t>
  </si>
  <si>
    <t>Y.34</t>
  </si>
  <si>
    <r>
      <t xml:space="preserve">สมการประเมินตะกอนแขวนลอย  </t>
    </r>
    <r>
      <rPr>
        <b/>
        <sz val="18"/>
        <color indexed="10"/>
        <rFont val="DilleniaUPC"/>
        <family val="1"/>
      </rPr>
      <t>Y=aX</t>
    </r>
    <r>
      <rPr>
        <b/>
        <vertAlign val="superscript"/>
        <sz val="18"/>
        <color indexed="10"/>
        <rFont val="DilleniaUPC"/>
        <family val="1"/>
      </rPr>
      <t>b</t>
    </r>
  </si>
  <si>
    <t>P.14</t>
  </si>
  <si>
    <t>P.56A</t>
  </si>
  <si>
    <t>P.77</t>
  </si>
  <si>
    <t>W.16A</t>
  </si>
  <si>
    <t>W.20</t>
  </si>
  <si>
    <t>Y.36</t>
  </si>
  <si>
    <t>N.13A</t>
  </si>
  <si>
    <t>N.42</t>
  </si>
  <si>
    <t>N.49</t>
  </si>
  <si>
    <t>N.63</t>
  </si>
  <si>
    <t>N.65</t>
  </si>
  <si>
    <t>G.8</t>
  </si>
  <si>
    <t>KH.72</t>
  </si>
  <si>
    <t>KH.89</t>
  </si>
  <si>
    <t>I.14</t>
  </si>
  <si>
    <t>DA.</t>
  </si>
  <si>
    <t>sq.km.</t>
  </si>
  <si>
    <r>
      <t xml:space="preserve">Accept  Equations are shown in </t>
    </r>
    <r>
      <rPr>
        <sz val="16"/>
        <color indexed="10"/>
        <rFont val="DilleniaUPC"/>
        <family val="1"/>
      </rPr>
      <t>red</t>
    </r>
  </si>
  <si>
    <t>1993 - 2000</t>
  </si>
  <si>
    <t>1992 - 2000</t>
  </si>
  <si>
    <t>1997 - 2000</t>
  </si>
  <si>
    <t>1995 - 2000</t>
  </si>
  <si>
    <t>1996 - 2000</t>
  </si>
  <si>
    <t>1999 - 2000</t>
  </si>
  <si>
    <t>1998 - 2000</t>
  </si>
  <si>
    <r>
      <t>Y=3.311X</t>
    </r>
    <r>
      <rPr>
        <vertAlign val="superscript"/>
        <sz val="16"/>
        <color indexed="10"/>
        <rFont val="DilleniaUPC"/>
        <family val="1"/>
      </rPr>
      <t>1.5205</t>
    </r>
  </si>
  <si>
    <r>
      <t>Y=0.0861X</t>
    </r>
    <r>
      <rPr>
        <vertAlign val="superscript"/>
        <sz val="16"/>
        <color indexed="10"/>
        <rFont val="DilleniaUPC"/>
        <family val="1"/>
      </rPr>
      <t>2.5542</t>
    </r>
  </si>
  <si>
    <r>
      <t>Y=4.0947X</t>
    </r>
    <r>
      <rPr>
        <vertAlign val="superscript"/>
        <sz val="16"/>
        <color indexed="10"/>
        <rFont val="DilleniaUPC"/>
        <family val="1"/>
      </rPr>
      <t>1.331</t>
    </r>
  </si>
  <si>
    <r>
      <t>Y=4.523X</t>
    </r>
    <r>
      <rPr>
        <vertAlign val="superscript"/>
        <sz val="16"/>
        <color indexed="10"/>
        <rFont val="DilleniaUPC"/>
        <family val="1"/>
      </rPr>
      <t>1.4851</t>
    </r>
  </si>
  <si>
    <r>
      <t>Y=2.3514X</t>
    </r>
    <r>
      <rPr>
        <vertAlign val="superscript"/>
        <sz val="16"/>
        <color indexed="10"/>
        <rFont val="DilleniaUPC"/>
        <family val="1"/>
      </rPr>
      <t>1.7306</t>
    </r>
  </si>
  <si>
    <r>
      <t>Y=4.8767X</t>
    </r>
    <r>
      <rPr>
        <vertAlign val="superscript"/>
        <sz val="16"/>
        <color indexed="10"/>
        <rFont val="DilleniaUPC"/>
        <family val="1"/>
      </rPr>
      <t>1.323</t>
    </r>
  </si>
  <si>
    <r>
      <t>Y=4.3043X</t>
    </r>
    <r>
      <rPr>
        <vertAlign val="superscript"/>
        <sz val="16"/>
        <color indexed="10"/>
        <rFont val="DilleniaUPC"/>
        <family val="1"/>
      </rPr>
      <t>1.3131</t>
    </r>
  </si>
  <si>
    <r>
      <t>Y=3.0996X</t>
    </r>
    <r>
      <rPr>
        <vertAlign val="superscript"/>
        <sz val="16"/>
        <color indexed="10"/>
        <rFont val="DilleniaUPC"/>
        <family val="1"/>
      </rPr>
      <t>1.3900</t>
    </r>
  </si>
  <si>
    <r>
      <t>Y=4.5258X</t>
    </r>
    <r>
      <rPr>
        <vertAlign val="superscript"/>
        <sz val="16"/>
        <color indexed="10"/>
        <rFont val="DilleniaUPC"/>
        <family val="1"/>
      </rPr>
      <t>1.3678</t>
    </r>
  </si>
  <si>
    <r>
      <t>Y=5.4867X</t>
    </r>
    <r>
      <rPr>
        <vertAlign val="superscript"/>
        <sz val="16"/>
        <color indexed="10"/>
        <rFont val="DilleniaUPC"/>
        <family val="1"/>
      </rPr>
      <t>1.1944</t>
    </r>
  </si>
  <si>
    <r>
      <t>Y=5.3759X</t>
    </r>
    <r>
      <rPr>
        <vertAlign val="superscript"/>
        <sz val="16"/>
        <color indexed="10"/>
        <rFont val="DilleniaUPC"/>
        <family val="1"/>
      </rPr>
      <t>1.3068</t>
    </r>
  </si>
  <si>
    <r>
      <t>Y=1.8738X</t>
    </r>
    <r>
      <rPr>
        <vertAlign val="superscript"/>
        <sz val="16"/>
        <color indexed="10"/>
        <rFont val="DilleniaUPC"/>
        <family val="1"/>
      </rPr>
      <t>1.4912</t>
    </r>
  </si>
  <si>
    <r>
      <t>Y=0.1792X</t>
    </r>
    <r>
      <rPr>
        <vertAlign val="superscript"/>
        <sz val="16"/>
        <color indexed="10"/>
        <rFont val="DilleniaUPC"/>
        <family val="1"/>
      </rPr>
      <t>1.9793</t>
    </r>
  </si>
  <si>
    <r>
      <t>Y=4.8728X</t>
    </r>
    <r>
      <rPr>
        <vertAlign val="superscript"/>
        <sz val="16"/>
        <color indexed="10"/>
        <rFont val="DilleniaUPC"/>
        <family val="1"/>
      </rPr>
      <t>1.2032</t>
    </r>
  </si>
  <si>
    <r>
      <t>Y=3.727X</t>
    </r>
    <r>
      <rPr>
        <vertAlign val="superscript"/>
        <sz val="16"/>
        <rFont val="DilleniaUPC"/>
        <family val="1"/>
      </rPr>
      <t>1.5568</t>
    </r>
  </si>
  <si>
    <r>
      <t>Y=0.3599X</t>
    </r>
    <r>
      <rPr>
        <vertAlign val="superscript"/>
        <sz val="16"/>
        <rFont val="DilleniaUPC"/>
        <family val="1"/>
      </rPr>
      <t>2.228</t>
    </r>
  </si>
  <si>
    <r>
      <t>Y=3.5417X</t>
    </r>
    <r>
      <rPr>
        <vertAlign val="superscript"/>
        <sz val="16"/>
        <rFont val="DilleniaUPC"/>
        <family val="1"/>
      </rPr>
      <t>1.4226</t>
    </r>
  </si>
  <si>
    <r>
      <t>Y=4.523X</t>
    </r>
    <r>
      <rPr>
        <vertAlign val="superscript"/>
        <sz val="16"/>
        <rFont val="DilleniaUPC"/>
        <family val="1"/>
      </rPr>
      <t>1.4851</t>
    </r>
  </si>
  <si>
    <r>
      <t>Y=4.2216X</t>
    </r>
    <r>
      <rPr>
        <vertAlign val="superscript"/>
        <sz val="16"/>
        <rFont val="DilleniaUPC"/>
        <family val="1"/>
      </rPr>
      <t>1.5847</t>
    </r>
  </si>
  <si>
    <r>
      <t>Y=4.9337X</t>
    </r>
    <r>
      <rPr>
        <vertAlign val="superscript"/>
        <sz val="16"/>
        <rFont val="DilleniaUPC"/>
        <family val="1"/>
      </rPr>
      <t>1.4013</t>
    </r>
  </si>
  <si>
    <r>
      <t>Y=1.4741X</t>
    </r>
    <r>
      <rPr>
        <vertAlign val="superscript"/>
        <sz val="16"/>
        <rFont val="DilleniaUPC"/>
        <family val="1"/>
      </rPr>
      <t>1.458</t>
    </r>
  </si>
  <si>
    <r>
      <t>Y=3.0996X</t>
    </r>
    <r>
      <rPr>
        <vertAlign val="superscript"/>
        <sz val="16"/>
        <rFont val="DilleniaUPC"/>
        <family val="1"/>
      </rPr>
      <t>1.39</t>
    </r>
  </si>
  <si>
    <r>
      <t>Y=3.3615X</t>
    </r>
    <r>
      <rPr>
        <vertAlign val="superscript"/>
        <sz val="16"/>
        <rFont val="DilleniaUPC"/>
        <family val="1"/>
      </rPr>
      <t>1.3726</t>
    </r>
  </si>
  <si>
    <r>
      <t>Y=4.1291X</t>
    </r>
    <r>
      <rPr>
        <vertAlign val="superscript"/>
        <sz val="16"/>
        <rFont val="DilleniaUPC"/>
        <family val="1"/>
      </rPr>
      <t>1.3199</t>
    </r>
  </si>
  <si>
    <r>
      <t>Y=2.9835X</t>
    </r>
    <r>
      <rPr>
        <vertAlign val="superscript"/>
        <sz val="16"/>
        <rFont val="DilleniaUPC"/>
        <family val="1"/>
      </rPr>
      <t>1.3718</t>
    </r>
  </si>
  <si>
    <r>
      <t>Y=1.8738X</t>
    </r>
    <r>
      <rPr>
        <vertAlign val="superscript"/>
        <sz val="16"/>
        <rFont val="DilleniaUPC"/>
        <family val="1"/>
      </rPr>
      <t>1.4912</t>
    </r>
  </si>
  <si>
    <r>
      <t>Y=0.2695X</t>
    </r>
    <r>
      <rPr>
        <vertAlign val="superscript"/>
        <sz val="16"/>
        <rFont val="DilleniaUPC"/>
        <family val="1"/>
      </rPr>
      <t>1.8873</t>
    </r>
  </si>
  <si>
    <r>
      <t>Y=5.0502X</t>
    </r>
    <r>
      <rPr>
        <vertAlign val="superscript"/>
        <sz val="16"/>
        <rFont val="DilleniaUPC"/>
        <family val="1"/>
      </rPr>
      <t>1.1478</t>
    </r>
  </si>
  <si>
    <r>
      <t>Y=4.3043X</t>
    </r>
    <r>
      <rPr>
        <vertAlign val="superscript"/>
        <sz val="16"/>
        <color indexed="8"/>
        <rFont val="DilleniaUPC"/>
        <family val="1"/>
      </rPr>
      <t>1.3131</t>
    </r>
  </si>
  <si>
    <r>
      <t>Y=6.0248X</t>
    </r>
    <r>
      <rPr>
        <vertAlign val="superscript"/>
        <sz val="16"/>
        <color indexed="10"/>
        <rFont val="DilleniaUPC"/>
        <family val="1"/>
      </rPr>
      <t>1.2440</t>
    </r>
  </si>
  <si>
    <r>
      <t>Y=3.9876X</t>
    </r>
    <r>
      <rPr>
        <vertAlign val="superscript"/>
        <sz val="16"/>
        <rFont val="DilleniaUPC"/>
        <family val="1"/>
      </rPr>
      <t>1.3055</t>
    </r>
  </si>
  <si>
    <r>
      <t>Y=0.8924X</t>
    </r>
    <r>
      <rPr>
        <vertAlign val="superscript"/>
        <sz val="16"/>
        <color indexed="10"/>
        <rFont val="DilleniaUPC"/>
        <family val="1"/>
      </rPr>
      <t>1.7008</t>
    </r>
  </si>
  <si>
    <r>
      <t>Y=1.1089X</t>
    </r>
    <r>
      <rPr>
        <vertAlign val="superscript"/>
        <sz val="16"/>
        <rFont val="DilleniaUPC"/>
        <family val="1"/>
      </rPr>
      <t>1.6435</t>
    </r>
  </si>
  <si>
    <r>
      <t>Y=4.1994X</t>
    </r>
    <r>
      <rPr>
        <vertAlign val="superscript"/>
        <sz val="16"/>
        <color indexed="10"/>
        <rFont val="DilleniaUPC"/>
        <family val="1"/>
      </rPr>
      <t>1.5529</t>
    </r>
  </si>
  <si>
    <r>
      <t>Y=5.5626X</t>
    </r>
    <r>
      <rPr>
        <vertAlign val="superscript"/>
        <sz val="16"/>
        <rFont val="DilleniaUPC"/>
        <family val="1"/>
      </rPr>
      <t>1.528</t>
    </r>
  </si>
  <si>
    <r>
      <t>Y=6.7101X</t>
    </r>
    <r>
      <rPr>
        <vertAlign val="superscript"/>
        <sz val="16"/>
        <color indexed="10"/>
        <rFont val="DilleniaUPC"/>
        <family val="1"/>
      </rPr>
      <t>1.6254</t>
    </r>
  </si>
  <si>
    <r>
      <t>Y=7.3154X</t>
    </r>
    <r>
      <rPr>
        <vertAlign val="superscript"/>
        <sz val="16"/>
        <rFont val="DilleniaUPC"/>
        <family val="1"/>
      </rPr>
      <t>1.6000</t>
    </r>
  </si>
  <si>
    <t>1994 - 2000</t>
  </si>
  <si>
    <t>1970 - 2000</t>
  </si>
  <si>
    <r>
      <t>Y=4.1600X</t>
    </r>
    <r>
      <rPr>
        <vertAlign val="superscript"/>
        <sz val="16"/>
        <rFont val="DilleniaUPC"/>
        <family val="1"/>
      </rPr>
      <t>1.4693</t>
    </r>
  </si>
  <si>
    <r>
      <t>Y=5.863X</t>
    </r>
    <r>
      <rPr>
        <vertAlign val="superscript"/>
        <sz val="16"/>
        <color indexed="10"/>
        <rFont val="DilleniaUPC"/>
        <family val="1"/>
      </rPr>
      <t>1.3224</t>
    </r>
  </si>
  <si>
    <r>
      <t>Y=5.0229X</t>
    </r>
    <r>
      <rPr>
        <vertAlign val="superscript"/>
        <sz val="16"/>
        <rFont val="DilleniaUPC"/>
        <family val="1"/>
      </rPr>
      <t>1.3695</t>
    </r>
  </si>
  <si>
    <t xml:space="preserve">Date of N/A sample </t>
  </si>
  <si>
    <r>
      <t>Y=5.2901X</t>
    </r>
    <r>
      <rPr>
        <vertAlign val="superscript"/>
        <sz val="16"/>
        <color indexed="10"/>
        <rFont val="DilleniaUPC"/>
        <family val="1"/>
      </rPr>
      <t>1.5540</t>
    </r>
  </si>
  <si>
    <r>
      <t>Y=5.4445X</t>
    </r>
    <r>
      <rPr>
        <vertAlign val="superscript"/>
        <sz val="16"/>
        <rFont val="DilleniaUPC"/>
        <family val="1"/>
      </rPr>
      <t>1.5523</t>
    </r>
  </si>
  <si>
    <r>
      <t>Y=6.6901X</t>
    </r>
    <r>
      <rPr>
        <vertAlign val="superscript"/>
        <sz val="16"/>
        <color indexed="10"/>
        <rFont val="DilleniaUPC"/>
        <family val="1"/>
      </rPr>
      <t>1.3514</t>
    </r>
  </si>
  <si>
    <r>
      <t>Y=1.1606X</t>
    </r>
    <r>
      <rPr>
        <vertAlign val="superscript"/>
        <sz val="16"/>
        <color indexed="10"/>
        <rFont val="DilleniaUPC"/>
        <family val="1"/>
      </rPr>
      <t>1.5842</t>
    </r>
  </si>
  <si>
    <r>
      <t>Y=1.6305X</t>
    </r>
    <r>
      <rPr>
        <vertAlign val="superscript"/>
        <sz val="16"/>
        <rFont val="DilleniaUPC"/>
        <family val="1"/>
      </rPr>
      <t>1.5010</t>
    </r>
  </si>
  <si>
    <r>
      <t>Y=5.0176X</t>
    </r>
    <r>
      <rPr>
        <vertAlign val="superscript"/>
        <sz val="16"/>
        <color indexed="10"/>
        <rFont val="DilleniaUPC"/>
        <family val="1"/>
      </rPr>
      <t>1.2957</t>
    </r>
  </si>
  <si>
    <r>
      <t>Y=6.7708X</t>
    </r>
    <r>
      <rPr>
        <vertAlign val="superscript"/>
        <sz val="16"/>
        <rFont val="DilleniaUPC"/>
        <family val="1"/>
      </rPr>
      <t>1.2876</t>
    </r>
  </si>
  <si>
    <r>
      <t>Y=1.1357X</t>
    </r>
    <r>
      <rPr>
        <vertAlign val="superscript"/>
        <sz val="16"/>
        <color indexed="10"/>
        <rFont val="DilleniaUPC"/>
        <family val="1"/>
      </rPr>
      <t>1.5166</t>
    </r>
  </si>
  <si>
    <r>
      <t>Y=4.6585X</t>
    </r>
    <r>
      <rPr>
        <vertAlign val="superscript"/>
        <sz val="16"/>
        <color indexed="10"/>
        <rFont val="DilleniaUPC"/>
        <family val="1"/>
      </rPr>
      <t>1.3687</t>
    </r>
  </si>
  <si>
    <r>
      <t>Y=4.0136X</t>
    </r>
    <r>
      <rPr>
        <vertAlign val="superscript"/>
        <sz val="16"/>
        <rFont val="DilleniaUPC"/>
        <family val="1"/>
      </rPr>
      <t>1.3395</t>
    </r>
  </si>
  <si>
    <r>
      <t>Y=0.3163X</t>
    </r>
    <r>
      <rPr>
        <vertAlign val="superscript"/>
        <sz val="16"/>
        <rFont val="DilleniaUPC"/>
        <family val="1"/>
      </rPr>
      <t>1.6434</t>
    </r>
  </si>
  <si>
    <r>
      <t>Y=2.7351X</t>
    </r>
    <r>
      <rPr>
        <vertAlign val="superscript"/>
        <sz val="16"/>
        <color indexed="10"/>
        <rFont val="DilleniaUPC"/>
        <family val="1"/>
      </rPr>
      <t>1.1055</t>
    </r>
  </si>
  <si>
    <r>
      <t>Y=2.7351X</t>
    </r>
    <r>
      <rPr>
        <vertAlign val="superscript"/>
        <sz val="16"/>
        <color indexed="8"/>
        <rFont val="DilleniaUPC"/>
        <family val="1"/>
      </rPr>
      <t>1.0647</t>
    </r>
  </si>
  <si>
    <r>
      <t>Y=0.2630X</t>
    </r>
    <r>
      <rPr>
        <vertAlign val="superscript"/>
        <sz val="16"/>
        <color indexed="10"/>
        <rFont val="DilleniaUPC"/>
        <family val="1"/>
      </rPr>
      <t>1.6654</t>
    </r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</si>
</sst>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00"/>
    <numFmt numFmtId="187" formatCode="0.000000"/>
    <numFmt numFmtId="188" formatCode="0.0000"/>
    <numFmt numFmtId="189" formatCode="0.000"/>
    <numFmt numFmtId="190" formatCode="_-* #,##0.0_-;\-* #,##0.0_-;_-* &quot;-&quot;??_-;_-@_-"/>
    <numFmt numFmtId="191" formatCode="_-* #,##0_-;\-* #,##0_-;_-* &quot;-&quot;??_-;_-@_-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"/>
  </numFmts>
  <fonts count="12">
    <font>
      <sz val="14"/>
      <name val="Cordia New"/>
      <family val="0"/>
    </font>
    <font>
      <b/>
      <sz val="18"/>
      <color indexed="48"/>
      <name val="DilleniaUPC"/>
      <family val="1"/>
    </font>
    <font>
      <b/>
      <sz val="18"/>
      <color indexed="10"/>
      <name val="DilleniaUPC"/>
      <family val="1"/>
    </font>
    <font>
      <b/>
      <vertAlign val="superscript"/>
      <sz val="18"/>
      <color indexed="10"/>
      <name val="DilleniaUPC"/>
      <family val="1"/>
    </font>
    <font>
      <sz val="18"/>
      <name val="DilleniaUPC"/>
      <family val="1"/>
    </font>
    <font>
      <sz val="16"/>
      <color indexed="12"/>
      <name val="DilleniaUPC"/>
      <family val="1"/>
    </font>
    <font>
      <sz val="16"/>
      <name val="DilleniaUPC"/>
      <family val="1"/>
    </font>
    <font>
      <sz val="16"/>
      <color indexed="10"/>
      <name val="DilleniaUPC"/>
      <family val="1"/>
    </font>
    <font>
      <vertAlign val="superscript"/>
      <sz val="16"/>
      <color indexed="10"/>
      <name val="DilleniaUPC"/>
      <family val="1"/>
    </font>
    <font>
      <vertAlign val="superscript"/>
      <sz val="16"/>
      <name val="Dillen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18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8" fontId="6" fillId="0" borderId="5" xfId="0" applyNumberFormat="1" applyFont="1" applyBorder="1" applyAlignment="1">
      <alignment horizontal="center"/>
    </xf>
    <xf numFmtId="188" fontId="6" fillId="0" borderId="5" xfId="0" applyNumberFormat="1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88" fontId="7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justify"/>
    </xf>
    <xf numFmtId="17" fontId="6" fillId="0" borderId="5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8" fontId="6" fillId="0" borderId="9" xfId="0" applyNumberFormat="1" applyFont="1" applyBorder="1" applyAlignment="1">
      <alignment horizontal="center"/>
    </xf>
    <xf numFmtId="188" fontId="6" fillId="0" borderId="9" xfId="0" applyNumberFormat="1" applyFont="1" applyBorder="1" applyAlignment="1">
      <alignment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191" fontId="6" fillId="0" borderId="14" xfId="15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91" fontId="6" fillId="0" borderId="16" xfId="15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 horizontal="center"/>
    </xf>
    <xf numFmtId="41" fontId="6" fillId="0" borderId="13" xfId="15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188" fontId="10" fillId="0" borderId="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8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88" fontId="7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 vertical="justify"/>
    </xf>
    <xf numFmtId="195" fontId="6" fillId="0" borderId="1" xfId="0" applyNumberFormat="1" applyFont="1" applyBorder="1" applyAlignment="1">
      <alignment/>
    </xf>
    <xf numFmtId="195" fontId="6" fillId="0" borderId="5" xfId="0" applyNumberFormat="1" applyFont="1" applyBorder="1" applyAlignment="1">
      <alignment/>
    </xf>
    <xf numFmtId="195" fontId="6" fillId="0" borderId="9" xfId="0" applyNumberFormat="1" applyFont="1" applyBorder="1" applyAlignment="1">
      <alignment/>
    </xf>
    <xf numFmtId="195" fontId="6" fillId="0" borderId="17" xfId="0" applyNumberFormat="1" applyFont="1" applyBorder="1" applyAlignment="1">
      <alignment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/>
    </xf>
    <xf numFmtId="3" fontId="6" fillId="0" borderId="1" xfId="15" applyNumberFormat="1" applyFont="1" applyBorder="1" applyAlignment="1">
      <alignment horizontal="right"/>
    </xf>
    <xf numFmtId="3" fontId="6" fillId="0" borderId="5" xfId="15" applyNumberFormat="1" applyFont="1" applyBorder="1" applyAlignment="1">
      <alignment horizontal="right"/>
    </xf>
    <xf numFmtId="3" fontId="6" fillId="0" borderId="9" xfId="15" applyNumberFormat="1" applyFont="1" applyBorder="1" applyAlignment="1">
      <alignment horizontal="right"/>
    </xf>
    <xf numFmtId="3" fontId="6" fillId="0" borderId="17" xfId="15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88" fontId="5" fillId="2" borderId="26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95" fontId="1" fillId="2" borderId="27" xfId="0" applyNumberFormat="1" applyFont="1" applyFill="1" applyBorder="1" applyAlignment="1">
      <alignment horizontal="center" vertical="center"/>
    </xf>
    <xf numFmtId="195" fontId="1" fillId="2" borderId="28" xfId="0" applyNumberFormat="1" applyFont="1" applyFill="1" applyBorder="1" applyAlignment="1">
      <alignment horizontal="center" vertical="center"/>
    </xf>
    <xf numFmtId="195" fontId="1" fillId="2" borderId="29" xfId="0" applyNumberFormat="1" applyFont="1" applyFill="1" applyBorder="1" applyAlignment="1">
      <alignment horizontal="center" vertical="center"/>
    </xf>
    <xf numFmtId="195" fontId="6" fillId="0" borderId="30" xfId="0" applyNumberFormat="1" applyFont="1" applyBorder="1" applyAlignment="1">
      <alignment horizontal="center"/>
    </xf>
    <xf numFmtId="195" fontId="6" fillId="0" borderId="31" xfId="0" applyNumberFormat="1" applyFont="1" applyBorder="1" applyAlignment="1">
      <alignment/>
    </xf>
    <xf numFmtId="195" fontId="6" fillId="0" borderId="32" xfId="0" applyNumberFormat="1" applyFont="1" applyBorder="1" applyAlignment="1">
      <alignment/>
    </xf>
    <xf numFmtId="195" fontId="5" fillId="2" borderId="26" xfId="0" applyNumberFormat="1" applyFont="1" applyFill="1" applyBorder="1" applyAlignment="1">
      <alignment horizontal="center" vertical="center"/>
    </xf>
    <xf numFmtId="195" fontId="6" fillId="0" borderId="13" xfId="0" applyNumberFormat="1" applyFont="1" applyBorder="1" applyAlignment="1">
      <alignment/>
    </xf>
    <xf numFmtId="19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37">
      <selection activeCell="K40" sqref="K40"/>
    </sheetView>
  </sheetViews>
  <sheetFormatPr defaultColWidth="9.140625" defaultRowHeight="21.75"/>
  <cols>
    <col min="1" max="1" width="3.7109375" style="3" customWidth="1"/>
    <col min="2" max="2" width="6.140625" style="3" customWidth="1"/>
    <col min="3" max="3" width="11.7109375" style="3" customWidth="1"/>
    <col min="4" max="4" width="6.7109375" style="3" customWidth="1"/>
    <col min="5" max="5" width="4.7109375" style="3" customWidth="1"/>
    <col min="6" max="6" width="6.7109375" style="3" customWidth="1"/>
    <col min="7" max="7" width="14.7109375" style="1" customWidth="1"/>
    <col min="8" max="8" width="8.7109375" style="4" customWidth="1"/>
    <col min="9" max="9" width="6.7109375" style="1" customWidth="1"/>
    <col min="10" max="10" width="13.7109375" style="81" customWidth="1"/>
    <col min="11" max="11" width="6.7109375" style="1" customWidth="1"/>
    <col min="12" max="12" width="19.57421875" style="2" customWidth="1"/>
    <col min="13" max="16384" width="9.140625" style="1" customWidth="1"/>
  </cols>
  <sheetData>
    <row r="1" spans="1:12" ht="30">
      <c r="A1" s="73" t="s">
        <v>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s="5" customFormat="1" ht="23.25">
      <c r="A2" s="69" t="s">
        <v>7</v>
      </c>
      <c r="B2" s="69" t="s">
        <v>0</v>
      </c>
      <c r="C2" s="69" t="s">
        <v>6</v>
      </c>
      <c r="D2" s="67" t="s">
        <v>5</v>
      </c>
      <c r="E2" s="68"/>
      <c r="F2" s="68"/>
      <c r="G2" s="70" t="s">
        <v>1</v>
      </c>
      <c r="H2" s="66" t="s">
        <v>4</v>
      </c>
      <c r="I2" s="69" t="s">
        <v>2</v>
      </c>
      <c r="J2" s="79" t="s">
        <v>3</v>
      </c>
      <c r="K2" s="56" t="s">
        <v>39</v>
      </c>
      <c r="L2" s="71" t="s">
        <v>91</v>
      </c>
    </row>
    <row r="3" spans="1:12" s="5" customFormat="1" ht="23.25">
      <c r="A3" s="69"/>
      <c r="B3" s="69"/>
      <c r="C3" s="69"/>
      <c r="D3" s="57" t="s">
        <v>8</v>
      </c>
      <c r="E3" s="58" t="s">
        <v>10</v>
      </c>
      <c r="F3" s="59" t="s">
        <v>9</v>
      </c>
      <c r="G3" s="70"/>
      <c r="H3" s="66"/>
      <c r="I3" s="69"/>
      <c r="J3" s="79"/>
      <c r="K3" s="60" t="s">
        <v>40</v>
      </c>
      <c r="L3" s="72"/>
    </row>
    <row r="4" spans="1:12" s="5" customFormat="1" ht="25.5">
      <c r="A4" s="6">
        <v>1</v>
      </c>
      <c r="B4" s="7" t="s">
        <v>11</v>
      </c>
      <c r="C4" s="6">
        <v>2000</v>
      </c>
      <c r="D4" s="8">
        <v>32</v>
      </c>
      <c r="E4" s="9">
        <v>0</v>
      </c>
      <c r="F4" s="10">
        <f>E4+D4</f>
        <v>32</v>
      </c>
      <c r="G4" s="7" t="s">
        <v>95</v>
      </c>
      <c r="H4" s="11">
        <v>0.9492</v>
      </c>
      <c r="I4" s="12">
        <v>1.5842</v>
      </c>
      <c r="J4" s="52">
        <f>LOG(1.1606)</f>
        <v>0.06468256622851161</v>
      </c>
      <c r="K4" s="61">
        <v>6355</v>
      </c>
      <c r="L4" s="13"/>
    </row>
    <row r="5" spans="1:12" s="5" customFormat="1" ht="25.5">
      <c r="A5" s="14"/>
      <c r="B5" s="14"/>
      <c r="C5" s="14" t="s">
        <v>42</v>
      </c>
      <c r="D5" s="15">
        <v>218</v>
      </c>
      <c r="E5" s="16">
        <v>0</v>
      </c>
      <c r="F5" s="17">
        <f aca="true" t="shared" si="0" ref="F5:F43">E5+D5</f>
        <v>218</v>
      </c>
      <c r="G5" s="14" t="s">
        <v>96</v>
      </c>
      <c r="H5" s="18">
        <v>0.908</v>
      </c>
      <c r="I5" s="19">
        <v>1.5012</v>
      </c>
      <c r="J5" s="53">
        <f>LOG(1.6305)</f>
        <v>0.2123208031419758</v>
      </c>
      <c r="K5" s="62"/>
      <c r="L5" s="20"/>
    </row>
    <row r="6" spans="1:12" s="5" customFormat="1" ht="25.5">
      <c r="A6" s="14">
        <f>+A4+1</f>
        <v>2</v>
      </c>
      <c r="B6" s="21" t="s">
        <v>12</v>
      </c>
      <c r="C6" s="14">
        <v>2000</v>
      </c>
      <c r="D6" s="22">
        <v>28</v>
      </c>
      <c r="E6" s="16">
        <v>0</v>
      </c>
      <c r="F6" s="17">
        <f t="shared" si="0"/>
        <v>28</v>
      </c>
      <c r="G6" s="21" t="s">
        <v>49</v>
      </c>
      <c r="H6" s="23">
        <v>0.9623</v>
      </c>
      <c r="I6" s="19">
        <v>1.5205</v>
      </c>
      <c r="J6" s="53">
        <f>LOG(3.311)</f>
        <v>0.5199591807520684</v>
      </c>
      <c r="K6" s="62">
        <v>1902</v>
      </c>
      <c r="L6" s="20"/>
    </row>
    <row r="7" spans="1:12" s="5" customFormat="1" ht="25.5">
      <c r="A7" s="14"/>
      <c r="B7" s="14"/>
      <c r="C7" s="14" t="s">
        <v>43</v>
      </c>
      <c r="D7" s="15">
        <v>227</v>
      </c>
      <c r="E7" s="16">
        <v>0</v>
      </c>
      <c r="F7" s="17">
        <f t="shared" si="0"/>
        <v>227</v>
      </c>
      <c r="G7" s="14" t="s">
        <v>63</v>
      </c>
      <c r="H7" s="18">
        <v>0.9162</v>
      </c>
      <c r="I7" s="19">
        <v>1.5568</v>
      </c>
      <c r="J7" s="53">
        <f>LOG(3.727)</f>
        <v>0.5713593927538396</v>
      </c>
      <c r="K7" s="62"/>
      <c r="L7" s="20"/>
    </row>
    <row r="8" spans="1:12" s="5" customFormat="1" ht="25.5">
      <c r="A8" s="14">
        <f aca="true" t="shared" si="1" ref="A8:A56">+A6+1</f>
        <v>3</v>
      </c>
      <c r="B8" s="21" t="s">
        <v>24</v>
      </c>
      <c r="C8" s="14">
        <v>2000</v>
      </c>
      <c r="D8" s="22">
        <v>33</v>
      </c>
      <c r="E8" s="16">
        <v>0</v>
      </c>
      <c r="F8" s="17">
        <f t="shared" si="0"/>
        <v>33</v>
      </c>
      <c r="G8" s="21" t="s">
        <v>50</v>
      </c>
      <c r="H8" s="23">
        <v>0.9074</v>
      </c>
      <c r="I8" s="19">
        <v>2.5542</v>
      </c>
      <c r="J8" s="53">
        <f>LOG(0.0861)</f>
        <v>-1.0649968485463452</v>
      </c>
      <c r="K8" s="62">
        <v>3853</v>
      </c>
      <c r="L8" s="20"/>
    </row>
    <row r="9" spans="1:12" s="5" customFormat="1" ht="25.5">
      <c r="A9" s="14"/>
      <c r="B9" s="14"/>
      <c r="C9" s="14" t="s">
        <v>87</v>
      </c>
      <c r="D9" s="15">
        <v>272</v>
      </c>
      <c r="E9" s="16">
        <v>0</v>
      </c>
      <c r="F9" s="17">
        <f t="shared" si="0"/>
        <v>272</v>
      </c>
      <c r="G9" s="14" t="s">
        <v>64</v>
      </c>
      <c r="H9" s="18">
        <v>0.7295</v>
      </c>
      <c r="I9" s="19">
        <v>2.228</v>
      </c>
      <c r="J9" s="53">
        <f>LOG(0.3599)</f>
        <v>-0.4438181533470888</v>
      </c>
      <c r="K9" s="62"/>
      <c r="L9" s="20"/>
    </row>
    <row r="10" spans="1:12" s="5" customFormat="1" ht="25.5">
      <c r="A10" s="14">
        <f t="shared" si="1"/>
        <v>4</v>
      </c>
      <c r="B10" s="21" t="s">
        <v>13</v>
      </c>
      <c r="C10" s="14">
        <v>2000</v>
      </c>
      <c r="D10" s="22">
        <v>24</v>
      </c>
      <c r="E10" s="16">
        <v>0</v>
      </c>
      <c r="F10" s="17">
        <f t="shared" si="0"/>
        <v>24</v>
      </c>
      <c r="G10" s="21" t="s">
        <v>51</v>
      </c>
      <c r="H10" s="23">
        <v>0.8724</v>
      </c>
      <c r="I10" s="19">
        <v>1.331</v>
      </c>
      <c r="J10" s="53">
        <f>LOG(4.0947)</f>
        <v>0.6122220884853821</v>
      </c>
      <c r="K10" s="62">
        <v>460</v>
      </c>
      <c r="L10" s="20"/>
    </row>
    <row r="11" spans="1:12" s="5" customFormat="1" ht="25.5">
      <c r="A11" s="14"/>
      <c r="B11" s="14"/>
      <c r="C11" s="14" t="s">
        <v>44</v>
      </c>
      <c r="D11" s="15">
        <v>93</v>
      </c>
      <c r="E11" s="16">
        <v>0</v>
      </c>
      <c r="F11" s="17">
        <f t="shared" si="0"/>
        <v>93</v>
      </c>
      <c r="G11" s="14" t="s">
        <v>65</v>
      </c>
      <c r="H11" s="18">
        <v>0.9438</v>
      </c>
      <c r="I11" s="19">
        <v>1.4226</v>
      </c>
      <c r="J11" s="53">
        <f>LOG(3.5417)</f>
        <v>0.5492117714609284</v>
      </c>
      <c r="K11" s="62"/>
      <c r="L11" s="20"/>
    </row>
    <row r="12" spans="1:12" s="5" customFormat="1" ht="25.5">
      <c r="A12" s="14">
        <f t="shared" si="1"/>
        <v>5</v>
      </c>
      <c r="B12" s="21" t="s">
        <v>25</v>
      </c>
      <c r="C12" s="14">
        <v>2000</v>
      </c>
      <c r="D12" s="22">
        <v>22</v>
      </c>
      <c r="E12" s="16">
        <v>0</v>
      </c>
      <c r="F12" s="17">
        <f t="shared" si="0"/>
        <v>22</v>
      </c>
      <c r="G12" s="21" t="s">
        <v>52</v>
      </c>
      <c r="H12" s="23">
        <v>0.9697</v>
      </c>
      <c r="I12" s="19">
        <v>1.4851</v>
      </c>
      <c r="J12" s="53">
        <f>LOG(4.523)</f>
        <v>0.6554265877459186</v>
      </c>
      <c r="K12" s="62">
        <v>539</v>
      </c>
      <c r="L12" s="20"/>
    </row>
    <row r="13" spans="1:12" s="5" customFormat="1" ht="25.5">
      <c r="A13" s="14"/>
      <c r="B13" s="14"/>
      <c r="C13" s="14">
        <v>2000</v>
      </c>
      <c r="D13" s="15">
        <v>22</v>
      </c>
      <c r="E13" s="16">
        <v>0</v>
      </c>
      <c r="F13" s="17">
        <f t="shared" si="0"/>
        <v>22</v>
      </c>
      <c r="G13" s="14" t="s">
        <v>66</v>
      </c>
      <c r="H13" s="18">
        <v>0.9697</v>
      </c>
      <c r="I13" s="19">
        <v>1.4851</v>
      </c>
      <c r="J13" s="53">
        <f>LOG(4.523)</f>
        <v>0.6554265877459186</v>
      </c>
      <c r="K13" s="62"/>
      <c r="L13" s="20"/>
    </row>
    <row r="14" spans="1:12" s="5" customFormat="1" ht="25.5">
      <c r="A14" s="14">
        <f t="shared" si="1"/>
        <v>6</v>
      </c>
      <c r="B14" s="21" t="s">
        <v>14</v>
      </c>
      <c r="C14" s="14">
        <v>2000</v>
      </c>
      <c r="D14" s="22">
        <v>31</v>
      </c>
      <c r="E14" s="16">
        <v>0</v>
      </c>
      <c r="F14" s="17">
        <f t="shared" si="0"/>
        <v>31</v>
      </c>
      <c r="G14" s="21" t="s">
        <v>53</v>
      </c>
      <c r="H14" s="23">
        <v>0.7349</v>
      </c>
      <c r="I14" s="19">
        <v>1.7306</v>
      </c>
      <c r="J14" s="53">
        <f>LOG(2.3514)</f>
        <v>0.3713265138617462</v>
      </c>
      <c r="K14" s="62">
        <v>503</v>
      </c>
      <c r="L14" s="20"/>
    </row>
    <row r="15" spans="1:12" s="5" customFormat="1" ht="25.5">
      <c r="A15" s="14"/>
      <c r="B15" s="14"/>
      <c r="C15" s="14" t="s">
        <v>44</v>
      </c>
      <c r="D15" s="15">
        <v>110</v>
      </c>
      <c r="E15" s="16">
        <v>0</v>
      </c>
      <c r="F15" s="17">
        <f t="shared" si="0"/>
        <v>110</v>
      </c>
      <c r="G15" s="14" t="s">
        <v>67</v>
      </c>
      <c r="H15" s="18">
        <v>0.8162</v>
      </c>
      <c r="I15" s="19">
        <v>1.5847</v>
      </c>
      <c r="J15" s="53">
        <f>LOG(4.2216)</f>
        <v>0.6254770811690672</v>
      </c>
      <c r="K15" s="62"/>
      <c r="L15" s="20"/>
    </row>
    <row r="16" spans="1:12" s="5" customFormat="1" ht="25.5">
      <c r="A16" s="14">
        <f t="shared" si="1"/>
        <v>7</v>
      </c>
      <c r="B16" s="21" t="s">
        <v>15</v>
      </c>
      <c r="C16" s="14">
        <v>2000</v>
      </c>
      <c r="D16" s="22">
        <v>32</v>
      </c>
      <c r="E16" s="16">
        <v>0</v>
      </c>
      <c r="F16" s="17">
        <f t="shared" si="0"/>
        <v>32</v>
      </c>
      <c r="G16" s="21" t="s">
        <v>54</v>
      </c>
      <c r="H16" s="23">
        <v>0.8109</v>
      </c>
      <c r="I16" s="19">
        <v>1.323</v>
      </c>
      <c r="J16" s="53">
        <f>LOG(4.8767)</f>
        <v>0.6881260399155434</v>
      </c>
      <c r="K16" s="62">
        <v>240</v>
      </c>
      <c r="L16" s="20"/>
    </row>
    <row r="17" spans="1:12" s="5" customFormat="1" ht="25.5">
      <c r="A17" s="14"/>
      <c r="B17" s="14"/>
      <c r="C17" s="14" t="s">
        <v>43</v>
      </c>
      <c r="D17" s="15">
        <v>233</v>
      </c>
      <c r="E17" s="16">
        <v>0</v>
      </c>
      <c r="F17" s="17">
        <f t="shared" si="0"/>
        <v>233</v>
      </c>
      <c r="G17" s="14" t="s">
        <v>68</v>
      </c>
      <c r="H17" s="18">
        <v>0.7257</v>
      </c>
      <c r="I17" s="19">
        <v>1.4013</v>
      </c>
      <c r="J17" s="53">
        <f>LOG(4.9337)</f>
        <v>0.6931727381197355</v>
      </c>
      <c r="K17" s="62"/>
      <c r="L17" s="20"/>
    </row>
    <row r="18" spans="1:12" s="5" customFormat="1" ht="25.5">
      <c r="A18" s="14">
        <f t="shared" si="1"/>
        <v>8</v>
      </c>
      <c r="B18" s="21" t="s">
        <v>16</v>
      </c>
      <c r="C18" s="14">
        <v>2000</v>
      </c>
      <c r="D18" s="22">
        <v>32</v>
      </c>
      <c r="E18" s="16">
        <v>0</v>
      </c>
      <c r="F18" s="17">
        <f t="shared" si="0"/>
        <v>32</v>
      </c>
      <c r="G18" s="21" t="s">
        <v>97</v>
      </c>
      <c r="H18" s="23">
        <v>0.7401</v>
      </c>
      <c r="I18" s="19">
        <v>1.2957</v>
      </c>
      <c r="J18" s="53">
        <f>LOG(5.0176)</f>
        <v>0.7004960366683256</v>
      </c>
      <c r="K18" s="62">
        <v>182</v>
      </c>
      <c r="L18" s="24"/>
    </row>
    <row r="19" spans="1:12" s="5" customFormat="1" ht="25.5">
      <c r="A19" s="14"/>
      <c r="B19" s="14"/>
      <c r="C19" s="14" t="s">
        <v>45</v>
      </c>
      <c r="D19" s="15">
        <v>164</v>
      </c>
      <c r="E19" s="16">
        <v>0</v>
      </c>
      <c r="F19" s="17">
        <f t="shared" si="0"/>
        <v>164</v>
      </c>
      <c r="G19" s="14" t="s">
        <v>98</v>
      </c>
      <c r="H19" s="18">
        <v>0.6127</v>
      </c>
      <c r="I19" s="19">
        <v>1.2876</v>
      </c>
      <c r="J19" s="53">
        <f>LOG(6.7708)</f>
        <v>0.8306399855328825</v>
      </c>
      <c r="K19" s="62"/>
      <c r="L19" s="24"/>
    </row>
    <row r="20" spans="1:12" s="5" customFormat="1" ht="25.5">
      <c r="A20" s="14">
        <f t="shared" si="1"/>
        <v>9</v>
      </c>
      <c r="B20" s="21" t="s">
        <v>26</v>
      </c>
      <c r="C20" s="14">
        <v>2000</v>
      </c>
      <c r="D20" s="22">
        <v>24</v>
      </c>
      <c r="E20" s="16">
        <v>0</v>
      </c>
      <c r="F20" s="17">
        <f t="shared" si="0"/>
        <v>24</v>
      </c>
      <c r="G20" s="21" t="s">
        <v>55</v>
      </c>
      <c r="H20" s="23">
        <v>0.8953</v>
      </c>
      <c r="I20" s="19">
        <v>1.3131</v>
      </c>
      <c r="J20" s="53">
        <f>LOG(4.3043)</f>
        <v>0.6339025330589051</v>
      </c>
      <c r="K20" s="62">
        <v>547</v>
      </c>
      <c r="L20" s="24"/>
    </row>
    <row r="21" spans="1:12" s="5" customFormat="1" ht="25.5">
      <c r="A21" s="14"/>
      <c r="B21" s="14"/>
      <c r="C21" s="14">
        <v>2000</v>
      </c>
      <c r="D21" s="15">
        <v>24</v>
      </c>
      <c r="E21" s="16">
        <v>0</v>
      </c>
      <c r="F21" s="17">
        <f t="shared" si="0"/>
        <v>24</v>
      </c>
      <c r="G21" s="41" t="s">
        <v>77</v>
      </c>
      <c r="H21" s="42">
        <v>0.8953</v>
      </c>
      <c r="I21" s="19">
        <v>1.3131</v>
      </c>
      <c r="J21" s="53">
        <f>LOG(4.3043)</f>
        <v>0.6339025330589051</v>
      </c>
      <c r="K21" s="62"/>
      <c r="L21" s="24"/>
    </row>
    <row r="22" spans="1:12" s="5" customFormat="1" ht="25.5">
      <c r="A22" s="14">
        <f t="shared" si="1"/>
        <v>10</v>
      </c>
      <c r="B22" s="21" t="s">
        <v>17</v>
      </c>
      <c r="C22" s="14">
        <v>2000</v>
      </c>
      <c r="D22" s="22">
        <v>34</v>
      </c>
      <c r="E22" s="16">
        <v>0</v>
      </c>
      <c r="F22" s="17">
        <f t="shared" si="0"/>
        <v>34</v>
      </c>
      <c r="G22" s="21" t="s">
        <v>99</v>
      </c>
      <c r="H22" s="23">
        <v>0.9693</v>
      </c>
      <c r="I22" s="19">
        <v>1.5166</v>
      </c>
      <c r="J22" s="53">
        <f>LOG(1.1357)</f>
        <v>0.05526362578418402</v>
      </c>
      <c r="K22" s="62">
        <v>8985</v>
      </c>
      <c r="L22" s="20"/>
    </row>
    <row r="23" spans="1:12" s="5" customFormat="1" ht="25.5">
      <c r="A23" s="14"/>
      <c r="B23" s="14"/>
      <c r="C23" s="14" t="s">
        <v>44</v>
      </c>
      <c r="D23" s="15">
        <v>102</v>
      </c>
      <c r="E23" s="16">
        <v>0</v>
      </c>
      <c r="F23" s="17">
        <f t="shared" si="0"/>
        <v>102</v>
      </c>
      <c r="G23" s="14" t="s">
        <v>69</v>
      </c>
      <c r="H23" s="18">
        <v>0.9593</v>
      </c>
      <c r="I23" s="19">
        <v>1.458</v>
      </c>
      <c r="J23" s="53">
        <f>LOG(1.4741)</f>
        <v>0.16852694619268904</v>
      </c>
      <c r="K23" s="62"/>
      <c r="L23" s="20"/>
    </row>
    <row r="24" spans="1:12" s="5" customFormat="1" ht="25.5">
      <c r="A24" s="14">
        <f t="shared" si="1"/>
        <v>11</v>
      </c>
      <c r="B24" s="21" t="s">
        <v>27</v>
      </c>
      <c r="C24" s="14">
        <v>2000</v>
      </c>
      <c r="D24" s="22">
        <v>27</v>
      </c>
      <c r="E24" s="16">
        <v>0</v>
      </c>
      <c r="F24" s="17">
        <f t="shared" si="0"/>
        <v>27</v>
      </c>
      <c r="G24" s="21" t="s">
        <v>56</v>
      </c>
      <c r="H24" s="23">
        <v>0.9445</v>
      </c>
      <c r="I24" s="19">
        <v>1.39</v>
      </c>
      <c r="J24" s="53">
        <f>LOG(3.0996)</f>
        <v>0.491305652220942</v>
      </c>
      <c r="K24" s="62">
        <v>1388</v>
      </c>
      <c r="L24" s="20"/>
    </row>
    <row r="25" spans="1:12" s="5" customFormat="1" ht="25.5">
      <c r="A25" s="14"/>
      <c r="B25" s="14"/>
      <c r="C25" s="14">
        <v>2000</v>
      </c>
      <c r="D25" s="15">
        <v>27</v>
      </c>
      <c r="E25" s="16">
        <v>0</v>
      </c>
      <c r="F25" s="17">
        <f t="shared" si="0"/>
        <v>27</v>
      </c>
      <c r="G25" s="14" t="s">
        <v>70</v>
      </c>
      <c r="H25" s="18">
        <v>0.9445</v>
      </c>
      <c r="I25" s="19">
        <v>1.39</v>
      </c>
      <c r="J25" s="53">
        <f>LOG(3.0996)</f>
        <v>0.491305652220942</v>
      </c>
      <c r="K25" s="62"/>
      <c r="L25" s="20"/>
    </row>
    <row r="26" spans="1:12" s="5" customFormat="1" ht="25.5">
      <c r="A26" s="14">
        <f t="shared" si="1"/>
        <v>12</v>
      </c>
      <c r="B26" s="21" t="s">
        <v>18</v>
      </c>
      <c r="C26" s="14">
        <v>2000</v>
      </c>
      <c r="D26" s="22">
        <v>34</v>
      </c>
      <c r="E26" s="16">
        <v>0</v>
      </c>
      <c r="F26" s="17">
        <f t="shared" si="0"/>
        <v>34</v>
      </c>
      <c r="G26" s="21" t="s">
        <v>57</v>
      </c>
      <c r="H26" s="23">
        <v>0.9014</v>
      </c>
      <c r="I26" s="19">
        <v>1.3678</v>
      </c>
      <c r="J26" s="53">
        <f>LOG(4.5258)</f>
        <v>0.6556953580995877</v>
      </c>
      <c r="K26" s="62">
        <v>619</v>
      </c>
      <c r="L26" s="20"/>
    </row>
    <row r="27" spans="1:12" s="5" customFormat="1" ht="25.5">
      <c r="A27" s="14"/>
      <c r="B27" s="14"/>
      <c r="C27" s="14" t="s">
        <v>46</v>
      </c>
      <c r="D27" s="15">
        <v>140</v>
      </c>
      <c r="E27" s="16">
        <v>0</v>
      </c>
      <c r="F27" s="17">
        <f t="shared" si="0"/>
        <v>140</v>
      </c>
      <c r="G27" s="14" t="s">
        <v>71</v>
      </c>
      <c r="H27" s="18">
        <v>0.8669</v>
      </c>
      <c r="I27" s="19">
        <v>1.3726</v>
      </c>
      <c r="J27" s="53">
        <f>LOG(3.3615)</f>
        <v>0.5265331155907425</v>
      </c>
      <c r="K27" s="62"/>
      <c r="L27" s="20"/>
    </row>
    <row r="28" spans="1:12" s="5" customFormat="1" ht="25.5">
      <c r="A28" s="14">
        <f t="shared" si="1"/>
        <v>13</v>
      </c>
      <c r="B28" s="21" t="s">
        <v>28</v>
      </c>
      <c r="C28" s="14">
        <v>2000</v>
      </c>
      <c r="D28" s="22">
        <v>34</v>
      </c>
      <c r="E28" s="16">
        <v>0</v>
      </c>
      <c r="F28" s="17">
        <f t="shared" si="0"/>
        <v>34</v>
      </c>
      <c r="G28" s="21" t="s">
        <v>100</v>
      </c>
      <c r="H28" s="23">
        <v>0.9481</v>
      </c>
      <c r="I28" s="19">
        <v>1.3687</v>
      </c>
      <c r="J28" s="53">
        <f>LOG(4.6585)</f>
        <v>0.6682460998249508</v>
      </c>
      <c r="K28" s="62">
        <v>1065</v>
      </c>
      <c r="L28" s="20"/>
    </row>
    <row r="29" spans="1:12" s="5" customFormat="1" ht="25.5">
      <c r="A29" s="14"/>
      <c r="B29" s="14"/>
      <c r="C29" s="14" t="s">
        <v>46</v>
      </c>
      <c r="D29" s="15">
        <v>139</v>
      </c>
      <c r="E29" s="16">
        <v>0</v>
      </c>
      <c r="F29" s="17">
        <f t="shared" si="0"/>
        <v>139</v>
      </c>
      <c r="G29" s="14" t="s">
        <v>101</v>
      </c>
      <c r="H29" s="18">
        <v>0.9306</v>
      </c>
      <c r="I29" s="19">
        <v>1.3395</v>
      </c>
      <c r="J29" s="53">
        <f>LOG(4.0136)</f>
        <v>0.6035340880196951</v>
      </c>
      <c r="K29" s="62"/>
      <c r="L29" s="20"/>
    </row>
    <row r="30" spans="1:12" s="5" customFormat="1" ht="25.5">
      <c r="A30" s="14">
        <f t="shared" si="1"/>
        <v>14</v>
      </c>
      <c r="B30" s="21" t="s">
        <v>19</v>
      </c>
      <c r="C30" s="14">
        <v>2000</v>
      </c>
      <c r="D30" s="22">
        <v>34</v>
      </c>
      <c r="E30" s="16">
        <v>0</v>
      </c>
      <c r="F30" s="17">
        <f t="shared" si="0"/>
        <v>34</v>
      </c>
      <c r="G30" s="21" t="s">
        <v>58</v>
      </c>
      <c r="H30" s="23">
        <v>0.8554</v>
      </c>
      <c r="I30" s="19">
        <v>1.1944</v>
      </c>
      <c r="J30" s="53">
        <f>LOG(5.4867)</f>
        <v>0.739311214632668</v>
      </c>
      <c r="K30" s="62">
        <v>3415</v>
      </c>
      <c r="L30" s="25"/>
    </row>
    <row r="31" spans="1:12" s="5" customFormat="1" ht="25.5">
      <c r="A31" s="14"/>
      <c r="B31" s="14"/>
      <c r="C31" s="14" t="s">
        <v>47</v>
      </c>
      <c r="D31" s="15">
        <v>60</v>
      </c>
      <c r="E31" s="16">
        <v>0</v>
      </c>
      <c r="F31" s="17">
        <f t="shared" si="0"/>
        <v>60</v>
      </c>
      <c r="G31" s="14" t="s">
        <v>72</v>
      </c>
      <c r="H31" s="18">
        <v>0.9121</v>
      </c>
      <c r="I31" s="19">
        <v>1.3199</v>
      </c>
      <c r="J31" s="53">
        <f>LOG(4.1291)</f>
        <v>0.6158554008989916</v>
      </c>
      <c r="K31" s="62"/>
      <c r="L31" s="20"/>
    </row>
    <row r="32" spans="1:12" s="5" customFormat="1" ht="25.5">
      <c r="A32" s="14">
        <f t="shared" si="1"/>
        <v>15</v>
      </c>
      <c r="B32" s="21" t="s">
        <v>20</v>
      </c>
      <c r="C32" s="14">
        <v>2000</v>
      </c>
      <c r="D32" s="22">
        <v>17</v>
      </c>
      <c r="E32" s="16">
        <v>0</v>
      </c>
      <c r="F32" s="17">
        <f t="shared" si="0"/>
        <v>17</v>
      </c>
      <c r="G32" s="21" t="s">
        <v>59</v>
      </c>
      <c r="H32" s="23">
        <v>0.7887</v>
      </c>
      <c r="I32" s="19">
        <v>1.3068</v>
      </c>
      <c r="J32" s="53">
        <f>LOG(5.3759)</f>
        <v>0.7304511815762533</v>
      </c>
      <c r="K32" s="62">
        <v>7624</v>
      </c>
      <c r="L32" s="20"/>
    </row>
    <row r="33" spans="1:12" s="5" customFormat="1" ht="25.5">
      <c r="A33" s="26"/>
      <c r="B33" s="26"/>
      <c r="C33" s="26" t="s">
        <v>44</v>
      </c>
      <c r="D33" s="27">
        <v>81</v>
      </c>
      <c r="E33" s="28">
        <v>0</v>
      </c>
      <c r="F33" s="29">
        <f t="shared" si="0"/>
        <v>81</v>
      </c>
      <c r="G33" s="26" t="s">
        <v>73</v>
      </c>
      <c r="H33" s="30">
        <v>0.9266</v>
      </c>
      <c r="I33" s="31">
        <v>1.3718</v>
      </c>
      <c r="J33" s="54">
        <f>LOG(2.9835)</f>
        <v>0.47472604218011677</v>
      </c>
      <c r="K33" s="63"/>
      <c r="L33" s="32"/>
    </row>
    <row r="34" spans="1:12" s="5" customFormat="1" ht="25.5">
      <c r="A34" s="43">
        <f t="shared" si="1"/>
        <v>16</v>
      </c>
      <c r="B34" s="48" t="s">
        <v>21</v>
      </c>
      <c r="C34" s="43">
        <v>2000</v>
      </c>
      <c r="D34" s="49">
        <v>33</v>
      </c>
      <c r="E34" s="44">
        <v>0</v>
      </c>
      <c r="F34" s="45">
        <f t="shared" si="0"/>
        <v>33</v>
      </c>
      <c r="G34" s="48" t="s">
        <v>89</v>
      </c>
      <c r="H34" s="50">
        <v>0.9448</v>
      </c>
      <c r="I34" s="46">
        <v>1.3224</v>
      </c>
      <c r="J34" s="55">
        <f>LOG(5.863)</f>
        <v>0.7681198941847973</v>
      </c>
      <c r="K34" s="64">
        <v>597</v>
      </c>
      <c r="L34" s="47"/>
    </row>
    <row r="35" spans="1:12" s="5" customFormat="1" ht="25.5">
      <c r="A35" s="14"/>
      <c r="B35" s="14"/>
      <c r="C35" s="14" t="s">
        <v>44</v>
      </c>
      <c r="D35" s="15">
        <v>96</v>
      </c>
      <c r="E35" s="16">
        <v>0</v>
      </c>
      <c r="F35" s="17">
        <f t="shared" si="0"/>
        <v>96</v>
      </c>
      <c r="G35" s="14" t="s">
        <v>90</v>
      </c>
      <c r="H35" s="18">
        <v>0.9303</v>
      </c>
      <c r="I35" s="19">
        <v>1.3695</v>
      </c>
      <c r="J35" s="53">
        <f>LOG(5.0229)</f>
        <v>0.7009545319559853</v>
      </c>
      <c r="K35" s="62"/>
      <c r="L35" s="20"/>
    </row>
    <row r="36" spans="1:12" s="5" customFormat="1" ht="25.5">
      <c r="A36" s="43">
        <f t="shared" si="1"/>
        <v>17</v>
      </c>
      <c r="B36" s="48" t="s">
        <v>22</v>
      </c>
      <c r="C36" s="43">
        <v>2000</v>
      </c>
      <c r="D36" s="49">
        <v>13</v>
      </c>
      <c r="E36" s="44">
        <v>0</v>
      </c>
      <c r="F36" s="45">
        <f t="shared" si="0"/>
        <v>13</v>
      </c>
      <c r="G36" s="48" t="s">
        <v>78</v>
      </c>
      <c r="H36" s="50">
        <v>0.8434</v>
      </c>
      <c r="I36" s="46">
        <v>1.244</v>
      </c>
      <c r="J36" s="55">
        <f>LOG(6.0248)</f>
        <v>0.779942634593287</v>
      </c>
      <c r="K36" s="64">
        <v>331</v>
      </c>
      <c r="L36" s="51"/>
    </row>
    <row r="37" spans="1:12" s="5" customFormat="1" ht="25.5">
      <c r="A37" s="14"/>
      <c r="B37" s="14"/>
      <c r="C37" s="14" t="s">
        <v>44</v>
      </c>
      <c r="D37" s="15">
        <v>63</v>
      </c>
      <c r="E37" s="16">
        <v>0</v>
      </c>
      <c r="F37" s="17">
        <f t="shared" si="0"/>
        <v>63</v>
      </c>
      <c r="G37" s="14" t="s">
        <v>79</v>
      </c>
      <c r="H37" s="18">
        <v>0.8864</v>
      </c>
      <c r="I37" s="19">
        <v>1.3055</v>
      </c>
      <c r="J37" s="53">
        <f>LOG(3.9876)</f>
        <v>0.6007115873263359</v>
      </c>
      <c r="K37" s="62"/>
      <c r="L37" s="24"/>
    </row>
    <row r="38" spans="1:12" s="5" customFormat="1" ht="25.5">
      <c r="A38" s="14">
        <f t="shared" si="1"/>
        <v>18</v>
      </c>
      <c r="B38" s="21" t="s">
        <v>29</v>
      </c>
      <c r="C38" s="14">
        <v>2000</v>
      </c>
      <c r="D38" s="22">
        <v>32</v>
      </c>
      <c r="E38" s="16">
        <v>0</v>
      </c>
      <c r="F38" s="17">
        <f t="shared" si="0"/>
        <v>32</v>
      </c>
      <c r="G38" s="21" t="s">
        <v>60</v>
      </c>
      <c r="H38" s="23">
        <v>0.9109</v>
      </c>
      <c r="I38" s="19">
        <v>1.4912</v>
      </c>
      <c r="J38" s="53">
        <f>LOG(1.8738)</f>
        <v>0.2727232346138422</v>
      </c>
      <c r="K38" s="62">
        <v>822</v>
      </c>
      <c r="L38" s="20"/>
    </row>
    <row r="39" spans="1:12" s="5" customFormat="1" ht="25.5">
      <c r="A39" s="14"/>
      <c r="B39" s="14"/>
      <c r="C39" s="14">
        <v>2000</v>
      </c>
      <c r="D39" s="15">
        <v>32</v>
      </c>
      <c r="E39" s="16">
        <v>0</v>
      </c>
      <c r="F39" s="17">
        <f t="shared" si="0"/>
        <v>32</v>
      </c>
      <c r="G39" s="14" t="s">
        <v>74</v>
      </c>
      <c r="H39" s="18">
        <v>0.9109</v>
      </c>
      <c r="I39" s="19">
        <v>1.4912</v>
      </c>
      <c r="J39" s="53">
        <f>LOG(1.8738)</f>
        <v>0.2727232346138422</v>
      </c>
      <c r="K39" s="62"/>
      <c r="L39" s="20"/>
    </row>
    <row r="40" spans="1:12" s="5" customFormat="1" ht="25.5">
      <c r="A40" s="14">
        <f t="shared" si="1"/>
        <v>19</v>
      </c>
      <c r="B40" s="21" t="s">
        <v>30</v>
      </c>
      <c r="C40" s="14">
        <v>2000</v>
      </c>
      <c r="D40" s="22">
        <v>32</v>
      </c>
      <c r="E40" s="16">
        <v>0</v>
      </c>
      <c r="F40" s="17">
        <f t="shared" si="0"/>
        <v>32</v>
      </c>
      <c r="G40" s="21" t="s">
        <v>105</v>
      </c>
      <c r="H40" s="23">
        <v>0.9448</v>
      </c>
      <c r="I40" s="19">
        <v>1.6654</v>
      </c>
      <c r="J40" s="53">
        <f>LOG(0.263)</f>
        <v>-0.5800442515102421</v>
      </c>
      <c r="K40" s="62">
        <v>8784</v>
      </c>
      <c r="L40" s="24"/>
    </row>
    <row r="41" spans="1:12" s="5" customFormat="1" ht="25.5">
      <c r="A41" s="14"/>
      <c r="B41" s="14"/>
      <c r="C41" s="14" t="s">
        <v>86</v>
      </c>
      <c r="D41" s="15">
        <v>198</v>
      </c>
      <c r="E41" s="16">
        <v>0</v>
      </c>
      <c r="F41" s="17">
        <f t="shared" si="0"/>
        <v>198</v>
      </c>
      <c r="G41" s="14" t="s">
        <v>102</v>
      </c>
      <c r="H41" s="18">
        <v>0.9202</v>
      </c>
      <c r="I41" s="19">
        <v>1.6434</v>
      </c>
      <c r="J41" s="53">
        <f>LOG(0.3163)</f>
        <v>-0.4999008080842771</v>
      </c>
      <c r="K41" s="62"/>
      <c r="L41" s="24"/>
    </row>
    <row r="42" spans="1:12" s="5" customFormat="1" ht="25.5">
      <c r="A42" s="14">
        <f t="shared" si="1"/>
        <v>20</v>
      </c>
      <c r="B42" s="21" t="s">
        <v>31</v>
      </c>
      <c r="C42" s="14">
        <v>2000</v>
      </c>
      <c r="D42" s="22">
        <v>31</v>
      </c>
      <c r="E42" s="16">
        <v>0</v>
      </c>
      <c r="F42" s="17">
        <f t="shared" si="0"/>
        <v>31</v>
      </c>
      <c r="G42" s="21" t="s">
        <v>61</v>
      </c>
      <c r="H42" s="23">
        <v>0.9218</v>
      </c>
      <c r="I42" s="19">
        <v>1.9793</v>
      </c>
      <c r="J42" s="53">
        <f>LOG(0.1792)</f>
        <v>-0.7466619946738936</v>
      </c>
      <c r="K42" s="62">
        <v>2107</v>
      </c>
      <c r="L42" s="20"/>
    </row>
    <row r="43" spans="1:12" s="5" customFormat="1" ht="25.5">
      <c r="A43" s="14"/>
      <c r="B43" s="14"/>
      <c r="C43" s="14" t="s">
        <v>44</v>
      </c>
      <c r="D43" s="15">
        <v>109</v>
      </c>
      <c r="E43" s="16">
        <v>0</v>
      </c>
      <c r="F43" s="17">
        <f t="shared" si="0"/>
        <v>109</v>
      </c>
      <c r="G43" s="14" t="s">
        <v>75</v>
      </c>
      <c r="H43" s="18">
        <v>0.8601</v>
      </c>
      <c r="I43" s="19">
        <v>1.8873</v>
      </c>
      <c r="J43" s="53">
        <f>LOG(0.2695)</f>
        <v>-0.5694412304772425</v>
      </c>
      <c r="K43" s="65"/>
      <c r="L43" s="20"/>
    </row>
    <row r="44" spans="1:12" s="5" customFormat="1" ht="25.5">
      <c r="A44" s="14">
        <f t="shared" si="1"/>
        <v>21</v>
      </c>
      <c r="B44" s="21" t="s">
        <v>32</v>
      </c>
      <c r="C44" s="14">
        <v>2000</v>
      </c>
      <c r="D44" s="22">
        <v>32</v>
      </c>
      <c r="E44" s="16">
        <v>0</v>
      </c>
      <c r="F44" s="17">
        <f aca="true" t="shared" si="2" ref="F44:F49">E44+D44</f>
        <v>32</v>
      </c>
      <c r="G44" s="21" t="s">
        <v>103</v>
      </c>
      <c r="H44" s="23">
        <v>0.8823</v>
      </c>
      <c r="I44" s="19">
        <v>1.1055</v>
      </c>
      <c r="J44" s="53">
        <f>LOG(2.7351)</f>
        <v>0.43697320951926777</v>
      </c>
      <c r="K44" s="62">
        <v>155</v>
      </c>
      <c r="L44" s="20"/>
    </row>
    <row r="45" spans="1:12" s="5" customFormat="1" ht="25.5">
      <c r="A45" s="14"/>
      <c r="B45" s="14"/>
      <c r="C45" s="14">
        <v>2000</v>
      </c>
      <c r="D45" s="15">
        <v>32</v>
      </c>
      <c r="E45" s="16">
        <v>0</v>
      </c>
      <c r="F45" s="17">
        <f t="shared" si="2"/>
        <v>32</v>
      </c>
      <c r="G45" s="41" t="s">
        <v>104</v>
      </c>
      <c r="H45" s="18">
        <v>0.8823</v>
      </c>
      <c r="I45" s="19">
        <v>1.1055</v>
      </c>
      <c r="J45" s="53">
        <f>LOG(2.7351)</f>
        <v>0.43697320951926777</v>
      </c>
      <c r="K45" s="65"/>
      <c r="L45" s="20"/>
    </row>
    <row r="46" spans="1:12" s="5" customFormat="1" ht="25.5">
      <c r="A46" s="14">
        <f t="shared" si="1"/>
        <v>22</v>
      </c>
      <c r="B46" s="21" t="s">
        <v>33</v>
      </c>
      <c r="C46" s="14">
        <v>2000</v>
      </c>
      <c r="D46" s="22">
        <v>32</v>
      </c>
      <c r="E46" s="16">
        <v>0</v>
      </c>
      <c r="F46" s="17">
        <f t="shared" si="2"/>
        <v>32</v>
      </c>
      <c r="G46" s="21" t="s">
        <v>92</v>
      </c>
      <c r="H46" s="23">
        <v>0.9139</v>
      </c>
      <c r="I46" s="19">
        <v>1.554</v>
      </c>
      <c r="J46" s="53">
        <f>LOG(5.2901)</f>
        <v>0.7234638816831459</v>
      </c>
      <c r="K46" s="62">
        <v>788</v>
      </c>
      <c r="L46" s="20"/>
    </row>
    <row r="47" spans="1:12" s="5" customFormat="1" ht="25.5">
      <c r="A47" s="14"/>
      <c r="B47" s="14"/>
      <c r="C47" s="14" t="s">
        <v>44</v>
      </c>
      <c r="D47" s="15">
        <v>105</v>
      </c>
      <c r="E47" s="16">
        <v>0</v>
      </c>
      <c r="F47" s="17">
        <f t="shared" si="2"/>
        <v>105</v>
      </c>
      <c r="G47" s="14" t="s">
        <v>93</v>
      </c>
      <c r="H47" s="18">
        <v>0.8993</v>
      </c>
      <c r="I47" s="19">
        <v>1.5523</v>
      </c>
      <c r="J47" s="53">
        <f>LOG(5.4445)</f>
        <v>0.7359580021429247</v>
      </c>
      <c r="K47" s="65"/>
      <c r="L47" s="20"/>
    </row>
    <row r="48" spans="1:12" s="5" customFormat="1" ht="25.5">
      <c r="A48" s="14">
        <f t="shared" si="1"/>
        <v>23</v>
      </c>
      <c r="B48" s="21" t="s">
        <v>34</v>
      </c>
      <c r="C48" s="14">
        <v>2000</v>
      </c>
      <c r="D48" s="22">
        <v>32</v>
      </c>
      <c r="E48" s="16">
        <v>0</v>
      </c>
      <c r="F48" s="17">
        <f t="shared" si="2"/>
        <v>32</v>
      </c>
      <c r="G48" s="21" t="s">
        <v>80</v>
      </c>
      <c r="H48" s="23">
        <v>0.9015</v>
      </c>
      <c r="I48" s="19">
        <v>1.7008</v>
      </c>
      <c r="J48" s="53">
        <f>LOG(0.8924)</f>
        <v>-0.04944043838819989</v>
      </c>
      <c r="K48" s="62">
        <v>615</v>
      </c>
      <c r="L48" s="20"/>
    </row>
    <row r="49" spans="1:12" s="5" customFormat="1" ht="25.5">
      <c r="A49" s="14"/>
      <c r="B49" s="14"/>
      <c r="C49" s="14" t="s">
        <v>44</v>
      </c>
      <c r="D49" s="15">
        <v>103</v>
      </c>
      <c r="E49" s="16">
        <v>0</v>
      </c>
      <c r="F49" s="17">
        <f t="shared" si="2"/>
        <v>103</v>
      </c>
      <c r="G49" s="14" t="s">
        <v>81</v>
      </c>
      <c r="H49" s="18">
        <v>0.8892</v>
      </c>
      <c r="I49" s="19">
        <v>1.6435</v>
      </c>
      <c r="J49" s="53">
        <f>LOG(1.1089)</f>
        <v>0.044892383474359795</v>
      </c>
      <c r="K49" s="65"/>
      <c r="L49" s="20"/>
    </row>
    <row r="50" spans="1:12" s="5" customFormat="1" ht="25.5">
      <c r="A50" s="14">
        <f t="shared" si="1"/>
        <v>24</v>
      </c>
      <c r="B50" s="21" t="s">
        <v>35</v>
      </c>
      <c r="C50" s="14">
        <v>2000</v>
      </c>
      <c r="D50" s="22">
        <v>27</v>
      </c>
      <c r="E50" s="16">
        <v>0</v>
      </c>
      <c r="F50" s="17">
        <f aca="true" t="shared" si="3" ref="F50:F55">E50+D50</f>
        <v>27</v>
      </c>
      <c r="G50" s="21" t="s">
        <v>94</v>
      </c>
      <c r="H50" s="23">
        <v>0.9256</v>
      </c>
      <c r="I50" s="19">
        <v>1.3514</v>
      </c>
      <c r="J50" s="53">
        <f>LOG(6.6901)</f>
        <v>0.8254326094155973</v>
      </c>
      <c r="K50" s="62">
        <v>2934</v>
      </c>
      <c r="L50" s="20"/>
    </row>
    <row r="51" spans="1:12" s="5" customFormat="1" ht="25.5">
      <c r="A51" s="14"/>
      <c r="B51" s="14"/>
      <c r="C51" s="14" t="s">
        <v>48</v>
      </c>
      <c r="D51" s="15">
        <v>98</v>
      </c>
      <c r="E51" s="16">
        <v>0</v>
      </c>
      <c r="F51" s="17">
        <f t="shared" si="3"/>
        <v>98</v>
      </c>
      <c r="G51" s="14" t="s">
        <v>88</v>
      </c>
      <c r="H51" s="18">
        <v>0.9496</v>
      </c>
      <c r="I51" s="19">
        <v>1.4693</v>
      </c>
      <c r="J51" s="53">
        <f>LOG(4.16)</f>
        <v>0.6190933306267428</v>
      </c>
      <c r="K51" s="65"/>
      <c r="L51" s="20"/>
    </row>
    <row r="52" spans="1:12" s="5" customFormat="1" ht="25.5">
      <c r="A52" s="14">
        <f t="shared" si="1"/>
        <v>25</v>
      </c>
      <c r="B52" s="21" t="s">
        <v>36</v>
      </c>
      <c r="C52" s="14">
        <v>2000</v>
      </c>
      <c r="D52" s="22">
        <v>24</v>
      </c>
      <c r="E52" s="16">
        <v>0</v>
      </c>
      <c r="F52" s="17">
        <f t="shared" si="3"/>
        <v>24</v>
      </c>
      <c r="G52" s="21" t="s">
        <v>82</v>
      </c>
      <c r="H52" s="23">
        <v>0.8598</v>
      </c>
      <c r="I52" s="19">
        <v>1.5529</v>
      </c>
      <c r="J52" s="53">
        <f>LOG(4.1994)</f>
        <v>0.6231872438970587</v>
      </c>
      <c r="K52" s="62">
        <v>644</v>
      </c>
      <c r="L52" s="20"/>
    </row>
    <row r="53" spans="1:12" s="5" customFormat="1" ht="25.5">
      <c r="A53" s="14"/>
      <c r="B53" s="14"/>
      <c r="C53" s="14" t="s">
        <v>44</v>
      </c>
      <c r="D53" s="15">
        <v>94</v>
      </c>
      <c r="E53" s="16">
        <v>0</v>
      </c>
      <c r="F53" s="17">
        <f t="shared" si="3"/>
        <v>94</v>
      </c>
      <c r="G53" s="14" t="s">
        <v>83</v>
      </c>
      <c r="H53" s="18">
        <v>0.7386</v>
      </c>
      <c r="I53" s="19">
        <v>1.528</v>
      </c>
      <c r="J53" s="53">
        <f>LOG(5.5626)</f>
        <v>0.7452778314600563</v>
      </c>
      <c r="K53" s="65"/>
      <c r="L53" s="20"/>
    </row>
    <row r="54" spans="1:12" s="5" customFormat="1" ht="25.5">
      <c r="A54" s="14">
        <f t="shared" si="1"/>
        <v>26</v>
      </c>
      <c r="B54" s="21" t="s">
        <v>37</v>
      </c>
      <c r="C54" s="14">
        <v>2000</v>
      </c>
      <c r="D54" s="22">
        <v>24</v>
      </c>
      <c r="E54" s="16">
        <v>0</v>
      </c>
      <c r="F54" s="17">
        <f t="shared" si="3"/>
        <v>24</v>
      </c>
      <c r="G54" s="21" t="s">
        <v>84</v>
      </c>
      <c r="H54" s="23">
        <v>0.8261</v>
      </c>
      <c r="I54" s="19">
        <v>1.6254</v>
      </c>
      <c r="J54" s="53">
        <f>LOG(6.7101)</f>
        <v>0.8267289924677367</v>
      </c>
      <c r="K54" s="62">
        <v>255</v>
      </c>
      <c r="L54" s="20"/>
    </row>
    <row r="55" spans="1:12" s="5" customFormat="1" ht="25.5">
      <c r="A55" s="14"/>
      <c r="B55" s="14"/>
      <c r="C55" s="14" t="s">
        <v>44</v>
      </c>
      <c r="D55" s="15">
        <v>95</v>
      </c>
      <c r="E55" s="16">
        <v>0</v>
      </c>
      <c r="F55" s="17">
        <f t="shared" si="3"/>
        <v>95</v>
      </c>
      <c r="G55" s="14" t="s">
        <v>85</v>
      </c>
      <c r="H55" s="18">
        <v>0.8113</v>
      </c>
      <c r="I55" s="19">
        <v>1.6</v>
      </c>
      <c r="J55" s="53">
        <f>LOG(7.3154)</f>
        <v>0.8642380779723757</v>
      </c>
      <c r="K55" s="65"/>
      <c r="L55" s="20"/>
    </row>
    <row r="56" spans="1:12" s="5" customFormat="1" ht="25.5">
      <c r="A56" s="14">
        <f t="shared" si="1"/>
        <v>27</v>
      </c>
      <c r="B56" s="21" t="s">
        <v>38</v>
      </c>
      <c r="C56" s="14">
        <v>2000</v>
      </c>
      <c r="D56" s="22">
        <v>33</v>
      </c>
      <c r="E56" s="16">
        <v>0</v>
      </c>
      <c r="F56" s="17">
        <f>E56+D56</f>
        <v>33</v>
      </c>
      <c r="G56" s="21" t="s">
        <v>62</v>
      </c>
      <c r="H56" s="23">
        <v>0.9404</v>
      </c>
      <c r="I56" s="19">
        <v>1.2032</v>
      </c>
      <c r="J56" s="53">
        <f>LOG(4.8728)</f>
        <v>0.6877785864933649</v>
      </c>
      <c r="K56" s="62">
        <v>6155</v>
      </c>
      <c r="L56" s="20"/>
    </row>
    <row r="57" spans="1:12" s="5" customFormat="1" ht="25.5">
      <c r="A57" s="26"/>
      <c r="B57" s="26"/>
      <c r="C57" s="26" t="s">
        <v>86</v>
      </c>
      <c r="D57" s="27">
        <v>195</v>
      </c>
      <c r="E57" s="28">
        <v>0</v>
      </c>
      <c r="F57" s="29">
        <f>E57+D57</f>
        <v>195</v>
      </c>
      <c r="G57" s="26" t="s">
        <v>76</v>
      </c>
      <c r="H57" s="30">
        <v>0.9139</v>
      </c>
      <c r="I57" s="31">
        <v>1.1478</v>
      </c>
      <c r="J57" s="54">
        <f>LOG(5.0502)</f>
        <v>0.7033085775595421</v>
      </c>
      <c r="K57" s="26"/>
      <c r="L57" s="32"/>
    </row>
    <row r="58" spans="1:12" s="5" customFormat="1" ht="23.25">
      <c r="A58" s="33"/>
      <c r="B58" s="33"/>
      <c r="C58" s="33" t="s">
        <v>9</v>
      </c>
      <c r="D58" s="34">
        <f>SUM(D4:D43)</f>
        <v>2989</v>
      </c>
      <c r="E58" s="35">
        <f>SUM(E4:E43)</f>
        <v>0</v>
      </c>
      <c r="F58" s="36">
        <f>SUM(F4:F43)</f>
        <v>2989</v>
      </c>
      <c r="G58" s="37"/>
      <c r="H58" s="38"/>
      <c r="I58" s="37"/>
      <c r="J58" s="80"/>
      <c r="K58" s="39"/>
      <c r="L58" s="40"/>
    </row>
    <row r="59" spans="1:12" s="5" customFormat="1" ht="23.25">
      <c r="A59" s="76" t="s">
        <v>41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8"/>
    </row>
  </sheetData>
  <mergeCells count="11">
    <mergeCell ref="L2:L3"/>
    <mergeCell ref="A59:L59"/>
    <mergeCell ref="H2:H3"/>
    <mergeCell ref="A1:L1"/>
    <mergeCell ref="D2:F2"/>
    <mergeCell ref="A2:A3"/>
    <mergeCell ref="B2:B3"/>
    <mergeCell ref="J2:J3"/>
    <mergeCell ref="I2:I3"/>
    <mergeCell ref="G2:G3"/>
    <mergeCell ref="C2:C3"/>
  </mergeCells>
  <printOptions horizontalCentered="1"/>
  <pageMargins left="0.1968503937007874" right="0.1968503937007874" top="0.3937007874015748" bottom="0.3937007874015748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 Organize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 User</dc:creator>
  <cp:keywords/>
  <dc:description/>
  <cp:lastModifiedBy>tanawut</cp:lastModifiedBy>
  <cp:lastPrinted>2000-05-30T07:22:35Z</cp:lastPrinted>
  <dcterms:created xsi:type="dcterms:W3CDTF">2001-05-01T08:12:27Z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