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15" windowHeight="6450" activeTab="0"/>
  </bookViews>
  <sheets>
    <sheet name="EQU2006" sheetId="1" r:id="rId1"/>
    <sheet name="EQU2002 (2)" sheetId="2" r:id="rId2"/>
  </sheets>
  <definedNames>
    <definedName name="_xlnm.Print_Titles" localSheetId="1">'EQU2002 (2)'!$1:$3</definedName>
    <definedName name="_xlnm.Print_Titles" localSheetId="0">'EQU2006'!$1:$3</definedName>
  </definedNames>
  <calcPr fullCalcOnLoad="1"/>
</workbook>
</file>

<file path=xl/sharedStrings.xml><?xml version="1.0" encoding="utf-8"?>
<sst xmlns="http://schemas.openxmlformats.org/spreadsheetml/2006/main" count="110" uniqueCount="93">
  <si>
    <t>CODE</t>
  </si>
  <si>
    <t>EQUATION</t>
  </si>
  <si>
    <t>b</t>
  </si>
  <si>
    <t>Log(a)</t>
  </si>
  <si>
    <t>R-Square</t>
  </si>
  <si>
    <t>No. of Samples</t>
  </si>
  <si>
    <t>Water year</t>
  </si>
  <si>
    <t>ที่</t>
  </si>
  <si>
    <t>Good</t>
  </si>
  <si>
    <t>Total</t>
  </si>
  <si>
    <t>N/A</t>
  </si>
  <si>
    <t>P.1</t>
  </si>
  <si>
    <t>P.4A</t>
  </si>
  <si>
    <t>P.24A</t>
  </si>
  <si>
    <t>P.64</t>
  </si>
  <si>
    <t>P.65</t>
  </si>
  <si>
    <t>W.3A</t>
  </si>
  <si>
    <t>W.17</t>
  </si>
  <si>
    <t>W.21</t>
  </si>
  <si>
    <t>Y.1C</t>
  </si>
  <si>
    <t>Y.34</t>
  </si>
  <si>
    <r>
      <t xml:space="preserve">สมการประเมินตะกอนแขวนลอย  </t>
    </r>
    <r>
      <rPr>
        <b/>
        <sz val="18"/>
        <color indexed="10"/>
        <rFont val="DilleniaUPC"/>
        <family val="1"/>
      </rPr>
      <t>Y=aX</t>
    </r>
    <r>
      <rPr>
        <b/>
        <vertAlign val="superscript"/>
        <sz val="18"/>
        <color indexed="10"/>
        <rFont val="DilleniaUPC"/>
        <family val="1"/>
      </rPr>
      <t>b</t>
    </r>
  </si>
  <si>
    <t>P.14</t>
  </si>
  <si>
    <t>P.56A</t>
  </si>
  <si>
    <t>P.77</t>
  </si>
  <si>
    <t>W.16A</t>
  </si>
  <si>
    <t>W.20</t>
  </si>
  <si>
    <t>Y.36</t>
  </si>
  <si>
    <t>N.13A</t>
  </si>
  <si>
    <t>G.8</t>
  </si>
  <si>
    <t>KH.72</t>
  </si>
  <si>
    <t>KH.89</t>
  </si>
  <si>
    <t>I.14</t>
  </si>
  <si>
    <t>DA.</t>
  </si>
  <si>
    <t>sq.km.</t>
  </si>
  <si>
    <r>
      <t xml:space="preserve">Accept  Equations are shown in </t>
    </r>
    <r>
      <rPr>
        <sz val="16"/>
        <color indexed="10"/>
        <rFont val="DilleniaUPC"/>
        <family val="1"/>
      </rPr>
      <t>red</t>
    </r>
  </si>
  <si>
    <t xml:space="preserve">Date of N/A sample </t>
  </si>
  <si>
    <t>P.21</t>
  </si>
  <si>
    <t>P.71</t>
  </si>
  <si>
    <t>P.73</t>
  </si>
  <si>
    <t>P.75</t>
  </si>
  <si>
    <t>P.76</t>
  </si>
  <si>
    <r>
      <t xml:space="preserve">สมการประเมินตะกอนแขวนลอย  </t>
    </r>
    <r>
      <rPr>
        <b/>
        <sz val="18"/>
        <color indexed="10"/>
        <rFont val="AngsanaUPC"/>
        <family val="1"/>
      </rPr>
      <t>Y=aX</t>
    </r>
    <r>
      <rPr>
        <b/>
        <vertAlign val="superscript"/>
        <sz val="18"/>
        <color indexed="10"/>
        <rFont val="AngsanaUPC"/>
        <family val="1"/>
      </rPr>
      <t>b</t>
    </r>
  </si>
  <si>
    <r>
      <t xml:space="preserve">Accept  Equations are shown in </t>
    </r>
    <r>
      <rPr>
        <sz val="16"/>
        <color indexed="10"/>
        <rFont val="AngsanaUPC"/>
        <family val="1"/>
      </rPr>
      <t>red</t>
    </r>
  </si>
  <si>
    <t>1993 - 2006</t>
  </si>
  <si>
    <r>
      <t>Y=1.4103X</t>
    </r>
    <r>
      <rPr>
        <vertAlign val="superscript"/>
        <sz val="16"/>
        <rFont val="AngsanaUPC"/>
        <family val="1"/>
      </rPr>
      <t>1.5508</t>
    </r>
  </si>
  <si>
    <t>1970 - 2006</t>
  </si>
  <si>
    <r>
      <t>Y=5.6674X</t>
    </r>
    <r>
      <rPr>
        <vertAlign val="superscript"/>
        <sz val="16"/>
        <rFont val="AngsanaUPC"/>
        <family val="1"/>
      </rPr>
      <t>1.3147</t>
    </r>
  </si>
  <si>
    <t>1997 - 2006</t>
  </si>
  <si>
    <r>
      <t>Y=5.5075X</t>
    </r>
    <r>
      <rPr>
        <vertAlign val="superscript"/>
        <sz val="16"/>
        <rFont val="AngsanaUPC"/>
        <family val="1"/>
      </rPr>
      <t>1.3389</t>
    </r>
  </si>
  <si>
    <t>2001 - 2006</t>
  </si>
  <si>
    <r>
      <t>Y=1.5751X</t>
    </r>
    <r>
      <rPr>
        <vertAlign val="superscript"/>
        <sz val="16"/>
        <rFont val="AngsanaUPC"/>
        <family val="1"/>
      </rPr>
      <t>1.34</t>
    </r>
  </si>
  <si>
    <r>
      <t>Y=0.8216X</t>
    </r>
    <r>
      <rPr>
        <vertAlign val="superscript"/>
        <sz val="16"/>
        <rFont val="AngsanaUPC"/>
        <family val="1"/>
      </rPr>
      <t>1.6652</t>
    </r>
  </si>
  <si>
    <t>2000 - 2006</t>
  </si>
  <si>
    <r>
      <t>Y=5.0327X</t>
    </r>
    <r>
      <rPr>
        <vertAlign val="superscript"/>
        <sz val="16"/>
        <color indexed="8"/>
        <rFont val="AngsanaUPC"/>
        <family val="1"/>
      </rPr>
      <t>1.2552</t>
    </r>
  </si>
  <si>
    <r>
      <t>Y=3.6045X</t>
    </r>
    <r>
      <rPr>
        <vertAlign val="superscript"/>
        <sz val="16"/>
        <rFont val="AngsanaUPC"/>
        <family val="1"/>
      </rPr>
      <t>1.5266</t>
    </r>
  </si>
  <si>
    <t>1996 - 2006</t>
  </si>
  <si>
    <r>
      <t>Y=3.4226X</t>
    </r>
    <r>
      <rPr>
        <vertAlign val="superscript"/>
        <sz val="16"/>
        <rFont val="AngsanaUPC"/>
        <family val="1"/>
      </rPr>
      <t>1.4906</t>
    </r>
  </si>
  <si>
    <t>1999 - 2006</t>
  </si>
  <si>
    <r>
      <t>Y=3.9865X</t>
    </r>
    <r>
      <rPr>
        <vertAlign val="superscript"/>
        <sz val="16"/>
        <rFont val="AngsanaUPC"/>
        <family val="1"/>
      </rPr>
      <t>1.349</t>
    </r>
  </si>
  <si>
    <r>
      <t>Y=2.2328X</t>
    </r>
    <r>
      <rPr>
        <vertAlign val="superscript"/>
        <sz val="16"/>
        <rFont val="AngsanaUPC"/>
        <family val="1"/>
      </rPr>
      <t>1.4671</t>
    </r>
  </si>
  <si>
    <t>1994 - 2006</t>
  </si>
  <si>
    <r>
      <t>Y=0.4688X</t>
    </r>
    <r>
      <rPr>
        <vertAlign val="superscript"/>
        <sz val="16"/>
        <rFont val="AngsanaUPC"/>
        <family val="1"/>
      </rPr>
      <t>1.5692</t>
    </r>
  </si>
  <si>
    <r>
      <t>Y=4.9074X</t>
    </r>
    <r>
      <rPr>
        <vertAlign val="superscript"/>
        <sz val="16"/>
        <rFont val="AngsanaUPC"/>
        <family val="1"/>
      </rPr>
      <t>1.4302</t>
    </r>
  </si>
  <si>
    <r>
      <t>Y=208.75X</t>
    </r>
    <r>
      <rPr>
        <vertAlign val="superscript"/>
        <sz val="16"/>
        <color indexed="10"/>
        <rFont val="AngsanaUPC"/>
        <family val="1"/>
      </rPr>
      <t>0.4767</t>
    </r>
  </si>
  <si>
    <r>
      <t>Y=15.893X</t>
    </r>
    <r>
      <rPr>
        <vertAlign val="superscript"/>
        <sz val="16"/>
        <color indexed="10"/>
        <rFont val="AngsanaUPC"/>
        <family val="1"/>
      </rPr>
      <t>0.944</t>
    </r>
  </si>
  <si>
    <r>
      <t>Y=9.7508X</t>
    </r>
    <r>
      <rPr>
        <vertAlign val="superscript"/>
        <sz val="16"/>
        <color indexed="10"/>
        <rFont val="AngsanaUPC"/>
        <family val="1"/>
      </rPr>
      <t>1.2441</t>
    </r>
  </si>
  <si>
    <r>
      <t>Y=2.7436X</t>
    </r>
    <r>
      <rPr>
        <vertAlign val="superscript"/>
        <sz val="16"/>
        <color indexed="10"/>
        <rFont val="AngsanaUPC"/>
        <family val="1"/>
      </rPr>
      <t>1.3054</t>
    </r>
  </si>
  <si>
    <r>
      <t>Y=5.6783X</t>
    </r>
    <r>
      <rPr>
        <vertAlign val="superscript"/>
        <sz val="16"/>
        <color indexed="10"/>
        <rFont val="AngsanaUPC"/>
        <family val="1"/>
      </rPr>
      <t>1.081</t>
    </r>
  </si>
  <si>
    <t>ไม่มีการตักตะกอน</t>
  </si>
  <si>
    <r>
      <t>Y=13.604X</t>
    </r>
    <r>
      <rPr>
        <vertAlign val="superscript"/>
        <sz val="16"/>
        <color indexed="10"/>
        <rFont val="AngsanaUPC"/>
        <family val="1"/>
      </rPr>
      <t>1.1452</t>
    </r>
  </si>
  <si>
    <t>P.79</t>
  </si>
  <si>
    <r>
      <t>Y=137.89X</t>
    </r>
    <r>
      <rPr>
        <vertAlign val="superscript"/>
        <sz val="16"/>
        <color indexed="10"/>
        <rFont val="AngsanaUPC"/>
        <family val="1"/>
      </rPr>
      <t>1.366</t>
    </r>
  </si>
  <si>
    <t>P.80</t>
  </si>
  <si>
    <r>
      <t>Y=3.6157X</t>
    </r>
    <r>
      <rPr>
        <vertAlign val="superscript"/>
        <sz val="16"/>
        <color indexed="10"/>
        <rFont val="AngsanaUPC"/>
        <family val="1"/>
      </rPr>
      <t>2.0724</t>
    </r>
  </si>
  <si>
    <t>P.82</t>
  </si>
  <si>
    <t>2005 - 2006</t>
  </si>
  <si>
    <r>
      <t>Y=219.75X</t>
    </r>
    <r>
      <rPr>
        <vertAlign val="superscript"/>
        <sz val="16"/>
        <color indexed="10"/>
        <rFont val="AngsanaUPC"/>
        <family val="1"/>
      </rPr>
      <t>2.1049</t>
    </r>
  </si>
  <si>
    <t>P.84</t>
  </si>
  <si>
    <r>
      <t>Y=182.8X</t>
    </r>
    <r>
      <rPr>
        <vertAlign val="superscript"/>
        <sz val="16"/>
        <color indexed="10"/>
        <rFont val="AngsanaUPC"/>
        <family val="1"/>
      </rPr>
      <t>1.8723</t>
    </r>
  </si>
  <si>
    <r>
      <t>Y=191.1X</t>
    </r>
    <r>
      <rPr>
        <vertAlign val="superscript"/>
        <sz val="16"/>
        <color indexed="8"/>
        <rFont val="AngsanaUPC"/>
        <family val="1"/>
      </rPr>
      <t>1.3256</t>
    </r>
  </si>
  <si>
    <r>
      <t>Y=7.891X</t>
    </r>
    <r>
      <rPr>
        <vertAlign val="superscript"/>
        <sz val="16"/>
        <color indexed="10"/>
        <rFont val="AngsanaUPC"/>
        <family val="1"/>
      </rPr>
      <t>1.6306</t>
    </r>
  </si>
  <si>
    <r>
      <t>Y=2.7126X</t>
    </r>
    <r>
      <rPr>
        <vertAlign val="superscript"/>
        <sz val="16"/>
        <color indexed="10"/>
        <rFont val="AngsanaUPC"/>
        <family val="1"/>
      </rPr>
      <t>2.0289</t>
    </r>
  </si>
  <si>
    <r>
      <t>Y=3.0529X</t>
    </r>
    <r>
      <rPr>
        <vertAlign val="superscript"/>
        <sz val="16"/>
        <color indexed="10"/>
        <rFont val="AngsanaUPC"/>
        <family val="1"/>
      </rPr>
      <t>1.3405</t>
    </r>
  </si>
  <si>
    <t>Y.20</t>
  </si>
  <si>
    <r>
      <t>Y=19.856X</t>
    </r>
    <r>
      <rPr>
        <vertAlign val="superscript"/>
        <sz val="16"/>
        <color indexed="10"/>
        <rFont val="AngsanaUPC"/>
        <family val="1"/>
      </rPr>
      <t>1..0318</t>
    </r>
  </si>
  <si>
    <r>
      <t>Y=50.1X</t>
    </r>
    <r>
      <rPr>
        <vertAlign val="superscript"/>
        <sz val="16"/>
        <color indexed="10"/>
        <rFont val="AngsanaUPC"/>
        <family val="1"/>
      </rPr>
      <t>0.85</t>
    </r>
  </si>
  <si>
    <t>N.1</t>
  </si>
  <si>
    <r>
      <t>Y=0.127X</t>
    </r>
    <r>
      <rPr>
        <vertAlign val="superscript"/>
        <sz val="16"/>
        <color indexed="10"/>
        <rFont val="AngsanaUPC"/>
        <family val="1"/>
      </rPr>
      <t>1.9816</t>
    </r>
  </si>
  <si>
    <r>
      <t>Y=0.9731X</t>
    </r>
    <r>
      <rPr>
        <vertAlign val="superscript"/>
        <sz val="16"/>
        <color indexed="10"/>
        <rFont val="AngsanaUPC"/>
        <family val="1"/>
      </rPr>
      <t>1.5054</t>
    </r>
  </si>
  <si>
    <r>
      <t>Y=8.471X</t>
    </r>
    <r>
      <rPr>
        <vertAlign val="superscript"/>
        <sz val="16"/>
        <color indexed="10"/>
        <rFont val="AngsanaUPC"/>
        <family val="1"/>
      </rPr>
      <t>1.3587</t>
    </r>
  </si>
  <si>
    <t>G.9</t>
  </si>
  <si>
    <r>
      <t>Y=4.8411X</t>
    </r>
    <r>
      <rPr>
        <vertAlign val="superscript"/>
        <sz val="16"/>
        <color indexed="10"/>
        <rFont val="AngsanaUPC"/>
        <family val="1"/>
      </rPr>
      <t>1.3406</t>
    </r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</si>
</sst>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"/>
    <numFmt numFmtId="188" formatCode="0.000000"/>
    <numFmt numFmtId="189" formatCode="0.0000"/>
    <numFmt numFmtId="190" formatCode="0.000"/>
    <numFmt numFmtId="191" formatCode="_-* #,##0.0_-;\-* #,##0.0_-;_-* &quot;-&quot;??_-;_-@_-"/>
    <numFmt numFmtId="192" formatCode="_-* #,##0_-;\-* #,##0_-;_-* &quot;-&quot;??_-;_-@_-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  <numFmt numFmtId="200" formatCode="0.0"/>
  </numFmts>
  <fonts count="20">
    <font>
      <sz val="14"/>
      <name val="Cordia New"/>
      <family val="0"/>
    </font>
    <font>
      <b/>
      <sz val="18"/>
      <color indexed="48"/>
      <name val="DilleniaUPC"/>
      <family val="1"/>
    </font>
    <font>
      <b/>
      <sz val="18"/>
      <color indexed="10"/>
      <name val="DilleniaUPC"/>
      <family val="1"/>
    </font>
    <font>
      <b/>
      <vertAlign val="superscript"/>
      <sz val="18"/>
      <color indexed="10"/>
      <name val="DilleniaUPC"/>
      <family val="1"/>
    </font>
    <font>
      <sz val="18"/>
      <name val="DilleniaUPC"/>
      <family val="1"/>
    </font>
    <font>
      <sz val="16"/>
      <color indexed="12"/>
      <name val="DilleniaUPC"/>
      <family val="1"/>
    </font>
    <font>
      <sz val="16"/>
      <name val="DilleniaUPC"/>
      <family val="1"/>
    </font>
    <font>
      <sz val="16"/>
      <color indexed="10"/>
      <name val="DilleniaUPC"/>
      <family val="1"/>
    </font>
    <font>
      <b/>
      <sz val="18"/>
      <color indexed="48"/>
      <name val="AngsanaUPC"/>
      <family val="1"/>
    </font>
    <font>
      <b/>
      <sz val="18"/>
      <color indexed="10"/>
      <name val="AngsanaUPC"/>
      <family val="1"/>
    </font>
    <font>
      <b/>
      <vertAlign val="superscript"/>
      <sz val="18"/>
      <color indexed="10"/>
      <name val="AngsanaUPC"/>
      <family val="1"/>
    </font>
    <font>
      <sz val="18"/>
      <name val="AngsanaUPC"/>
      <family val="1"/>
    </font>
    <font>
      <sz val="16"/>
      <color indexed="12"/>
      <name val="AngsanaUPC"/>
      <family val="1"/>
    </font>
    <font>
      <sz val="16"/>
      <name val="AngsanaUPC"/>
      <family val="1"/>
    </font>
    <font>
      <sz val="16"/>
      <color indexed="10"/>
      <name val="AngsanaUPC"/>
      <family val="1"/>
    </font>
    <font>
      <vertAlign val="superscript"/>
      <sz val="16"/>
      <name val="AngsanaUPC"/>
      <family val="1"/>
    </font>
    <font>
      <sz val="16"/>
      <color indexed="8"/>
      <name val="AngsanaUPC"/>
      <family val="1"/>
    </font>
    <font>
      <vertAlign val="superscript"/>
      <sz val="16"/>
      <color indexed="8"/>
      <name val="AngsanaUPC"/>
      <family val="1"/>
    </font>
    <font>
      <sz val="8"/>
      <name val="Cordia New"/>
      <family val="0"/>
    </font>
    <font>
      <vertAlign val="superscript"/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gray0625">
        <bgColor indexed="9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96" fontId="6" fillId="0" borderId="4" xfId="0" applyNumberFormat="1" applyFont="1" applyBorder="1" applyAlignment="1">
      <alignment/>
    </xf>
    <xf numFmtId="196" fontId="4" fillId="0" borderId="0" xfId="0" applyNumberFormat="1" applyFont="1" applyAlignment="1">
      <alignment/>
    </xf>
    <xf numFmtId="196" fontId="6" fillId="0" borderId="6" xfId="0" applyNumberFormat="1" applyFont="1" applyBorder="1" applyAlignment="1">
      <alignment/>
    </xf>
    <xf numFmtId="196" fontId="1" fillId="2" borderId="7" xfId="0" applyNumberFormat="1" applyFont="1" applyFill="1" applyBorder="1" applyAlignment="1">
      <alignment horizontal="center" vertical="center"/>
    </xf>
    <xf numFmtId="199" fontId="6" fillId="0" borderId="1" xfId="0" applyNumberFormat="1" applyFont="1" applyBorder="1" applyAlignment="1">
      <alignment/>
    </xf>
    <xf numFmtId="199" fontId="6" fillId="0" borderId="2" xfId="0" applyNumberFormat="1" applyFont="1" applyBorder="1" applyAlignment="1">
      <alignment/>
    </xf>
    <xf numFmtId="199" fontId="6" fillId="0" borderId="3" xfId="0" applyNumberFormat="1" applyFont="1" applyBorder="1" applyAlignment="1">
      <alignment/>
    </xf>
    <xf numFmtId="199" fontId="6" fillId="0" borderId="5" xfId="0" applyNumberFormat="1" applyFont="1" applyBorder="1" applyAlignment="1">
      <alignment/>
    </xf>
    <xf numFmtId="196" fontId="1" fillId="2" borderId="8" xfId="0" applyNumberFormat="1" applyFont="1" applyFill="1" applyBorder="1" applyAlignment="1">
      <alignment horizontal="left" vertical="center"/>
    </xf>
    <xf numFmtId="196" fontId="6" fillId="0" borderId="9" xfId="0" applyNumberFormat="1" applyFont="1" applyBorder="1" applyAlignment="1">
      <alignment horizontal="left"/>
    </xf>
    <xf numFmtId="0" fontId="11" fillId="0" borderId="0" xfId="0" applyFont="1" applyAlignment="1">
      <alignment/>
    </xf>
    <xf numFmtId="0" fontId="12" fillId="2" borderId="1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2" fillId="2" borderId="11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189" fontId="13" fillId="0" borderId="2" xfId="0" applyNumberFormat="1" applyFont="1" applyBorder="1" applyAlignment="1">
      <alignment horizontal="center"/>
    </xf>
    <xf numFmtId="189" fontId="13" fillId="0" borderId="2" xfId="0" applyNumberFormat="1" applyFont="1" applyBorder="1" applyAlignment="1">
      <alignment/>
    </xf>
    <xf numFmtId="196" fontId="13" fillId="0" borderId="2" xfId="0" applyNumberFormat="1" applyFont="1" applyBorder="1" applyAlignment="1">
      <alignment/>
    </xf>
    <xf numFmtId="3" fontId="13" fillId="0" borderId="2" xfId="15" applyNumberFormat="1" applyFont="1" applyBorder="1" applyAlignment="1">
      <alignment horizontal="right"/>
    </xf>
    <xf numFmtId="0" fontId="13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 vertical="justify"/>
    </xf>
    <xf numFmtId="0" fontId="16" fillId="0" borderId="2" xfId="0" applyFont="1" applyBorder="1" applyAlignment="1">
      <alignment horizontal="center"/>
    </xf>
    <xf numFmtId="189" fontId="16" fillId="0" borderId="2" xfId="0" applyNumberFormat="1" applyFont="1" applyBorder="1" applyAlignment="1">
      <alignment horizontal="center"/>
    </xf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horizontal="center" vertical="center"/>
    </xf>
    <xf numFmtId="189" fontId="13" fillId="0" borderId="2" xfId="0" applyNumberFormat="1" applyFont="1" applyBorder="1" applyAlignment="1">
      <alignment horizontal="center" vertical="center"/>
    </xf>
    <xf numFmtId="189" fontId="13" fillId="0" borderId="2" xfId="0" applyNumberFormat="1" applyFont="1" applyBorder="1" applyAlignment="1">
      <alignment vertical="center"/>
    </xf>
    <xf numFmtId="196" fontId="13" fillId="0" borderId="2" xfId="0" applyNumberFormat="1" applyFont="1" applyBorder="1" applyAlignment="1">
      <alignment vertical="center"/>
    </xf>
    <xf numFmtId="3" fontId="13" fillId="0" borderId="2" xfId="15" applyNumberFormat="1" applyFont="1" applyBorder="1" applyAlignment="1">
      <alignment horizontal="right" vertical="center"/>
    </xf>
    <xf numFmtId="0" fontId="13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horizontal="center"/>
    </xf>
    <xf numFmtId="189" fontId="13" fillId="0" borderId="3" xfId="0" applyNumberFormat="1" applyFont="1" applyBorder="1" applyAlignment="1">
      <alignment horizontal="center"/>
    </xf>
    <xf numFmtId="189" fontId="13" fillId="0" borderId="3" xfId="0" applyNumberFormat="1" applyFont="1" applyBorder="1" applyAlignment="1">
      <alignment/>
    </xf>
    <xf numFmtId="196" fontId="13" fillId="0" borderId="3" xfId="0" applyNumberFormat="1" applyFont="1" applyBorder="1" applyAlignment="1">
      <alignment/>
    </xf>
    <xf numFmtId="0" fontId="13" fillId="0" borderId="3" xfId="0" applyFont="1" applyBorder="1" applyAlignment="1">
      <alignment horizontal="left"/>
    </xf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>
      <alignment/>
    </xf>
    <xf numFmtId="189" fontId="13" fillId="0" borderId="4" xfId="0" applyNumberFormat="1" applyFont="1" applyBorder="1" applyAlignment="1">
      <alignment horizontal="center"/>
    </xf>
    <xf numFmtId="196" fontId="13" fillId="0" borderId="4" xfId="0" applyNumberFormat="1" applyFont="1" applyBorder="1" applyAlignment="1">
      <alignment/>
    </xf>
    <xf numFmtId="41" fontId="13" fillId="0" borderId="4" xfId="15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0" fontId="11" fillId="0" borderId="0" xfId="0" applyFont="1" applyAlignment="1">
      <alignment horizontal="center"/>
    </xf>
    <xf numFmtId="189" fontId="11" fillId="0" borderId="0" xfId="0" applyNumberFormat="1" applyFont="1" applyAlignment="1">
      <alignment horizontal="center"/>
    </xf>
    <xf numFmtId="196" fontId="11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189" fontId="13" fillId="0" borderId="1" xfId="0" applyNumberFormat="1" applyFont="1" applyBorder="1" applyAlignment="1">
      <alignment/>
    </xf>
    <xf numFmtId="196" fontId="13" fillId="0" borderId="1" xfId="0" applyNumberFormat="1" applyFont="1" applyBorder="1" applyAlignment="1">
      <alignment/>
    </xf>
    <xf numFmtId="3" fontId="13" fillId="0" borderId="1" xfId="15" applyNumberFormat="1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/>
    </xf>
    <xf numFmtId="196" fontId="13" fillId="0" borderId="9" xfId="0" applyNumberFormat="1" applyFont="1" applyBorder="1" applyAlignment="1">
      <alignment horizontal="center"/>
    </xf>
    <xf numFmtId="196" fontId="13" fillId="0" borderId="6" xfId="0" applyNumberFormat="1" applyFont="1" applyBorder="1" applyAlignment="1">
      <alignment horizontal="center"/>
    </xf>
    <xf numFmtId="196" fontId="13" fillId="0" borderId="15" xfId="0" applyNumberFormat="1" applyFont="1" applyBorder="1" applyAlignment="1">
      <alignment horizontal="center"/>
    </xf>
    <xf numFmtId="0" fontId="12" fillId="2" borderId="16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189" fontId="12" fillId="2" borderId="16" xfId="0" applyNumberFormat="1" applyFont="1" applyFill="1" applyBorder="1" applyAlignment="1">
      <alignment horizontal="center" vertical="center"/>
    </xf>
    <xf numFmtId="196" fontId="8" fillId="2" borderId="8" xfId="0" applyNumberFormat="1" applyFont="1" applyFill="1" applyBorder="1" applyAlignment="1">
      <alignment horizontal="center" vertical="center"/>
    </xf>
    <xf numFmtId="196" fontId="8" fillId="2" borderId="7" xfId="0" applyNumberFormat="1" applyFont="1" applyFill="1" applyBorder="1" applyAlignment="1">
      <alignment horizontal="center" vertical="center"/>
    </xf>
    <xf numFmtId="196" fontId="8" fillId="2" borderId="17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196" fontId="12" fillId="2" borderId="16" xfId="0" applyNumberFormat="1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196" fontId="5" fillId="2" borderId="16" xfId="0" applyNumberFormat="1" applyFont="1" applyFill="1" applyBorder="1" applyAlignment="1">
      <alignment horizontal="center" vertical="center"/>
    </xf>
    <xf numFmtId="189" fontId="14" fillId="0" borderId="1" xfId="0" applyNumberFormat="1" applyFont="1" applyBorder="1" applyAlignment="1">
      <alignment horizontal="center"/>
    </xf>
    <xf numFmtId="189" fontId="14" fillId="0" borderId="2" xfId="0" applyNumberFormat="1" applyFont="1" applyBorder="1" applyAlignment="1">
      <alignment horizontal="center"/>
    </xf>
    <xf numFmtId="189" fontId="14" fillId="0" borderId="2" xfId="0" applyNumberFormat="1" applyFont="1" applyBorder="1" applyAlignment="1">
      <alignment horizontal="center" vertical="center"/>
    </xf>
    <xf numFmtId="192" fontId="13" fillId="0" borderId="18" xfId="15" applyNumberFormat="1" applyFont="1" applyBorder="1" applyAlignment="1">
      <alignment horizontal="center"/>
    </xf>
    <xf numFmtId="1" fontId="13" fillId="0" borderId="19" xfId="0" applyNumberFormat="1" applyFont="1" applyBorder="1" applyAlignment="1">
      <alignment horizontal="center"/>
    </xf>
    <xf numFmtId="192" fontId="13" fillId="0" borderId="20" xfId="15" applyNumberFormat="1" applyFont="1" applyBorder="1" applyAlignment="1">
      <alignment horizontal="center"/>
    </xf>
    <xf numFmtId="0" fontId="13" fillId="0" borderId="2" xfId="0" applyFont="1" applyBorder="1" applyAlignment="1">
      <alignment/>
    </xf>
    <xf numFmtId="0" fontId="13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189" fontId="14" fillId="0" borderId="3" xfId="0" applyNumberFormat="1" applyFont="1" applyBorder="1" applyAlignment="1">
      <alignment horizontal="center" vertical="center"/>
    </xf>
    <xf numFmtId="189" fontId="13" fillId="0" borderId="3" xfId="0" applyNumberFormat="1" applyFont="1" applyBorder="1" applyAlignment="1">
      <alignment vertical="center"/>
    </xf>
    <xf numFmtId="196" fontId="13" fillId="0" borderId="3" xfId="0" applyNumberFormat="1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189" fontId="14" fillId="0" borderId="1" xfId="0" applyNumberFormat="1" applyFont="1" applyBorder="1" applyAlignment="1">
      <alignment horizontal="center" vertical="center"/>
    </xf>
    <xf numFmtId="189" fontId="13" fillId="0" borderId="1" xfId="0" applyNumberFormat="1" applyFont="1" applyBorder="1" applyAlignment="1">
      <alignment vertical="center"/>
    </xf>
    <xf numFmtId="196" fontId="13" fillId="0" borderId="1" xfId="0" applyNumberFormat="1" applyFont="1" applyBorder="1" applyAlignment="1">
      <alignment vertical="center"/>
    </xf>
    <xf numFmtId="3" fontId="13" fillId="0" borderId="1" xfId="15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3">
      <selection activeCell="F34" sqref="F34"/>
    </sheetView>
  </sheetViews>
  <sheetFormatPr defaultColWidth="9.140625" defaultRowHeight="21.75"/>
  <cols>
    <col min="1" max="1" width="3.7109375" style="59" customWidth="1"/>
    <col min="2" max="2" width="6.140625" style="59" customWidth="1"/>
    <col min="3" max="3" width="11.7109375" style="59" customWidth="1"/>
    <col min="4" max="4" width="6.7109375" style="59" customWidth="1"/>
    <col min="5" max="5" width="4.7109375" style="59" customWidth="1"/>
    <col min="6" max="6" width="6.7109375" style="59" customWidth="1"/>
    <col min="7" max="7" width="14.7109375" style="22" customWidth="1"/>
    <col min="8" max="8" width="8.7109375" style="60" customWidth="1"/>
    <col min="9" max="9" width="6.7109375" style="22" customWidth="1"/>
    <col min="10" max="10" width="13.7109375" style="61" customWidth="1"/>
    <col min="11" max="11" width="6.7109375" style="22" customWidth="1"/>
    <col min="12" max="12" width="18.57421875" style="62" bestFit="1" customWidth="1"/>
    <col min="13" max="16384" width="9.140625" style="22" customWidth="1"/>
  </cols>
  <sheetData>
    <row r="1" spans="1:12" ht="29.25">
      <c r="A1" s="80" t="s">
        <v>42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s="24" customFormat="1" ht="23.25">
      <c r="A2" s="76" t="s">
        <v>7</v>
      </c>
      <c r="B2" s="76" t="s">
        <v>0</v>
      </c>
      <c r="C2" s="76" t="s">
        <v>6</v>
      </c>
      <c r="D2" s="83" t="s">
        <v>5</v>
      </c>
      <c r="E2" s="84"/>
      <c r="F2" s="84"/>
      <c r="G2" s="86" t="s">
        <v>1</v>
      </c>
      <c r="H2" s="79" t="s">
        <v>4</v>
      </c>
      <c r="I2" s="76" t="s">
        <v>2</v>
      </c>
      <c r="J2" s="85" t="s">
        <v>3</v>
      </c>
      <c r="K2" s="23" t="s">
        <v>33</v>
      </c>
      <c r="L2" s="77" t="s">
        <v>36</v>
      </c>
    </row>
    <row r="3" spans="1:12" s="24" customFormat="1" ht="23.25">
      <c r="A3" s="76"/>
      <c r="B3" s="76"/>
      <c r="C3" s="76"/>
      <c r="D3" s="25" t="s">
        <v>8</v>
      </c>
      <c r="E3" s="26" t="s">
        <v>10</v>
      </c>
      <c r="F3" s="27" t="s">
        <v>9</v>
      </c>
      <c r="G3" s="86"/>
      <c r="H3" s="79"/>
      <c r="I3" s="76"/>
      <c r="J3" s="85"/>
      <c r="K3" s="28" t="s">
        <v>34</v>
      </c>
      <c r="L3" s="78"/>
    </row>
    <row r="4" spans="1:12" s="24" customFormat="1" ht="25.5">
      <c r="A4" s="63">
        <v>1</v>
      </c>
      <c r="B4" s="64" t="s">
        <v>11</v>
      </c>
      <c r="C4" s="63">
        <v>2006</v>
      </c>
      <c r="D4" s="64">
        <v>5</v>
      </c>
      <c r="E4" s="65">
        <v>0</v>
      </c>
      <c r="F4" s="63">
        <f>E4+D4</f>
        <v>5</v>
      </c>
      <c r="G4" s="64" t="s">
        <v>64</v>
      </c>
      <c r="H4" s="89">
        <v>0.1164</v>
      </c>
      <c r="I4" s="66">
        <v>0.4767</v>
      </c>
      <c r="J4" s="67">
        <f>LOG(208.75)</f>
        <v>2.3196264841556395</v>
      </c>
      <c r="K4" s="68">
        <v>6355</v>
      </c>
      <c r="L4" s="69"/>
    </row>
    <row r="5" spans="1:12" s="24" customFormat="1" ht="25.5">
      <c r="A5" s="29"/>
      <c r="B5" s="29"/>
      <c r="C5" s="29" t="s">
        <v>44</v>
      </c>
      <c r="D5" s="29">
        <v>361</v>
      </c>
      <c r="E5" s="70">
        <v>0</v>
      </c>
      <c r="F5" s="29">
        <f>E5+D5</f>
        <v>361</v>
      </c>
      <c r="G5" s="29" t="s">
        <v>45</v>
      </c>
      <c r="H5" s="30">
        <v>0.8859</v>
      </c>
      <c r="I5" s="31">
        <v>1.5508</v>
      </c>
      <c r="J5" s="32">
        <f>LOG(1.4103)</f>
        <v>0.14931150590791503</v>
      </c>
      <c r="K5" s="33"/>
      <c r="L5" s="34"/>
    </row>
    <row r="6" spans="1:12" s="24" customFormat="1" ht="25.5">
      <c r="A6" s="29">
        <v>2</v>
      </c>
      <c r="B6" s="35" t="s">
        <v>37</v>
      </c>
      <c r="C6" s="29">
        <v>2006</v>
      </c>
      <c r="D6" s="35">
        <v>5</v>
      </c>
      <c r="E6" s="70">
        <v>0</v>
      </c>
      <c r="F6" s="29">
        <f>E6+D6</f>
        <v>5</v>
      </c>
      <c r="G6" s="35" t="s">
        <v>65</v>
      </c>
      <c r="H6" s="90">
        <v>0.954</v>
      </c>
      <c r="I6" s="31">
        <v>0.944</v>
      </c>
      <c r="J6" s="32">
        <f>LOG(15.893)</f>
        <v>1.2012058833917914</v>
      </c>
      <c r="K6" s="33">
        <v>515</v>
      </c>
      <c r="L6" s="34"/>
    </row>
    <row r="7" spans="1:12" s="24" customFormat="1" ht="25.5">
      <c r="A7" s="29"/>
      <c r="B7" s="29"/>
      <c r="C7" s="29" t="s">
        <v>46</v>
      </c>
      <c r="D7" s="29">
        <v>131</v>
      </c>
      <c r="E7" s="70">
        <v>0</v>
      </c>
      <c r="F7" s="29">
        <f>E7+D7</f>
        <v>131</v>
      </c>
      <c r="G7" s="29" t="s">
        <v>47</v>
      </c>
      <c r="H7" s="30">
        <v>0.9062</v>
      </c>
      <c r="I7" s="31">
        <v>1.3147</v>
      </c>
      <c r="J7" s="32">
        <f>LOG(5.6674)</f>
        <v>0.7533838658375775</v>
      </c>
      <c r="K7" s="33"/>
      <c r="L7" s="34"/>
    </row>
    <row r="8" spans="1:12" s="24" customFormat="1" ht="25.5">
      <c r="A8" s="29">
        <f>+A6+1</f>
        <v>3</v>
      </c>
      <c r="B8" s="35" t="s">
        <v>23</v>
      </c>
      <c r="C8" s="29">
        <v>2006</v>
      </c>
      <c r="D8" s="35">
        <v>5</v>
      </c>
      <c r="E8" s="70">
        <v>0</v>
      </c>
      <c r="F8" s="29">
        <f aca="true" t="shared" si="0" ref="F8:F36">E8+D8</f>
        <v>5</v>
      </c>
      <c r="G8" s="35" t="s">
        <v>66</v>
      </c>
      <c r="H8" s="90">
        <v>0.8993</v>
      </c>
      <c r="I8" s="31">
        <v>1.2441</v>
      </c>
      <c r="J8" s="32">
        <f>LOG(9.7508)</f>
        <v>0.9890402486557198</v>
      </c>
      <c r="K8" s="33">
        <v>539</v>
      </c>
      <c r="L8" s="34"/>
    </row>
    <row r="9" spans="1:12" s="24" customFormat="1" ht="25.5">
      <c r="A9" s="29"/>
      <c r="B9" s="29"/>
      <c r="C9" s="29" t="s">
        <v>48</v>
      </c>
      <c r="D9" s="29">
        <v>160</v>
      </c>
      <c r="E9" s="70">
        <v>0</v>
      </c>
      <c r="F9" s="29">
        <f t="shared" si="0"/>
        <v>160</v>
      </c>
      <c r="G9" s="29" t="s">
        <v>49</v>
      </c>
      <c r="H9" s="30">
        <v>0.9382</v>
      </c>
      <c r="I9" s="31">
        <v>1.3389</v>
      </c>
      <c r="J9" s="32">
        <f>LOG(5.5075)</f>
        <v>0.7409545058228052</v>
      </c>
      <c r="K9" s="33"/>
      <c r="L9" s="34"/>
    </row>
    <row r="10" spans="1:12" s="24" customFormat="1" ht="25.5">
      <c r="A10" s="29">
        <f>+A8+1</f>
        <v>4</v>
      </c>
      <c r="B10" s="35" t="s">
        <v>39</v>
      </c>
      <c r="C10" s="29">
        <v>2006</v>
      </c>
      <c r="D10" s="35">
        <v>4</v>
      </c>
      <c r="E10" s="70">
        <v>0</v>
      </c>
      <c r="F10" s="29">
        <f t="shared" si="0"/>
        <v>4</v>
      </c>
      <c r="G10" s="35" t="s">
        <v>67</v>
      </c>
      <c r="H10" s="90">
        <v>0.9886</v>
      </c>
      <c r="I10" s="31">
        <v>1.3054</v>
      </c>
      <c r="J10" s="32">
        <f>LOG(2.7436)</f>
        <v>0.43832079418644926</v>
      </c>
      <c r="K10" s="33">
        <v>16815</v>
      </c>
      <c r="L10" s="34"/>
    </row>
    <row r="11" spans="1:12" s="24" customFormat="1" ht="25.5">
      <c r="A11" s="29"/>
      <c r="B11" s="29"/>
      <c r="C11" s="29" t="s">
        <v>50</v>
      </c>
      <c r="D11" s="29">
        <v>141</v>
      </c>
      <c r="E11" s="70">
        <v>0</v>
      </c>
      <c r="F11" s="29">
        <f>E11+D11</f>
        <v>141</v>
      </c>
      <c r="G11" s="29" t="s">
        <v>51</v>
      </c>
      <c r="H11" s="30">
        <v>0.8773</v>
      </c>
      <c r="I11" s="31">
        <v>1.34</v>
      </c>
      <c r="J11" s="32">
        <f>LOG(1.5751)</f>
        <v>0.1973081315031025</v>
      </c>
      <c r="K11" s="33"/>
      <c r="L11" s="34"/>
    </row>
    <row r="12" spans="1:12" s="24" customFormat="1" ht="25.5">
      <c r="A12" s="29">
        <f>+A10+1</f>
        <v>5</v>
      </c>
      <c r="B12" s="35" t="s">
        <v>40</v>
      </c>
      <c r="C12" s="29">
        <v>2006</v>
      </c>
      <c r="D12" s="35">
        <v>5</v>
      </c>
      <c r="E12" s="70">
        <v>0</v>
      </c>
      <c r="F12" s="29">
        <f t="shared" si="0"/>
        <v>5</v>
      </c>
      <c r="G12" s="35" t="s">
        <v>68</v>
      </c>
      <c r="H12" s="90">
        <v>0.8061</v>
      </c>
      <c r="I12" s="31">
        <v>1.081</v>
      </c>
      <c r="J12" s="32">
        <f>LOG(5.6783)</f>
        <v>0.7542183337521433</v>
      </c>
      <c r="K12" s="33">
        <v>3090</v>
      </c>
      <c r="L12" s="34"/>
    </row>
    <row r="13" spans="1:12" s="24" customFormat="1" ht="25.5">
      <c r="A13" s="29"/>
      <c r="B13" s="29"/>
      <c r="C13" s="29" t="s">
        <v>50</v>
      </c>
      <c r="D13" s="29">
        <v>140</v>
      </c>
      <c r="E13" s="70">
        <v>0</v>
      </c>
      <c r="F13" s="29">
        <f>E13+D13</f>
        <v>140</v>
      </c>
      <c r="G13" s="29" t="s">
        <v>52</v>
      </c>
      <c r="H13" s="30">
        <v>0.7925</v>
      </c>
      <c r="I13" s="31">
        <v>1.6652</v>
      </c>
      <c r="J13" s="32">
        <f>LOG(0.8216)</f>
        <v>-0.08533956941077822</v>
      </c>
      <c r="K13" s="33"/>
      <c r="L13" s="34"/>
    </row>
    <row r="14" spans="1:12" s="24" customFormat="1" ht="23.25">
      <c r="A14" s="29">
        <f>+A12+1</f>
        <v>6</v>
      </c>
      <c r="B14" s="35" t="s">
        <v>41</v>
      </c>
      <c r="C14" s="95" t="s">
        <v>69</v>
      </c>
      <c r="D14" s="95"/>
      <c r="E14" s="95"/>
      <c r="F14" s="95"/>
      <c r="G14" s="95"/>
      <c r="H14" s="95"/>
      <c r="I14" s="95"/>
      <c r="J14" s="95"/>
      <c r="K14" s="33">
        <v>1541</v>
      </c>
      <c r="L14" s="36"/>
    </row>
    <row r="15" spans="1:12" s="24" customFormat="1" ht="25.5">
      <c r="A15" s="29">
        <f>+A14+1</f>
        <v>7</v>
      </c>
      <c r="B15" s="35" t="s">
        <v>24</v>
      </c>
      <c r="C15" s="29">
        <v>2006</v>
      </c>
      <c r="D15" s="35">
        <v>2</v>
      </c>
      <c r="E15" s="70">
        <v>0</v>
      </c>
      <c r="F15" s="29">
        <f t="shared" si="0"/>
        <v>2</v>
      </c>
      <c r="G15" s="35" t="s">
        <v>70</v>
      </c>
      <c r="H15" s="90">
        <v>1</v>
      </c>
      <c r="I15" s="31">
        <v>1.1452</v>
      </c>
      <c r="J15" s="32">
        <f>LOG(13.604)</f>
        <v>1.1336666232606845</v>
      </c>
      <c r="K15" s="33">
        <v>547</v>
      </c>
      <c r="L15" s="36"/>
    </row>
    <row r="16" spans="1:12" s="24" customFormat="1" ht="25.5">
      <c r="A16" s="29"/>
      <c r="B16" s="29"/>
      <c r="C16" s="29" t="s">
        <v>53</v>
      </c>
      <c r="D16" s="29">
        <v>135</v>
      </c>
      <c r="E16" s="70">
        <v>0</v>
      </c>
      <c r="F16" s="29">
        <f t="shared" si="0"/>
        <v>135</v>
      </c>
      <c r="G16" s="37" t="s">
        <v>54</v>
      </c>
      <c r="H16" s="38">
        <v>0.9231</v>
      </c>
      <c r="I16" s="31">
        <v>1.2252</v>
      </c>
      <c r="J16" s="32">
        <f>LOG(5.0327)</f>
        <v>0.7018010428096673</v>
      </c>
      <c r="K16" s="33"/>
      <c r="L16" s="36"/>
    </row>
    <row r="17" spans="1:12" s="24" customFormat="1" ht="25.5">
      <c r="A17" s="29">
        <v>8</v>
      </c>
      <c r="B17" s="35" t="s">
        <v>71</v>
      </c>
      <c r="C17" s="29">
        <v>2006</v>
      </c>
      <c r="D17" s="35">
        <v>3</v>
      </c>
      <c r="E17" s="70">
        <v>0</v>
      </c>
      <c r="F17" s="29">
        <f>E17+D17</f>
        <v>3</v>
      </c>
      <c r="G17" s="35" t="s">
        <v>72</v>
      </c>
      <c r="H17" s="90">
        <v>0.9988</v>
      </c>
      <c r="I17" s="31">
        <v>1.366</v>
      </c>
      <c r="J17" s="32">
        <f>LOG(137.89)</f>
        <v>2.1395327715979393</v>
      </c>
      <c r="K17" s="33"/>
      <c r="L17" s="36"/>
    </row>
    <row r="18" spans="1:12" s="24" customFormat="1" ht="25.5">
      <c r="A18" s="29">
        <f>+A17+1</f>
        <v>9</v>
      </c>
      <c r="B18" s="35" t="s">
        <v>73</v>
      </c>
      <c r="C18" s="29">
        <v>2006</v>
      </c>
      <c r="D18" s="35">
        <v>3</v>
      </c>
      <c r="E18" s="70">
        <v>0</v>
      </c>
      <c r="F18" s="29">
        <f>E18+D18</f>
        <v>3</v>
      </c>
      <c r="G18" s="35" t="s">
        <v>74</v>
      </c>
      <c r="H18" s="90">
        <v>0.9604</v>
      </c>
      <c r="I18" s="31">
        <v>2.0724</v>
      </c>
      <c r="J18" s="32">
        <f>LOG(3.6157)</f>
        <v>0.5581923892398494</v>
      </c>
      <c r="K18" s="33"/>
      <c r="L18" s="36"/>
    </row>
    <row r="19" spans="1:12" s="24" customFormat="1" ht="25.5">
      <c r="A19" s="29">
        <f>+A18+1</f>
        <v>10</v>
      </c>
      <c r="B19" s="35" t="s">
        <v>75</v>
      </c>
      <c r="C19" s="29">
        <v>2006</v>
      </c>
      <c r="D19" s="35">
        <v>18</v>
      </c>
      <c r="E19" s="70">
        <v>0</v>
      </c>
      <c r="F19" s="29">
        <f>E19+D19</f>
        <v>18</v>
      </c>
      <c r="G19" s="35" t="s">
        <v>77</v>
      </c>
      <c r="H19" s="90">
        <v>0.8691</v>
      </c>
      <c r="I19" s="31">
        <v>2.1049</v>
      </c>
      <c r="J19" s="32">
        <f>LOG(219.75)</f>
        <v>2.3419288837458097</v>
      </c>
      <c r="K19" s="33"/>
      <c r="L19" s="36"/>
    </row>
    <row r="20" spans="1:12" s="24" customFormat="1" ht="25.5">
      <c r="A20" s="29">
        <f>+A19+1</f>
        <v>11</v>
      </c>
      <c r="B20" s="35" t="s">
        <v>78</v>
      </c>
      <c r="C20" s="29">
        <v>2006</v>
      </c>
      <c r="D20" s="35">
        <v>7</v>
      </c>
      <c r="E20" s="70">
        <v>0</v>
      </c>
      <c r="F20" s="29">
        <f>E20+D20</f>
        <v>7</v>
      </c>
      <c r="G20" s="35" t="s">
        <v>79</v>
      </c>
      <c r="H20" s="90">
        <v>0.97757</v>
      </c>
      <c r="I20" s="31">
        <v>1.8723</v>
      </c>
      <c r="J20" s="32">
        <f>LOG(182.8)</f>
        <v>2.2619761913978125</v>
      </c>
      <c r="K20" s="33"/>
      <c r="L20" s="36"/>
    </row>
    <row r="21" spans="1:12" s="24" customFormat="1" ht="25.5">
      <c r="A21" s="29"/>
      <c r="B21" s="29"/>
      <c r="C21" s="29" t="s">
        <v>76</v>
      </c>
      <c r="D21" s="29">
        <v>16</v>
      </c>
      <c r="E21" s="70">
        <v>0</v>
      </c>
      <c r="F21" s="29">
        <f>E21+D21</f>
        <v>16</v>
      </c>
      <c r="G21" s="37" t="s">
        <v>80</v>
      </c>
      <c r="H21" s="38">
        <v>0.8553</v>
      </c>
      <c r="I21" s="31">
        <v>1.3256</v>
      </c>
      <c r="J21" s="32">
        <f>LOG(191.1)</f>
        <v>2.281260687055013</v>
      </c>
      <c r="K21" s="33"/>
      <c r="L21" s="36"/>
    </row>
    <row r="22" spans="1:12" s="24" customFormat="1" ht="25.5">
      <c r="A22" s="29">
        <v>12</v>
      </c>
      <c r="B22" s="35" t="s">
        <v>25</v>
      </c>
      <c r="C22" s="29">
        <v>2006</v>
      </c>
      <c r="D22" s="35">
        <v>5</v>
      </c>
      <c r="E22" s="70">
        <v>0</v>
      </c>
      <c r="F22" s="29">
        <f t="shared" si="0"/>
        <v>5</v>
      </c>
      <c r="G22" s="35" t="s">
        <v>81</v>
      </c>
      <c r="H22" s="90">
        <v>0.8521</v>
      </c>
      <c r="I22" s="31">
        <v>1.6306</v>
      </c>
      <c r="J22" s="32">
        <f>LOG(7.891)</f>
        <v>0.8971320433820944</v>
      </c>
      <c r="K22" s="33">
        <v>1388</v>
      </c>
      <c r="L22" s="36"/>
    </row>
    <row r="23" spans="1:12" s="24" customFormat="1" ht="25.5">
      <c r="A23" s="29"/>
      <c r="B23" s="29"/>
      <c r="C23" s="29" t="s">
        <v>53</v>
      </c>
      <c r="D23" s="29">
        <v>137</v>
      </c>
      <c r="E23" s="70">
        <v>0</v>
      </c>
      <c r="F23" s="29">
        <f t="shared" si="0"/>
        <v>137</v>
      </c>
      <c r="G23" s="29" t="s">
        <v>55</v>
      </c>
      <c r="H23" s="30">
        <v>0.9333</v>
      </c>
      <c r="I23" s="31">
        <v>1.5266</v>
      </c>
      <c r="J23" s="32">
        <f>LOG(3.6045)</f>
        <v>0.5568450298595813</v>
      </c>
      <c r="K23" s="33"/>
      <c r="L23" s="36"/>
    </row>
    <row r="24" spans="1:12" s="24" customFormat="1" ht="25.5">
      <c r="A24" s="29">
        <f>+A22+1</f>
        <v>13</v>
      </c>
      <c r="B24" s="35" t="s">
        <v>17</v>
      </c>
      <c r="C24" s="29">
        <v>2006</v>
      </c>
      <c r="D24" s="35">
        <v>5</v>
      </c>
      <c r="E24" s="70">
        <v>0</v>
      </c>
      <c r="F24" s="29">
        <f t="shared" si="0"/>
        <v>5</v>
      </c>
      <c r="G24" s="35" t="s">
        <v>82</v>
      </c>
      <c r="H24" s="90">
        <v>0.8487</v>
      </c>
      <c r="I24" s="31">
        <v>2.0289</v>
      </c>
      <c r="J24" s="32">
        <f>LOG(2.7126)</f>
        <v>0.4333857574179379</v>
      </c>
      <c r="K24" s="33">
        <v>619</v>
      </c>
      <c r="L24" s="36"/>
    </row>
    <row r="25" spans="1:12" s="24" customFormat="1" ht="25.5">
      <c r="A25" s="29"/>
      <c r="B25" s="29"/>
      <c r="C25" s="29" t="s">
        <v>56</v>
      </c>
      <c r="D25" s="29">
        <v>250</v>
      </c>
      <c r="E25" s="70">
        <v>0</v>
      </c>
      <c r="F25" s="29">
        <f t="shared" si="0"/>
        <v>250</v>
      </c>
      <c r="G25" s="29" t="s">
        <v>57</v>
      </c>
      <c r="H25" s="30">
        <v>0.8766</v>
      </c>
      <c r="I25" s="31">
        <v>1.4906</v>
      </c>
      <c r="J25" s="32">
        <f>LOG(3.4226)</f>
        <v>0.5343561460138386</v>
      </c>
      <c r="K25" s="33"/>
      <c r="L25" s="36"/>
    </row>
    <row r="26" spans="1:12" s="24" customFormat="1" ht="25.5">
      <c r="A26" s="29">
        <v>14</v>
      </c>
      <c r="B26" s="35" t="s">
        <v>18</v>
      </c>
      <c r="C26" s="29">
        <v>2006</v>
      </c>
      <c r="D26" s="35">
        <v>5</v>
      </c>
      <c r="E26" s="70">
        <v>0</v>
      </c>
      <c r="F26" s="29">
        <f t="shared" si="0"/>
        <v>5</v>
      </c>
      <c r="G26" s="35" t="s">
        <v>83</v>
      </c>
      <c r="H26" s="90">
        <v>0.9637</v>
      </c>
      <c r="I26" s="31">
        <v>1.3405</v>
      </c>
      <c r="J26" s="32">
        <f>LOG(3.0529)</f>
        <v>0.4847125788943171</v>
      </c>
      <c r="K26" s="33">
        <v>3415</v>
      </c>
      <c r="L26" s="34"/>
    </row>
    <row r="27" spans="1:12" s="24" customFormat="1" ht="25.5">
      <c r="A27" s="29"/>
      <c r="B27" s="29"/>
      <c r="C27" s="29" t="s">
        <v>58</v>
      </c>
      <c r="D27" s="29">
        <v>170</v>
      </c>
      <c r="E27" s="70">
        <v>0</v>
      </c>
      <c r="F27" s="29">
        <f t="shared" si="0"/>
        <v>170</v>
      </c>
      <c r="G27" s="29" t="s">
        <v>59</v>
      </c>
      <c r="H27" s="30">
        <v>0.9296</v>
      </c>
      <c r="I27" s="31">
        <v>1.349</v>
      </c>
      <c r="J27" s="32">
        <f>LOG(3.9865)</f>
        <v>0.600591768429376</v>
      </c>
      <c r="K27" s="33"/>
      <c r="L27" s="34"/>
    </row>
    <row r="28" spans="1:12" s="39" customFormat="1" ht="22.5" customHeight="1">
      <c r="A28" s="40">
        <f>+A26+1</f>
        <v>15</v>
      </c>
      <c r="B28" s="46" t="s">
        <v>19</v>
      </c>
      <c r="C28" s="40">
        <v>2006</v>
      </c>
      <c r="D28" s="46">
        <v>2</v>
      </c>
      <c r="E28" s="71">
        <v>0</v>
      </c>
      <c r="F28" s="40">
        <f t="shared" si="0"/>
        <v>2</v>
      </c>
      <c r="G28" s="46" t="s">
        <v>85</v>
      </c>
      <c r="H28" s="91">
        <v>1</v>
      </c>
      <c r="I28" s="42">
        <v>1.0318</v>
      </c>
      <c r="J28" s="43">
        <f>LOG(19.856)</f>
        <v>1.2978917641546546</v>
      </c>
      <c r="K28" s="44"/>
      <c r="L28" s="45"/>
    </row>
    <row r="29" spans="1:12" s="39" customFormat="1" ht="22.5" customHeight="1">
      <c r="A29" s="40"/>
      <c r="B29" s="40"/>
      <c r="C29" s="40" t="s">
        <v>48</v>
      </c>
      <c r="D29" s="40">
        <v>201</v>
      </c>
      <c r="E29" s="71">
        <v>0</v>
      </c>
      <c r="F29" s="40">
        <f>E29+D29</f>
        <v>201</v>
      </c>
      <c r="G29" s="40" t="s">
        <v>60</v>
      </c>
      <c r="H29" s="41">
        <v>0.9342</v>
      </c>
      <c r="I29" s="42">
        <v>1.4671</v>
      </c>
      <c r="J29" s="43">
        <f>LOG(2.2328)</f>
        <v>0.34884982348057464</v>
      </c>
      <c r="K29" s="44"/>
      <c r="L29" s="45"/>
    </row>
    <row r="30" spans="1:12" s="39" customFormat="1" ht="22.5" customHeight="1">
      <c r="A30" s="40">
        <f>+A28+1</f>
        <v>16</v>
      </c>
      <c r="B30" s="46" t="s">
        <v>84</v>
      </c>
      <c r="C30" s="40">
        <v>2006</v>
      </c>
      <c r="D30" s="46">
        <v>3</v>
      </c>
      <c r="E30" s="71">
        <v>0</v>
      </c>
      <c r="F30" s="40">
        <f t="shared" si="0"/>
        <v>3</v>
      </c>
      <c r="G30" s="46" t="s">
        <v>86</v>
      </c>
      <c r="H30" s="91">
        <v>0.9784</v>
      </c>
      <c r="I30" s="42">
        <v>0.85</v>
      </c>
      <c r="J30" s="43">
        <f>LOG(50.1)</f>
        <v>1.6998377258672457</v>
      </c>
      <c r="K30" s="44"/>
      <c r="L30" s="45"/>
    </row>
    <row r="31" spans="1:12" s="39" customFormat="1" ht="22.5" customHeight="1">
      <c r="A31" s="96">
        <f>+A30+1</f>
        <v>17</v>
      </c>
      <c r="B31" s="97" t="s">
        <v>87</v>
      </c>
      <c r="C31" s="96">
        <v>2006</v>
      </c>
      <c r="D31" s="97">
        <v>3</v>
      </c>
      <c r="E31" s="98">
        <v>0</v>
      </c>
      <c r="F31" s="96">
        <f t="shared" si="0"/>
        <v>3</v>
      </c>
      <c r="G31" s="97" t="s">
        <v>88</v>
      </c>
      <c r="H31" s="99">
        <v>0.976</v>
      </c>
      <c r="I31" s="100">
        <v>1.9816</v>
      </c>
      <c r="J31" s="101">
        <f>LOG(0.127)</f>
        <v>-0.8961962790440431</v>
      </c>
      <c r="K31" s="102"/>
      <c r="L31" s="103"/>
    </row>
    <row r="32" spans="1:12" s="39" customFormat="1" ht="22.5" customHeight="1">
      <c r="A32" s="104">
        <f>+A31+1</f>
        <v>18</v>
      </c>
      <c r="B32" s="105" t="s">
        <v>28</v>
      </c>
      <c r="C32" s="104">
        <v>2006</v>
      </c>
      <c r="D32" s="105">
        <v>3</v>
      </c>
      <c r="E32" s="106">
        <v>0</v>
      </c>
      <c r="F32" s="104">
        <f t="shared" si="0"/>
        <v>3</v>
      </c>
      <c r="G32" s="105" t="s">
        <v>89</v>
      </c>
      <c r="H32" s="107">
        <v>0.9282</v>
      </c>
      <c r="I32" s="108">
        <v>1.5054</v>
      </c>
      <c r="J32" s="109">
        <f>LOG(0.9731)</f>
        <v>-0.01184252744324715</v>
      </c>
      <c r="K32" s="110">
        <v>8784</v>
      </c>
      <c r="L32" s="111"/>
    </row>
    <row r="33" spans="1:12" s="39" customFormat="1" ht="22.5" customHeight="1">
      <c r="A33" s="40"/>
      <c r="B33" s="40"/>
      <c r="C33" s="40" t="s">
        <v>61</v>
      </c>
      <c r="D33" s="40">
        <v>303</v>
      </c>
      <c r="E33" s="71">
        <v>0</v>
      </c>
      <c r="F33" s="40">
        <f t="shared" si="0"/>
        <v>303</v>
      </c>
      <c r="G33" s="40" t="s">
        <v>62</v>
      </c>
      <c r="H33" s="41">
        <v>0.8794</v>
      </c>
      <c r="I33" s="42">
        <v>1.5692</v>
      </c>
      <c r="J33" s="43">
        <f>LOG(0.4688)</f>
        <v>-0.32901239698996576</v>
      </c>
      <c r="K33" s="47"/>
      <c r="L33" s="45"/>
    </row>
    <row r="34" spans="1:12" s="39" customFormat="1" ht="22.5" customHeight="1">
      <c r="A34" s="40">
        <v>19</v>
      </c>
      <c r="B34" s="46" t="s">
        <v>29</v>
      </c>
      <c r="C34" s="40">
        <v>2006</v>
      </c>
      <c r="D34" s="46">
        <v>5</v>
      </c>
      <c r="E34" s="71">
        <v>0</v>
      </c>
      <c r="F34" s="40">
        <f t="shared" si="0"/>
        <v>5</v>
      </c>
      <c r="G34" s="46" t="s">
        <v>90</v>
      </c>
      <c r="H34" s="91">
        <v>0.9941</v>
      </c>
      <c r="I34" s="42">
        <v>1.3587</v>
      </c>
      <c r="J34" s="43">
        <f>LOG(8.471)</f>
        <v>0.9279346817411794</v>
      </c>
      <c r="K34" s="44">
        <v>2934</v>
      </c>
      <c r="L34" s="45"/>
    </row>
    <row r="35" spans="1:12" s="39" customFormat="1" ht="22.5" customHeight="1">
      <c r="A35" s="40"/>
      <c r="B35" s="40"/>
      <c r="C35" s="40" t="s">
        <v>48</v>
      </c>
      <c r="D35" s="40">
        <v>232</v>
      </c>
      <c r="E35" s="71">
        <v>0</v>
      </c>
      <c r="F35" s="40">
        <f>E35+D35</f>
        <v>232</v>
      </c>
      <c r="G35" s="40" t="s">
        <v>63</v>
      </c>
      <c r="H35" s="41">
        <v>0.9307</v>
      </c>
      <c r="I35" s="42">
        <v>1.4302</v>
      </c>
      <c r="J35" s="43">
        <f>LOG(4.9074)</f>
        <v>0.690851458574504</v>
      </c>
      <c r="K35" s="47"/>
      <c r="L35" s="45"/>
    </row>
    <row r="36" spans="1:12" s="39" customFormat="1" ht="22.5" customHeight="1">
      <c r="A36" s="40">
        <f>+A34+1</f>
        <v>20</v>
      </c>
      <c r="B36" s="46" t="s">
        <v>91</v>
      </c>
      <c r="C36" s="40">
        <v>2006</v>
      </c>
      <c r="D36" s="46">
        <v>3</v>
      </c>
      <c r="E36" s="71">
        <v>0</v>
      </c>
      <c r="F36" s="40">
        <f t="shared" si="0"/>
        <v>3</v>
      </c>
      <c r="G36" s="46" t="s">
        <v>92</v>
      </c>
      <c r="H36" s="91">
        <v>0.9995</v>
      </c>
      <c r="I36" s="42">
        <v>1.3406</v>
      </c>
      <c r="J36" s="43">
        <f>LOG(4.8411)</f>
        <v>0.6849440537211702</v>
      </c>
      <c r="K36" s="44"/>
      <c r="L36" s="45"/>
    </row>
    <row r="37" spans="1:12" s="24" customFormat="1" ht="23.25">
      <c r="A37" s="48"/>
      <c r="B37" s="48"/>
      <c r="C37" s="48"/>
      <c r="D37" s="48"/>
      <c r="E37" s="72"/>
      <c r="F37" s="48"/>
      <c r="G37" s="48"/>
      <c r="H37" s="49"/>
      <c r="I37" s="50"/>
      <c r="J37" s="51"/>
      <c r="K37" s="48"/>
      <c r="L37" s="52"/>
    </row>
    <row r="38" spans="1:12" s="24" customFormat="1" ht="23.25">
      <c r="A38" s="53"/>
      <c r="B38" s="53"/>
      <c r="C38" s="53" t="s">
        <v>9</v>
      </c>
      <c r="D38" s="92">
        <f>SUM(D4:D37)</f>
        <v>2468</v>
      </c>
      <c r="E38" s="93">
        <f>SUM(E4:E37)</f>
        <v>0</v>
      </c>
      <c r="F38" s="94">
        <f>SUM(F4:F37)</f>
        <v>2468</v>
      </c>
      <c r="G38" s="54"/>
      <c r="H38" s="55"/>
      <c r="I38" s="54"/>
      <c r="J38" s="56"/>
      <c r="K38" s="57"/>
      <c r="L38" s="58"/>
    </row>
    <row r="39" spans="1:12" s="24" customFormat="1" ht="23.25">
      <c r="A39" s="73" t="s">
        <v>43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5"/>
    </row>
    <row r="40" spans="1:12" s="24" customFormat="1" ht="26.25">
      <c r="A40" s="59"/>
      <c r="B40" s="59"/>
      <c r="C40" s="59"/>
      <c r="D40" s="59"/>
      <c r="E40" s="59"/>
      <c r="F40" s="59"/>
      <c r="G40" s="22"/>
      <c r="H40" s="60"/>
      <c r="I40" s="22"/>
      <c r="J40" s="61"/>
      <c r="K40" s="22"/>
      <c r="L40" s="62"/>
    </row>
    <row r="41" spans="1:12" s="24" customFormat="1" ht="26.25">
      <c r="A41" s="59"/>
      <c r="B41" s="59"/>
      <c r="C41" s="59"/>
      <c r="D41" s="59"/>
      <c r="E41" s="59"/>
      <c r="F41" s="59"/>
      <c r="G41" s="22"/>
      <c r="H41" s="60"/>
      <c r="I41" s="22"/>
      <c r="J41" s="61"/>
      <c r="K41" s="22"/>
      <c r="L41" s="62"/>
    </row>
    <row r="42" spans="1:12" s="24" customFormat="1" ht="26.25">
      <c r="A42" s="59"/>
      <c r="B42" s="59"/>
      <c r="C42" s="59"/>
      <c r="D42" s="59"/>
      <c r="E42" s="59"/>
      <c r="F42" s="59"/>
      <c r="G42" s="22"/>
      <c r="H42" s="60"/>
      <c r="I42" s="22"/>
      <c r="J42" s="61"/>
      <c r="K42" s="22"/>
      <c r="L42" s="62"/>
    </row>
    <row r="43" spans="1:12" s="24" customFormat="1" ht="26.25">
      <c r="A43" s="59"/>
      <c r="B43" s="59"/>
      <c r="C43" s="59"/>
      <c r="D43" s="59"/>
      <c r="E43" s="59"/>
      <c r="F43" s="59"/>
      <c r="G43" s="22"/>
      <c r="H43" s="60"/>
      <c r="I43" s="22"/>
      <c r="J43" s="61"/>
      <c r="K43" s="22"/>
      <c r="L43" s="62"/>
    </row>
    <row r="44" spans="1:12" s="24" customFormat="1" ht="26.25">
      <c r="A44" s="59"/>
      <c r="B44" s="59"/>
      <c r="C44" s="59"/>
      <c r="D44" s="59"/>
      <c r="E44" s="59"/>
      <c r="F44" s="59"/>
      <c r="G44" s="22"/>
      <c r="H44" s="60"/>
      <c r="I44" s="22"/>
      <c r="J44" s="61"/>
      <c r="K44" s="22"/>
      <c r="L44" s="62"/>
    </row>
    <row r="45" spans="1:12" s="24" customFormat="1" ht="26.25">
      <c r="A45" s="59"/>
      <c r="B45" s="59"/>
      <c r="C45" s="59"/>
      <c r="D45" s="59"/>
      <c r="E45" s="59"/>
      <c r="F45" s="59"/>
      <c r="G45" s="22"/>
      <c r="H45" s="60"/>
      <c r="I45" s="22"/>
      <c r="J45" s="61"/>
      <c r="K45" s="22"/>
      <c r="L45" s="62"/>
    </row>
  </sheetData>
  <mergeCells count="11">
    <mergeCell ref="A39:L39"/>
    <mergeCell ref="A1:L1"/>
    <mergeCell ref="A2:A3"/>
    <mergeCell ref="B2:B3"/>
    <mergeCell ref="C2:C3"/>
    <mergeCell ref="D2:F2"/>
    <mergeCell ref="G2:G3"/>
    <mergeCell ref="H2:H3"/>
    <mergeCell ref="I2:I3"/>
    <mergeCell ref="J2:J3"/>
    <mergeCell ref="L2:L3"/>
  </mergeCells>
  <printOptions/>
  <pageMargins left="0.1968503937007874" right="0" top="0.7874015748031497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pane xSplit="2" topLeftCell="C1" activePane="topRight" state="frozen"/>
      <selection pane="topLeft" activeCell="A1" sqref="A1"/>
      <selection pane="topRight" activeCell="D5" sqref="D5"/>
    </sheetView>
  </sheetViews>
  <sheetFormatPr defaultColWidth="9.140625" defaultRowHeight="21.75"/>
  <cols>
    <col min="1" max="1" width="9.140625" style="2" customWidth="1"/>
    <col min="2" max="2" width="6.140625" style="2" customWidth="1"/>
    <col min="3" max="3" width="20.8515625" style="13" customWidth="1"/>
    <col min="4" max="16384" width="9.140625" style="1" customWidth="1"/>
  </cols>
  <sheetData>
    <row r="1" spans="1:3" ht="30">
      <c r="A1" s="20" t="s">
        <v>21</v>
      </c>
      <c r="B1" s="15"/>
      <c r="C1" s="15"/>
    </row>
    <row r="2" spans="1:3" s="3" customFormat="1" ht="23.25">
      <c r="A2" s="87" t="s">
        <v>7</v>
      </c>
      <c r="B2" s="87" t="s">
        <v>0</v>
      </c>
      <c r="C2" s="88" t="s">
        <v>3</v>
      </c>
    </row>
    <row r="3" spans="1:3" s="3" customFormat="1" ht="23.25">
      <c r="A3" s="87"/>
      <c r="B3" s="87"/>
      <c r="C3" s="88"/>
    </row>
    <row r="4" spans="1:5" s="3" customFormat="1" ht="23.25">
      <c r="A4" s="4">
        <v>1</v>
      </c>
      <c r="B4" s="5" t="s">
        <v>11</v>
      </c>
      <c r="C4" s="16">
        <f>LOG(0.4851)</f>
        <v>-0.3141687253739364</v>
      </c>
      <c r="D4" s="3">
        <v>0.4851</v>
      </c>
      <c r="E4" s="3">
        <f>+LOG(D4)</f>
        <v>-0.3141687253739364</v>
      </c>
    </row>
    <row r="5" spans="1:3" s="3" customFormat="1" ht="23.25">
      <c r="A5" s="6"/>
      <c r="B5" s="6"/>
      <c r="C5" s="17">
        <f>LOG(1.4189)</f>
        <v>0.15195178870726556</v>
      </c>
    </row>
    <row r="6" spans="1:3" s="3" customFormat="1" ht="23.25">
      <c r="A6" s="6">
        <f>+A4+1</f>
        <v>2</v>
      </c>
      <c r="B6" s="7" t="s">
        <v>12</v>
      </c>
      <c r="C6" s="17">
        <f>LOG(3.4059)</f>
        <v>0.5322318925738089</v>
      </c>
    </row>
    <row r="7" spans="1:3" s="3" customFormat="1" ht="23.25">
      <c r="A7" s="6"/>
      <c r="B7" s="6"/>
      <c r="C7" s="17">
        <f>LOG(3.6824)</f>
        <v>0.5661309618859178</v>
      </c>
    </row>
    <row r="8" spans="1:3" s="3" customFormat="1" ht="23.25">
      <c r="A8" s="6">
        <f>+A6+1</f>
        <v>3</v>
      </c>
      <c r="B8" s="7" t="s">
        <v>22</v>
      </c>
      <c r="C8" s="17">
        <f>LOG(0.4124)</f>
        <v>-0.38468134338852106</v>
      </c>
    </row>
    <row r="9" spans="1:3" s="3" customFormat="1" ht="23.25">
      <c r="A9" s="6"/>
      <c r="B9" s="7"/>
      <c r="C9" s="17">
        <f>LOG(0.3674)</f>
        <v>-0.43486084803021047</v>
      </c>
    </row>
    <row r="10" spans="1:3" s="3" customFormat="1" ht="23.25">
      <c r="A10" s="6"/>
      <c r="B10" s="7" t="s">
        <v>37</v>
      </c>
      <c r="C10" s="17">
        <f>LOG(5.6805)</f>
        <v>0.7543865641765075</v>
      </c>
    </row>
    <row r="11" spans="1:3" s="3" customFormat="1" ht="23.25">
      <c r="A11" s="6"/>
      <c r="B11" s="6"/>
      <c r="C11" s="17">
        <f>LOG(5.6805)</f>
        <v>0.7543865641765075</v>
      </c>
    </row>
    <row r="12" spans="1:3" s="3" customFormat="1" ht="23.25">
      <c r="A12" s="6">
        <f>+A8+1</f>
        <v>4</v>
      </c>
      <c r="B12" s="7" t="s">
        <v>13</v>
      </c>
      <c r="C12" s="17">
        <f>LOG(3.1705)</f>
        <v>0.5011277575229803</v>
      </c>
    </row>
    <row r="13" spans="1:3" s="3" customFormat="1" ht="23.25">
      <c r="A13" s="6"/>
      <c r="B13" s="6"/>
      <c r="C13" s="17">
        <f>LOG(3.4453)</f>
        <v>0.5372270441455221</v>
      </c>
    </row>
    <row r="14" spans="1:3" s="3" customFormat="1" ht="23.25">
      <c r="A14" s="6">
        <f>+A12+1</f>
        <v>5</v>
      </c>
      <c r="B14" s="7" t="s">
        <v>23</v>
      </c>
      <c r="C14" s="17">
        <f>LOG(4.8522)</f>
        <v>0.6859386934942598</v>
      </c>
    </row>
    <row r="15" spans="1:3" s="3" customFormat="1" ht="23.25">
      <c r="A15" s="6"/>
      <c r="B15" s="6"/>
      <c r="C15" s="17">
        <f>LOG(4.9302)</f>
        <v>0.6928645373572675</v>
      </c>
    </row>
    <row r="16" spans="1:3" s="3" customFormat="1" ht="23.25">
      <c r="A16" s="6">
        <f>+A14+1</f>
        <v>6</v>
      </c>
      <c r="B16" s="7" t="s">
        <v>14</v>
      </c>
      <c r="C16" s="17">
        <f>LOG(5.1227)</f>
        <v>0.7094989230909564</v>
      </c>
    </row>
    <row r="17" spans="1:3" s="3" customFormat="1" ht="23.25">
      <c r="A17" s="6"/>
      <c r="B17" s="6"/>
      <c r="C17" s="17">
        <f>LOG(4.5302)</f>
        <v>0.6561173757388853</v>
      </c>
    </row>
    <row r="18" spans="1:3" s="3" customFormat="1" ht="23.25">
      <c r="A18" s="6">
        <f>+A16+1</f>
        <v>7</v>
      </c>
      <c r="B18" s="7" t="s">
        <v>15</v>
      </c>
      <c r="C18" s="17">
        <f>LOG(4.3208)</f>
        <v>0.6355641642731371</v>
      </c>
    </row>
    <row r="19" spans="1:3" s="3" customFormat="1" ht="23.25">
      <c r="A19" s="6"/>
      <c r="B19" s="6"/>
      <c r="C19" s="17">
        <f>LOG(4.7961)</f>
        <v>0.6808882296802367</v>
      </c>
    </row>
    <row r="20" spans="1:3" s="3" customFormat="1" ht="23.25">
      <c r="A20" s="6">
        <f>+A18+1</f>
        <v>8</v>
      </c>
      <c r="B20" s="7" t="s">
        <v>38</v>
      </c>
      <c r="C20" s="17">
        <f>LOG(2.7165)</f>
        <v>0.43400970936973965</v>
      </c>
    </row>
    <row r="21" spans="1:3" s="3" customFormat="1" ht="23.25">
      <c r="A21" s="6"/>
      <c r="B21" s="7"/>
      <c r="C21" s="17">
        <f>LOG(2.7165)</f>
        <v>0.43400970936973965</v>
      </c>
    </row>
    <row r="22" spans="1:3" s="3" customFormat="1" ht="23.25">
      <c r="A22" s="6">
        <f aca="true" t="shared" si="0" ref="A22:A28">+A20+1</f>
        <v>9</v>
      </c>
      <c r="B22" s="7" t="s">
        <v>39</v>
      </c>
      <c r="C22" s="17">
        <f>LOG(1.6061)</f>
        <v>0.20577258209841967</v>
      </c>
    </row>
    <row r="23" spans="1:3" s="3" customFormat="1" ht="23.25">
      <c r="A23" s="6"/>
      <c r="B23" s="7"/>
      <c r="C23" s="17">
        <f>LOG(1.6061)</f>
        <v>0.20577258209841967</v>
      </c>
    </row>
    <row r="24" spans="1:3" s="3" customFormat="1" ht="23.25">
      <c r="A24" s="6">
        <f t="shared" si="0"/>
        <v>10</v>
      </c>
      <c r="B24" s="7" t="s">
        <v>40</v>
      </c>
      <c r="C24" s="17">
        <f>LOG(0.1314)</f>
        <v>-0.8814046347762381</v>
      </c>
    </row>
    <row r="25" spans="1:3" s="3" customFormat="1" ht="23.25">
      <c r="A25" s="6"/>
      <c r="B25" s="7"/>
      <c r="C25" s="17">
        <f>LOG(0.1314)</f>
        <v>-0.8814046347762381</v>
      </c>
    </row>
    <row r="26" spans="1:3" s="3" customFormat="1" ht="23.25">
      <c r="A26" s="6">
        <f t="shared" si="0"/>
        <v>11</v>
      </c>
      <c r="B26" s="7" t="s">
        <v>41</v>
      </c>
      <c r="C26" s="17">
        <f>LOG(4.3139)</f>
        <v>0.6348700735547615</v>
      </c>
    </row>
    <row r="27" spans="1:3" s="3" customFormat="1" ht="23.25">
      <c r="A27" s="6"/>
      <c r="B27" s="7"/>
      <c r="C27" s="17">
        <f>LOG(4.3139)</f>
        <v>0.6348700735547615</v>
      </c>
    </row>
    <row r="28" spans="1:3" s="3" customFormat="1" ht="23.25">
      <c r="A28" s="6">
        <f t="shared" si="0"/>
        <v>12</v>
      </c>
      <c r="B28" s="7" t="s">
        <v>24</v>
      </c>
      <c r="C28" s="17">
        <f>LOG(4.0878)</f>
        <v>0.6114896393230412</v>
      </c>
    </row>
    <row r="29" spans="1:3" s="3" customFormat="1" ht="23.25">
      <c r="A29" s="6"/>
      <c r="B29" s="7"/>
      <c r="C29" s="17">
        <f>LOG(4.2467)</f>
        <v>0.628051582171172</v>
      </c>
    </row>
    <row r="30" spans="1:3" s="3" customFormat="1" ht="23.25">
      <c r="A30" s="6">
        <f>+A28+1</f>
        <v>13</v>
      </c>
      <c r="B30" s="7" t="s">
        <v>16</v>
      </c>
      <c r="C30" s="17">
        <f>LOG(0.9353)</f>
        <v>-0.029049065654575875</v>
      </c>
    </row>
    <row r="31" spans="1:3" s="3" customFormat="1" ht="23.25">
      <c r="A31" s="6"/>
      <c r="B31" s="6"/>
      <c r="C31" s="17">
        <f>LOG(1.339)</f>
        <v>0.12678057701200895</v>
      </c>
    </row>
    <row r="32" spans="1:3" s="3" customFormat="1" ht="23.25">
      <c r="A32" s="6">
        <f>+A30+1</f>
        <v>14</v>
      </c>
      <c r="B32" s="7" t="s">
        <v>26</v>
      </c>
      <c r="C32" s="17">
        <f>LOG(3.4498)</f>
        <v>0.537793917851788</v>
      </c>
    </row>
    <row r="33" spans="1:3" s="3" customFormat="1" ht="23.25">
      <c r="A33" s="6"/>
      <c r="B33" s="6"/>
      <c r="C33" s="17">
        <f>LOG(3.8867)</f>
        <v>0.5895810203398645</v>
      </c>
    </row>
    <row r="34" spans="1:3" s="3" customFormat="1" ht="23.25">
      <c r="A34" s="6">
        <f>+A32+1</f>
        <v>15</v>
      </c>
      <c r="B34" s="7" t="s">
        <v>19</v>
      </c>
      <c r="C34" s="17">
        <f>LOG(1.8967)</f>
        <v>0.2779986442002884</v>
      </c>
    </row>
    <row r="35" spans="1:3" s="3" customFormat="1" ht="23.25">
      <c r="A35" s="8"/>
      <c r="B35" s="8"/>
      <c r="C35" s="18">
        <f>LOG(2.5085)</f>
        <v>0.3994141053637703</v>
      </c>
    </row>
    <row r="36" spans="1:3" s="3" customFormat="1" ht="23.25">
      <c r="A36" s="10">
        <f>+A34+1</f>
        <v>16</v>
      </c>
      <c r="B36" s="11" t="s">
        <v>20</v>
      </c>
      <c r="C36" s="19">
        <f>LOG(4.117)</f>
        <v>0.614580866997486</v>
      </c>
    </row>
    <row r="37" spans="1:3" s="3" customFormat="1" ht="23.25">
      <c r="A37" s="6"/>
      <c r="B37" s="6"/>
      <c r="C37" s="17">
        <f>LOG(4.0716)</f>
        <v>0.6097651056927426</v>
      </c>
    </row>
    <row r="38" spans="1:3" s="3" customFormat="1" ht="23.25">
      <c r="A38" s="6">
        <f>+A36+1</f>
        <v>17</v>
      </c>
      <c r="B38" s="7" t="s">
        <v>27</v>
      </c>
      <c r="C38" s="17">
        <f>LOG(1.376)</f>
        <v>0.13861843389949247</v>
      </c>
    </row>
    <row r="39" spans="1:3" s="3" customFormat="1" ht="23.25">
      <c r="A39" s="6"/>
      <c r="B39" s="6"/>
      <c r="C39" s="17">
        <f>LOG(1.5368)</f>
        <v>0.18661735185363723</v>
      </c>
    </row>
    <row r="40" spans="1:3" s="3" customFormat="1" ht="23.25">
      <c r="A40" s="6">
        <f>+A38+1</f>
        <v>18</v>
      </c>
      <c r="B40" s="7" t="s">
        <v>29</v>
      </c>
      <c r="C40" s="17">
        <f>LOG(7.5695)</f>
        <v>0.8790671933161128</v>
      </c>
    </row>
    <row r="41" spans="1:3" s="3" customFormat="1" ht="23.25">
      <c r="A41" s="6"/>
      <c r="B41" s="6"/>
      <c r="C41" s="17">
        <f>LOG(4.9161)</f>
        <v>0.6916207084305436</v>
      </c>
    </row>
    <row r="42" spans="1:3" s="3" customFormat="1" ht="23.25">
      <c r="A42" s="6">
        <f>+A40+1</f>
        <v>19</v>
      </c>
      <c r="B42" s="7" t="s">
        <v>30</v>
      </c>
      <c r="C42" s="17">
        <f>LOG(5.3348)</f>
        <v>0.7271181425000357</v>
      </c>
    </row>
    <row r="43" spans="1:3" s="3" customFormat="1" ht="23.25">
      <c r="A43" s="6"/>
      <c r="B43" s="6"/>
      <c r="C43" s="17">
        <f>LOG(5.4234)</f>
        <v>0.7342716367766632</v>
      </c>
    </row>
    <row r="44" spans="1:3" s="3" customFormat="1" ht="23.25">
      <c r="A44" s="6">
        <f>+A42+1</f>
        <v>20</v>
      </c>
      <c r="B44" s="7" t="s">
        <v>31</v>
      </c>
      <c r="C44" s="17">
        <f>LOG(5.9372)</f>
        <v>0.773581678778409</v>
      </c>
    </row>
    <row r="45" spans="1:3" s="3" customFormat="1" ht="23.25">
      <c r="A45" s="6"/>
      <c r="B45" s="6"/>
      <c r="C45" s="17">
        <f>LOG(6.9584)</f>
        <v>0.8425093903212607</v>
      </c>
    </row>
    <row r="46" spans="1:3" s="3" customFormat="1" ht="23.25">
      <c r="A46" s="6">
        <f>+A44+1</f>
        <v>21</v>
      </c>
      <c r="B46" s="7" t="s">
        <v>32</v>
      </c>
      <c r="C46" s="17">
        <f>LOG(5.9321)</f>
        <v>0.7732084635097722</v>
      </c>
    </row>
    <row r="47" spans="1:3" s="3" customFormat="1" ht="23.25">
      <c r="A47" s="8"/>
      <c r="B47" s="8"/>
      <c r="C47" s="18">
        <f>LOG(5.2056)</f>
        <v>0.7164707937257992</v>
      </c>
    </row>
    <row r="48" spans="1:3" s="3" customFormat="1" ht="23.25">
      <c r="A48" s="9"/>
      <c r="B48" s="9"/>
      <c r="C48" s="12"/>
    </row>
    <row r="49" spans="1:3" s="3" customFormat="1" ht="23.25">
      <c r="A49" s="21" t="s">
        <v>35</v>
      </c>
      <c r="B49" s="14"/>
      <c r="C49" s="14"/>
    </row>
  </sheetData>
  <mergeCells count="3">
    <mergeCell ref="A2:A3"/>
    <mergeCell ref="B2:B3"/>
    <mergeCell ref="C2:C3"/>
  </mergeCells>
  <printOptions horizontalCentered="1"/>
  <pageMargins left="0.1968503937007874" right="0.1968503937007874" top="0.3937007874015748" bottom="0.3937007874015748" header="0.5118110236220472" footer="0.55118110236220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 Organize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 User</dc:creator>
  <cp:keywords/>
  <dc:description/>
  <cp:lastModifiedBy>Customer</cp:lastModifiedBy>
  <cp:lastPrinted>2007-10-24T02:25:06Z</cp:lastPrinted>
  <dcterms:created xsi:type="dcterms:W3CDTF">2001-05-01T08:12:27Z</dcterms:created>
  <dcterms:modified xsi:type="dcterms:W3CDTF">2007-10-24T02:27:01Z</dcterms:modified>
  <cp:category/>
  <cp:version/>
  <cp:contentType/>
  <cp:contentStatus/>
</cp:coreProperties>
</file>